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drawings/drawing6.xml" ContentType="application/vnd.openxmlformats-officedocument.drawing+xml"/>
  <Override PartName="/xl/embeddings/oleObject2.bin" ContentType="application/vnd.openxmlformats-officedocument.oleObject"/>
  <Override PartName="/xl/drawings/drawing7.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C:\Users\Nutzer\OneDrive\Projekte\RocciShield\documentation\"/>
    </mc:Choice>
  </mc:AlternateContent>
  <xr:revisionPtr revIDLastSave="0" documentId="13_ncr:1_{0B3F666B-DD9C-4D7B-BACD-3BD598F57250}" xr6:coauthVersionLast="47" xr6:coauthVersionMax="47" xr10:uidLastSave="{00000000-0000-0000-0000-000000000000}"/>
  <workbookProtection workbookPassword="DCA3" lockStructure="1"/>
  <bookViews>
    <workbookView xWindow="-108" yWindow="-108" windowWidth="23256" windowHeight="12456" tabRatio="725" activeTab="1" xr2:uid="{00000000-000D-0000-FFFF-FFFF00000000}"/>
  </bookViews>
  <sheets>
    <sheet name="Insructions" sheetId="9" r:id="rId1"/>
    <sheet name="Main" sheetId="1" r:id="rId2"/>
    <sheet name="loop_gain" sheetId="6" state="hidden" r:id="rId3"/>
    <sheet name="FB_div" sheetId="7" state="hidden" r:id="rId4"/>
    <sheet name="Helper_calcs" sheetId="2" state="hidden" r:id="rId5"/>
    <sheet name="Notes" sheetId="3" state="hidden" r:id="rId6"/>
    <sheet name="Eamp" sheetId="11" state="hidden" r:id="rId7"/>
    <sheet name="cout_min_calc2" sheetId="14" state="hidden" r:id="rId8"/>
    <sheet name="cout_calc2" sheetId="12" state="hidden" r:id="rId9"/>
    <sheet name="Current_limit" sheetId="16" state="hidden" r:id="rId10"/>
    <sheet name="Revision History" sheetId="17"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 r="A643" i="16" l="1"/>
  <c r="B23" i="16"/>
  <c r="A24" i="16" l="1"/>
  <c r="D23" i="16"/>
  <c r="A25" i="16" l="1"/>
  <c r="B24" i="16"/>
  <c r="D24" i="16" s="1"/>
  <c r="A26" i="16" l="1"/>
  <c r="B25" i="16"/>
  <c r="D25" i="16" s="1"/>
  <c r="B26" i="16" l="1"/>
  <c r="D26" i="16" s="1"/>
  <c r="A27" i="16"/>
  <c r="B27" i="16" l="1"/>
  <c r="D27" i="16" s="1"/>
  <c r="A28" i="16"/>
  <c r="B28" i="16" l="1"/>
  <c r="D28" i="16" s="1"/>
  <c r="A29" i="16"/>
  <c r="B29" i="16" l="1"/>
  <c r="D29" i="16" s="1"/>
  <c r="A30" i="16"/>
  <c r="B30" i="16" l="1"/>
  <c r="D30" i="16" s="1"/>
  <c r="A31" i="16"/>
  <c r="B31" i="16" l="1"/>
  <c r="D31" i="16" s="1"/>
  <c r="A32" i="16"/>
  <c r="B32" i="16" l="1"/>
  <c r="D32" i="16" s="1"/>
  <c r="A33" i="16"/>
  <c r="B33" i="16" l="1"/>
  <c r="D33" i="16" s="1"/>
  <c r="A34" i="16"/>
  <c r="B34" i="16" l="1"/>
  <c r="D34" i="16" s="1"/>
  <c r="A35" i="16"/>
  <c r="B35" i="16" l="1"/>
  <c r="D35" i="16" s="1"/>
  <c r="A36" i="16"/>
  <c r="B36" i="16" l="1"/>
  <c r="D36" i="16" s="1"/>
  <c r="A37" i="16"/>
  <c r="B37" i="16" l="1"/>
  <c r="D37" i="16" s="1"/>
  <c r="A38" i="16"/>
  <c r="B38" i="16" l="1"/>
  <c r="D38" i="16" s="1"/>
  <c r="A39" i="16"/>
  <c r="B39" i="16" l="1"/>
  <c r="D39" i="16" s="1"/>
  <c r="A40" i="16"/>
  <c r="B40" i="16" l="1"/>
  <c r="D40" i="16" s="1"/>
  <c r="A41" i="16"/>
  <c r="B41" i="16" l="1"/>
  <c r="D41" i="16" s="1"/>
  <c r="A42" i="16"/>
  <c r="B42" i="16" l="1"/>
  <c r="D42" i="16" s="1"/>
  <c r="A43" i="16"/>
  <c r="B43" i="16" l="1"/>
  <c r="D43" i="16" s="1"/>
  <c r="A44" i="16"/>
  <c r="B44" i="16" l="1"/>
  <c r="D44" i="16" s="1"/>
  <c r="A45" i="16"/>
  <c r="B45" i="16" l="1"/>
  <c r="D45" i="16" s="1"/>
  <c r="A46" i="16"/>
  <c r="B46" i="16" l="1"/>
  <c r="D46" i="16" s="1"/>
  <c r="A47" i="16"/>
  <c r="B47" i="16" l="1"/>
  <c r="D47" i="16" s="1"/>
  <c r="A48" i="16"/>
  <c r="B48" i="16" l="1"/>
  <c r="D48" i="16" s="1"/>
  <c r="A49" i="16"/>
  <c r="B49" i="16" l="1"/>
  <c r="D49" i="16" s="1"/>
  <c r="A50" i="16"/>
  <c r="B50" i="16" l="1"/>
  <c r="D50" i="16" s="1"/>
  <c r="A51" i="16"/>
  <c r="B51" i="16" l="1"/>
  <c r="D51" i="16" s="1"/>
  <c r="A52" i="16"/>
  <c r="B52" i="16" l="1"/>
  <c r="D52" i="16" s="1"/>
  <c r="A53" i="16"/>
  <c r="B53" i="16" l="1"/>
  <c r="D53" i="16" s="1"/>
  <c r="A54" i="16"/>
  <c r="B54" i="16" l="1"/>
  <c r="D54" i="16" s="1"/>
  <c r="A55" i="16"/>
  <c r="B55" i="16" l="1"/>
  <c r="D55" i="16" s="1"/>
  <c r="A56" i="16"/>
  <c r="B56" i="16" l="1"/>
  <c r="D56" i="16" s="1"/>
  <c r="A57" i="16"/>
  <c r="B57" i="16" l="1"/>
  <c r="D57" i="16" s="1"/>
  <c r="A58" i="16"/>
  <c r="B58" i="16" l="1"/>
  <c r="D58" i="16" s="1"/>
  <c r="A59" i="16"/>
  <c r="B59" i="16" l="1"/>
  <c r="D59" i="16" s="1"/>
  <c r="A60" i="16"/>
  <c r="B60" i="16" l="1"/>
  <c r="D60" i="16" s="1"/>
  <c r="A61" i="16"/>
  <c r="B61" i="16" l="1"/>
  <c r="D61" i="16" s="1"/>
  <c r="A62" i="16"/>
  <c r="B62" i="16" l="1"/>
  <c r="D62" i="16" s="1"/>
  <c r="A63" i="16"/>
  <c r="B63" i="16" l="1"/>
  <c r="D63" i="16" s="1"/>
  <c r="A64" i="16"/>
  <c r="B64" i="16" l="1"/>
  <c r="D64" i="16" s="1"/>
  <c r="A65" i="16"/>
  <c r="B65" i="16" l="1"/>
  <c r="D65" i="16" s="1"/>
  <c r="A66" i="16"/>
  <c r="B66" i="16" l="1"/>
  <c r="D66" i="16" s="1"/>
  <c r="A67" i="16"/>
  <c r="B67" i="16" l="1"/>
  <c r="D67" i="16" s="1"/>
  <c r="A68" i="16"/>
  <c r="B68" i="16" l="1"/>
  <c r="D68" i="16" s="1"/>
  <c r="A69" i="16"/>
  <c r="B69" i="16" l="1"/>
  <c r="D69" i="16" s="1"/>
  <c r="A70" i="16"/>
  <c r="B70" i="16" l="1"/>
  <c r="D70" i="16" s="1"/>
  <c r="A71" i="16"/>
  <c r="B71" i="16" l="1"/>
  <c r="D71" i="16" s="1"/>
  <c r="A72" i="16"/>
  <c r="B72" i="16" l="1"/>
  <c r="D72" i="16" s="1"/>
  <c r="A73" i="16"/>
  <c r="B73" i="16" l="1"/>
  <c r="D73" i="16" s="1"/>
  <c r="A74" i="16"/>
  <c r="B74" i="16" l="1"/>
  <c r="D74" i="16" s="1"/>
  <c r="A75" i="16"/>
  <c r="B75" i="16" l="1"/>
  <c r="D75" i="16" s="1"/>
  <c r="A76" i="16"/>
  <c r="B76" i="16" l="1"/>
  <c r="D76" i="16" s="1"/>
  <c r="A77" i="16"/>
  <c r="B77" i="16" l="1"/>
  <c r="D77" i="16" s="1"/>
  <c r="A78" i="16"/>
  <c r="B78" i="16" l="1"/>
  <c r="D78" i="16" s="1"/>
  <c r="A79" i="16"/>
  <c r="B79" i="16" l="1"/>
  <c r="D79" i="16" s="1"/>
  <c r="A80" i="16"/>
  <c r="B80" i="16" l="1"/>
  <c r="D80" i="16" s="1"/>
  <c r="A81" i="16"/>
  <c r="B81" i="16" l="1"/>
  <c r="D81" i="16" s="1"/>
  <c r="A82" i="16"/>
  <c r="B82" i="16" l="1"/>
  <c r="D82" i="16" s="1"/>
  <c r="A83" i="16"/>
  <c r="B83" i="16" l="1"/>
  <c r="D83" i="16" s="1"/>
  <c r="A84" i="16"/>
  <c r="B84" i="16" l="1"/>
  <c r="D84" i="16" s="1"/>
  <c r="A85" i="16"/>
  <c r="B85" i="16" l="1"/>
  <c r="D85" i="16" s="1"/>
  <c r="A86" i="16"/>
  <c r="B86" i="16" l="1"/>
  <c r="D86" i="16" s="1"/>
  <c r="A87" i="16"/>
  <c r="B87" i="16" l="1"/>
  <c r="D87" i="16" s="1"/>
  <c r="A88" i="16"/>
  <c r="B88" i="16" l="1"/>
  <c r="D88" i="16" s="1"/>
  <c r="A89" i="16"/>
  <c r="B89" i="16" l="1"/>
  <c r="D89" i="16" s="1"/>
  <c r="A90" i="16"/>
  <c r="B90" i="16" l="1"/>
  <c r="D90" i="16" s="1"/>
  <c r="A91" i="16"/>
  <c r="B91" i="16" l="1"/>
  <c r="D91" i="16" s="1"/>
  <c r="A92" i="16"/>
  <c r="B92" i="16" l="1"/>
  <c r="D92" i="16" s="1"/>
  <c r="A93" i="16"/>
  <c r="B93" i="16" l="1"/>
  <c r="D93" i="16" s="1"/>
  <c r="A94" i="16"/>
  <c r="B94" i="16" l="1"/>
  <c r="D94" i="16" s="1"/>
  <c r="A95" i="16"/>
  <c r="B95" i="16" l="1"/>
  <c r="D95" i="16" s="1"/>
  <c r="A96" i="16"/>
  <c r="B96" i="16" l="1"/>
  <c r="D96" i="16" s="1"/>
  <c r="A97" i="16"/>
  <c r="B97" i="16" l="1"/>
  <c r="D97" i="16" s="1"/>
  <c r="A98" i="16"/>
  <c r="B98" i="16" l="1"/>
  <c r="D98" i="16" s="1"/>
  <c r="A99" i="16"/>
  <c r="B99" i="16" l="1"/>
  <c r="D99" i="16" s="1"/>
  <c r="A100" i="16"/>
  <c r="B100" i="16" l="1"/>
  <c r="D100" i="16" s="1"/>
  <c r="A101" i="16"/>
  <c r="B101" i="16" l="1"/>
  <c r="D101" i="16" s="1"/>
  <c r="A102" i="16"/>
  <c r="B102" i="16" l="1"/>
  <c r="D102" i="16" s="1"/>
  <c r="A103" i="16"/>
  <c r="B103" i="16" l="1"/>
  <c r="D103" i="16" s="1"/>
  <c r="A104" i="16"/>
  <c r="B104" i="16" l="1"/>
  <c r="D104" i="16" s="1"/>
  <c r="A105" i="16"/>
  <c r="B105" i="16" l="1"/>
  <c r="D105" i="16" s="1"/>
  <c r="A106" i="16"/>
  <c r="B106" i="16" l="1"/>
  <c r="D106" i="16" s="1"/>
  <c r="A107" i="16"/>
  <c r="B107" i="16" l="1"/>
  <c r="D107" i="16" s="1"/>
  <c r="A108" i="16"/>
  <c r="B108" i="16" l="1"/>
  <c r="D108" i="16" s="1"/>
  <c r="A109" i="16"/>
  <c r="B109" i="16" l="1"/>
  <c r="D109" i="16" s="1"/>
  <c r="A110" i="16"/>
  <c r="B110" i="16" l="1"/>
  <c r="D110" i="16" s="1"/>
  <c r="A111" i="16"/>
  <c r="B111" i="16" l="1"/>
  <c r="D111" i="16" s="1"/>
  <c r="A112" i="16"/>
  <c r="B112" i="16" l="1"/>
  <c r="D112" i="16" s="1"/>
  <c r="A113" i="16"/>
  <c r="B113" i="16" l="1"/>
  <c r="D113" i="16" s="1"/>
  <c r="A114" i="16"/>
  <c r="B114" i="16" l="1"/>
  <c r="D114" i="16" s="1"/>
  <c r="A115" i="16"/>
  <c r="B115" i="16" l="1"/>
  <c r="D115" i="16" s="1"/>
  <c r="A116" i="16"/>
  <c r="B116" i="16" l="1"/>
  <c r="D116" i="16" s="1"/>
  <c r="A117" i="16"/>
  <c r="B117" i="16" l="1"/>
  <c r="D117" i="16" s="1"/>
  <c r="A118" i="16"/>
  <c r="B118" i="16" l="1"/>
  <c r="D118" i="16" s="1"/>
  <c r="A119" i="16"/>
  <c r="B119" i="16" l="1"/>
  <c r="D119" i="16" s="1"/>
  <c r="A120" i="16"/>
  <c r="B120" i="16" l="1"/>
  <c r="D120" i="16" s="1"/>
  <c r="A121" i="16"/>
  <c r="B121" i="16" l="1"/>
  <c r="D121" i="16" s="1"/>
  <c r="A122" i="16"/>
  <c r="B122" i="16" l="1"/>
  <c r="D122" i="16" s="1"/>
  <c r="A123" i="16"/>
  <c r="B123" i="16" l="1"/>
  <c r="D123" i="16" s="1"/>
  <c r="A124" i="16"/>
  <c r="B124" i="16" l="1"/>
  <c r="D124" i="16" s="1"/>
  <c r="A125" i="16"/>
  <c r="B125" i="16" l="1"/>
  <c r="D125" i="16" s="1"/>
  <c r="A126" i="16"/>
  <c r="B126" i="16" l="1"/>
  <c r="D126" i="16" s="1"/>
  <c r="A127" i="16"/>
  <c r="B127" i="16" l="1"/>
  <c r="D127" i="16" s="1"/>
  <c r="A128" i="16"/>
  <c r="B128" i="16" l="1"/>
  <c r="D128" i="16" s="1"/>
  <c r="A129" i="16"/>
  <c r="B129" i="16" l="1"/>
  <c r="D129" i="16" s="1"/>
  <c r="A130" i="16"/>
  <c r="B130" i="16" l="1"/>
  <c r="D130" i="16" s="1"/>
  <c r="A131" i="16"/>
  <c r="B131" i="16" l="1"/>
  <c r="D131" i="16" s="1"/>
  <c r="A132" i="16"/>
  <c r="B132" i="16" l="1"/>
  <c r="D132" i="16" s="1"/>
  <c r="A133" i="16"/>
  <c r="B133" i="16" l="1"/>
  <c r="D133" i="16" s="1"/>
  <c r="A134" i="16"/>
  <c r="B134" i="16" l="1"/>
  <c r="D134" i="16" s="1"/>
  <c r="A135" i="16"/>
  <c r="B135" i="16" l="1"/>
  <c r="D135" i="16" s="1"/>
  <c r="A136" i="16"/>
  <c r="B136" i="16" l="1"/>
  <c r="D136" i="16" s="1"/>
  <c r="A137" i="16"/>
  <c r="B137" i="16" l="1"/>
  <c r="D137" i="16" s="1"/>
  <c r="A138" i="16"/>
  <c r="B138" i="16" l="1"/>
  <c r="D138" i="16" s="1"/>
  <c r="A139" i="16"/>
  <c r="B139" i="16" l="1"/>
  <c r="D139" i="16" s="1"/>
  <c r="A140" i="16"/>
  <c r="B140" i="16" l="1"/>
  <c r="D140" i="16" s="1"/>
  <c r="A141" i="16"/>
  <c r="B141" i="16" l="1"/>
  <c r="D141" i="16" s="1"/>
  <c r="A142" i="16"/>
  <c r="B142" i="16" l="1"/>
  <c r="D142" i="16" s="1"/>
  <c r="A143" i="16"/>
  <c r="B143" i="16" l="1"/>
  <c r="D143" i="16" s="1"/>
  <c r="A144" i="16"/>
  <c r="B144" i="16" l="1"/>
  <c r="D144" i="16" s="1"/>
  <c r="A145" i="16"/>
  <c r="C22" i="1"/>
  <c r="B52" i="6"/>
  <c r="C19" i="1"/>
  <c r="B145" i="16" l="1"/>
  <c r="D145" i="16" s="1"/>
  <c r="A146" i="16"/>
  <c r="B34" i="6"/>
  <c r="B33" i="6"/>
  <c r="B23" i="11"/>
  <c r="B20" i="11"/>
  <c r="C20" i="11" s="1"/>
  <c r="B22" i="11"/>
  <c r="B26" i="11" s="1"/>
  <c r="B21" i="11"/>
  <c r="B32" i="6" l="1"/>
  <c r="B146" i="16"/>
  <c r="D146" i="16" s="1"/>
  <c r="A147" i="16"/>
  <c r="B27" i="11"/>
  <c r="B56" i="7"/>
  <c r="B45" i="1"/>
  <c r="B46" i="1"/>
  <c r="B57" i="7" s="1"/>
  <c r="B42" i="6"/>
  <c r="B77" i="6" s="1"/>
  <c r="C68" i="7"/>
  <c r="B68" i="7"/>
  <c r="B40" i="6"/>
  <c r="C73" i="7"/>
  <c r="B73" i="7"/>
  <c r="B147" i="16" l="1"/>
  <c r="D147" i="16" s="1"/>
  <c r="A148" i="16"/>
  <c r="C67" i="7"/>
  <c r="C60" i="7"/>
  <c r="C64" i="7" s="1"/>
  <c r="B60" i="7"/>
  <c r="C59" i="7"/>
  <c r="C66" i="7" s="1"/>
  <c r="C65" i="7" l="1"/>
  <c r="B148" i="16"/>
  <c r="D148" i="16" s="1"/>
  <c r="A149" i="16"/>
  <c r="B47" i="2"/>
  <c r="B46" i="2"/>
  <c r="B43" i="2"/>
  <c r="B42" i="2"/>
  <c r="B149" i="16" l="1"/>
  <c r="D149" i="16" s="1"/>
  <c r="A150" i="16"/>
  <c r="B22" i="2"/>
  <c r="B35" i="2" s="1"/>
  <c r="B150" i="16" l="1"/>
  <c r="D150" i="16" s="1"/>
  <c r="A151" i="16"/>
  <c r="A14" i="2"/>
  <c r="A16" i="2"/>
  <c r="B26" i="2"/>
  <c r="A13" i="2"/>
  <c r="A11" i="2"/>
  <c r="B27" i="2"/>
  <c r="B61" i="2"/>
  <c r="B14" i="16" l="1"/>
  <c r="B151" i="16"/>
  <c r="D151" i="16" s="1"/>
  <c r="A152" i="16"/>
  <c r="B21" i="6"/>
  <c r="B152" i="16" l="1"/>
  <c r="D152" i="16" s="1"/>
  <c r="A153" i="16"/>
  <c r="B52" i="2"/>
  <c r="B57" i="2" s="1"/>
  <c r="C57" i="2" s="1"/>
  <c r="B59" i="1" s="1"/>
  <c r="B153" i="16" l="1"/>
  <c r="D153" i="16" s="1"/>
  <c r="A154" i="16"/>
  <c r="B30" i="6"/>
  <c r="B23" i="6"/>
  <c r="B58" i="7" s="1"/>
  <c r="B154" i="16" l="1"/>
  <c r="D154" i="16" s="1"/>
  <c r="A155" i="16"/>
  <c r="B19" i="6"/>
  <c r="B155" i="16" l="1"/>
  <c r="D155" i="16" s="1"/>
  <c r="A156" i="16"/>
  <c r="B84" i="6"/>
  <c r="B48" i="6"/>
  <c r="B47" i="6"/>
  <c r="B24" i="6"/>
  <c r="B67" i="7" s="1"/>
  <c r="B41" i="6" s="1"/>
  <c r="B20" i="6"/>
  <c r="B18" i="6"/>
  <c r="B23" i="14" s="1"/>
  <c r="B17" i="6"/>
  <c r="B156" i="16" l="1"/>
  <c r="D156" i="16" s="1"/>
  <c r="A157" i="16"/>
  <c r="F25" i="16"/>
  <c r="F29" i="16"/>
  <c r="F33" i="16"/>
  <c r="F37" i="16"/>
  <c r="F41" i="16"/>
  <c r="F45" i="16"/>
  <c r="F49" i="16"/>
  <c r="F53" i="16"/>
  <c r="F57" i="16"/>
  <c r="F61" i="16"/>
  <c r="F65" i="16"/>
  <c r="F69" i="16"/>
  <c r="F73" i="16"/>
  <c r="F77" i="16"/>
  <c r="F81" i="16"/>
  <c r="F85" i="16"/>
  <c r="F89" i="16"/>
  <c r="F93" i="16"/>
  <c r="F97" i="16"/>
  <c r="F101" i="16"/>
  <c r="F105" i="16"/>
  <c r="F109" i="16"/>
  <c r="F113" i="16"/>
  <c r="F117" i="16"/>
  <c r="F121" i="16"/>
  <c r="F125" i="16"/>
  <c r="F129" i="16"/>
  <c r="F133" i="16"/>
  <c r="F137" i="16"/>
  <c r="F141" i="16"/>
  <c r="F145" i="16"/>
  <c r="F149" i="16"/>
  <c r="F153" i="16"/>
  <c r="F26" i="16"/>
  <c r="F30" i="16"/>
  <c r="F34" i="16"/>
  <c r="F38" i="16"/>
  <c r="F42" i="16"/>
  <c r="F46" i="16"/>
  <c r="F50" i="16"/>
  <c r="F54" i="16"/>
  <c r="F58" i="16"/>
  <c r="F62" i="16"/>
  <c r="F66"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28" i="16"/>
  <c r="F44" i="16"/>
  <c r="F60" i="16"/>
  <c r="F72" i="16"/>
  <c r="F80" i="16"/>
  <c r="F88" i="16"/>
  <c r="F96" i="16"/>
  <c r="F104" i="16"/>
  <c r="F112" i="16"/>
  <c r="F120" i="16"/>
  <c r="F128" i="16"/>
  <c r="F136" i="16"/>
  <c r="F144" i="16"/>
  <c r="F152" i="16"/>
  <c r="E25" i="16"/>
  <c r="E29" i="16"/>
  <c r="E33" i="16"/>
  <c r="E37" i="16"/>
  <c r="E41" i="16"/>
  <c r="E45" i="16"/>
  <c r="E49" i="16"/>
  <c r="E53" i="16"/>
  <c r="G53" i="16" s="1"/>
  <c r="E57" i="16"/>
  <c r="E61" i="16"/>
  <c r="E65" i="16"/>
  <c r="E69" i="16"/>
  <c r="E73" i="16"/>
  <c r="E77" i="16"/>
  <c r="E81" i="16"/>
  <c r="E85" i="16"/>
  <c r="G85" i="16" s="1"/>
  <c r="E89" i="16"/>
  <c r="E93" i="16"/>
  <c r="E97" i="16"/>
  <c r="E101" i="16"/>
  <c r="E105" i="16"/>
  <c r="E109" i="16"/>
  <c r="E113" i="16"/>
  <c r="E117" i="16"/>
  <c r="G117" i="16" s="1"/>
  <c r="E121" i="16"/>
  <c r="E125" i="16"/>
  <c r="E129" i="16"/>
  <c r="E133" i="16"/>
  <c r="F32" i="16"/>
  <c r="F48" i="16"/>
  <c r="F64" i="16"/>
  <c r="F74" i="16"/>
  <c r="F82" i="16"/>
  <c r="F90" i="16"/>
  <c r="F98" i="16"/>
  <c r="F106" i="16"/>
  <c r="F114" i="16"/>
  <c r="F122" i="16"/>
  <c r="F130" i="16"/>
  <c r="F138" i="16"/>
  <c r="F146" i="16"/>
  <c r="F154" i="16"/>
  <c r="E26" i="16"/>
  <c r="G26" i="16" s="1"/>
  <c r="E30" i="16"/>
  <c r="E34" i="16"/>
  <c r="E38" i="16"/>
  <c r="E42" i="16"/>
  <c r="E46" i="16"/>
  <c r="E50" i="16"/>
  <c r="G50" i="16" s="1"/>
  <c r="F36" i="16"/>
  <c r="F52" i="16"/>
  <c r="F68" i="16"/>
  <c r="F76" i="16"/>
  <c r="F84" i="16"/>
  <c r="F92" i="16"/>
  <c r="F100" i="16"/>
  <c r="F108" i="16"/>
  <c r="F116" i="16"/>
  <c r="F124" i="16"/>
  <c r="F132" i="16"/>
  <c r="F140" i="16"/>
  <c r="F148" i="16"/>
  <c r="F156" i="16"/>
  <c r="F56" i="16"/>
  <c r="F94" i="16"/>
  <c r="F126" i="16"/>
  <c r="F23" i="16"/>
  <c r="E31" i="16"/>
  <c r="E39" i="16"/>
  <c r="E47" i="16"/>
  <c r="E54" i="16"/>
  <c r="G54" i="16" s="1"/>
  <c r="E59" i="16"/>
  <c r="E64" i="16"/>
  <c r="E70" i="16"/>
  <c r="E75" i="16"/>
  <c r="G75" i="16" s="1"/>
  <c r="E80" i="16"/>
  <c r="E86" i="16"/>
  <c r="E91" i="16"/>
  <c r="E96" i="16"/>
  <c r="E102" i="16"/>
  <c r="E107" i="16"/>
  <c r="E112" i="16"/>
  <c r="E118" i="16"/>
  <c r="E123" i="16"/>
  <c r="E128" i="16"/>
  <c r="E134" i="16"/>
  <c r="E138" i="16"/>
  <c r="E142" i="16"/>
  <c r="E146" i="16"/>
  <c r="G146" i="16" s="1"/>
  <c r="E150" i="16"/>
  <c r="E154" i="16"/>
  <c r="E23" i="16"/>
  <c r="F86" i="16"/>
  <c r="F150" i="16"/>
  <c r="E28" i="16"/>
  <c r="E44" i="16"/>
  <c r="E58" i="16"/>
  <c r="E68" i="16"/>
  <c r="E79" i="16"/>
  <c r="E90" i="16"/>
  <c r="E100" i="16"/>
  <c r="E111" i="16"/>
  <c r="E122" i="16"/>
  <c r="E132" i="16"/>
  <c r="E141" i="16"/>
  <c r="E149" i="16"/>
  <c r="G149" i="16" s="1"/>
  <c r="F70" i="16"/>
  <c r="F102" i="16"/>
  <c r="F134" i="16"/>
  <c r="E24" i="16"/>
  <c r="E32" i="16"/>
  <c r="G32" i="16" s="1"/>
  <c r="E40" i="16"/>
  <c r="E48" i="16"/>
  <c r="E55" i="16"/>
  <c r="E60" i="16"/>
  <c r="G60" i="16" s="1"/>
  <c r="E66" i="16"/>
  <c r="E71" i="16"/>
  <c r="E76" i="16"/>
  <c r="E82" i="16"/>
  <c r="E87" i="16"/>
  <c r="E92" i="16"/>
  <c r="E98" i="16"/>
  <c r="E103" i="16"/>
  <c r="G103" i="16" s="1"/>
  <c r="E108" i="16"/>
  <c r="E114" i="16"/>
  <c r="G114" i="16" s="1"/>
  <c r="E119" i="16"/>
  <c r="E124" i="16"/>
  <c r="E130" i="16"/>
  <c r="E135" i="16"/>
  <c r="E139" i="16"/>
  <c r="G139" i="16" s="1"/>
  <c r="E143" i="16"/>
  <c r="G143" i="16" s="1"/>
  <c r="E147" i="16"/>
  <c r="E151" i="16"/>
  <c r="E155" i="16"/>
  <c r="F40" i="16"/>
  <c r="F118" i="16"/>
  <c r="E36" i="16"/>
  <c r="E52" i="16"/>
  <c r="E63" i="16"/>
  <c r="G63" i="16" s="1"/>
  <c r="E74" i="16"/>
  <c r="E84" i="16"/>
  <c r="E95" i="16"/>
  <c r="E106" i="16"/>
  <c r="E116" i="16"/>
  <c r="E127" i="16"/>
  <c r="E137" i="16"/>
  <c r="G137" i="16" s="1"/>
  <c r="E145" i="16"/>
  <c r="G145" i="16" s="1"/>
  <c r="E153" i="16"/>
  <c r="F24" i="16"/>
  <c r="F78" i="16"/>
  <c r="F110" i="16"/>
  <c r="F142" i="16"/>
  <c r="E27" i="16"/>
  <c r="E35" i="16"/>
  <c r="E43" i="16"/>
  <c r="G43" i="16" s="1"/>
  <c r="E51" i="16"/>
  <c r="E56" i="16"/>
  <c r="E62" i="16"/>
  <c r="E67" i="16"/>
  <c r="E72" i="16"/>
  <c r="E78" i="16"/>
  <c r="E83" i="16"/>
  <c r="E88" i="16"/>
  <c r="E94" i="16"/>
  <c r="E99" i="16"/>
  <c r="E104" i="16"/>
  <c r="E110" i="16"/>
  <c r="G110" i="16" s="1"/>
  <c r="E115" i="16"/>
  <c r="G115" i="16" s="1"/>
  <c r="E120" i="16"/>
  <c r="E126" i="16"/>
  <c r="G126" i="16" s="1"/>
  <c r="E131" i="16"/>
  <c r="G131" i="16" s="1"/>
  <c r="E136" i="16"/>
  <c r="E140" i="16"/>
  <c r="G140" i="16" s="1"/>
  <c r="E144" i="16"/>
  <c r="E148" i="16"/>
  <c r="E152" i="16"/>
  <c r="G152" i="16" s="1"/>
  <c r="E156" i="16"/>
  <c r="B11" i="16"/>
  <c r="B26" i="14"/>
  <c r="B25" i="14"/>
  <c r="B23" i="12"/>
  <c r="B25" i="12" s="1"/>
  <c r="B51" i="2"/>
  <c r="B56" i="2" s="1"/>
  <c r="C56" i="2" s="1"/>
  <c r="B58" i="1" s="1"/>
  <c r="B36" i="2"/>
  <c r="B50" i="2"/>
  <c r="B50" i="6"/>
  <c r="B55" i="6"/>
  <c r="B62" i="6"/>
  <c r="Z109" i="6"/>
  <c r="A137" i="6"/>
  <c r="B137" i="6" s="1"/>
  <c r="O137" i="6" s="1"/>
  <c r="B136" i="6"/>
  <c r="A135" i="6"/>
  <c r="B135" i="6" s="1"/>
  <c r="Z135" i="6" s="1"/>
  <c r="B134" i="6"/>
  <c r="Z134" i="6" s="1"/>
  <c r="A114" i="6"/>
  <c r="A115" i="6" s="1"/>
  <c r="A116" i="6" s="1"/>
  <c r="A117" i="6" s="1"/>
  <c r="A118" i="6" s="1"/>
  <c r="A119" i="6" s="1"/>
  <c r="A120" i="6" s="1"/>
  <c r="A121" i="6" s="1"/>
  <c r="A122" i="6" s="1"/>
  <c r="A123" i="6" s="1"/>
  <c r="A124" i="6" s="1"/>
  <c r="A125" i="6" s="1"/>
  <c r="A126" i="6" s="1"/>
  <c r="A127" i="6" s="1"/>
  <c r="A128" i="6" s="1"/>
  <c r="B113" i="6"/>
  <c r="Z113" i="6" s="1"/>
  <c r="B112" i="6"/>
  <c r="Z112" i="6" s="1"/>
  <c r="B111" i="6"/>
  <c r="Z111" i="6" s="1"/>
  <c r="B110" i="6"/>
  <c r="Z110" i="6" s="1"/>
  <c r="B109" i="6"/>
  <c r="O109" i="6" s="1"/>
  <c r="B108" i="6"/>
  <c r="Z108" i="6" s="1"/>
  <c r="B107" i="6"/>
  <c r="Z107" i="6" s="1"/>
  <c r="B106" i="6"/>
  <c r="O106" i="6" s="1"/>
  <c r="B105" i="6"/>
  <c r="O105" i="6" s="1"/>
  <c r="B104" i="6"/>
  <c r="Z104" i="6" s="1"/>
  <c r="B103" i="6"/>
  <c r="Z103" i="6" s="1"/>
  <c r="B102" i="6"/>
  <c r="O102" i="6" s="1"/>
  <c r="B101" i="6"/>
  <c r="Z101" i="6" s="1"/>
  <c r="B100" i="6"/>
  <c r="Z100" i="6" s="1"/>
  <c r="B99" i="6"/>
  <c r="Z99" i="6" s="1"/>
  <c r="B98" i="6"/>
  <c r="Z98" i="6" s="1"/>
  <c r="B97" i="6"/>
  <c r="Z97" i="6" s="1"/>
  <c r="B96" i="6"/>
  <c r="Z96" i="6" s="1"/>
  <c r="B95" i="6"/>
  <c r="B79" i="6"/>
  <c r="B76" i="6"/>
  <c r="B49" i="6"/>
  <c r="G104" i="16" l="1"/>
  <c r="G155" i="16"/>
  <c r="G91" i="16"/>
  <c r="G38" i="16"/>
  <c r="G35" i="16"/>
  <c r="G120" i="16"/>
  <c r="H120" i="16" s="1"/>
  <c r="I120" i="16" s="1"/>
  <c r="G67" i="16"/>
  <c r="H67" i="16" s="1"/>
  <c r="I67" i="16" s="1"/>
  <c r="G113" i="16"/>
  <c r="H113" i="16" s="1"/>
  <c r="I113" i="16" s="1"/>
  <c r="G81" i="16"/>
  <c r="G49" i="16"/>
  <c r="G132" i="16"/>
  <c r="G44" i="16"/>
  <c r="H44" i="16" s="1"/>
  <c r="I44" i="16" s="1"/>
  <c r="G46" i="16"/>
  <c r="G99" i="16"/>
  <c r="G148" i="16"/>
  <c r="G129" i="16"/>
  <c r="H129" i="16" s="1"/>
  <c r="I129" i="16" s="1"/>
  <c r="G97" i="16"/>
  <c r="G65" i="16"/>
  <c r="H65" i="16" s="1"/>
  <c r="I65" i="16" s="1"/>
  <c r="G33" i="16"/>
  <c r="G88" i="16"/>
  <c r="H88" i="16" s="1"/>
  <c r="I88" i="16" s="1"/>
  <c r="G83" i="16"/>
  <c r="H83" i="16" s="1"/>
  <c r="I83" i="16" s="1"/>
  <c r="G62" i="16"/>
  <c r="G51" i="16"/>
  <c r="H51" i="16" s="1"/>
  <c r="I51" i="16" s="1"/>
  <c r="G147" i="16"/>
  <c r="H147" i="16" s="1"/>
  <c r="I147" i="16" s="1"/>
  <c r="G30" i="16"/>
  <c r="H30" i="16" s="1"/>
  <c r="I30" i="16" s="1"/>
  <c r="G42" i="16"/>
  <c r="H42" i="16" s="1"/>
  <c r="I42" i="16" s="1"/>
  <c r="G82" i="16"/>
  <c r="K113" i="6"/>
  <c r="G34" i="16"/>
  <c r="G133" i="16"/>
  <c r="G101" i="16"/>
  <c r="G69" i="16"/>
  <c r="H69" i="16" s="1"/>
  <c r="I69" i="16" s="1"/>
  <c r="G37" i="16"/>
  <c r="H37" i="16" s="1"/>
  <c r="I37" i="16" s="1"/>
  <c r="G94" i="16"/>
  <c r="H94" i="16" s="1"/>
  <c r="I94" i="16" s="1"/>
  <c r="G56" i="16"/>
  <c r="H56" i="16" s="1"/>
  <c r="I56" i="16" s="1"/>
  <c r="G156" i="16"/>
  <c r="H156" i="16" s="1"/>
  <c r="G68" i="16"/>
  <c r="H68" i="16" s="1"/>
  <c r="I68" i="16" s="1"/>
  <c r="G100" i="16"/>
  <c r="H100" i="16" s="1"/>
  <c r="I100" i="16" s="1"/>
  <c r="G95" i="16"/>
  <c r="H95" i="16" s="1"/>
  <c r="I95" i="16" s="1"/>
  <c r="G98" i="16"/>
  <c r="H98" i="16" s="1"/>
  <c r="I98" i="16" s="1"/>
  <c r="G47" i="16"/>
  <c r="H47" i="16" s="1"/>
  <c r="I47" i="16" s="1"/>
  <c r="G78" i="16"/>
  <c r="G27" i="16"/>
  <c r="G127" i="16"/>
  <c r="H127" i="16" s="1"/>
  <c r="I127" i="16" s="1"/>
  <c r="G84" i="16"/>
  <c r="H84" i="16" s="1"/>
  <c r="I84" i="16" s="1"/>
  <c r="G36" i="16"/>
  <c r="H36" i="16" s="1"/>
  <c r="I36" i="16" s="1"/>
  <c r="G48" i="16"/>
  <c r="H48" i="16" s="1"/>
  <c r="I48" i="16" s="1"/>
  <c r="G107" i="16"/>
  <c r="H107" i="16" s="1"/>
  <c r="I107" i="16" s="1"/>
  <c r="G64" i="16"/>
  <c r="H64" i="16" s="1"/>
  <c r="I64" i="16" s="1"/>
  <c r="G121" i="16"/>
  <c r="H121" i="16" s="1"/>
  <c r="I121" i="16" s="1"/>
  <c r="G105" i="16"/>
  <c r="H105" i="16" s="1"/>
  <c r="I105" i="16" s="1"/>
  <c r="G89" i="16"/>
  <c r="H89" i="16" s="1"/>
  <c r="I89" i="16" s="1"/>
  <c r="G73" i="16"/>
  <c r="H73" i="16" s="1"/>
  <c r="I73" i="16" s="1"/>
  <c r="G57" i="16"/>
  <c r="H57" i="16" s="1"/>
  <c r="I57" i="16" s="1"/>
  <c r="G41" i="16"/>
  <c r="H41" i="16" s="1"/>
  <c r="I41" i="16" s="1"/>
  <c r="G25" i="16"/>
  <c r="H25" i="16" s="1"/>
  <c r="I25" i="16" s="1"/>
  <c r="G111" i="16"/>
  <c r="H111" i="16" s="1"/>
  <c r="I111" i="16" s="1"/>
  <c r="G136" i="16"/>
  <c r="H136" i="16" s="1"/>
  <c r="I136" i="16" s="1"/>
  <c r="G72" i="16"/>
  <c r="H72" i="16" s="1"/>
  <c r="I72" i="16" s="1"/>
  <c r="G153" i="16"/>
  <c r="H153" i="16" s="1"/>
  <c r="I153" i="16" s="1"/>
  <c r="G116" i="16"/>
  <c r="H116" i="16" s="1"/>
  <c r="I116" i="16" s="1"/>
  <c r="G130" i="16"/>
  <c r="H130" i="16" s="1"/>
  <c r="I130" i="16" s="1"/>
  <c r="G90" i="16"/>
  <c r="H90" i="16" s="1"/>
  <c r="I90" i="16" s="1"/>
  <c r="G123" i="16"/>
  <c r="H123" i="16" s="1"/>
  <c r="I123" i="16" s="1"/>
  <c r="G102" i="16"/>
  <c r="H102" i="16" s="1"/>
  <c r="I102" i="16" s="1"/>
  <c r="G80" i="16"/>
  <c r="H80" i="16" s="1"/>
  <c r="I80" i="16" s="1"/>
  <c r="G59" i="16"/>
  <c r="H59" i="16" s="1"/>
  <c r="I59" i="16" s="1"/>
  <c r="G31" i="16"/>
  <c r="H31" i="16" s="1"/>
  <c r="I31" i="16" s="1"/>
  <c r="G52" i="16"/>
  <c r="H52" i="16" s="1"/>
  <c r="I52" i="16" s="1"/>
  <c r="G92" i="16"/>
  <c r="H92" i="16" s="1"/>
  <c r="I92" i="16" s="1"/>
  <c r="G125" i="16"/>
  <c r="H125" i="16" s="1"/>
  <c r="I125" i="16" s="1"/>
  <c r="G109" i="16"/>
  <c r="H109" i="16" s="1"/>
  <c r="I109" i="16" s="1"/>
  <c r="G93" i="16"/>
  <c r="H93" i="16" s="1"/>
  <c r="I93" i="16" s="1"/>
  <c r="G77" i="16"/>
  <c r="H77" i="16" s="1"/>
  <c r="I77" i="16" s="1"/>
  <c r="G61" i="16"/>
  <c r="H61" i="16" s="1"/>
  <c r="I61" i="16" s="1"/>
  <c r="G45" i="16"/>
  <c r="H45" i="16" s="1"/>
  <c r="I45" i="16" s="1"/>
  <c r="G29" i="16"/>
  <c r="H29" i="16" s="1"/>
  <c r="I29" i="16" s="1"/>
  <c r="G124" i="16"/>
  <c r="H124" i="16" s="1"/>
  <c r="I124" i="16" s="1"/>
  <c r="G142" i="16"/>
  <c r="H142" i="16" s="1"/>
  <c r="I142" i="16" s="1"/>
  <c r="G122" i="16"/>
  <c r="H122" i="16" s="1"/>
  <c r="I122" i="16" s="1"/>
  <c r="G79" i="16"/>
  <c r="H79" i="16" s="1"/>
  <c r="I79" i="16" s="1"/>
  <c r="G128" i="16"/>
  <c r="H128" i="16" s="1"/>
  <c r="I128" i="16" s="1"/>
  <c r="B157" i="16"/>
  <c r="A158" i="16"/>
  <c r="G141" i="16"/>
  <c r="H141" i="16" s="1"/>
  <c r="I141" i="16" s="1"/>
  <c r="G58" i="16"/>
  <c r="H58" i="16" s="1"/>
  <c r="I58" i="16" s="1"/>
  <c r="G154" i="16"/>
  <c r="H154" i="16" s="1"/>
  <c r="I154" i="16" s="1"/>
  <c r="G96" i="16"/>
  <c r="H96" i="16" s="1"/>
  <c r="I96" i="16" s="1"/>
  <c r="H140" i="16"/>
  <c r="I140" i="16" s="1"/>
  <c r="H78" i="16"/>
  <c r="I78" i="16" s="1"/>
  <c r="H137" i="16"/>
  <c r="I137" i="16" s="1"/>
  <c r="H32" i="16"/>
  <c r="I32" i="16" s="1"/>
  <c r="H34" i="16"/>
  <c r="I34" i="16" s="1"/>
  <c r="H133" i="16"/>
  <c r="I133" i="16" s="1"/>
  <c r="H152" i="16"/>
  <c r="I152" i="16" s="1"/>
  <c r="H139" i="16"/>
  <c r="I139" i="16" s="1"/>
  <c r="G55" i="16"/>
  <c r="G138" i="16"/>
  <c r="G118" i="16"/>
  <c r="H75" i="16"/>
  <c r="I75" i="16" s="1"/>
  <c r="H54" i="16"/>
  <c r="I54" i="16" s="1"/>
  <c r="H46" i="16"/>
  <c r="I46" i="16" s="1"/>
  <c r="H97" i="16"/>
  <c r="I97" i="16" s="1"/>
  <c r="H81" i="16"/>
  <c r="I81" i="16" s="1"/>
  <c r="H49" i="16"/>
  <c r="I49" i="16" s="1"/>
  <c r="H33" i="16"/>
  <c r="I33" i="16" s="1"/>
  <c r="H27" i="16"/>
  <c r="I27" i="16" s="1"/>
  <c r="H143" i="16"/>
  <c r="I143" i="16" s="1"/>
  <c r="H82" i="16"/>
  <c r="I82" i="16" s="1"/>
  <c r="H50" i="16"/>
  <c r="I50" i="16" s="1"/>
  <c r="H117" i="16"/>
  <c r="I117" i="16" s="1"/>
  <c r="H85" i="16"/>
  <c r="I85" i="16" s="1"/>
  <c r="B15" i="16"/>
  <c r="B13" i="16"/>
  <c r="B12" i="16"/>
  <c r="H115" i="16"/>
  <c r="I115" i="16" s="1"/>
  <c r="H155" i="16"/>
  <c r="I155" i="16" s="1"/>
  <c r="G24" i="16"/>
  <c r="H148" i="16"/>
  <c r="I148" i="16" s="1"/>
  <c r="H131" i="16"/>
  <c r="I131" i="16" s="1"/>
  <c r="H110" i="16"/>
  <c r="I110" i="16" s="1"/>
  <c r="H43" i="16"/>
  <c r="I43" i="16" s="1"/>
  <c r="G74" i="16"/>
  <c r="G151" i="16"/>
  <c r="G135" i="16"/>
  <c r="H114" i="16"/>
  <c r="I114" i="16" s="1"/>
  <c r="G71" i="16"/>
  <c r="H132" i="16"/>
  <c r="I132" i="16" s="1"/>
  <c r="G150" i="16"/>
  <c r="G134" i="16"/>
  <c r="G112" i="16"/>
  <c r="H91" i="16"/>
  <c r="I91" i="16" s="1"/>
  <c r="G70" i="16"/>
  <c r="H26" i="16"/>
  <c r="I26" i="16" s="1"/>
  <c r="H99" i="16"/>
  <c r="I99" i="16" s="1"/>
  <c r="H103" i="16"/>
  <c r="I103" i="16" s="1"/>
  <c r="H60" i="16"/>
  <c r="I60" i="16" s="1"/>
  <c r="H149" i="16"/>
  <c r="I149" i="16" s="1"/>
  <c r="H101" i="16"/>
  <c r="I101" i="16" s="1"/>
  <c r="H53" i="16"/>
  <c r="I53" i="16" s="1"/>
  <c r="G119" i="16"/>
  <c r="G76" i="16"/>
  <c r="G144" i="16"/>
  <c r="H126" i="16"/>
  <c r="I126" i="16" s="1"/>
  <c r="H104" i="16"/>
  <c r="I104" i="16" s="1"/>
  <c r="H62" i="16"/>
  <c r="I62" i="16" s="1"/>
  <c r="H35" i="16"/>
  <c r="I35" i="16" s="1"/>
  <c r="H145" i="16"/>
  <c r="I145" i="16" s="1"/>
  <c r="G106" i="16"/>
  <c r="H63" i="16"/>
  <c r="I63" i="16" s="1"/>
  <c r="G108" i="16"/>
  <c r="G87" i="16"/>
  <c r="G66" i="16"/>
  <c r="G40" i="16"/>
  <c r="G28" i="16"/>
  <c r="G23" i="16"/>
  <c r="H146" i="16"/>
  <c r="I146" i="16" s="1"/>
  <c r="G86" i="16"/>
  <c r="G39" i="16"/>
  <c r="H38" i="16"/>
  <c r="I38" i="16" s="1"/>
  <c r="B28" i="14"/>
  <c r="B30" i="14" s="1"/>
  <c r="B37" i="1" s="1"/>
  <c r="B26" i="12"/>
  <c r="B28" i="12" s="1"/>
  <c r="B36" i="1" s="1"/>
  <c r="B31" i="6"/>
  <c r="B51" i="6" s="1"/>
  <c r="B62" i="2"/>
  <c r="B55" i="2"/>
  <c r="C55" i="2" s="1"/>
  <c r="B57" i="1" s="1"/>
  <c r="AA96" i="6"/>
  <c r="AA100" i="6"/>
  <c r="AA104" i="6"/>
  <c r="AA108" i="6"/>
  <c r="AA112" i="6"/>
  <c r="AA136" i="6"/>
  <c r="AA97" i="6"/>
  <c r="AA101" i="6"/>
  <c r="AA105" i="6"/>
  <c r="AA109" i="6"/>
  <c r="AA113" i="6"/>
  <c r="AA137" i="6"/>
  <c r="AA98" i="6"/>
  <c r="AA102" i="6"/>
  <c r="AA106" i="6"/>
  <c r="AA110" i="6"/>
  <c r="AA134" i="6"/>
  <c r="AA95" i="6"/>
  <c r="AA99" i="6"/>
  <c r="AA103" i="6"/>
  <c r="AA107" i="6"/>
  <c r="AA111" i="6"/>
  <c r="AA135" i="6"/>
  <c r="P98" i="6"/>
  <c r="P102" i="6"/>
  <c r="P106" i="6"/>
  <c r="P110" i="6"/>
  <c r="P134" i="6"/>
  <c r="P95" i="6"/>
  <c r="P96" i="6"/>
  <c r="P104" i="6"/>
  <c r="P112" i="6"/>
  <c r="P136" i="6"/>
  <c r="P97" i="6"/>
  <c r="P105" i="6"/>
  <c r="P113" i="6"/>
  <c r="P137" i="6"/>
  <c r="P99" i="6"/>
  <c r="P103" i="6"/>
  <c r="P107" i="6"/>
  <c r="P111" i="6"/>
  <c r="P135" i="6"/>
  <c r="P100" i="6"/>
  <c r="P108" i="6"/>
  <c r="P124" i="6"/>
  <c r="P101" i="6"/>
  <c r="P109" i="6"/>
  <c r="P125" i="6"/>
  <c r="Z137" i="6"/>
  <c r="Z106" i="6"/>
  <c r="Z105" i="6"/>
  <c r="O110" i="6"/>
  <c r="O136" i="6"/>
  <c r="Z136" i="6"/>
  <c r="O95" i="6"/>
  <c r="Z95" i="6"/>
  <c r="Z102" i="6"/>
  <c r="O96" i="6"/>
  <c r="O112" i="6"/>
  <c r="O100" i="6"/>
  <c r="O107" i="6"/>
  <c r="O111" i="6"/>
  <c r="O135" i="6"/>
  <c r="O103" i="6"/>
  <c r="O134" i="6"/>
  <c r="O101" i="6"/>
  <c r="O99" i="6"/>
  <c r="O98" i="6"/>
  <c r="O113" i="6"/>
  <c r="O97" i="6"/>
  <c r="O108" i="6"/>
  <c r="O104" i="6"/>
  <c r="T113" i="6"/>
  <c r="B114" i="6"/>
  <c r="Z114" i="6" s="1"/>
  <c r="J113" i="6"/>
  <c r="B115" i="6"/>
  <c r="Z115" i="6" s="1"/>
  <c r="U135" i="6"/>
  <c r="H135" i="6"/>
  <c r="U134" i="6"/>
  <c r="H134" i="6"/>
  <c r="U137" i="6"/>
  <c r="H137" i="6"/>
  <c r="U136" i="6"/>
  <c r="H136" i="6"/>
  <c r="U112" i="6"/>
  <c r="H112" i="6"/>
  <c r="U113" i="6"/>
  <c r="H113" i="6"/>
  <c r="U108" i="6"/>
  <c r="H108" i="6"/>
  <c r="U104" i="6"/>
  <c r="H104" i="6"/>
  <c r="U100" i="6"/>
  <c r="H100" i="6"/>
  <c r="U96" i="6"/>
  <c r="H96" i="6"/>
  <c r="U111" i="6"/>
  <c r="H110" i="6"/>
  <c r="U105" i="6"/>
  <c r="H105" i="6"/>
  <c r="U101" i="6"/>
  <c r="H101" i="6"/>
  <c r="U97" i="6"/>
  <c r="H97" i="6"/>
  <c r="U109" i="6"/>
  <c r="U106" i="6"/>
  <c r="H106" i="6"/>
  <c r="U102" i="6"/>
  <c r="H102" i="6"/>
  <c r="U98" i="6"/>
  <c r="H98" i="6"/>
  <c r="H111" i="6"/>
  <c r="U110" i="6"/>
  <c r="H109" i="6"/>
  <c r="U107" i="6"/>
  <c r="H107" i="6"/>
  <c r="U103" i="6"/>
  <c r="H103" i="6"/>
  <c r="U99" i="6"/>
  <c r="H99" i="6"/>
  <c r="U95" i="6"/>
  <c r="H95" i="6"/>
  <c r="J97" i="6"/>
  <c r="W97" i="6"/>
  <c r="AM97" i="6" s="1"/>
  <c r="G98" i="6"/>
  <c r="K98" i="6"/>
  <c r="T98" i="6"/>
  <c r="X98" i="6"/>
  <c r="J101" i="6"/>
  <c r="W101" i="6"/>
  <c r="G102" i="6"/>
  <c r="K102" i="6"/>
  <c r="T102" i="6"/>
  <c r="X102" i="6"/>
  <c r="J105" i="6"/>
  <c r="W105" i="6"/>
  <c r="G106" i="6"/>
  <c r="K106" i="6"/>
  <c r="T106" i="6"/>
  <c r="X106" i="6"/>
  <c r="T109" i="6"/>
  <c r="W135" i="6"/>
  <c r="J135" i="6"/>
  <c r="W134" i="6"/>
  <c r="AM134" i="6" s="1"/>
  <c r="J134" i="6"/>
  <c r="W137" i="6"/>
  <c r="J137" i="6"/>
  <c r="W136" i="6"/>
  <c r="J136" i="6"/>
  <c r="W110" i="6"/>
  <c r="J110" i="6"/>
  <c r="W111" i="6"/>
  <c r="AM111" i="6" s="1"/>
  <c r="J111" i="6"/>
  <c r="J96" i="6"/>
  <c r="W96" i="6"/>
  <c r="G97" i="6"/>
  <c r="K97" i="6"/>
  <c r="T97" i="6"/>
  <c r="X97" i="6"/>
  <c r="J100" i="6"/>
  <c r="W100" i="6"/>
  <c r="G101" i="6"/>
  <c r="K101" i="6"/>
  <c r="T101" i="6"/>
  <c r="X101" i="6"/>
  <c r="J104" i="6"/>
  <c r="W104" i="6"/>
  <c r="G105" i="6"/>
  <c r="K105" i="6"/>
  <c r="T105" i="6"/>
  <c r="X105" i="6"/>
  <c r="J108" i="6"/>
  <c r="W108" i="6"/>
  <c r="J109" i="6"/>
  <c r="G110" i="6"/>
  <c r="X110" i="6"/>
  <c r="W112" i="6"/>
  <c r="W114" i="6"/>
  <c r="B117" i="6"/>
  <c r="Z117" i="6" s="1"/>
  <c r="B119" i="6"/>
  <c r="Z119" i="6" s="1"/>
  <c r="B121" i="6"/>
  <c r="Z121" i="6" s="1"/>
  <c r="B123" i="6"/>
  <c r="Z123" i="6" s="1"/>
  <c r="B125" i="6"/>
  <c r="Z125" i="6" s="1"/>
  <c r="B127" i="6"/>
  <c r="Z127" i="6" s="1"/>
  <c r="T137" i="6"/>
  <c r="G137" i="6"/>
  <c r="T136" i="6"/>
  <c r="G136" i="6"/>
  <c r="T135" i="6"/>
  <c r="G135" i="6"/>
  <c r="T134" i="6"/>
  <c r="G134" i="6"/>
  <c r="T111" i="6"/>
  <c r="G111" i="6"/>
  <c r="T112" i="6"/>
  <c r="G112" i="6"/>
  <c r="X137" i="6"/>
  <c r="K137" i="6"/>
  <c r="X136" i="6"/>
  <c r="K136" i="6"/>
  <c r="X135" i="6"/>
  <c r="K135" i="6"/>
  <c r="X134" i="6"/>
  <c r="K134" i="6"/>
  <c r="X111" i="6"/>
  <c r="K111" i="6"/>
  <c r="X112" i="6"/>
  <c r="K112" i="6"/>
  <c r="J95" i="6"/>
  <c r="W95" i="6"/>
  <c r="G96" i="6"/>
  <c r="K96" i="6"/>
  <c r="T96" i="6"/>
  <c r="X96" i="6"/>
  <c r="J99" i="6"/>
  <c r="W99" i="6"/>
  <c r="G100" i="6"/>
  <c r="K100" i="6"/>
  <c r="T100" i="6"/>
  <c r="X100" i="6"/>
  <c r="J103" i="6"/>
  <c r="W103" i="6"/>
  <c r="G104" i="6"/>
  <c r="K104" i="6"/>
  <c r="T104" i="6"/>
  <c r="X104" i="6"/>
  <c r="J107" i="6"/>
  <c r="W107" i="6"/>
  <c r="AM107" i="6" s="1"/>
  <c r="G108" i="6"/>
  <c r="K108" i="6"/>
  <c r="T108" i="6"/>
  <c r="X108" i="6"/>
  <c r="K109" i="6"/>
  <c r="W109" i="6"/>
  <c r="W113" i="6"/>
  <c r="B128" i="6"/>
  <c r="Z128" i="6" s="1"/>
  <c r="A129" i="6"/>
  <c r="G114" i="6"/>
  <c r="K125" i="6"/>
  <c r="T125" i="6"/>
  <c r="G95" i="6"/>
  <c r="K95" i="6"/>
  <c r="T95" i="6"/>
  <c r="X95" i="6"/>
  <c r="J98" i="6"/>
  <c r="W98" i="6"/>
  <c r="AM98" i="6" s="1"/>
  <c r="G99" i="6"/>
  <c r="K99" i="6"/>
  <c r="T99" i="6"/>
  <c r="X99" i="6"/>
  <c r="J102" i="6"/>
  <c r="W102" i="6"/>
  <c r="G103" i="6"/>
  <c r="K103" i="6"/>
  <c r="T103" i="6"/>
  <c r="X103" i="6"/>
  <c r="J106" i="6"/>
  <c r="AL106" i="6" s="1"/>
  <c r="W106" i="6"/>
  <c r="G107" i="6"/>
  <c r="K107" i="6"/>
  <c r="T107" i="6"/>
  <c r="X107" i="6"/>
  <c r="G109" i="6"/>
  <c r="X109" i="6"/>
  <c r="K110" i="6"/>
  <c r="T110" i="6"/>
  <c r="J112" i="6"/>
  <c r="G113" i="6"/>
  <c r="X113" i="6"/>
  <c r="J114" i="6"/>
  <c r="B116" i="6"/>
  <c r="X116" i="6" s="1"/>
  <c r="B118" i="6"/>
  <c r="Z118" i="6" s="1"/>
  <c r="B120" i="6"/>
  <c r="Z120" i="6" s="1"/>
  <c r="B122" i="6"/>
  <c r="Z122" i="6" s="1"/>
  <c r="B124" i="6"/>
  <c r="Z124" i="6" s="1"/>
  <c r="W125" i="6"/>
  <c r="B126" i="6"/>
  <c r="Z126" i="6" s="1"/>
  <c r="A138" i="6"/>
  <c r="I156" i="16" l="1"/>
  <c r="W119" i="6"/>
  <c r="AM113" i="6"/>
  <c r="AM96" i="6"/>
  <c r="AL137" i="6"/>
  <c r="P117" i="6"/>
  <c r="P116" i="6"/>
  <c r="AA128" i="6"/>
  <c r="AM109" i="6"/>
  <c r="AM101" i="6"/>
  <c r="AA127" i="6"/>
  <c r="AA126" i="6"/>
  <c r="AA125" i="6"/>
  <c r="AA124" i="6"/>
  <c r="AM112" i="6"/>
  <c r="AM100" i="6"/>
  <c r="P127" i="6"/>
  <c r="P126" i="6"/>
  <c r="AA123" i="6"/>
  <c r="AA122" i="6"/>
  <c r="AA121" i="6"/>
  <c r="AA120" i="6"/>
  <c r="AM99" i="6"/>
  <c r="P123" i="6"/>
  <c r="P122" i="6"/>
  <c r="AA119" i="6"/>
  <c r="AA118" i="6"/>
  <c r="AA117" i="6"/>
  <c r="AA116" i="6"/>
  <c r="K119" i="6"/>
  <c r="AM104" i="6"/>
  <c r="AL105" i="6"/>
  <c r="P119" i="6"/>
  <c r="P118" i="6"/>
  <c r="AA115" i="6"/>
  <c r="AA114" i="6"/>
  <c r="AM103" i="6"/>
  <c r="AL109" i="6"/>
  <c r="AM110" i="6"/>
  <c r="AM135" i="6"/>
  <c r="P115" i="6"/>
  <c r="P128" i="6"/>
  <c r="P114" i="6"/>
  <c r="T119" i="6"/>
  <c r="AL102" i="6"/>
  <c r="AM108" i="6"/>
  <c r="P121" i="6"/>
  <c r="P120" i="6"/>
  <c r="AL104" i="6"/>
  <c r="AL98" i="6"/>
  <c r="AL103" i="6"/>
  <c r="AM95" i="6"/>
  <c r="AL110" i="6"/>
  <c r="AL100" i="6"/>
  <c r="AL108" i="6"/>
  <c r="AL99" i="6"/>
  <c r="AL135" i="6"/>
  <c r="AL112" i="6"/>
  <c r="AL95" i="6"/>
  <c r="AM105" i="6"/>
  <c r="AL97" i="6"/>
  <c r="AL101" i="6"/>
  <c r="AL111" i="6"/>
  <c r="AL96" i="6"/>
  <c r="AM136" i="6"/>
  <c r="AM106" i="6"/>
  <c r="AL113" i="6"/>
  <c r="AL134" i="6"/>
  <c r="AL107" i="6"/>
  <c r="AM102" i="6"/>
  <c r="AL136" i="6"/>
  <c r="AM137" i="6"/>
  <c r="B158" i="16"/>
  <c r="A159" i="16"/>
  <c r="E157" i="16"/>
  <c r="D157" i="16"/>
  <c r="F157" i="16"/>
  <c r="H119" i="16"/>
  <c r="I119" i="16" s="1"/>
  <c r="H74" i="16"/>
  <c r="I74" i="16" s="1"/>
  <c r="H23" i="16"/>
  <c r="I23" i="16" s="1"/>
  <c r="H87" i="16"/>
  <c r="I87" i="16" s="1"/>
  <c r="K87" i="16" s="1"/>
  <c r="H106" i="16"/>
  <c r="I106" i="16" s="1"/>
  <c r="H71" i="16"/>
  <c r="I71" i="16" s="1"/>
  <c r="H24" i="16"/>
  <c r="I24" i="16" s="1"/>
  <c r="L643" i="16"/>
  <c r="L24" i="16"/>
  <c r="L23" i="16"/>
  <c r="L26" i="16"/>
  <c r="L25"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H118" i="16"/>
  <c r="I118" i="16" s="1"/>
  <c r="H86" i="16"/>
  <c r="I86" i="16" s="1"/>
  <c r="K86" i="16" s="1"/>
  <c r="H28" i="16"/>
  <c r="I28" i="16" s="1"/>
  <c r="K28" i="16" s="1"/>
  <c r="H108" i="16"/>
  <c r="I108" i="16" s="1"/>
  <c r="H144" i="16"/>
  <c r="I144" i="16" s="1"/>
  <c r="K144" i="16" s="1"/>
  <c r="H112" i="16"/>
  <c r="I112" i="16" s="1"/>
  <c r="H135" i="16"/>
  <c r="I135" i="16" s="1"/>
  <c r="K24" i="16"/>
  <c r="K32" i="16"/>
  <c r="K36" i="16"/>
  <c r="K40" i="16"/>
  <c r="K44" i="16"/>
  <c r="K48" i="16"/>
  <c r="K52" i="16"/>
  <c r="K56" i="16"/>
  <c r="K60" i="16"/>
  <c r="K64" i="16"/>
  <c r="K68" i="16"/>
  <c r="K72" i="16"/>
  <c r="K76" i="16"/>
  <c r="K80" i="16"/>
  <c r="K84" i="16"/>
  <c r="K88" i="16"/>
  <c r="K92" i="16"/>
  <c r="K96" i="16"/>
  <c r="K100" i="16"/>
  <c r="K104" i="16"/>
  <c r="K108" i="16"/>
  <c r="K26" i="16"/>
  <c r="K30" i="16"/>
  <c r="K34" i="16"/>
  <c r="K38" i="16"/>
  <c r="K42" i="16"/>
  <c r="K46" i="16"/>
  <c r="K50" i="16"/>
  <c r="K54" i="16"/>
  <c r="K58" i="16"/>
  <c r="K62" i="16"/>
  <c r="K74" i="16"/>
  <c r="K29" i="16"/>
  <c r="K37" i="16"/>
  <c r="K45" i="16"/>
  <c r="K53" i="16"/>
  <c r="K61" i="16"/>
  <c r="K69" i="16"/>
  <c r="K77" i="16"/>
  <c r="K82" i="16"/>
  <c r="K93" i="16"/>
  <c r="K98" i="16"/>
  <c r="K103" i="16"/>
  <c r="K109" i="16"/>
  <c r="K113" i="16"/>
  <c r="K117" i="16"/>
  <c r="K121" i="16"/>
  <c r="K125" i="16"/>
  <c r="K129" i="16"/>
  <c r="K133" i="16"/>
  <c r="K137" i="16"/>
  <c r="K141" i="16"/>
  <c r="K145" i="16"/>
  <c r="K149" i="16"/>
  <c r="K153" i="16"/>
  <c r="K643" i="16"/>
  <c r="K31" i="16"/>
  <c r="K39" i="16"/>
  <c r="K47" i="16"/>
  <c r="K63" i="16"/>
  <c r="K71" i="16"/>
  <c r="K78" i="16"/>
  <c r="K83" i="16"/>
  <c r="K89" i="16"/>
  <c r="K94" i="16"/>
  <c r="K99" i="16"/>
  <c r="K105" i="16"/>
  <c r="K110" i="16"/>
  <c r="K114" i="16"/>
  <c r="K118" i="16"/>
  <c r="K122" i="16"/>
  <c r="K126" i="16"/>
  <c r="K130" i="16"/>
  <c r="K142" i="16"/>
  <c r="K146" i="16"/>
  <c r="K154" i="16"/>
  <c r="K25" i="16"/>
  <c r="K33" i="16"/>
  <c r="K41" i="16"/>
  <c r="K49" i="16"/>
  <c r="K57" i="16"/>
  <c r="K65" i="16"/>
  <c r="K73" i="16"/>
  <c r="K79" i="16"/>
  <c r="K85" i="16"/>
  <c r="K90" i="16"/>
  <c r="K95" i="16"/>
  <c r="K101" i="16"/>
  <c r="K106" i="16"/>
  <c r="K111" i="16"/>
  <c r="K115" i="16"/>
  <c r="K119" i="16"/>
  <c r="K123" i="16"/>
  <c r="K127" i="16"/>
  <c r="K131" i="16"/>
  <c r="K135" i="16"/>
  <c r="K139" i="16"/>
  <c r="K143" i="16"/>
  <c r="K147" i="16"/>
  <c r="K155" i="16"/>
  <c r="K35" i="16"/>
  <c r="K67" i="16"/>
  <c r="K91" i="16"/>
  <c r="K112" i="16"/>
  <c r="K128" i="16"/>
  <c r="K43" i="16"/>
  <c r="K75" i="16"/>
  <c r="K97" i="16"/>
  <c r="K116" i="16"/>
  <c r="K132" i="16"/>
  <c r="K148" i="16"/>
  <c r="K51" i="16"/>
  <c r="K81" i="16"/>
  <c r="K102" i="16"/>
  <c r="K120" i="16"/>
  <c r="K136" i="16"/>
  <c r="K152" i="16"/>
  <c r="K23" i="16"/>
  <c r="K107" i="16"/>
  <c r="K27" i="16"/>
  <c r="K124" i="16"/>
  <c r="K59" i="16"/>
  <c r="K140" i="16"/>
  <c r="K156" i="16"/>
  <c r="B16" i="16"/>
  <c r="H138" i="16"/>
  <c r="I138" i="16" s="1"/>
  <c r="K138" i="16" s="1"/>
  <c r="H66" i="16"/>
  <c r="I66" i="16" s="1"/>
  <c r="K66" i="16" s="1"/>
  <c r="H150" i="16"/>
  <c r="I150" i="16" s="1"/>
  <c r="K150" i="16" s="1"/>
  <c r="H39" i="16"/>
  <c r="I39" i="16" s="1"/>
  <c r="H40" i="16"/>
  <c r="I40" i="16" s="1"/>
  <c r="H76" i="16"/>
  <c r="I76" i="16" s="1"/>
  <c r="H70" i="16"/>
  <c r="I70" i="16" s="1"/>
  <c r="K70" i="16" s="1"/>
  <c r="H134" i="16"/>
  <c r="I134" i="16" s="1"/>
  <c r="K134" i="16" s="1"/>
  <c r="H151" i="16"/>
  <c r="I151" i="16" s="1"/>
  <c r="K151" i="16" s="1"/>
  <c r="H55" i="16"/>
  <c r="I55" i="16" s="1"/>
  <c r="K55" i="16" s="1"/>
  <c r="B64" i="2"/>
  <c r="B29" i="1" s="1"/>
  <c r="B30" i="1"/>
  <c r="T114" i="6"/>
  <c r="W123" i="6"/>
  <c r="AM123" i="6" s="1"/>
  <c r="K114" i="6"/>
  <c r="H114" i="6"/>
  <c r="X114" i="6"/>
  <c r="AM114" i="6" s="1"/>
  <c r="U114" i="6"/>
  <c r="J124" i="6"/>
  <c r="W121" i="6"/>
  <c r="AM121" i="6" s="1"/>
  <c r="J116" i="6"/>
  <c r="Z116" i="6"/>
  <c r="X127" i="6"/>
  <c r="T121" i="6"/>
  <c r="K121" i="6"/>
  <c r="T127" i="6"/>
  <c r="J121" i="6"/>
  <c r="T122" i="6"/>
  <c r="O122" i="6"/>
  <c r="O115" i="6"/>
  <c r="O127" i="6"/>
  <c r="O121" i="6"/>
  <c r="G118" i="6"/>
  <c r="O118" i="6"/>
  <c r="O124" i="6"/>
  <c r="O120" i="6"/>
  <c r="O116" i="6"/>
  <c r="X124" i="6"/>
  <c r="J125" i="6"/>
  <c r="O125" i="6"/>
  <c r="O119" i="6"/>
  <c r="O114" i="6"/>
  <c r="AL114" i="6" s="1"/>
  <c r="G126" i="6"/>
  <c r="O126" i="6"/>
  <c r="O128" i="6"/>
  <c r="K123" i="6"/>
  <c r="O123" i="6"/>
  <c r="J117" i="6"/>
  <c r="O117" i="6"/>
  <c r="J122" i="6"/>
  <c r="J115" i="6"/>
  <c r="X115" i="6"/>
  <c r="H115" i="6"/>
  <c r="W115" i="6"/>
  <c r="AM115" i="6" s="1"/>
  <c r="T123" i="6"/>
  <c r="T117" i="6"/>
  <c r="T115" i="6"/>
  <c r="W117" i="6"/>
  <c r="K117" i="6"/>
  <c r="K115" i="6"/>
  <c r="K127" i="6"/>
  <c r="G115" i="6"/>
  <c r="U115" i="6"/>
  <c r="U120" i="6"/>
  <c r="T120" i="6"/>
  <c r="H120" i="6"/>
  <c r="K120" i="6"/>
  <c r="B138" i="6"/>
  <c r="A139" i="6"/>
  <c r="U126" i="6"/>
  <c r="H126" i="6"/>
  <c r="J120" i="6"/>
  <c r="U118" i="6"/>
  <c r="H118" i="6"/>
  <c r="T118" i="6"/>
  <c r="X126" i="6"/>
  <c r="G122" i="6"/>
  <c r="X118" i="6"/>
  <c r="X123" i="6"/>
  <c r="U123" i="6"/>
  <c r="H123" i="6"/>
  <c r="W120" i="6"/>
  <c r="W128" i="6"/>
  <c r="T126" i="6"/>
  <c r="G123" i="6"/>
  <c r="X119" i="6"/>
  <c r="AM119" i="6" s="1"/>
  <c r="T116" i="6"/>
  <c r="G120" i="6"/>
  <c r="B129" i="6"/>
  <c r="A130" i="6"/>
  <c r="J127" i="6"/>
  <c r="X125" i="6"/>
  <c r="AM125" i="6" s="1"/>
  <c r="U125" i="6"/>
  <c r="H125" i="6"/>
  <c r="G125" i="6"/>
  <c r="W122" i="6"/>
  <c r="J119" i="6"/>
  <c r="U117" i="6"/>
  <c r="H117" i="6"/>
  <c r="G117" i="6"/>
  <c r="K126" i="6"/>
  <c r="K116" i="6"/>
  <c r="U122" i="6"/>
  <c r="K122" i="6"/>
  <c r="H122" i="6"/>
  <c r="X122" i="6"/>
  <c r="K128" i="6"/>
  <c r="G128" i="6"/>
  <c r="W127" i="6"/>
  <c r="AM127" i="6" s="1"/>
  <c r="U127" i="6"/>
  <c r="H127" i="6"/>
  <c r="G127" i="6"/>
  <c r="W124" i="6"/>
  <c r="G119" i="6"/>
  <c r="U119" i="6"/>
  <c r="H119" i="6"/>
  <c r="W116" i="6"/>
  <c r="T124" i="6"/>
  <c r="K118" i="6"/>
  <c r="U128" i="6"/>
  <c r="H128" i="6"/>
  <c r="J126" i="6"/>
  <c r="U124" i="6"/>
  <c r="H124" i="6"/>
  <c r="J118" i="6"/>
  <c r="U116" i="6"/>
  <c r="H116" i="6"/>
  <c r="G124" i="6"/>
  <c r="X120" i="6"/>
  <c r="G116" i="6"/>
  <c r="X128" i="6"/>
  <c r="T128" i="6"/>
  <c r="W126" i="6"/>
  <c r="AM126" i="6" s="1"/>
  <c r="J123" i="6"/>
  <c r="U121" i="6"/>
  <c r="H121" i="6"/>
  <c r="X121" i="6"/>
  <c r="W118" i="6"/>
  <c r="J128" i="6"/>
  <c r="K124" i="6"/>
  <c r="G121" i="6"/>
  <c r="X117" i="6"/>
  <c r="B53" i="6"/>
  <c r="Z138" i="6" l="1"/>
  <c r="AA138" i="6"/>
  <c r="P138" i="6"/>
  <c r="AM128" i="6"/>
  <c r="AL124" i="6"/>
  <c r="AM118" i="6"/>
  <c r="AM120" i="6"/>
  <c r="AM117" i="6"/>
  <c r="AM124" i="6"/>
  <c r="Z129" i="6"/>
  <c r="P129" i="6"/>
  <c r="AA129" i="6"/>
  <c r="AM122" i="6"/>
  <c r="AL126" i="6"/>
  <c r="AL125" i="6"/>
  <c r="AL121" i="6"/>
  <c r="AL116" i="6"/>
  <c r="AL117" i="6"/>
  <c r="AL128" i="6"/>
  <c r="AL122" i="6"/>
  <c r="AL119" i="6"/>
  <c r="AL120" i="6"/>
  <c r="AL123" i="6"/>
  <c r="AL127" i="6"/>
  <c r="AL118" i="6"/>
  <c r="AL115" i="6"/>
  <c r="AM116" i="6"/>
  <c r="G157" i="16"/>
  <c r="H157" i="16" s="1"/>
  <c r="I157" i="16" s="1"/>
  <c r="K157" i="16" s="1"/>
  <c r="M157" i="16" s="1"/>
  <c r="N157" i="16" s="1"/>
  <c r="B80" i="1"/>
  <c r="B79" i="1"/>
  <c r="B78" i="1"/>
  <c r="B159" i="16"/>
  <c r="A160" i="16"/>
  <c r="L159" i="16"/>
  <c r="M155" i="16"/>
  <c r="M151" i="16"/>
  <c r="P151" i="16" s="1"/>
  <c r="F158" i="16"/>
  <c r="E158" i="16"/>
  <c r="D158" i="16"/>
  <c r="M147" i="16"/>
  <c r="N147" i="16" s="1"/>
  <c r="M143" i="16"/>
  <c r="N143" i="16" s="1"/>
  <c r="M139" i="16"/>
  <c r="N139" i="16" s="1"/>
  <c r="M135" i="16"/>
  <c r="N135" i="16" s="1"/>
  <c r="M131" i="16"/>
  <c r="N131" i="16" s="1"/>
  <c r="M127" i="16"/>
  <c r="N127" i="16" s="1"/>
  <c r="M123" i="16"/>
  <c r="N123" i="16" s="1"/>
  <c r="M119" i="16"/>
  <c r="N119" i="16" s="1"/>
  <c r="M115" i="16"/>
  <c r="N115" i="16" s="1"/>
  <c r="M111" i="16"/>
  <c r="N111" i="16" s="1"/>
  <c r="M107" i="16"/>
  <c r="N107" i="16" s="1"/>
  <c r="M103" i="16"/>
  <c r="N103" i="16" s="1"/>
  <c r="M99" i="16"/>
  <c r="N99" i="16" s="1"/>
  <c r="M95" i="16"/>
  <c r="N95" i="16" s="1"/>
  <c r="M91" i="16"/>
  <c r="N91" i="16" s="1"/>
  <c r="M87" i="16"/>
  <c r="N87" i="16" s="1"/>
  <c r="M83" i="16"/>
  <c r="N83" i="16" s="1"/>
  <c r="M79" i="16"/>
  <c r="N79" i="16" s="1"/>
  <c r="M75" i="16"/>
  <c r="N75" i="16" s="1"/>
  <c r="M71" i="16"/>
  <c r="N71" i="16" s="1"/>
  <c r="M67" i="16"/>
  <c r="N67" i="16" s="1"/>
  <c r="M63" i="16"/>
  <c r="N63" i="16" s="1"/>
  <c r="M59" i="16"/>
  <c r="N59" i="16" s="1"/>
  <c r="M55" i="16"/>
  <c r="N55" i="16" s="1"/>
  <c r="M51" i="16"/>
  <c r="N51" i="16" s="1"/>
  <c r="M47" i="16"/>
  <c r="N47" i="16" s="1"/>
  <c r="M43" i="16"/>
  <c r="N43" i="16" s="1"/>
  <c r="M39" i="16"/>
  <c r="N39" i="16" s="1"/>
  <c r="M35" i="16"/>
  <c r="N35" i="16" s="1"/>
  <c r="M31" i="16"/>
  <c r="N31" i="16" s="1"/>
  <c r="M27" i="16"/>
  <c r="N27" i="16" s="1"/>
  <c r="M643" i="16"/>
  <c r="B18" i="16" s="1"/>
  <c r="C21" i="1" s="1"/>
  <c r="M154" i="16"/>
  <c r="N154" i="16" s="1"/>
  <c r="M150" i="16"/>
  <c r="N150" i="16" s="1"/>
  <c r="M146" i="16"/>
  <c r="N146" i="16" s="1"/>
  <c r="M142" i="16"/>
  <c r="N142" i="16" s="1"/>
  <c r="M138" i="16"/>
  <c r="N138" i="16" s="1"/>
  <c r="M134" i="16"/>
  <c r="N134" i="16" s="1"/>
  <c r="M130" i="16"/>
  <c r="N130" i="16" s="1"/>
  <c r="M126" i="16"/>
  <c r="N126" i="16" s="1"/>
  <c r="M122" i="16"/>
  <c r="N122" i="16" s="1"/>
  <c r="M118" i="16"/>
  <c r="N118" i="16" s="1"/>
  <c r="M114" i="16"/>
  <c r="N114" i="16" s="1"/>
  <c r="M110" i="16"/>
  <c r="N110" i="16" s="1"/>
  <c r="M106" i="16"/>
  <c r="N106" i="16" s="1"/>
  <c r="M102" i="16"/>
  <c r="N102" i="16" s="1"/>
  <c r="M98" i="16"/>
  <c r="N98" i="16" s="1"/>
  <c r="M94" i="16"/>
  <c r="N94" i="16" s="1"/>
  <c r="M90" i="16"/>
  <c r="N90" i="16" s="1"/>
  <c r="M86" i="16"/>
  <c r="N86" i="16" s="1"/>
  <c r="M82" i="16"/>
  <c r="N82" i="16" s="1"/>
  <c r="M78" i="16"/>
  <c r="N78" i="16" s="1"/>
  <c r="M74" i="16"/>
  <c r="N74" i="16" s="1"/>
  <c r="M70" i="16"/>
  <c r="N70" i="16" s="1"/>
  <c r="M66" i="16"/>
  <c r="N66" i="16" s="1"/>
  <c r="M62" i="16"/>
  <c r="N62" i="16" s="1"/>
  <c r="M58" i="16"/>
  <c r="N58" i="16" s="1"/>
  <c r="M54" i="16"/>
  <c r="N54" i="16" s="1"/>
  <c r="M50" i="16"/>
  <c r="N50" i="16" s="1"/>
  <c r="M46" i="16"/>
  <c r="N46" i="16" s="1"/>
  <c r="M42" i="16"/>
  <c r="N42" i="16" s="1"/>
  <c r="M38" i="16"/>
  <c r="N38" i="16" s="1"/>
  <c r="M34" i="16"/>
  <c r="N34" i="16" s="1"/>
  <c r="M30" i="16"/>
  <c r="N30" i="16" s="1"/>
  <c r="M23" i="16"/>
  <c r="M24" i="16"/>
  <c r="N24" i="16" s="1"/>
  <c r="M26" i="16"/>
  <c r="N26" i="16" s="1"/>
  <c r="M25" i="16"/>
  <c r="N25" i="16" s="1"/>
  <c r="M153" i="16"/>
  <c r="N153" i="16" s="1"/>
  <c r="M149" i="16"/>
  <c r="N149" i="16" s="1"/>
  <c r="M145" i="16"/>
  <c r="N145" i="16" s="1"/>
  <c r="M141" i="16"/>
  <c r="N141" i="16" s="1"/>
  <c r="M137" i="16"/>
  <c r="N137" i="16" s="1"/>
  <c r="M133" i="16"/>
  <c r="N133" i="16" s="1"/>
  <c r="M129" i="16"/>
  <c r="N129" i="16" s="1"/>
  <c r="M125" i="16"/>
  <c r="N125" i="16" s="1"/>
  <c r="M121" i="16"/>
  <c r="N121" i="16" s="1"/>
  <c r="M117" i="16"/>
  <c r="N117" i="16" s="1"/>
  <c r="M113" i="16"/>
  <c r="N113" i="16" s="1"/>
  <c r="M109" i="16"/>
  <c r="N109" i="16" s="1"/>
  <c r="M105" i="16"/>
  <c r="N105" i="16" s="1"/>
  <c r="M101" i="16"/>
  <c r="N101" i="16" s="1"/>
  <c r="M97" i="16"/>
  <c r="N97" i="16" s="1"/>
  <c r="M93" i="16"/>
  <c r="N93" i="16" s="1"/>
  <c r="M89" i="16"/>
  <c r="N89" i="16" s="1"/>
  <c r="M85" i="16"/>
  <c r="N85" i="16" s="1"/>
  <c r="M81" i="16"/>
  <c r="N81" i="16" s="1"/>
  <c r="M77" i="16"/>
  <c r="N77" i="16" s="1"/>
  <c r="M73" i="16"/>
  <c r="N73" i="16" s="1"/>
  <c r="M69" i="16"/>
  <c r="N69" i="16" s="1"/>
  <c r="M65" i="16"/>
  <c r="N65" i="16" s="1"/>
  <c r="M61" i="16"/>
  <c r="N61" i="16" s="1"/>
  <c r="M57" i="16"/>
  <c r="N57" i="16" s="1"/>
  <c r="M53" i="16"/>
  <c r="N53" i="16" s="1"/>
  <c r="M49" i="16"/>
  <c r="N49" i="16" s="1"/>
  <c r="M45" i="16"/>
  <c r="N45" i="16" s="1"/>
  <c r="M41" i="16"/>
  <c r="N41" i="16" s="1"/>
  <c r="M37" i="16"/>
  <c r="N37" i="16" s="1"/>
  <c r="M33" i="16"/>
  <c r="N33" i="16" s="1"/>
  <c r="M29" i="16"/>
  <c r="N29" i="16" s="1"/>
  <c r="P155" i="16"/>
  <c r="M156" i="16"/>
  <c r="N156" i="16" s="1"/>
  <c r="M152" i="16"/>
  <c r="N152" i="16" s="1"/>
  <c r="M148" i="16"/>
  <c r="N148" i="16" s="1"/>
  <c r="M144" i="16"/>
  <c r="N144" i="16" s="1"/>
  <c r="M140" i="16"/>
  <c r="N140" i="16" s="1"/>
  <c r="M136" i="16"/>
  <c r="N136" i="16" s="1"/>
  <c r="M132" i="16"/>
  <c r="N132" i="16" s="1"/>
  <c r="M128" i="16"/>
  <c r="N128" i="16" s="1"/>
  <c r="M124" i="16"/>
  <c r="N124" i="16" s="1"/>
  <c r="M120" i="16"/>
  <c r="N120" i="16" s="1"/>
  <c r="M116" i="16"/>
  <c r="N116" i="16" s="1"/>
  <c r="M112" i="16"/>
  <c r="N112" i="16" s="1"/>
  <c r="M108" i="16"/>
  <c r="N108" i="16" s="1"/>
  <c r="M104" i="16"/>
  <c r="N104" i="16" s="1"/>
  <c r="M100" i="16"/>
  <c r="N100" i="16" s="1"/>
  <c r="M96" i="16"/>
  <c r="N96" i="16" s="1"/>
  <c r="M92" i="16"/>
  <c r="N92" i="16" s="1"/>
  <c r="M88" i="16"/>
  <c r="N88" i="16" s="1"/>
  <c r="M84" i="16"/>
  <c r="N84" i="16" s="1"/>
  <c r="M80" i="16"/>
  <c r="N80" i="16" s="1"/>
  <c r="M76" i="16"/>
  <c r="N76" i="16" s="1"/>
  <c r="M72" i="16"/>
  <c r="N72" i="16" s="1"/>
  <c r="M68" i="16"/>
  <c r="N68" i="16" s="1"/>
  <c r="M64" i="16"/>
  <c r="N64" i="16" s="1"/>
  <c r="M60" i="16"/>
  <c r="N60" i="16" s="1"/>
  <c r="M56" i="16"/>
  <c r="N56" i="16" s="1"/>
  <c r="M52" i="16"/>
  <c r="N52" i="16" s="1"/>
  <c r="M48" i="16"/>
  <c r="N48" i="16" s="1"/>
  <c r="M44" i="16"/>
  <c r="N44" i="16" s="1"/>
  <c r="M40" i="16"/>
  <c r="N40" i="16" s="1"/>
  <c r="M36" i="16"/>
  <c r="N36" i="16" s="1"/>
  <c r="M32" i="16"/>
  <c r="N32" i="16" s="1"/>
  <c r="M28" i="16"/>
  <c r="N28" i="16" s="1"/>
  <c r="O138" i="6"/>
  <c r="O129" i="6"/>
  <c r="B54" i="6"/>
  <c r="B130" i="6"/>
  <c r="A131" i="6"/>
  <c r="B139" i="6"/>
  <c r="A140" i="6"/>
  <c r="W129" i="6"/>
  <c r="AM129" i="6" s="1"/>
  <c r="U129" i="6"/>
  <c r="H129" i="6"/>
  <c r="J129" i="6"/>
  <c r="T129" i="6"/>
  <c r="X129" i="6"/>
  <c r="G129" i="6"/>
  <c r="K129" i="6"/>
  <c r="J138" i="6"/>
  <c r="U138" i="6"/>
  <c r="H138" i="6"/>
  <c r="G138" i="6"/>
  <c r="W138" i="6"/>
  <c r="X138" i="6"/>
  <c r="T138" i="6"/>
  <c r="K138" i="6"/>
  <c r="Z139" i="6" l="1"/>
  <c r="AA139" i="6"/>
  <c r="P139" i="6"/>
  <c r="AM138" i="6"/>
  <c r="Z130" i="6"/>
  <c r="P130" i="6"/>
  <c r="AA130" i="6"/>
  <c r="AL138" i="6"/>
  <c r="AL129" i="6"/>
  <c r="P23" i="16"/>
  <c r="N23" i="16"/>
  <c r="O23" i="16" s="1"/>
  <c r="N151" i="16"/>
  <c r="O151" i="16" s="1"/>
  <c r="N155" i="16"/>
  <c r="O155" i="16" s="1"/>
  <c r="B160" i="16"/>
  <c r="L160" i="16"/>
  <c r="A161" i="16"/>
  <c r="E159" i="16"/>
  <c r="F159" i="16"/>
  <c r="D159" i="16"/>
  <c r="G158" i="16"/>
  <c r="P28" i="16"/>
  <c r="O28" i="16"/>
  <c r="P76" i="16"/>
  <c r="O76" i="16"/>
  <c r="P108" i="16"/>
  <c r="O108" i="16"/>
  <c r="P156" i="16"/>
  <c r="O156" i="16"/>
  <c r="P45" i="16"/>
  <c r="O45" i="16"/>
  <c r="P93" i="16"/>
  <c r="O93" i="16"/>
  <c r="P109" i="16"/>
  <c r="O109" i="16"/>
  <c r="P141" i="16"/>
  <c r="O141" i="16"/>
  <c r="P58" i="16"/>
  <c r="O58" i="16"/>
  <c r="P90" i="16"/>
  <c r="O90" i="16"/>
  <c r="P106" i="16"/>
  <c r="O106" i="16"/>
  <c r="P122" i="16"/>
  <c r="O122" i="16"/>
  <c r="P138" i="16"/>
  <c r="O138" i="16"/>
  <c r="P154" i="16"/>
  <c r="O154" i="16"/>
  <c r="P31" i="16"/>
  <c r="O31" i="16"/>
  <c r="P47" i="16"/>
  <c r="O47" i="16"/>
  <c r="P63" i="16"/>
  <c r="O63" i="16"/>
  <c r="P79" i="16"/>
  <c r="O79" i="16"/>
  <c r="P95" i="16"/>
  <c r="O95" i="16"/>
  <c r="P111" i="16"/>
  <c r="O111" i="16"/>
  <c r="P127" i="16"/>
  <c r="O127" i="16"/>
  <c r="P143" i="16"/>
  <c r="O143" i="16"/>
  <c r="P32" i="16"/>
  <c r="O32" i="16"/>
  <c r="P48" i="16"/>
  <c r="O48" i="16"/>
  <c r="P64" i="16"/>
  <c r="O64" i="16"/>
  <c r="P80" i="16"/>
  <c r="O80" i="16"/>
  <c r="P96" i="16"/>
  <c r="O96" i="16"/>
  <c r="P112" i="16"/>
  <c r="O112" i="16"/>
  <c r="P128" i="16"/>
  <c r="O128" i="16"/>
  <c r="P144" i="16"/>
  <c r="O144" i="16"/>
  <c r="P33" i="16"/>
  <c r="O33" i="16"/>
  <c r="P49" i="16"/>
  <c r="O49" i="16"/>
  <c r="P65" i="16"/>
  <c r="O65" i="16"/>
  <c r="P81" i="16"/>
  <c r="O81" i="16"/>
  <c r="P97" i="16"/>
  <c r="O97" i="16"/>
  <c r="P113" i="16"/>
  <c r="O113" i="16"/>
  <c r="P129" i="16"/>
  <c r="O129" i="16"/>
  <c r="P145" i="16"/>
  <c r="O145" i="16"/>
  <c r="P25" i="16"/>
  <c r="O25" i="16"/>
  <c r="P30" i="16"/>
  <c r="O30" i="16"/>
  <c r="P46" i="16"/>
  <c r="O46" i="16"/>
  <c r="P62" i="16"/>
  <c r="O62" i="16"/>
  <c r="P78" i="16"/>
  <c r="O78" i="16"/>
  <c r="P94" i="16"/>
  <c r="O94" i="16"/>
  <c r="P110" i="16"/>
  <c r="O110" i="16"/>
  <c r="P126" i="16"/>
  <c r="O126" i="16"/>
  <c r="P142" i="16"/>
  <c r="O142" i="16"/>
  <c r="P35" i="16"/>
  <c r="O35" i="16"/>
  <c r="P51" i="16"/>
  <c r="O51" i="16"/>
  <c r="P67" i="16"/>
  <c r="O67" i="16"/>
  <c r="P83" i="16"/>
  <c r="O83" i="16"/>
  <c r="P99" i="16"/>
  <c r="O99" i="16"/>
  <c r="P115" i="16"/>
  <c r="O115" i="16"/>
  <c r="P131" i="16"/>
  <c r="O131" i="16"/>
  <c r="P147" i="16"/>
  <c r="O147" i="16"/>
  <c r="P44" i="16"/>
  <c r="O44" i="16"/>
  <c r="P124" i="16"/>
  <c r="O124" i="16"/>
  <c r="P77" i="16"/>
  <c r="O77" i="16"/>
  <c r="P42" i="16"/>
  <c r="O42" i="16"/>
  <c r="P68" i="16"/>
  <c r="O68" i="16"/>
  <c r="P116" i="16"/>
  <c r="O116" i="16"/>
  <c r="P148" i="16"/>
  <c r="O148" i="16"/>
  <c r="P69" i="16"/>
  <c r="O69" i="16"/>
  <c r="P101" i="16"/>
  <c r="O101" i="16"/>
  <c r="P133" i="16"/>
  <c r="O133" i="16"/>
  <c r="P149" i="16"/>
  <c r="O149" i="16"/>
  <c r="P26" i="16"/>
  <c r="O26" i="16"/>
  <c r="P34" i="16"/>
  <c r="O34" i="16"/>
  <c r="P50" i="16"/>
  <c r="O50" i="16"/>
  <c r="P66" i="16"/>
  <c r="O66" i="16"/>
  <c r="P82" i="16"/>
  <c r="O82" i="16"/>
  <c r="P98" i="16"/>
  <c r="O98" i="16"/>
  <c r="P114" i="16"/>
  <c r="O114" i="16"/>
  <c r="P130" i="16"/>
  <c r="O130" i="16"/>
  <c r="P146" i="16"/>
  <c r="O146" i="16"/>
  <c r="P39" i="16"/>
  <c r="O39" i="16"/>
  <c r="P55" i="16"/>
  <c r="O55" i="16"/>
  <c r="P71" i="16"/>
  <c r="O71" i="16"/>
  <c r="P87" i="16"/>
  <c r="O87" i="16"/>
  <c r="P103" i="16"/>
  <c r="O103" i="16"/>
  <c r="P119" i="16"/>
  <c r="O119" i="16"/>
  <c r="P135" i="16"/>
  <c r="O135" i="16"/>
  <c r="P60" i="16"/>
  <c r="O60" i="16"/>
  <c r="P92" i="16"/>
  <c r="O92" i="16"/>
  <c r="P140" i="16"/>
  <c r="O140" i="16"/>
  <c r="P29" i="16"/>
  <c r="O29" i="16"/>
  <c r="P61" i="16"/>
  <c r="O61" i="16"/>
  <c r="P125" i="16"/>
  <c r="O125" i="16"/>
  <c r="P157" i="16"/>
  <c r="O157" i="16"/>
  <c r="P74" i="16"/>
  <c r="O74" i="16"/>
  <c r="P36" i="16"/>
  <c r="O36" i="16"/>
  <c r="P52" i="16"/>
  <c r="O52" i="16"/>
  <c r="P84" i="16"/>
  <c r="O84" i="16"/>
  <c r="P100" i="16"/>
  <c r="O100" i="16"/>
  <c r="P132" i="16"/>
  <c r="O132" i="16"/>
  <c r="P37" i="16"/>
  <c r="O37" i="16"/>
  <c r="P53" i="16"/>
  <c r="O53" i="16"/>
  <c r="P85" i="16"/>
  <c r="O85" i="16"/>
  <c r="P117" i="16"/>
  <c r="O117" i="16"/>
  <c r="P40" i="16"/>
  <c r="O40" i="16"/>
  <c r="P56" i="16"/>
  <c r="O56" i="16"/>
  <c r="P72" i="16"/>
  <c r="O72" i="16"/>
  <c r="P88" i="16"/>
  <c r="O88" i="16"/>
  <c r="P104" i="16"/>
  <c r="O104" i="16"/>
  <c r="P120" i="16"/>
  <c r="O120" i="16"/>
  <c r="P136" i="16"/>
  <c r="O136" i="16"/>
  <c r="P152" i="16"/>
  <c r="O152" i="16"/>
  <c r="P41" i="16"/>
  <c r="O41" i="16"/>
  <c r="P57" i="16"/>
  <c r="O57" i="16"/>
  <c r="P73" i="16"/>
  <c r="O73" i="16"/>
  <c r="P89" i="16"/>
  <c r="O89" i="16"/>
  <c r="P105" i="16"/>
  <c r="O105" i="16"/>
  <c r="P121" i="16"/>
  <c r="O121" i="16"/>
  <c r="P137" i="16"/>
  <c r="O137" i="16"/>
  <c r="P153" i="16"/>
  <c r="O153" i="16"/>
  <c r="P24" i="16"/>
  <c r="O24" i="16"/>
  <c r="P38" i="16"/>
  <c r="O38" i="16"/>
  <c r="P54" i="16"/>
  <c r="O54" i="16"/>
  <c r="P70" i="16"/>
  <c r="O70" i="16"/>
  <c r="P86" i="16"/>
  <c r="O86" i="16"/>
  <c r="P102" i="16"/>
  <c r="O102" i="16"/>
  <c r="P118" i="16"/>
  <c r="O118" i="16"/>
  <c r="P134" i="16"/>
  <c r="O134" i="16"/>
  <c r="P150" i="16"/>
  <c r="O150" i="16"/>
  <c r="P27" i="16"/>
  <c r="O27" i="16"/>
  <c r="P43" i="16"/>
  <c r="O43" i="16"/>
  <c r="P59" i="16"/>
  <c r="O59" i="16"/>
  <c r="P75" i="16"/>
  <c r="O75" i="16"/>
  <c r="P91" i="16"/>
  <c r="O91" i="16"/>
  <c r="P107" i="16"/>
  <c r="O107" i="16"/>
  <c r="P123" i="16"/>
  <c r="O123" i="16"/>
  <c r="P139" i="16"/>
  <c r="O139" i="16"/>
  <c r="O139" i="6"/>
  <c r="O130" i="6"/>
  <c r="B140" i="6"/>
  <c r="A141" i="6"/>
  <c r="U139" i="6"/>
  <c r="H139" i="6"/>
  <c r="W139" i="6"/>
  <c r="X139" i="6"/>
  <c r="J139" i="6"/>
  <c r="T139" i="6"/>
  <c r="K139" i="6"/>
  <c r="G139" i="6"/>
  <c r="B72" i="6"/>
  <c r="C54" i="6"/>
  <c r="A132" i="6"/>
  <c r="B131" i="6"/>
  <c r="U130" i="6"/>
  <c r="H130" i="6"/>
  <c r="W130" i="6"/>
  <c r="T130" i="6"/>
  <c r="X130" i="6"/>
  <c r="J130" i="6"/>
  <c r="G130" i="6"/>
  <c r="K130" i="6"/>
  <c r="AM130" i="6" l="1"/>
  <c r="Z140" i="6"/>
  <c r="AA140" i="6"/>
  <c r="P140" i="6"/>
  <c r="Z131" i="6"/>
  <c r="P131" i="6"/>
  <c r="AA131" i="6"/>
  <c r="AM139" i="6"/>
  <c r="AL139" i="6"/>
  <c r="AL130" i="6"/>
  <c r="H158" i="16"/>
  <c r="I158" i="16" s="1"/>
  <c r="K158" i="16" s="1"/>
  <c r="M158" i="16" s="1"/>
  <c r="B161" i="16"/>
  <c r="A162" i="16"/>
  <c r="L161" i="16"/>
  <c r="G159" i="16"/>
  <c r="F160" i="16"/>
  <c r="E160" i="16"/>
  <c r="D160" i="16"/>
  <c r="O131" i="6"/>
  <c r="O140" i="6"/>
  <c r="W131" i="6"/>
  <c r="U131" i="6"/>
  <c r="H131" i="6"/>
  <c r="T131" i="6"/>
  <c r="X131" i="6"/>
  <c r="J131" i="6"/>
  <c r="G131" i="6"/>
  <c r="K131" i="6"/>
  <c r="B132" i="6"/>
  <c r="A133" i="6"/>
  <c r="B133" i="6" s="1"/>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7" i="6"/>
  <c r="C189" i="6"/>
  <c r="C188" i="6"/>
  <c r="C186" i="6"/>
  <c r="C185" i="6"/>
  <c r="C184" i="6"/>
  <c r="C183" i="6"/>
  <c r="C182" i="6"/>
  <c r="C181" i="6"/>
  <c r="C180" i="6"/>
  <c r="C179" i="6"/>
  <c r="C178" i="6"/>
  <c r="C177" i="6"/>
  <c r="C174" i="6"/>
  <c r="C176" i="6"/>
  <c r="C173" i="6"/>
  <c r="C172" i="6"/>
  <c r="C171" i="6"/>
  <c r="C170" i="6"/>
  <c r="C169" i="6"/>
  <c r="C168" i="6"/>
  <c r="C167" i="6"/>
  <c r="C166" i="6"/>
  <c r="C165" i="6"/>
  <c r="C164" i="6"/>
  <c r="C163" i="6"/>
  <c r="C162" i="6"/>
  <c r="C161" i="6"/>
  <c r="C160" i="6"/>
  <c r="C159" i="6"/>
  <c r="C158" i="6"/>
  <c r="C157" i="6"/>
  <c r="C175" i="6"/>
  <c r="C155" i="6"/>
  <c r="C151" i="6"/>
  <c r="C150" i="6"/>
  <c r="C149" i="6"/>
  <c r="C148" i="6"/>
  <c r="C147" i="6"/>
  <c r="C146" i="6"/>
  <c r="C145" i="6"/>
  <c r="C144" i="6"/>
  <c r="C143" i="6"/>
  <c r="C142" i="6"/>
  <c r="C141" i="6"/>
  <c r="C140" i="6"/>
  <c r="C139" i="6"/>
  <c r="C138" i="6"/>
  <c r="C137" i="6"/>
  <c r="C136" i="6"/>
  <c r="C154" i="6"/>
  <c r="C153" i="6"/>
  <c r="C133" i="6"/>
  <c r="C156" i="6"/>
  <c r="C152" i="6"/>
  <c r="C135" i="6"/>
  <c r="C134" i="6"/>
  <c r="C132" i="6"/>
  <c r="C131" i="6"/>
  <c r="C130" i="6"/>
  <c r="C129" i="6"/>
  <c r="C128" i="6"/>
  <c r="C111" i="6"/>
  <c r="C112" i="6"/>
  <c r="C110" i="6"/>
  <c r="C107" i="6"/>
  <c r="C103" i="6"/>
  <c r="C99" i="6"/>
  <c r="C95" i="6"/>
  <c r="C127" i="6"/>
  <c r="C125" i="6"/>
  <c r="C123" i="6"/>
  <c r="C121" i="6"/>
  <c r="C119" i="6"/>
  <c r="C117" i="6"/>
  <c r="C115" i="6"/>
  <c r="C108" i="6"/>
  <c r="C104" i="6"/>
  <c r="C100" i="6"/>
  <c r="C96" i="6"/>
  <c r="C113" i="6"/>
  <c r="C105" i="6"/>
  <c r="C101" i="6"/>
  <c r="C97" i="6"/>
  <c r="C126" i="6"/>
  <c r="C124" i="6"/>
  <c r="C122" i="6"/>
  <c r="C120" i="6"/>
  <c r="C118" i="6"/>
  <c r="C116" i="6"/>
  <c r="C114" i="6"/>
  <c r="C109" i="6"/>
  <c r="C106" i="6"/>
  <c r="C102" i="6"/>
  <c r="C98" i="6"/>
  <c r="B141" i="6"/>
  <c r="A142" i="6"/>
  <c r="J140" i="6"/>
  <c r="U140" i="6"/>
  <c r="H140" i="6"/>
  <c r="G140" i="6"/>
  <c r="X140" i="6"/>
  <c r="W140" i="6"/>
  <c r="T140" i="6"/>
  <c r="K140" i="6"/>
  <c r="Z141" i="6" l="1"/>
  <c r="AA141" i="6"/>
  <c r="P141" i="6"/>
  <c r="Z133" i="6"/>
  <c r="P133" i="6"/>
  <c r="AA133" i="6"/>
  <c r="AM140" i="6"/>
  <c r="Z132" i="6"/>
  <c r="P132" i="6"/>
  <c r="AA132" i="6"/>
  <c r="AM131" i="6"/>
  <c r="AL131" i="6"/>
  <c r="N158" i="16"/>
  <c r="O158" i="16" s="1"/>
  <c r="P158" i="16"/>
  <c r="AL140" i="6"/>
  <c r="G160" i="16"/>
  <c r="H159" i="16"/>
  <c r="I159" i="16" s="1"/>
  <c r="K159" i="16" s="1"/>
  <c r="M159" i="16" s="1"/>
  <c r="F161" i="16"/>
  <c r="E161" i="16"/>
  <c r="D161" i="16"/>
  <c r="B162" i="16"/>
  <c r="L162" i="16"/>
  <c r="A163" i="16"/>
  <c r="O133" i="6"/>
  <c r="O132" i="6"/>
  <c r="O141" i="6"/>
  <c r="H132" i="6"/>
  <c r="U132" i="6"/>
  <c r="X132" i="6"/>
  <c r="W132" i="6"/>
  <c r="K132" i="6"/>
  <c r="J132" i="6"/>
  <c r="T132" i="6"/>
  <c r="G132" i="6"/>
  <c r="B142" i="6"/>
  <c r="A143" i="6"/>
  <c r="U141" i="6"/>
  <c r="H141" i="6"/>
  <c r="X141" i="6"/>
  <c r="W141" i="6"/>
  <c r="AM141" i="6" s="1"/>
  <c r="T141" i="6"/>
  <c r="K141" i="6"/>
  <c r="J141" i="6"/>
  <c r="G141" i="6"/>
  <c r="U133" i="6"/>
  <c r="W133" i="6"/>
  <c r="AM133" i="6" s="1"/>
  <c r="H133" i="6"/>
  <c r="J133" i="6"/>
  <c r="K133" i="6"/>
  <c r="T133" i="6"/>
  <c r="G133" i="6"/>
  <c r="X133" i="6"/>
  <c r="AM132" i="6" l="1"/>
  <c r="Z142" i="6"/>
  <c r="P142" i="6"/>
  <c r="AA142" i="6"/>
  <c r="N159" i="16"/>
  <c r="O159" i="16" s="1"/>
  <c r="P159" i="16"/>
  <c r="AL132" i="6"/>
  <c r="AL133" i="6"/>
  <c r="AL141" i="6"/>
  <c r="B163" i="16"/>
  <c r="A164" i="16"/>
  <c r="L163" i="16"/>
  <c r="F162" i="16"/>
  <c r="E162" i="16"/>
  <c r="D162" i="16"/>
  <c r="G161" i="16"/>
  <c r="H160" i="16"/>
  <c r="I160" i="16" s="1"/>
  <c r="K160" i="16" s="1"/>
  <c r="M160" i="16" s="1"/>
  <c r="O142" i="6"/>
  <c r="AL142" i="6" s="1"/>
  <c r="B143" i="6"/>
  <c r="A144" i="6"/>
  <c r="J142" i="6"/>
  <c r="U142" i="6"/>
  <c r="H142" i="6"/>
  <c r="W142" i="6"/>
  <c r="AM142" i="6" s="1"/>
  <c r="G142" i="6"/>
  <c r="X142" i="6"/>
  <c r="T142" i="6"/>
  <c r="K142" i="6"/>
  <c r="Z143" i="6" l="1"/>
  <c r="P143" i="6"/>
  <c r="AA143" i="6"/>
  <c r="N160" i="16"/>
  <c r="O160" i="16" s="1"/>
  <c r="P160" i="16"/>
  <c r="B164" i="16"/>
  <c r="A165" i="16"/>
  <c r="L164" i="16"/>
  <c r="H161" i="16"/>
  <c r="I161" i="16" s="1"/>
  <c r="K161" i="16" s="1"/>
  <c r="M161" i="16" s="1"/>
  <c r="G162" i="16"/>
  <c r="F163" i="16"/>
  <c r="E163" i="16"/>
  <c r="D163" i="16"/>
  <c r="O143" i="6"/>
  <c r="U143" i="6"/>
  <c r="H143" i="6"/>
  <c r="X143" i="6"/>
  <c r="T143" i="6"/>
  <c r="K143" i="6"/>
  <c r="W143" i="6"/>
  <c r="G143" i="6"/>
  <c r="J143" i="6"/>
  <c r="B144" i="6"/>
  <c r="A145" i="6"/>
  <c r="Z144" i="6" l="1"/>
  <c r="AA144" i="6"/>
  <c r="P144" i="6"/>
  <c r="AM143" i="6"/>
  <c r="N161" i="16"/>
  <c r="O161" i="16" s="1"/>
  <c r="P161" i="16"/>
  <c r="AL143" i="6"/>
  <c r="G163" i="16"/>
  <c r="H163" i="16" s="1"/>
  <c r="I163" i="16" s="1"/>
  <c r="K163" i="16" s="1"/>
  <c r="M163" i="16" s="1"/>
  <c r="N163" i="16" s="1"/>
  <c r="O163" i="16" s="1"/>
  <c r="F164" i="16"/>
  <c r="E164" i="16"/>
  <c r="D164" i="16"/>
  <c r="H162" i="16"/>
  <c r="I162" i="16" s="1"/>
  <c r="K162" i="16" s="1"/>
  <c r="M162" i="16" s="1"/>
  <c r="B165" i="16"/>
  <c r="A166" i="16"/>
  <c r="L165" i="16"/>
  <c r="O144" i="6"/>
  <c r="J144" i="6"/>
  <c r="U144" i="6"/>
  <c r="H144" i="6"/>
  <c r="G144" i="6"/>
  <c r="W144" i="6"/>
  <c r="AM144" i="6" s="1"/>
  <c r="X144" i="6"/>
  <c r="T144" i="6"/>
  <c r="K144" i="6"/>
  <c r="B145" i="6"/>
  <c r="A146" i="6"/>
  <c r="Z145" i="6" l="1"/>
  <c r="AA145" i="6"/>
  <c r="P145" i="6"/>
  <c r="P163" i="16"/>
  <c r="N162" i="16"/>
  <c r="O162" i="16" s="1"/>
  <c r="P162" i="16"/>
  <c r="AL144" i="6"/>
  <c r="G164" i="16"/>
  <c r="H164" i="16" s="1"/>
  <c r="I164" i="16" s="1"/>
  <c r="K164" i="16" s="1"/>
  <c r="M164" i="16" s="1"/>
  <c r="N164" i="16" s="1"/>
  <c r="O164" i="16" s="1"/>
  <c r="B166" i="16"/>
  <c r="L166" i="16"/>
  <c r="A167" i="16"/>
  <c r="F165" i="16"/>
  <c r="E165" i="16"/>
  <c r="D165" i="16"/>
  <c r="O145" i="6"/>
  <c r="B146" i="6"/>
  <c r="A147" i="6"/>
  <c r="U145" i="6"/>
  <c r="H145" i="6"/>
  <c r="J145" i="6"/>
  <c r="X145" i="6"/>
  <c r="T145" i="6"/>
  <c r="K145" i="6"/>
  <c r="G145" i="6"/>
  <c r="W145" i="6"/>
  <c r="Z146" i="6" l="1"/>
  <c r="P146" i="6"/>
  <c r="AA146" i="6"/>
  <c r="AM145" i="6"/>
  <c r="P164" i="16"/>
  <c r="AL145" i="6"/>
  <c r="B167" i="16"/>
  <c r="A168" i="16"/>
  <c r="L167" i="16"/>
  <c r="G165" i="16"/>
  <c r="F166" i="16"/>
  <c r="E166" i="16"/>
  <c r="D166" i="16"/>
  <c r="O146" i="6"/>
  <c r="B147" i="6"/>
  <c r="A148" i="6"/>
  <c r="J146" i="6"/>
  <c r="U146" i="6"/>
  <c r="H146" i="6"/>
  <c r="G146" i="6"/>
  <c r="W146" i="6"/>
  <c r="X146" i="6"/>
  <c r="T146" i="6"/>
  <c r="K146" i="6"/>
  <c r="Z147" i="6" l="1"/>
  <c r="P147" i="6"/>
  <c r="AA147" i="6"/>
  <c r="AL146" i="6"/>
  <c r="AM146" i="6"/>
  <c r="H165" i="16"/>
  <c r="I165" i="16" s="1"/>
  <c r="K165" i="16" s="1"/>
  <c r="M165" i="16" s="1"/>
  <c r="B168" i="16"/>
  <c r="A169" i="16"/>
  <c r="L168" i="16"/>
  <c r="G166" i="16"/>
  <c r="F167" i="16"/>
  <c r="E167" i="16"/>
  <c r="D167" i="16"/>
  <c r="O147" i="6"/>
  <c r="B148" i="6"/>
  <c r="A149" i="6"/>
  <c r="U147" i="6"/>
  <c r="H147" i="6"/>
  <c r="W147" i="6"/>
  <c r="X147" i="6"/>
  <c r="J147" i="6"/>
  <c r="T147" i="6"/>
  <c r="K147" i="6"/>
  <c r="G147" i="6"/>
  <c r="Z148" i="6" l="1"/>
  <c r="P148" i="6"/>
  <c r="AA148" i="6"/>
  <c r="AM147" i="6"/>
  <c r="N165" i="16"/>
  <c r="O165" i="16" s="1"/>
  <c r="P165" i="16"/>
  <c r="AL147" i="6"/>
  <c r="G167" i="16"/>
  <c r="B169" i="16"/>
  <c r="A170" i="16"/>
  <c r="L169" i="16"/>
  <c r="H166" i="16"/>
  <c r="I166" i="16" s="1"/>
  <c r="K166" i="16" s="1"/>
  <c r="M166" i="16" s="1"/>
  <c r="F168" i="16"/>
  <c r="E168" i="16"/>
  <c r="D168" i="16"/>
  <c r="O148" i="6"/>
  <c r="B149" i="6"/>
  <c r="A150" i="6"/>
  <c r="J148" i="6"/>
  <c r="U148" i="6"/>
  <c r="H148" i="6"/>
  <c r="G148" i="6"/>
  <c r="X148" i="6"/>
  <c r="W148" i="6"/>
  <c r="AM148" i="6" s="1"/>
  <c r="T148" i="6"/>
  <c r="K148" i="6"/>
  <c r="Z149" i="6" l="1"/>
  <c r="P149" i="6"/>
  <c r="AA149" i="6"/>
  <c r="N166" i="16"/>
  <c r="O166" i="16" s="1"/>
  <c r="P166" i="16"/>
  <c r="AL148" i="6"/>
  <c r="G168" i="16"/>
  <c r="F169" i="16"/>
  <c r="E169" i="16"/>
  <c r="D169" i="16"/>
  <c r="B170" i="16"/>
  <c r="L170" i="16"/>
  <c r="A171" i="16"/>
  <c r="H167" i="16"/>
  <c r="I167" i="16" s="1"/>
  <c r="K167" i="16" s="1"/>
  <c r="M167" i="16" s="1"/>
  <c r="N167" i="16" s="1"/>
  <c r="O149" i="6"/>
  <c r="B150" i="6"/>
  <c r="A151" i="6"/>
  <c r="U149" i="6"/>
  <c r="H149" i="6"/>
  <c r="X149" i="6"/>
  <c r="W149" i="6"/>
  <c r="T149" i="6"/>
  <c r="K149" i="6"/>
  <c r="J149" i="6"/>
  <c r="G149" i="6"/>
  <c r="Z150" i="6" l="1"/>
  <c r="P150" i="6"/>
  <c r="AA150" i="6"/>
  <c r="AM149" i="6"/>
  <c r="AL149" i="6"/>
  <c r="P167" i="16"/>
  <c r="O167" i="16"/>
  <c r="B171" i="16"/>
  <c r="A172" i="16"/>
  <c r="L171" i="16"/>
  <c r="G169" i="16"/>
  <c r="E170" i="16"/>
  <c r="F170" i="16"/>
  <c r="D170" i="16"/>
  <c r="H168" i="16"/>
  <c r="I168" i="16" s="1"/>
  <c r="K168" i="16" s="1"/>
  <c r="M168" i="16" s="1"/>
  <c r="N168" i="16" s="1"/>
  <c r="O150" i="6"/>
  <c r="A152" i="6"/>
  <c r="B151" i="6"/>
  <c r="J150" i="6"/>
  <c r="U150" i="6"/>
  <c r="H150" i="6"/>
  <c r="W150" i="6"/>
  <c r="G150" i="6"/>
  <c r="X150" i="6"/>
  <c r="T150" i="6"/>
  <c r="K150" i="6"/>
  <c r="AM150" i="6" l="1"/>
  <c r="Z151" i="6"/>
  <c r="P151" i="6"/>
  <c r="AA151" i="6"/>
  <c r="AL150" i="6"/>
  <c r="O168" i="16"/>
  <c r="P168" i="16"/>
  <c r="G170" i="16"/>
  <c r="H170" i="16" s="1"/>
  <c r="H169" i="16"/>
  <c r="I169" i="16" s="1"/>
  <c r="K169" i="16" s="1"/>
  <c r="M169" i="16" s="1"/>
  <c r="N169" i="16" s="1"/>
  <c r="B172" i="16"/>
  <c r="L172" i="16"/>
  <c r="A173" i="16"/>
  <c r="E171" i="16"/>
  <c r="F171" i="16"/>
  <c r="D171" i="16"/>
  <c r="O151" i="6"/>
  <c r="H151" i="6"/>
  <c r="U151" i="6"/>
  <c r="T151" i="6"/>
  <c r="K151" i="6"/>
  <c r="W151" i="6"/>
  <c r="J151" i="6"/>
  <c r="G151" i="6"/>
  <c r="X151" i="6"/>
  <c r="A153" i="6"/>
  <c r="B152" i="6"/>
  <c r="AM151" i="6" l="1"/>
  <c r="Z152" i="6"/>
  <c r="AA152" i="6"/>
  <c r="P152" i="6"/>
  <c r="AL151" i="6"/>
  <c r="O169" i="16"/>
  <c r="P169" i="16"/>
  <c r="I170" i="16"/>
  <c r="K170" i="16" s="1"/>
  <c r="M170" i="16" s="1"/>
  <c r="N170" i="16" s="1"/>
  <c r="G171" i="16"/>
  <c r="B173" i="16"/>
  <c r="L173" i="16"/>
  <c r="A174" i="16"/>
  <c r="F172" i="16"/>
  <c r="E172" i="16"/>
  <c r="D172" i="16"/>
  <c r="O152" i="6"/>
  <c r="A154" i="6"/>
  <c r="B153" i="6"/>
  <c r="H152" i="6"/>
  <c r="U152" i="6"/>
  <c r="G152" i="6"/>
  <c r="T152" i="6"/>
  <c r="X152" i="6"/>
  <c r="J152" i="6"/>
  <c r="K152" i="6"/>
  <c r="W152" i="6"/>
  <c r="AM152" i="6" s="1"/>
  <c r="Z153" i="6" l="1"/>
  <c r="AA153" i="6"/>
  <c r="P153" i="6"/>
  <c r="AL152" i="6"/>
  <c r="O170" i="16"/>
  <c r="P170" i="16"/>
  <c r="E173" i="16"/>
  <c r="F173" i="16"/>
  <c r="D173" i="16"/>
  <c r="G172" i="16"/>
  <c r="B174" i="16"/>
  <c r="A175" i="16"/>
  <c r="L174" i="16"/>
  <c r="H171" i="16"/>
  <c r="I171" i="16" s="1"/>
  <c r="K171" i="16" s="1"/>
  <c r="M171" i="16" s="1"/>
  <c r="N171" i="16" s="1"/>
  <c r="O153" i="6"/>
  <c r="H153" i="6"/>
  <c r="U153" i="6"/>
  <c r="W153" i="6"/>
  <c r="G153" i="6"/>
  <c r="K153" i="6"/>
  <c r="T153" i="6"/>
  <c r="J153" i="6"/>
  <c r="X153" i="6"/>
  <c r="A155" i="6"/>
  <c r="B154" i="6"/>
  <c r="Z154" i="6" l="1"/>
  <c r="P154" i="6"/>
  <c r="AA154" i="6"/>
  <c r="AM153" i="6"/>
  <c r="AL153" i="6"/>
  <c r="O171" i="16"/>
  <c r="P171" i="16"/>
  <c r="G173" i="16"/>
  <c r="H173" i="16" s="1"/>
  <c r="I173" i="16" s="1"/>
  <c r="K173" i="16" s="1"/>
  <c r="M173" i="16" s="1"/>
  <c r="F174" i="16"/>
  <c r="E174" i="16"/>
  <c r="D174" i="16"/>
  <c r="H172" i="16"/>
  <c r="I172" i="16" s="1"/>
  <c r="K172" i="16" s="1"/>
  <c r="M172" i="16" s="1"/>
  <c r="N172" i="16" s="1"/>
  <c r="B175" i="16"/>
  <c r="A176" i="16"/>
  <c r="L175" i="16"/>
  <c r="O154" i="6"/>
  <c r="U154" i="6"/>
  <c r="H154" i="6"/>
  <c r="G154" i="6"/>
  <c r="X154" i="6"/>
  <c r="K154" i="6"/>
  <c r="W154" i="6"/>
  <c r="T154" i="6"/>
  <c r="J154" i="6"/>
  <c r="A156" i="6"/>
  <c r="B155" i="6"/>
  <c r="AM154" i="6" l="1"/>
  <c r="Z155" i="6"/>
  <c r="P155" i="6"/>
  <c r="AA155" i="6"/>
  <c r="AL154" i="6"/>
  <c r="N173" i="16"/>
  <c r="O173" i="16" s="1"/>
  <c r="P173" i="16"/>
  <c r="O172" i="16"/>
  <c r="P172" i="16"/>
  <c r="G174" i="16"/>
  <c r="H174" i="16" s="1"/>
  <c r="F175" i="16"/>
  <c r="E175" i="16"/>
  <c r="D175" i="16"/>
  <c r="B176" i="16"/>
  <c r="A177" i="16"/>
  <c r="L176" i="16"/>
  <c r="O155" i="6"/>
  <c r="W155" i="6"/>
  <c r="H155" i="6"/>
  <c r="U155" i="6"/>
  <c r="T155" i="6"/>
  <c r="K155" i="6"/>
  <c r="J155" i="6"/>
  <c r="G155" i="6"/>
  <c r="X155" i="6"/>
  <c r="A157" i="6"/>
  <c r="B156" i="6"/>
  <c r="Z156" i="6" l="1"/>
  <c r="P156" i="6"/>
  <c r="AA156" i="6"/>
  <c r="AM155" i="6"/>
  <c r="AL155" i="6"/>
  <c r="I174" i="16"/>
  <c r="K174" i="16" s="1"/>
  <c r="M174" i="16" s="1"/>
  <c r="B177" i="16"/>
  <c r="A178" i="16"/>
  <c r="L177" i="16"/>
  <c r="F176" i="16"/>
  <c r="E176" i="16"/>
  <c r="D176" i="16"/>
  <c r="G175" i="16"/>
  <c r="O156" i="6"/>
  <c r="U156" i="6"/>
  <c r="W156" i="6"/>
  <c r="AM156" i="6" s="1"/>
  <c r="H156" i="6"/>
  <c r="T156" i="6"/>
  <c r="K156" i="6"/>
  <c r="J156" i="6"/>
  <c r="X156" i="6"/>
  <c r="G156" i="6"/>
  <c r="A158" i="6"/>
  <c r="B157" i="6"/>
  <c r="Z157" i="6" l="1"/>
  <c r="P157" i="6"/>
  <c r="AA157" i="6"/>
  <c r="AL156" i="6"/>
  <c r="N174" i="16"/>
  <c r="O174" i="16" s="1"/>
  <c r="P174" i="16"/>
  <c r="F177" i="16"/>
  <c r="E177" i="16"/>
  <c r="D177" i="16"/>
  <c r="H175" i="16"/>
  <c r="I175" i="16" s="1"/>
  <c r="K175" i="16" s="1"/>
  <c r="M175" i="16" s="1"/>
  <c r="N175" i="16" s="1"/>
  <c r="B178" i="16"/>
  <c r="A179" i="16"/>
  <c r="L178" i="16"/>
  <c r="G176" i="16"/>
  <c r="O157" i="6"/>
  <c r="U157" i="6"/>
  <c r="H157" i="6"/>
  <c r="W157" i="6"/>
  <c r="X157" i="6"/>
  <c r="J157" i="6"/>
  <c r="K157" i="6"/>
  <c r="T157" i="6"/>
  <c r="G157" i="6"/>
  <c r="A159" i="6"/>
  <c r="B158" i="6"/>
  <c r="AL157" i="6" l="1"/>
  <c r="Z158" i="6"/>
  <c r="P158" i="6"/>
  <c r="AA158" i="6"/>
  <c r="AM157" i="6"/>
  <c r="P175" i="16"/>
  <c r="O175" i="16"/>
  <c r="H176" i="16"/>
  <c r="I176" i="16" s="1"/>
  <c r="K176" i="16" s="1"/>
  <c r="M176" i="16" s="1"/>
  <c r="N176" i="16" s="1"/>
  <c r="F178" i="16"/>
  <c r="E178" i="16"/>
  <c r="D178" i="16"/>
  <c r="G177" i="16"/>
  <c r="B179" i="16"/>
  <c r="A180" i="16"/>
  <c r="L179" i="16"/>
  <c r="O158" i="6"/>
  <c r="AL158" i="6" s="1"/>
  <c r="U158" i="6"/>
  <c r="W158" i="6"/>
  <c r="H158" i="6"/>
  <c r="T158" i="6"/>
  <c r="G158" i="6"/>
  <c r="X158" i="6"/>
  <c r="J158" i="6"/>
  <c r="K158" i="6"/>
  <c r="A160" i="6"/>
  <c r="B159" i="6"/>
  <c r="Z159" i="6" l="1"/>
  <c r="P159" i="6"/>
  <c r="AA159" i="6"/>
  <c r="AM158" i="6"/>
  <c r="O176" i="16"/>
  <c r="P176" i="16"/>
  <c r="G178" i="16"/>
  <c r="H178" i="16" s="1"/>
  <c r="I178" i="16" s="1"/>
  <c r="K178" i="16" s="1"/>
  <c r="M178" i="16" s="1"/>
  <c r="H177" i="16"/>
  <c r="I177" i="16" s="1"/>
  <c r="K177" i="16" s="1"/>
  <c r="M177" i="16" s="1"/>
  <c r="N177" i="16" s="1"/>
  <c r="B180" i="16"/>
  <c r="A181" i="16"/>
  <c r="L180" i="16"/>
  <c r="E179" i="16"/>
  <c r="F179" i="16"/>
  <c r="D179" i="16"/>
  <c r="O159" i="6"/>
  <c r="W159" i="6"/>
  <c r="AM159" i="6" s="1"/>
  <c r="U159" i="6"/>
  <c r="H159" i="6"/>
  <c r="J159" i="6"/>
  <c r="X159" i="6"/>
  <c r="K159" i="6"/>
  <c r="T159" i="6"/>
  <c r="G159" i="6"/>
  <c r="A161" i="6"/>
  <c r="B160" i="6"/>
  <c r="Z160" i="6" l="1"/>
  <c r="P160" i="6"/>
  <c r="AA160" i="6"/>
  <c r="AL159" i="6"/>
  <c r="N178" i="16"/>
  <c r="O178" i="16" s="1"/>
  <c r="P178" i="16"/>
  <c r="P177" i="16"/>
  <c r="O177" i="16"/>
  <c r="G179" i="16"/>
  <c r="H179" i="16" s="1"/>
  <c r="I179" i="16" s="1"/>
  <c r="K179" i="16" s="1"/>
  <c r="M179" i="16" s="1"/>
  <c r="F180" i="16"/>
  <c r="E180" i="16"/>
  <c r="D180" i="16"/>
  <c r="B181" i="16"/>
  <c r="A182" i="16"/>
  <c r="L181" i="16"/>
  <c r="O160" i="6"/>
  <c r="A162" i="6"/>
  <c r="B161" i="6"/>
  <c r="U160" i="6"/>
  <c r="H160" i="6"/>
  <c r="T160" i="6"/>
  <c r="W160" i="6"/>
  <c r="AM160" i="6" s="1"/>
  <c r="G160" i="6"/>
  <c r="J160" i="6"/>
  <c r="X160" i="6"/>
  <c r="K160" i="6"/>
  <c r="Z161" i="6" l="1"/>
  <c r="P161" i="6"/>
  <c r="AA161" i="6"/>
  <c r="AL160" i="6"/>
  <c r="N179" i="16"/>
  <c r="O179" i="16" s="1"/>
  <c r="P179" i="16"/>
  <c r="F181" i="16"/>
  <c r="E181" i="16"/>
  <c r="D181" i="16"/>
  <c r="B182" i="16"/>
  <c r="A183" i="16"/>
  <c r="L182" i="16"/>
  <c r="G180" i="16"/>
  <c r="O161" i="6"/>
  <c r="W161" i="6"/>
  <c r="U161" i="6"/>
  <c r="H161" i="6"/>
  <c r="J161" i="6"/>
  <c r="X161" i="6"/>
  <c r="K161" i="6"/>
  <c r="T161" i="6"/>
  <c r="G161" i="6"/>
  <c r="A163" i="6"/>
  <c r="B162" i="6"/>
  <c r="AM161" i="6" l="1"/>
  <c r="Z162" i="6"/>
  <c r="P162" i="6"/>
  <c r="AA162" i="6"/>
  <c r="AL161" i="6"/>
  <c r="H180" i="16"/>
  <c r="I180" i="16" s="1"/>
  <c r="K180" i="16" s="1"/>
  <c r="M180" i="16" s="1"/>
  <c r="N180" i="16" s="1"/>
  <c r="F182" i="16"/>
  <c r="E182" i="16"/>
  <c r="D182" i="16"/>
  <c r="B183" i="16"/>
  <c r="L183" i="16"/>
  <c r="A184" i="16"/>
  <c r="G181" i="16"/>
  <c r="O162" i="6"/>
  <c r="U162" i="6"/>
  <c r="H162" i="6"/>
  <c r="T162" i="6"/>
  <c r="G162" i="6"/>
  <c r="W162" i="6"/>
  <c r="X162" i="6"/>
  <c r="J162" i="6"/>
  <c r="K162" i="6"/>
  <c r="A164" i="6"/>
  <c r="B163" i="6"/>
  <c r="AL162" i="6" l="1"/>
  <c r="Z163" i="6"/>
  <c r="P163" i="6"/>
  <c r="AA163" i="6"/>
  <c r="AM162" i="6"/>
  <c r="O180" i="16"/>
  <c r="P180" i="16"/>
  <c r="G182" i="16"/>
  <c r="H182" i="16" s="1"/>
  <c r="I182" i="16" s="1"/>
  <c r="K182" i="16" s="1"/>
  <c r="M182" i="16" s="1"/>
  <c r="H181" i="16"/>
  <c r="I181" i="16" s="1"/>
  <c r="K181" i="16" s="1"/>
  <c r="M181" i="16" s="1"/>
  <c r="N181" i="16" s="1"/>
  <c r="F183" i="16"/>
  <c r="E183" i="16"/>
  <c r="D183" i="16"/>
  <c r="B184" i="16"/>
  <c r="A185" i="16"/>
  <c r="L184" i="16"/>
  <c r="O163" i="6"/>
  <c r="A165" i="6"/>
  <c r="B164" i="6"/>
  <c r="W163" i="6"/>
  <c r="U163" i="6"/>
  <c r="H163" i="6"/>
  <c r="X163" i="6"/>
  <c r="J163" i="6"/>
  <c r="K163" i="6"/>
  <c r="T163" i="6"/>
  <c r="G163" i="6"/>
  <c r="AM163" i="6" l="1"/>
  <c r="Z164" i="6"/>
  <c r="P164" i="6"/>
  <c r="AA164" i="6"/>
  <c r="AL163" i="6"/>
  <c r="N182" i="16"/>
  <c r="O182" i="16" s="1"/>
  <c r="O181" i="16"/>
  <c r="P181" i="16"/>
  <c r="G183" i="16"/>
  <c r="F184" i="16"/>
  <c r="E184" i="16"/>
  <c r="D184" i="16"/>
  <c r="B185" i="16"/>
  <c r="L185" i="16"/>
  <c r="A186" i="16"/>
  <c r="O164" i="6"/>
  <c r="U164" i="6"/>
  <c r="H164" i="6"/>
  <c r="J164" i="6"/>
  <c r="T164" i="6"/>
  <c r="G164" i="6"/>
  <c r="X164" i="6"/>
  <c r="W164" i="6"/>
  <c r="AM164" i="6" s="1"/>
  <c r="K164" i="6"/>
  <c r="A166" i="6"/>
  <c r="B165" i="6"/>
  <c r="AL164" i="6" l="1"/>
  <c r="Z165" i="6"/>
  <c r="AA165" i="6"/>
  <c r="P165" i="6"/>
  <c r="P182" i="16"/>
  <c r="G184" i="16"/>
  <c r="H184" i="16" s="1"/>
  <c r="I184" i="16" s="1"/>
  <c r="K184" i="16" s="1"/>
  <c r="M184" i="16" s="1"/>
  <c r="H183" i="16"/>
  <c r="I183" i="16" s="1"/>
  <c r="K183" i="16" s="1"/>
  <c r="M183" i="16" s="1"/>
  <c r="N183" i="16" s="1"/>
  <c r="F185" i="16"/>
  <c r="E185" i="16"/>
  <c r="D185" i="16"/>
  <c r="B186" i="16"/>
  <c r="A187" i="16"/>
  <c r="L186" i="16"/>
  <c r="O165" i="6"/>
  <c r="A167" i="6"/>
  <c r="B166" i="6"/>
  <c r="W165" i="6"/>
  <c r="U165" i="6"/>
  <c r="H165" i="6"/>
  <c r="X165" i="6"/>
  <c r="K165" i="6"/>
  <c r="J165" i="6"/>
  <c r="T165" i="6"/>
  <c r="G165" i="6"/>
  <c r="Z166" i="6" l="1"/>
  <c r="AA166" i="6"/>
  <c r="P166" i="6"/>
  <c r="AM165" i="6"/>
  <c r="AL165" i="6"/>
  <c r="N184" i="16"/>
  <c r="O184" i="16" s="1"/>
  <c r="P184" i="16" s="1"/>
  <c r="O183" i="16"/>
  <c r="P183" i="16"/>
  <c r="F186" i="16"/>
  <c r="E186" i="16"/>
  <c r="D186" i="16"/>
  <c r="B187" i="16"/>
  <c r="A188" i="16"/>
  <c r="L187" i="16"/>
  <c r="G185" i="16"/>
  <c r="O166" i="6"/>
  <c r="U166" i="6"/>
  <c r="H166" i="6"/>
  <c r="W166" i="6"/>
  <c r="T166" i="6"/>
  <c r="J166" i="6"/>
  <c r="G166" i="6"/>
  <c r="X166" i="6"/>
  <c r="K166" i="6"/>
  <c r="A168" i="6"/>
  <c r="B167" i="6"/>
  <c r="AM166" i="6" l="1"/>
  <c r="Z167" i="6"/>
  <c r="AA167" i="6"/>
  <c r="P167" i="6"/>
  <c r="AL166" i="6"/>
  <c r="G186" i="16"/>
  <c r="H186" i="16" s="1"/>
  <c r="I186" i="16" s="1"/>
  <c r="K186" i="16" s="1"/>
  <c r="M186" i="16" s="1"/>
  <c r="N186" i="16" s="1"/>
  <c r="B188" i="16"/>
  <c r="L188" i="16"/>
  <c r="A189" i="16"/>
  <c r="H185" i="16"/>
  <c r="I185" i="16" s="1"/>
  <c r="K185" i="16" s="1"/>
  <c r="M185" i="16" s="1"/>
  <c r="E187" i="16"/>
  <c r="F187" i="16"/>
  <c r="D187" i="16"/>
  <c r="O167" i="6"/>
  <c r="W167" i="6"/>
  <c r="U167" i="6"/>
  <c r="H167" i="6"/>
  <c r="X167" i="6"/>
  <c r="K167" i="6"/>
  <c r="T167" i="6"/>
  <c r="J167" i="6"/>
  <c r="G167" i="6"/>
  <c r="A169" i="6"/>
  <c r="B168" i="6"/>
  <c r="Z168" i="6" l="1"/>
  <c r="AA168" i="6"/>
  <c r="P168" i="6"/>
  <c r="AM167" i="6"/>
  <c r="AL167" i="6"/>
  <c r="N185" i="16"/>
  <c r="O185" i="16" s="1"/>
  <c r="P185" i="16" s="1"/>
  <c r="O186" i="16"/>
  <c r="P186" i="16"/>
  <c r="B189" i="16"/>
  <c r="L189" i="16"/>
  <c r="A190" i="16"/>
  <c r="G187" i="16"/>
  <c r="F188" i="16"/>
  <c r="E188" i="16"/>
  <c r="D188" i="16"/>
  <c r="O168" i="6"/>
  <c r="A170" i="6"/>
  <c r="B169" i="6"/>
  <c r="U168" i="6"/>
  <c r="H168" i="6"/>
  <c r="T168" i="6"/>
  <c r="W168" i="6"/>
  <c r="G168" i="6"/>
  <c r="J168" i="6"/>
  <c r="X168" i="6"/>
  <c r="K168" i="6"/>
  <c r="AM168" i="6" l="1"/>
  <c r="Z169" i="6"/>
  <c r="AA169" i="6"/>
  <c r="P169" i="6"/>
  <c r="AL168" i="6"/>
  <c r="G188" i="16"/>
  <c r="H188" i="16" s="1"/>
  <c r="I188" i="16" s="1"/>
  <c r="K188" i="16" s="1"/>
  <c r="M188" i="16" s="1"/>
  <c r="B190" i="16"/>
  <c r="L190" i="16"/>
  <c r="A191" i="16"/>
  <c r="H187" i="16"/>
  <c r="I187" i="16" s="1"/>
  <c r="K187" i="16" s="1"/>
  <c r="M187" i="16" s="1"/>
  <c r="E189" i="16"/>
  <c r="F189" i="16"/>
  <c r="D189" i="16"/>
  <c r="O169" i="6"/>
  <c r="W169" i="6"/>
  <c r="AM169" i="6" s="1"/>
  <c r="U169" i="6"/>
  <c r="H169" i="6"/>
  <c r="J169" i="6"/>
  <c r="X169" i="6"/>
  <c r="K169" i="6"/>
  <c r="T169" i="6"/>
  <c r="G169" i="6"/>
  <c r="A171" i="6"/>
  <c r="B170" i="6"/>
  <c r="Z170" i="6" l="1"/>
  <c r="AA170" i="6"/>
  <c r="P170" i="6"/>
  <c r="AL169" i="6"/>
  <c r="N187" i="16"/>
  <c r="O187" i="16" s="1"/>
  <c r="P187" i="16" s="1"/>
  <c r="N188" i="16"/>
  <c r="O188" i="16" s="1"/>
  <c r="P188" i="16" s="1"/>
  <c r="F190" i="16"/>
  <c r="E190" i="16"/>
  <c r="D190" i="16"/>
  <c r="B191" i="16"/>
  <c r="A192" i="16"/>
  <c r="L191" i="16"/>
  <c r="G189" i="16"/>
  <c r="O170" i="6"/>
  <c r="A172" i="6"/>
  <c r="B171" i="6"/>
  <c r="U170" i="6"/>
  <c r="H170" i="6"/>
  <c r="T170" i="6"/>
  <c r="G170" i="6"/>
  <c r="W170" i="6"/>
  <c r="X170" i="6"/>
  <c r="J170" i="6"/>
  <c r="K170" i="6"/>
  <c r="Z171" i="6" l="1"/>
  <c r="AA171" i="6"/>
  <c r="P171" i="6"/>
  <c r="AM170" i="6"/>
  <c r="AL170" i="6"/>
  <c r="H189" i="16"/>
  <c r="I189" i="16" s="1"/>
  <c r="K189" i="16" s="1"/>
  <c r="M189" i="16" s="1"/>
  <c r="F191" i="16"/>
  <c r="E191" i="16"/>
  <c r="D191" i="16"/>
  <c r="G190" i="16"/>
  <c r="B192" i="16"/>
  <c r="A193" i="16"/>
  <c r="L192" i="16"/>
  <c r="O171" i="6"/>
  <c r="W171" i="6"/>
  <c r="U171" i="6"/>
  <c r="H171" i="6"/>
  <c r="X171" i="6"/>
  <c r="J171" i="6"/>
  <c r="K171" i="6"/>
  <c r="T171" i="6"/>
  <c r="G171" i="6"/>
  <c r="A173" i="6"/>
  <c r="B172" i="6"/>
  <c r="AM171" i="6" l="1"/>
  <c r="Z172" i="6"/>
  <c r="AA172" i="6"/>
  <c r="P172" i="6"/>
  <c r="AL171" i="6"/>
  <c r="N189" i="16"/>
  <c r="O189" i="16" s="1"/>
  <c r="P189" i="16" s="1"/>
  <c r="G191" i="16"/>
  <c r="H191" i="16" s="1"/>
  <c r="B193" i="16"/>
  <c r="A194" i="16"/>
  <c r="L193" i="16"/>
  <c r="H190" i="16"/>
  <c r="I190" i="16" s="1"/>
  <c r="K190" i="16" s="1"/>
  <c r="M190" i="16" s="1"/>
  <c r="F192" i="16"/>
  <c r="E192" i="16"/>
  <c r="D192" i="16"/>
  <c r="O172" i="6"/>
  <c r="U172" i="6"/>
  <c r="H172" i="6"/>
  <c r="J172" i="6"/>
  <c r="T172" i="6"/>
  <c r="G172" i="6"/>
  <c r="W172" i="6"/>
  <c r="K172" i="6"/>
  <c r="X172" i="6"/>
  <c r="B173" i="6"/>
  <c r="A174" i="6"/>
  <c r="Z173" i="6" l="1"/>
  <c r="AA173" i="6"/>
  <c r="P173" i="6"/>
  <c r="AM172" i="6"/>
  <c r="AL172" i="6"/>
  <c r="I191" i="16"/>
  <c r="K191" i="16" s="1"/>
  <c r="M191" i="16" s="1"/>
  <c r="N190" i="16"/>
  <c r="O190" i="16" s="1"/>
  <c r="P190" i="16" s="1"/>
  <c r="G192" i="16"/>
  <c r="F193" i="16"/>
  <c r="E193" i="16"/>
  <c r="D193" i="16"/>
  <c r="B194" i="16"/>
  <c r="L194" i="16"/>
  <c r="A195" i="16"/>
  <c r="O173" i="6"/>
  <c r="B174" i="6"/>
  <c r="A175" i="6"/>
  <c r="W173" i="6"/>
  <c r="U173" i="6"/>
  <c r="H173" i="6"/>
  <c r="J173" i="6"/>
  <c r="T173" i="6"/>
  <c r="X173" i="6"/>
  <c r="K173" i="6"/>
  <c r="G173" i="6"/>
  <c r="Z174" i="6" l="1"/>
  <c r="P174" i="6"/>
  <c r="AA174" i="6"/>
  <c r="AM173" i="6"/>
  <c r="AL173" i="6"/>
  <c r="N191" i="16"/>
  <c r="O191" i="16" s="1"/>
  <c r="P191" i="16" s="1"/>
  <c r="G193" i="16"/>
  <c r="H193" i="16" s="1"/>
  <c r="I193" i="16" s="1"/>
  <c r="K193" i="16" s="1"/>
  <c r="M193" i="16" s="1"/>
  <c r="F194" i="16"/>
  <c r="E194" i="16"/>
  <c r="D194" i="16"/>
  <c r="B195" i="16"/>
  <c r="A196" i="16"/>
  <c r="L195" i="16"/>
  <c r="H192" i="16"/>
  <c r="I192" i="16" s="1"/>
  <c r="K192" i="16" s="1"/>
  <c r="M192" i="16" s="1"/>
  <c r="O174" i="6"/>
  <c r="B175" i="6"/>
  <c r="A176" i="6"/>
  <c r="U174" i="6"/>
  <c r="H174" i="6"/>
  <c r="W174" i="6"/>
  <c r="T174" i="6"/>
  <c r="J174" i="6"/>
  <c r="G174" i="6"/>
  <c r="K174" i="6"/>
  <c r="X174" i="6"/>
  <c r="AM174" i="6" l="1"/>
  <c r="Z175" i="6"/>
  <c r="P175" i="6"/>
  <c r="AA175" i="6"/>
  <c r="AL174" i="6"/>
  <c r="N193" i="16"/>
  <c r="O193" i="16" s="1"/>
  <c r="P193" i="16" s="1"/>
  <c r="N192" i="16"/>
  <c r="O192" i="16" s="1"/>
  <c r="P192" i="16" s="1"/>
  <c r="G194" i="16"/>
  <c r="H194" i="16" s="1"/>
  <c r="B196" i="16"/>
  <c r="L196" i="16"/>
  <c r="A197" i="16"/>
  <c r="F195" i="16"/>
  <c r="E195" i="16"/>
  <c r="D195" i="16"/>
  <c r="O175" i="6"/>
  <c r="B176" i="6"/>
  <c r="A177" i="6"/>
  <c r="W175" i="6"/>
  <c r="U175" i="6"/>
  <c r="H175" i="6"/>
  <c r="X175" i="6"/>
  <c r="K175" i="6"/>
  <c r="T175" i="6"/>
  <c r="J175" i="6"/>
  <c r="G175" i="6"/>
  <c r="Z176" i="6" l="1"/>
  <c r="P176" i="6"/>
  <c r="AA176" i="6"/>
  <c r="AM175" i="6"/>
  <c r="AL175" i="6"/>
  <c r="I194" i="16"/>
  <c r="K194" i="16" s="1"/>
  <c r="M194" i="16" s="1"/>
  <c r="B197" i="16"/>
  <c r="L197" i="16"/>
  <c r="A198" i="16"/>
  <c r="G195" i="16"/>
  <c r="F196" i="16"/>
  <c r="E196" i="16"/>
  <c r="D196" i="16"/>
  <c r="O176" i="6"/>
  <c r="B177" i="6"/>
  <c r="A178" i="6"/>
  <c r="H176" i="6"/>
  <c r="U176" i="6"/>
  <c r="W176" i="6"/>
  <c r="G176" i="6"/>
  <c r="J176" i="6"/>
  <c r="T176" i="6"/>
  <c r="K176" i="6"/>
  <c r="X176" i="6"/>
  <c r="Z177" i="6" l="1"/>
  <c r="AA177" i="6"/>
  <c r="P177" i="6"/>
  <c r="AM176" i="6"/>
  <c r="AL176" i="6"/>
  <c r="N194" i="16"/>
  <c r="O194" i="16" s="1"/>
  <c r="P194" i="16" s="1"/>
  <c r="H195" i="16"/>
  <c r="I195" i="16" s="1"/>
  <c r="K195" i="16" s="1"/>
  <c r="M195" i="16" s="1"/>
  <c r="F197" i="16"/>
  <c r="E197" i="16"/>
  <c r="D197" i="16"/>
  <c r="B198" i="16"/>
  <c r="A199" i="16"/>
  <c r="L198" i="16"/>
  <c r="G196" i="16"/>
  <c r="O177" i="6"/>
  <c r="B178" i="6"/>
  <c r="A179" i="6"/>
  <c r="W177" i="6"/>
  <c r="U177" i="6"/>
  <c r="H177" i="6"/>
  <c r="J177" i="6"/>
  <c r="T177" i="6"/>
  <c r="G177" i="6"/>
  <c r="X177" i="6"/>
  <c r="K177" i="6"/>
  <c r="Z178" i="6" l="1"/>
  <c r="P178" i="6"/>
  <c r="AA178" i="6"/>
  <c r="AM177" i="6"/>
  <c r="AL177" i="6"/>
  <c r="N195" i="16"/>
  <c r="O195" i="16" s="1"/>
  <c r="P195" i="16" s="1"/>
  <c r="B199" i="16"/>
  <c r="A200" i="16"/>
  <c r="L199" i="16"/>
  <c r="G197" i="16"/>
  <c r="H196" i="16"/>
  <c r="I196" i="16" s="1"/>
  <c r="K196" i="16" s="1"/>
  <c r="M196" i="16" s="1"/>
  <c r="E198" i="16"/>
  <c r="F198" i="16"/>
  <c r="D198" i="16"/>
  <c r="O178" i="6"/>
  <c r="B179" i="6"/>
  <c r="A180" i="6"/>
  <c r="U178" i="6"/>
  <c r="H178" i="6"/>
  <c r="K178" i="6"/>
  <c r="W178" i="6"/>
  <c r="T178" i="6"/>
  <c r="J178" i="6"/>
  <c r="G178" i="6"/>
  <c r="X178" i="6"/>
  <c r="AM178" i="6" l="1"/>
  <c r="Z179" i="6"/>
  <c r="P179" i="6"/>
  <c r="AA179" i="6"/>
  <c r="AL178" i="6"/>
  <c r="N196" i="16"/>
  <c r="O196" i="16" s="1"/>
  <c r="P196" i="16" s="1"/>
  <c r="B200" i="16"/>
  <c r="L200" i="16"/>
  <c r="A201" i="16"/>
  <c r="G198" i="16"/>
  <c r="H197" i="16"/>
  <c r="I197" i="16" s="1"/>
  <c r="K197" i="16" s="1"/>
  <c r="M197" i="16" s="1"/>
  <c r="F199" i="16"/>
  <c r="E199" i="16"/>
  <c r="D199" i="16"/>
  <c r="O179" i="6"/>
  <c r="B180" i="6"/>
  <c r="A181" i="6"/>
  <c r="W179" i="6"/>
  <c r="U179" i="6"/>
  <c r="H179" i="6"/>
  <c r="T179" i="6"/>
  <c r="J179" i="6"/>
  <c r="G179" i="6"/>
  <c r="X179" i="6"/>
  <c r="K179" i="6"/>
  <c r="Z180" i="6" l="1"/>
  <c r="AA180" i="6"/>
  <c r="P180" i="6"/>
  <c r="AM179" i="6"/>
  <c r="AL179" i="6"/>
  <c r="N197" i="16"/>
  <c r="O197" i="16" s="1"/>
  <c r="P197" i="16" s="1"/>
  <c r="G199" i="16"/>
  <c r="H199" i="16" s="1"/>
  <c r="I199" i="16" s="1"/>
  <c r="K199" i="16" s="1"/>
  <c r="M199" i="16" s="1"/>
  <c r="H198" i="16"/>
  <c r="I198" i="16" s="1"/>
  <c r="K198" i="16" s="1"/>
  <c r="M198" i="16" s="1"/>
  <c r="F200" i="16"/>
  <c r="E200" i="16"/>
  <c r="D200" i="16"/>
  <c r="B201" i="16"/>
  <c r="A202" i="16"/>
  <c r="L201" i="16"/>
  <c r="O180" i="6"/>
  <c r="B181" i="6"/>
  <c r="A182" i="6"/>
  <c r="U180" i="6"/>
  <c r="H180" i="6"/>
  <c r="J180" i="6"/>
  <c r="K180" i="6"/>
  <c r="T180" i="6"/>
  <c r="W180" i="6"/>
  <c r="G180" i="6"/>
  <c r="X180" i="6"/>
  <c r="Z181" i="6" l="1"/>
  <c r="AA181" i="6"/>
  <c r="P181" i="6"/>
  <c r="AM180" i="6"/>
  <c r="AL180" i="6"/>
  <c r="N198" i="16"/>
  <c r="O198" i="16" s="1"/>
  <c r="P198" i="16" s="1"/>
  <c r="N199" i="16"/>
  <c r="O199" i="16" s="1"/>
  <c r="P199" i="16" s="1"/>
  <c r="F201" i="16"/>
  <c r="E201" i="16"/>
  <c r="D201" i="16"/>
  <c r="G200" i="16"/>
  <c r="B202" i="16"/>
  <c r="A203" i="16"/>
  <c r="L202" i="16"/>
  <c r="O181" i="6"/>
  <c r="B182" i="6"/>
  <c r="A183" i="6"/>
  <c r="W181" i="6"/>
  <c r="U181" i="6"/>
  <c r="H181" i="6"/>
  <c r="T181" i="6"/>
  <c r="G181" i="6"/>
  <c r="X181" i="6"/>
  <c r="J181" i="6"/>
  <c r="K181" i="6"/>
  <c r="Z182" i="6" l="1"/>
  <c r="P182" i="6"/>
  <c r="AA182" i="6"/>
  <c r="AM181" i="6"/>
  <c r="AL181" i="6"/>
  <c r="G201" i="16"/>
  <c r="H201" i="16" s="1"/>
  <c r="I201" i="16" s="1"/>
  <c r="K201" i="16" s="1"/>
  <c r="M201" i="16" s="1"/>
  <c r="N201" i="16" s="1"/>
  <c r="E202" i="16"/>
  <c r="F202" i="16"/>
  <c r="D202" i="16"/>
  <c r="H200" i="16"/>
  <c r="I200" i="16" s="1"/>
  <c r="K200" i="16" s="1"/>
  <c r="M200" i="16" s="1"/>
  <c r="B203" i="16"/>
  <c r="L203" i="16"/>
  <c r="A204" i="16"/>
  <c r="O182" i="6"/>
  <c r="B183" i="6"/>
  <c r="A184" i="6"/>
  <c r="U182" i="6"/>
  <c r="H182" i="6"/>
  <c r="W182" i="6"/>
  <c r="K182" i="6"/>
  <c r="J182" i="6"/>
  <c r="T182" i="6"/>
  <c r="G182" i="6"/>
  <c r="X182" i="6"/>
  <c r="Z183" i="6" l="1"/>
  <c r="P183" i="6"/>
  <c r="AA183" i="6"/>
  <c r="AM182" i="6"/>
  <c r="AL182" i="6"/>
  <c r="N200" i="16"/>
  <c r="O200" i="16" s="1"/>
  <c r="P200" i="16" s="1"/>
  <c r="O201" i="16"/>
  <c r="P201" i="16" s="1"/>
  <c r="E203" i="16"/>
  <c r="F203" i="16"/>
  <c r="D203" i="16"/>
  <c r="B204" i="16"/>
  <c r="A205" i="16"/>
  <c r="L204" i="16"/>
  <c r="G202" i="16"/>
  <c r="O183" i="6"/>
  <c r="B184" i="6"/>
  <c r="A185" i="6"/>
  <c r="W183" i="6"/>
  <c r="U183" i="6"/>
  <c r="H183" i="6"/>
  <c r="T183" i="6"/>
  <c r="G183" i="6"/>
  <c r="X183" i="6"/>
  <c r="K183" i="6"/>
  <c r="J183" i="6"/>
  <c r="Z184" i="6" l="1"/>
  <c r="P184" i="6"/>
  <c r="AA184" i="6"/>
  <c r="AM183" i="6"/>
  <c r="AL183" i="6"/>
  <c r="G203" i="16"/>
  <c r="B205" i="16"/>
  <c r="L205" i="16"/>
  <c r="A206" i="16"/>
  <c r="H202" i="16"/>
  <c r="I202" i="16" s="1"/>
  <c r="K202" i="16" s="1"/>
  <c r="M202" i="16" s="1"/>
  <c r="N202" i="16" s="1"/>
  <c r="F204" i="16"/>
  <c r="E204" i="16"/>
  <c r="D204" i="16"/>
  <c r="O184" i="6"/>
  <c r="B185" i="6"/>
  <c r="A186" i="6"/>
  <c r="U184" i="6"/>
  <c r="H184" i="6"/>
  <c r="K184" i="6"/>
  <c r="W184" i="6"/>
  <c r="J184" i="6"/>
  <c r="T184" i="6"/>
  <c r="G184" i="6"/>
  <c r="X184" i="6"/>
  <c r="Z185" i="6" l="1"/>
  <c r="AA185" i="6"/>
  <c r="P185" i="6"/>
  <c r="AM184" i="6"/>
  <c r="AL184" i="6"/>
  <c r="O202" i="16"/>
  <c r="P202" i="16" s="1"/>
  <c r="E205" i="16"/>
  <c r="F205" i="16"/>
  <c r="D205" i="16"/>
  <c r="G204" i="16"/>
  <c r="B206" i="16"/>
  <c r="L206" i="16"/>
  <c r="A207" i="16"/>
  <c r="H203" i="16"/>
  <c r="I203" i="16" s="1"/>
  <c r="K203" i="16" s="1"/>
  <c r="M203" i="16" s="1"/>
  <c r="O185" i="6"/>
  <c r="AL185" i="6" s="1"/>
  <c r="B186" i="6"/>
  <c r="A187" i="6"/>
  <c r="W185" i="6"/>
  <c r="U185" i="6"/>
  <c r="H185" i="6"/>
  <c r="J185" i="6"/>
  <c r="T185" i="6"/>
  <c r="G185" i="6"/>
  <c r="X185" i="6"/>
  <c r="K185" i="6"/>
  <c r="Z186" i="6" l="1"/>
  <c r="P186" i="6"/>
  <c r="AA186" i="6"/>
  <c r="AM185" i="6"/>
  <c r="N203" i="16"/>
  <c r="O203" i="16" s="1"/>
  <c r="P203" i="16" s="1"/>
  <c r="G205" i="16"/>
  <c r="F206" i="16"/>
  <c r="E206" i="16"/>
  <c r="D206" i="16"/>
  <c r="B207" i="16"/>
  <c r="L207" i="16"/>
  <c r="A208" i="16"/>
  <c r="H204" i="16"/>
  <c r="I204" i="16" s="1"/>
  <c r="K204" i="16" s="1"/>
  <c r="M204" i="16" s="1"/>
  <c r="O186" i="6"/>
  <c r="B187" i="6"/>
  <c r="A188" i="6"/>
  <c r="U186" i="6"/>
  <c r="H186" i="6"/>
  <c r="W186" i="6"/>
  <c r="J186" i="6"/>
  <c r="T186" i="6"/>
  <c r="K186" i="6"/>
  <c r="X186" i="6"/>
  <c r="G186" i="6"/>
  <c r="Z187" i="6" l="1"/>
  <c r="P187" i="6"/>
  <c r="AA187" i="6"/>
  <c r="AM186" i="6"/>
  <c r="AL186" i="6"/>
  <c r="N204" i="16"/>
  <c r="O204" i="16" s="1"/>
  <c r="P204" i="16" s="1"/>
  <c r="B208" i="16"/>
  <c r="A209" i="16"/>
  <c r="L208" i="16"/>
  <c r="G206" i="16"/>
  <c r="F207" i="16"/>
  <c r="E207" i="16"/>
  <c r="D207" i="16"/>
  <c r="H205" i="16"/>
  <c r="I205" i="16" s="1"/>
  <c r="K205" i="16" s="1"/>
  <c r="M205" i="16" s="1"/>
  <c r="O187" i="6"/>
  <c r="B188" i="6"/>
  <c r="A189" i="6"/>
  <c r="U187" i="6"/>
  <c r="H187" i="6"/>
  <c r="W187" i="6"/>
  <c r="X187" i="6"/>
  <c r="J187" i="6"/>
  <c r="T187" i="6"/>
  <c r="K187" i="6"/>
  <c r="G187" i="6"/>
  <c r="Z188" i="6" l="1"/>
  <c r="P188" i="6"/>
  <c r="AA188" i="6"/>
  <c r="AM187" i="6"/>
  <c r="AL187" i="6"/>
  <c r="N205" i="16"/>
  <c r="O205" i="16" s="1"/>
  <c r="P205" i="16" s="1"/>
  <c r="B209" i="16"/>
  <c r="A210" i="16"/>
  <c r="L209" i="16"/>
  <c r="G207" i="16"/>
  <c r="H206" i="16"/>
  <c r="I206" i="16" s="1"/>
  <c r="K206" i="16" s="1"/>
  <c r="M206" i="16" s="1"/>
  <c r="F208" i="16"/>
  <c r="E208" i="16"/>
  <c r="D208" i="16"/>
  <c r="O188" i="6"/>
  <c r="B189" i="6"/>
  <c r="A190" i="6"/>
  <c r="H188" i="6"/>
  <c r="J188" i="6"/>
  <c r="U188" i="6"/>
  <c r="W188" i="6"/>
  <c r="G188" i="6"/>
  <c r="T188" i="6"/>
  <c r="X188" i="6"/>
  <c r="K188" i="6"/>
  <c r="Z189" i="6" l="1"/>
  <c r="P189" i="6"/>
  <c r="AA189" i="6"/>
  <c r="AM188" i="6"/>
  <c r="AL188" i="6"/>
  <c r="N206" i="16"/>
  <c r="O206" i="16" s="1"/>
  <c r="P206" i="16" s="1"/>
  <c r="G208" i="16"/>
  <c r="H207" i="16"/>
  <c r="I207" i="16" s="1"/>
  <c r="K207" i="16" s="1"/>
  <c r="M207" i="16" s="1"/>
  <c r="B210" i="16"/>
  <c r="L210" i="16"/>
  <c r="A211" i="16"/>
  <c r="F209" i="16"/>
  <c r="E209" i="16"/>
  <c r="D209" i="16"/>
  <c r="O189" i="6"/>
  <c r="B190" i="6"/>
  <c r="A191" i="6"/>
  <c r="U189" i="6"/>
  <c r="H189" i="6"/>
  <c r="G189" i="6"/>
  <c r="K189" i="6"/>
  <c r="W189" i="6"/>
  <c r="T189" i="6"/>
  <c r="J189" i="6"/>
  <c r="X189" i="6"/>
  <c r="Z190" i="6" l="1"/>
  <c r="P190" i="6"/>
  <c r="AA190" i="6"/>
  <c r="AM189" i="6"/>
  <c r="AL189" i="6"/>
  <c r="N207" i="16"/>
  <c r="O207" i="16" s="1"/>
  <c r="P207" i="16" s="1"/>
  <c r="F210" i="16"/>
  <c r="E210" i="16"/>
  <c r="D210" i="16"/>
  <c r="G209" i="16"/>
  <c r="B211" i="16"/>
  <c r="A212" i="16"/>
  <c r="L211" i="16"/>
  <c r="H208" i="16"/>
  <c r="I208" i="16" s="1"/>
  <c r="K208" i="16" s="1"/>
  <c r="M208" i="16" s="1"/>
  <c r="O190" i="6"/>
  <c r="B191" i="6"/>
  <c r="A192" i="6"/>
  <c r="J190" i="6"/>
  <c r="U190" i="6"/>
  <c r="H190" i="6"/>
  <c r="W190" i="6"/>
  <c r="K190" i="6"/>
  <c r="T190" i="6"/>
  <c r="G190" i="6"/>
  <c r="X190" i="6"/>
  <c r="Z191" i="6" l="1"/>
  <c r="P191" i="6"/>
  <c r="AA191" i="6"/>
  <c r="AM190" i="6"/>
  <c r="AL190" i="6"/>
  <c r="N208" i="16"/>
  <c r="O208" i="16" s="1"/>
  <c r="P208" i="16" s="1"/>
  <c r="B212" i="16"/>
  <c r="A213" i="16"/>
  <c r="L212" i="16"/>
  <c r="H209" i="16"/>
  <c r="I209" i="16" s="1"/>
  <c r="K209" i="16" s="1"/>
  <c r="M209" i="16" s="1"/>
  <c r="G210" i="16"/>
  <c r="F211" i="16"/>
  <c r="E211" i="16"/>
  <c r="D211" i="16"/>
  <c r="O191" i="6"/>
  <c r="B192" i="6"/>
  <c r="A193" i="6"/>
  <c r="U191" i="6"/>
  <c r="H191" i="6"/>
  <c r="W191" i="6"/>
  <c r="T191" i="6"/>
  <c r="J191" i="6"/>
  <c r="G191" i="6"/>
  <c r="X191" i="6"/>
  <c r="K191" i="6"/>
  <c r="Z192" i="6" l="1"/>
  <c r="P192" i="6"/>
  <c r="AA192" i="6"/>
  <c r="AM191" i="6"/>
  <c r="AL191" i="6"/>
  <c r="N209" i="16"/>
  <c r="O209" i="16" s="1"/>
  <c r="P209" i="16" s="1"/>
  <c r="F212" i="16"/>
  <c r="E212" i="16"/>
  <c r="D212" i="16"/>
  <c r="G211" i="16"/>
  <c r="H210" i="16"/>
  <c r="I210" i="16" s="1"/>
  <c r="K210" i="16" s="1"/>
  <c r="M210" i="16" s="1"/>
  <c r="B213" i="16"/>
  <c r="A214" i="16"/>
  <c r="L213" i="16"/>
  <c r="O192" i="6"/>
  <c r="B193" i="6"/>
  <c r="A194" i="6"/>
  <c r="J192" i="6"/>
  <c r="U192" i="6"/>
  <c r="H192" i="6"/>
  <c r="W192" i="6"/>
  <c r="AM192" i="6" s="1"/>
  <c r="K192" i="6"/>
  <c r="T192" i="6"/>
  <c r="G192" i="6"/>
  <c r="X192" i="6"/>
  <c r="Z193" i="6" l="1"/>
  <c r="P193" i="6"/>
  <c r="AA193" i="6"/>
  <c r="AL192" i="6"/>
  <c r="N210" i="16"/>
  <c r="O210" i="16" s="1"/>
  <c r="P210" i="16" s="1"/>
  <c r="B214" i="16"/>
  <c r="A215" i="16"/>
  <c r="L214" i="16"/>
  <c r="H211" i="16"/>
  <c r="I211" i="16" s="1"/>
  <c r="K211" i="16" s="1"/>
  <c r="M211" i="16" s="1"/>
  <c r="G212" i="16"/>
  <c r="F213" i="16"/>
  <c r="E213" i="16"/>
  <c r="D213" i="16"/>
  <c r="O193" i="6"/>
  <c r="B194" i="6"/>
  <c r="A195" i="6"/>
  <c r="U193" i="6"/>
  <c r="H193" i="6"/>
  <c r="T193" i="6"/>
  <c r="G193" i="6"/>
  <c r="X193" i="6"/>
  <c r="W193" i="6"/>
  <c r="AM193" i="6" s="1"/>
  <c r="K193" i="6"/>
  <c r="J193" i="6"/>
  <c r="Z194" i="6" l="1"/>
  <c r="P194" i="6"/>
  <c r="AA194" i="6"/>
  <c r="AL193" i="6"/>
  <c r="N211" i="16"/>
  <c r="O211" i="16" s="1"/>
  <c r="P211" i="16" s="1"/>
  <c r="G213" i="16"/>
  <c r="H213" i="16" s="1"/>
  <c r="I213" i="16" s="1"/>
  <c r="K213" i="16" s="1"/>
  <c r="M213" i="16" s="1"/>
  <c r="H212" i="16"/>
  <c r="I212" i="16" s="1"/>
  <c r="K212" i="16" s="1"/>
  <c r="M212" i="16" s="1"/>
  <c r="N212" i="16" s="1"/>
  <c r="B215" i="16"/>
  <c r="A216" i="16"/>
  <c r="L215" i="16"/>
  <c r="F214" i="16"/>
  <c r="E214" i="16"/>
  <c r="D214" i="16"/>
  <c r="O194" i="6"/>
  <c r="B195" i="6"/>
  <c r="A196" i="6"/>
  <c r="J194" i="6"/>
  <c r="U194" i="6"/>
  <c r="H194" i="6"/>
  <c r="W194" i="6"/>
  <c r="K194" i="6"/>
  <c r="T194" i="6"/>
  <c r="G194" i="6"/>
  <c r="X194" i="6"/>
  <c r="Z195" i="6" l="1"/>
  <c r="P195" i="6"/>
  <c r="AA195" i="6"/>
  <c r="AM194" i="6"/>
  <c r="AL194" i="6"/>
  <c r="N213" i="16"/>
  <c r="O213" i="16" s="1"/>
  <c r="P213" i="16" s="1"/>
  <c r="O212" i="16"/>
  <c r="P212" i="16" s="1"/>
  <c r="G214" i="16"/>
  <c r="H214" i="16" s="1"/>
  <c r="F215" i="16"/>
  <c r="E215" i="16"/>
  <c r="D215" i="16"/>
  <c r="B216" i="16"/>
  <c r="L216" i="16"/>
  <c r="A217" i="16"/>
  <c r="O195" i="6"/>
  <c r="B196" i="6"/>
  <c r="A197" i="6"/>
  <c r="U195" i="6"/>
  <c r="H195" i="6"/>
  <c r="W195" i="6"/>
  <c r="T195" i="6"/>
  <c r="J195" i="6"/>
  <c r="G195" i="6"/>
  <c r="X195" i="6"/>
  <c r="K195" i="6"/>
  <c r="AM195" i="6" l="1"/>
  <c r="Z196" i="6"/>
  <c r="P196" i="6"/>
  <c r="AA196" i="6"/>
  <c r="AL195" i="6"/>
  <c r="I214" i="16"/>
  <c r="K214" i="16" s="1"/>
  <c r="M214" i="16" s="1"/>
  <c r="N214" i="16" s="1"/>
  <c r="G215" i="16"/>
  <c r="F216" i="16"/>
  <c r="E216" i="16"/>
  <c r="D216" i="16"/>
  <c r="B217" i="16"/>
  <c r="L217" i="16"/>
  <c r="A218" i="16"/>
  <c r="O196" i="6"/>
  <c r="B197" i="6"/>
  <c r="A198" i="6"/>
  <c r="J196" i="6"/>
  <c r="U196" i="6"/>
  <c r="H196" i="6"/>
  <c r="W196" i="6"/>
  <c r="K196" i="6"/>
  <c r="T196" i="6"/>
  <c r="G196" i="6"/>
  <c r="X196" i="6"/>
  <c r="AM196" i="6" l="1"/>
  <c r="Z197" i="6"/>
  <c r="P197" i="6"/>
  <c r="AA197" i="6"/>
  <c r="AL196" i="6"/>
  <c r="O214" i="16"/>
  <c r="P214" i="16" s="1"/>
  <c r="G216" i="16"/>
  <c r="H216" i="16" s="1"/>
  <c r="I216" i="16" s="1"/>
  <c r="K216" i="16" s="1"/>
  <c r="M216" i="16" s="1"/>
  <c r="B218" i="16"/>
  <c r="A219" i="16"/>
  <c r="L218" i="16"/>
  <c r="F217" i="16"/>
  <c r="E217" i="16"/>
  <c r="D217" i="16"/>
  <c r="H215" i="16"/>
  <c r="I215" i="16" s="1"/>
  <c r="K215" i="16" s="1"/>
  <c r="M215" i="16" s="1"/>
  <c r="O197" i="6"/>
  <c r="B198" i="6"/>
  <c r="A199" i="6"/>
  <c r="U197" i="6"/>
  <c r="H197" i="6"/>
  <c r="T197" i="6"/>
  <c r="G197" i="6"/>
  <c r="X197" i="6"/>
  <c r="W197" i="6"/>
  <c r="AM197" i="6" s="1"/>
  <c r="K197" i="6"/>
  <c r="J197" i="6"/>
  <c r="Z198" i="6" l="1"/>
  <c r="P198" i="6"/>
  <c r="AA198" i="6"/>
  <c r="AL197" i="6"/>
  <c r="N216" i="16"/>
  <c r="O216" i="16" s="1"/>
  <c r="P216" i="16" s="1"/>
  <c r="N215" i="16"/>
  <c r="O215" i="16" s="1"/>
  <c r="P215" i="16" s="1"/>
  <c r="B219" i="16"/>
  <c r="L219" i="16"/>
  <c r="A220" i="16"/>
  <c r="G217" i="16"/>
  <c r="E218" i="16"/>
  <c r="F218" i="16"/>
  <c r="D218" i="16"/>
  <c r="O198" i="6"/>
  <c r="B199" i="6"/>
  <c r="A200" i="6"/>
  <c r="J198" i="6"/>
  <c r="U198" i="6"/>
  <c r="H198" i="6"/>
  <c r="W198" i="6"/>
  <c r="K198" i="6"/>
  <c r="T198" i="6"/>
  <c r="G198" i="6"/>
  <c r="X198" i="6"/>
  <c r="AM198" i="6" l="1"/>
  <c r="Z199" i="6"/>
  <c r="P199" i="6"/>
  <c r="AA199" i="6"/>
  <c r="AL198" i="6"/>
  <c r="E219" i="16"/>
  <c r="F219" i="16"/>
  <c r="D219" i="16"/>
  <c r="H217" i="16"/>
  <c r="I217" i="16" s="1"/>
  <c r="K217" i="16" s="1"/>
  <c r="M217" i="16" s="1"/>
  <c r="G218" i="16"/>
  <c r="B220" i="16"/>
  <c r="A221" i="16"/>
  <c r="L220" i="16"/>
  <c r="O199" i="6"/>
  <c r="A201" i="6"/>
  <c r="B200" i="6"/>
  <c r="U199" i="6"/>
  <c r="H199" i="6"/>
  <c r="W199" i="6"/>
  <c r="T199" i="6"/>
  <c r="J199" i="6"/>
  <c r="G199" i="6"/>
  <c r="X199" i="6"/>
  <c r="K199" i="6"/>
  <c r="Z200" i="6" l="1"/>
  <c r="AA200" i="6"/>
  <c r="P200" i="6"/>
  <c r="AM199" i="6"/>
  <c r="AL199" i="6"/>
  <c r="N217" i="16"/>
  <c r="O217" i="16" s="1"/>
  <c r="P217" i="16" s="1"/>
  <c r="F220" i="16"/>
  <c r="E220" i="16"/>
  <c r="D220" i="16"/>
  <c r="H218" i="16"/>
  <c r="I218" i="16" s="1"/>
  <c r="K218" i="16" s="1"/>
  <c r="M218" i="16" s="1"/>
  <c r="B221" i="16"/>
  <c r="L221" i="16"/>
  <c r="A222" i="16"/>
  <c r="G219" i="16"/>
  <c r="O200" i="6"/>
  <c r="J200" i="6"/>
  <c r="U200" i="6"/>
  <c r="H200" i="6"/>
  <c r="K200" i="6"/>
  <c r="T200" i="6"/>
  <c r="W200" i="6"/>
  <c r="G200" i="6"/>
  <c r="X200" i="6"/>
  <c r="A202" i="6"/>
  <c r="B201" i="6"/>
  <c r="AM200" i="6" l="1"/>
  <c r="Z201" i="6"/>
  <c r="AA201" i="6"/>
  <c r="P201" i="6"/>
  <c r="AL200" i="6"/>
  <c r="N218" i="16"/>
  <c r="O218" i="16" s="1"/>
  <c r="P218" i="16" s="1"/>
  <c r="B222" i="16"/>
  <c r="A223" i="16"/>
  <c r="L222" i="16"/>
  <c r="H219" i="16"/>
  <c r="I219" i="16" s="1"/>
  <c r="K219" i="16" s="1"/>
  <c r="M219" i="16" s="1"/>
  <c r="G220" i="16"/>
  <c r="E221" i="16"/>
  <c r="F221" i="16"/>
  <c r="D221" i="16"/>
  <c r="O201" i="6"/>
  <c r="U201" i="6"/>
  <c r="W201" i="6"/>
  <c r="H201" i="6"/>
  <c r="T201" i="6"/>
  <c r="G201" i="6"/>
  <c r="X201" i="6"/>
  <c r="J201" i="6"/>
  <c r="K201" i="6"/>
  <c r="B202" i="6"/>
  <c r="A203" i="6"/>
  <c r="Z202" i="6" l="1"/>
  <c r="AA202" i="6"/>
  <c r="P202" i="6"/>
  <c r="AM201" i="6"/>
  <c r="AL201" i="6"/>
  <c r="N219" i="16"/>
  <c r="O219" i="16" s="1"/>
  <c r="P219" i="16" s="1"/>
  <c r="B223" i="16"/>
  <c r="L223" i="16"/>
  <c r="A224" i="16"/>
  <c r="G221" i="16"/>
  <c r="H220" i="16"/>
  <c r="I220" i="16" s="1"/>
  <c r="K220" i="16" s="1"/>
  <c r="M220" i="16" s="1"/>
  <c r="N220" i="16" s="1"/>
  <c r="E222" i="16"/>
  <c r="F222" i="16"/>
  <c r="D222" i="16"/>
  <c r="O202" i="6"/>
  <c r="U202" i="6"/>
  <c r="H202" i="6"/>
  <c r="J202" i="6"/>
  <c r="K202" i="6"/>
  <c r="T202" i="6"/>
  <c r="W202" i="6"/>
  <c r="G202" i="6"/>
  <c r="X202" i="6"/>
  <c r="B203" i="6"/>
  <c r="A204" i="6"/>
  <c r="AM202" i="6" l="1"/>
  <c r="Z203" i="6"/>
  <c r="AA203" i="6"/>
  <c r="P203" i="6"/>
  <c r="AL202" i="6"/>
  <c r="O220" i="16"/>
  <c r="P220" i="16" s="1"/>
  <c r="H221" i="16"/>
  <c r="I221" i="16" s="1"/>
  <c r="K221" i="16" s="1"/>
  <c r="M221" i="16" s="1"/>
  <c r="E223" i="16"/>
  <c r="F223" i="16"/>
  <c r="D223" i="16"/>
  <c r="G222" i="16"/>
  <c r="B224" i="16"/>
  <c r="A225" i="16"/>
  <c r="L224" i="16"/>
  <c r="O203" i="6"/>
  <c r="B204" i="6"/>
  <c r="A205" i="6"/>
  <c r="U203" i="6"/>
  <c r="W203" i="6"/>
  <c r="H203" i="6"/>
  <c r="T203" i="6"/>
  <c r="G203" i="6"/>
  <c r="X203" i="6"/>
  <c r="J203" i="6"/>
  <c r="K203" i="6"/>
  <c r="AM203" i="6" l="1"/>
  <c r="Z204" i="6"/>
  <c r="AA204" i="6"/>
  <c r="P204" i="6"/>
  <c r="AL203" i="6"/>
  <c r="N221" i="16"/>
  <c r="O221" i="16" s="1"/>
  <c r="P221" i="16" s="1"/>
  <c r="G223" i="16"/>
  <c r="H222" i="16"/>
  <c r="I222" i="16" s="1"/>
  <c r="K222" i="16" s="1"/>
  <c r="M222" i="16" s="1"/>
  <c r="F224" i="16"/>
  <c r="E224" i="16"/>
  <c r="D224" i="16"/>
  <c r="B225" i="16"/>
  <c r="L225" i="16"/>
  <c r="A226" i="16"/>
  <c r="O204" i="6"/>
  <c r="B205" i="6"/>
  <c r="A206" i="6"/>
  <c r="U204" i="6"/>
  <c r="H204" i="6"/>
  <c r="J204" i="6"/>
  <c r="K204" i="6"/>
  <c r="W204" i="6"/>
  <c r="AM204" i="6" s="1"/>
  <c r="T204" i="6"/>
  <c r="G204" i="6"/>
  <c r="X204" i="6"/>
  <c r="Z205" i="6" l="1"/>
  <c r="AA205" i="6"/>
  <c r="P205" i="6"/>
  <c r="AL204" i="6"/>
  <c r="N222" i="16"/>
  <c r="O222" i="16" s="1"/>
  <c r="P222" i="16" s="1"/>
  <c r="B226" i="16"/>
  <c r="L226" i="16"/>
  <c r="A227" i="16"/>
  <c r="G224" i="16"/>
  <c r="F225" i="16"/>
  <c r="E225" i="16"/>
  <c r="D225" i="16"/>
  <c r="H223" i="16"/>
  <c r="I223" i="16" s="1"/>
  <c r="K223" i="16" s="1"/>
  <c r="M223" i="16" s="1"/>
  <c r="O205" i="6"/>
  <c r="B206" i="6"/>
  <c r="A207" i="6"/>
  <c r="U205" i="6"/>
  <c r="W205" i="6"/>
  <c r="H205" i="6"/>
  <c r="J205" i="6"/>
  <c r="T205" i="6"/>
  <c r="G205" i="6"/>
  <c r="X205" i="6"/>
  <c r="K205" i="6"/>
  <c r="AM205" i="6" l="1"/>
  <c r="Z206" i="6"/>
  <c r="P206" i="6"/>
  <c r="AA206" i="6"/>
  <c r="AL205" i="6"/>
  <c r="N223" i="16"/>
  <c r="O223" i="16" s="1"/>
  <c r="P223" i="16" s="1"/>
  <c r="B227" i="16"/>
  <c r="L227" i="16"/>
  <c r="A228" i="16"/>
  <c r="G225" i="16"/>
  <c r="H224" i="16"/>
  <c r="I224" i="16" s="1"/>
  <c r="K224" i="16" s="1"/>
  <c r="M224" i="16" s="1"/>
  <c r="E226" i="16"/>
  <c r="F226" i="16"/>
  <c r="D226" i="16"/>
  <c r="O206" i="6"/>
  <c r="B207" i="6"/>
  <c r="A208" i="6"/>
  <c r="U206" i="6"/>
  <c r="H206" i="6"/>
  <c r="J206" i="6"/>
  <c r="K206" i="6"/>
  <c r="T206" i="6"/>
  <c r="W206" i="6"/>
  <c r="AM206" i="6" s="1"/>
  <c r="G206" i="6"/>
  <c r="X206" i="6"/>
  <c r="Z207" i="6" l="1"/>
  <c r="P207" i="6"/>
  <c r="AA207" i="6"/>
  <c r="AL206" i="6"/>
  <c r="N224" i="16"/>
  <c r="O224" i="16" s="1"/>
  <c r="P224" i="16" s="1"/>
  <c r="G226" i="16"/>
  <c r="B228" i="16"/>
  <c r="A229" i="16"/>
  <c r="L228" i="16"/>
  <c r="H225" i="16"/>
  <c r="I225" i="16" s="1"/>
  <c r="K225" i="16" s="1"/>
  <c r="M225" i="16" s="1"/>
  <c r="F227" i="16"/>
  <c r="E227" i="16"/>
  <c r="D227" i="16"/>
  <c r="O207" i="6"/>
  <c r="B208" i="6"/>
  <c r="A209" i="6"/>
  <c r="U207" i="6"/>
  <c r="W207" i="6"/>
  <c r="H207" i="6"/>
  <c r="T207" i="6"/>
  <c r="G207" i="6"/>
  <c r="X207" i="6"/>
  <c r="J207" i="6"/>
  <c r="K207" i="6"/>
  <c r="Z208" i="6" l="1"/>
  <c r="AA208" i="6"/>
  <c r="P208" i="6"/>
  <c r="AM207" i="6"/>
  <c r="AL207" i="6"/>
  <c r="N225" i="16"/>
  <c r="O225" i="16" s="1"/>
  <c r="P225" i="16" s="1"/>
  <c r="G227" i="16"/>
  <c r="H227" i="16" s="1"/>
  <c r="I227" i="16" s="1"/>
  <c r="K227" i="16" s="1"/>
  <c r="M227" i="16" s="1"/>
  <c r="H226" i="16"/>
  <c r="I226" i="16" s="1"/>
  <c r="K226" i="16" s="1"/>
  <c r="M226" i="16" s="1"/>
  <c r="N226" i="16" s="1"/>
  <c r="B229" i="16"/>
  <c r="A230" i="16"/>
  <c r="L229" i="16"/>
  <c r="F228" i="16"/>
  <c r="E228" i="16"/>
  <c r="D228" i="16"/>
  <c r="O208" i="6"/>
  <c r="B209" i="6"/>
  <c r="A210" i="6"/>
  <c r="U208" i="6"/>
  <c r="H208" i="6"/>
  <c r="J208" i="6"/>
  <c r="K208" i="6"/>
  <c r="W208" i="6"/>
  <c r="AM208" i="6" s="1"/>
  <c r="T208" i="6"/>
  <c r="G208" i="6"/>
  <c r="X208" i="6"/>
  <c r="Z209" i="6" l="1"/>
  <c r="AA209" i="6"/>
  <c r="P209" i="6"/>
  <c r="AL208" i="6"/>
  <c r="N227" i="16"/>
  <c r="O227" i="16" s="1"/>
  <c r="P227" i="16" s="1"/>
  <c r="O226" i="16"/>
  <c r="P226" i="16"/>
  <c r="G228" i="16"/>
  <c r="H228" i="16" s="1"/>
  <c r="B230" i="16"/>
  <c r="L230" i="16"/>
  <c r="A231" i="16"/>
  <c r="F229" i="16"/>
  <c r="E229" i="16"/>
  <c r="D229" i="16"/>
  <c r="O209" i="6"/>
  <c r="A211" i="6"/>
  <c r="B210" i="6"/>
  <c r="U209" i="6"/>
  <c r="W209" i="6"/>
  <c r="H209" i="6"/>
  <c r="J209" i="6"/>
  <c r="T209" i="6"/>
  <c r="G209" i="6"/>
  <c r="X209" i="6"/>
  <c r="K209" i="6"/>
  <c r="AM209" i="6" l="1"/>
  <c r="Z210" i="6"/>
  <c r="P210" i="6"/>
  <c r="AA210" i="6"/>
  <c r="AL209" i="6"/>
  <c r="I228" i="16"/>
  <c r="K228" i="16" s="1"/>
  <c r="M228" i="16" s="1"/>
  <c r="F230" i="16"/>
  <c r="E230" i="16"/>
  <c r="D230" i="16"/>
  <c r="G229" i="16"/>
  <c r="B231" i="16"/>
  <c r="A232" i="16"/>
  <c r="L231" i="16"/>
  <c r="O210" i="6"/>
  <c r="H210" i="6"/>
  <c r="U210" i="6"/>
  <c r="J210" i="6"/>
  <c r="K210" i="6"/>
  <c r="T210" i="6"/>
  <c r="W210" i="6"/>
  <c r="G210" i="6"/>
  <c r="X210" i="6"/>
  <c r="A212" i="6"/>
  <c r="B211" i="6"/>
  <c r="Z211" i="6" l="1"/>
  <c r="P211" i="6"/>
  <c r="AA211" i="6"/>
  <c r="AM210" i="6"/>
  <c r="AL210" i="6"/>
  <c r="N228" i="16"/>
  <c r="O228" i="16" s="1"/>
  <c r="P228" i="16" s="1"/>
  <c r="G230" i="16"/>
  <c r="H230" i="16" s="1"/>
  <c r="I230" i="16" s="1"/>
  <c r="K230" i="16" s="1"/>
  <c r="M230" i="16" s="1"/>
  <c r="B232" i="16"/>
  <c r="A233" i="16"/>
  <c r="L232" i="16"/>
  <c r="H229" i="16"/>
  <c r="I229" i="16" s="1"/>
  <c r="K229" i="16" s="1"/>
  <c r="M229" i="16" s="1"/>
  <c r="F231" i="16"/>
  <c r="E231" i="16"/>
  <c r="D231" i="16"/>
  <c r="O211" i="6"/>
  <c r="A213" i="6"/>
  <c r="B212" i="6"/>
  <c r="U211" i="6"/>
  <c r="W211" i="6"/>
  <c r="H211" i="6"/>
  <c r="T211" i="6"/>
  <c r="G211" i="6"/>
  <c r="X211" i="6"/>
  <c r="J211" i="6"/>
  <c r="K211" i="6"/>
  <c r="Z212" i="6" l="1"/>
  <c r="P212" i="6"/>
  <c r="AA212" i="6"/>
  <c r="AM211" i="6"/>
  <c r="AL211" i="6"/>
  <c r="N229" i="16"/>
  <c r="O229" i="16" s="1"/>
  <c r="P229" i="16" s="1"/>
  <c r="N230" i="16"/>
  <c r="O230" i="16" s="1"/>
  <c r="P230" i="16" s="1"/>
  <c r="G231" i="16"/>
  <c r="H231" i="16" s="1"/>
  <c r="I231" i="16" s="1"/>
  <c r="K231" i="16" s="1"/>
  <c r="M231" i="16" s="1"/>
  <c r="F232" i="16"/>
  <c r="E232" i="16"/>
  <c r="D232" i="16"/>
  <c r="B233" i="16"/>
  <c r="A234" i="16"/>
  <c r="L233" i="16"/>
  <c r="O212" i="6"/>
  <c r="AL212" i="6" s="1"/>
  <c r="H212" i="6"/>
  <c r="U212" i="6"/>
  <c r="J212" i="6"/>
  <c r="K212" i="6"/>
  <c r="W212" i="6"/>
  <c r="T212" i="6"/>
  <c r="G212" i="6"/>
  <c r="X212" i="6"/>
  <c r="B213" i="6"/>
  <c r="A214" i="6"/>
  <c r="AM212" i="6" l="1"/>
  <c r="Z213" i="6"/>
  <c r="AA213" i="6"/>
  <c r="P213" i="6"/>
  <c r="N231" i="16"/>
  <c r="O231" i="16" s="1"/>
  <c r="P231" i="16" s="1"/>
  <c r="F233" i="16"/>
  <c r="E233" i="16"/>
  <c r="D233" i="16"/>
  <c r="G232" i="16"/>
  <c r="B234" i="16"/>
  <c r="L234" i="16"/>
  <c r="A235" i="16"/>
  <c r="O213" i="6"/>
  <c r="B214" i="6"/>
  <c r="A215" i="6"/>
  <c r="U213" i="6"/>
  <c r="W213" i="6"/>
  <c r="H213" i="6"/>
  <c r="J213" i="6"/>
  <c r="T213" i="6"/>
  <c r="G213" i="6"/>
  <c r="X213" i="6"/>
  <c r="K213" i="6"/>
  <c r="AM213" i="6" l="1"/>
  <c r="Z214" i="6"/>
  <c r="P214" i="6"/>
  <c r="AA214" i="6"/>
  <c r="AL213" i="6"/>
  <c r="G233" i="16"/>
  <c r="H233" i="16" s="1"/>
  <c r="I233" i="16" s="1"/>
  <c r="K233" i="16" s="1"/>
  <c r="M233" i="16" s="1"/>
  <c r="N233" i="16" s="1"/>
  <c r="B235" i="16"/>
  <c r="A236" i="16"/>
  <c r="L235" i="16"/>
  <c r="H232" i="16"/>
  <c r="I232" i="16" s="1"/>
  <c r="K232" i="16" s="1"/>
  <c r="M232" i="16" s="1"/>
  <c r="E234" i="16"/>
  <c r="F234" i="16"/>
  <c r="D234" i="16"/>
  <c r="O214" i="6"/>
  <c r="B215" i="6"/>
  <c r="A216" i="6"/>
  <c r="U214" i="6"/>
  <c r="H214" i="6"/>
  <c r="J214" i="6"/>
  <c r="K214" i="6"/>
  <c r="T214" i="6"/>
  <c r="W214" i="6"/>
  <c r="AM214" i="6" s="1"/>
  <c r="G214" i="6"/>
  <c r="X214" i="6"/>
  <c r="Z215" i="6" l="1"/>
  <c r="P215" i="6"/>
  <c r="AA215" i="6"/>
  <c r="AL214" i="6"/>
  <c r="N232" i="16"/>
  <c r="O232" i="16" s="1"/>
  <c r="P232" i="16" s="1"/>
  <c r="O233" i="16"/>
  <c r="P233" i="16" s="1"/>
  <c r="E235" i="16"/>
  <c r="F235" i="16"/>
  <c r="D235" i="16"/>
  <c r="G234" i="16"/>
  <c r="B236" i="16"/>
  <c r="L236" i="16"/>
  <c r="A237" i="16"/>
  <c r="O215" i="6"/>
  <c r="B216" i="6"/>
  <c r="A217" i="6"/>
  <c r="U215" i="6"/>
  <c r="W215" i="6"/>
  <c r="H215" i="6"/>
  <c r="T215" i="6"/>
  <c r="G215" i="6"/>
  <c r="X215" i="6"/>
  <c r="J215" i="6"/>
  <c r="K215" i="6"/>
  <c r="Z216" i="6" l="1"/>
  <c r="AA216" i="6"/>
  <c r="P216" i="6"/>
  <c r="AM215" i="6"/>
  <c r="AL215" i="6"/>
  <c r="F236" i="16"/>
  <c r="E236" i="16"/>
  <c r="D236" i="16"/>
  <c r="G235" i="16"/>
  <c r="H234" i="16"/>
  <c r="I234" i="16" s="1"/>
  <c r="K234" i="16" s="1"/>
  <c r="M234" i="16" s="1"/>
  <c r="N234" i="16" s="1"/>
  <c r="B237" i="16"/>
  <c r="L237" i="16"/>
  <c r="A238" i="16"/>
  <c r="O216" i="6"/>
  <c r="B217" i="6"/>
  <c r="A218" i="6"/>
  <c r="U216" i="6"/>
  <c r="H216" i="6"/>
  <c r="J216" i="6"/>
  <c r="K216" i="6"/>
  <c r="W216" i="6"/>
  <c r="T216" i="6"/>
  <c r="G216" i="6"/>
  <c r="X216" i="6"/>
  <c r="AM216" i="6" l="1"/>
  <c r="Z217" i="6"/>
  <c r="P217" i="6"/>
  <c r="AA217" i="6"/>
  <c r="AL216" i="6"/>
  <c r="O234" i="16"/>
  <c r="P234" i="16" s="1"/>
  <c r="G236" i="16"/>
  <c r="H236" i="16" s="1"/>
  <c r="I236" i="16" s="1"/>
  <c r="K236" i="16" s="1"/>
  <c r="M236" i="16" s="1"/>
  <c r="E237" i="16"/>
  <c r="F237" i="16"/>
  <c r="D237" i="16"/>
  <c r="B238" i="16"/>
  <c r="A239" i="16"/>
  <c r="L238" i="16"/>
  <c r="H235" i="16"/>
  <c r="I235" i="16" s="1"/>
  <c r="K235" i="16" s="1"/>
  <c r="M235" i="16" s="1"/>
  <c r="O217" i="6"/>
  <c r="B218" i="6"/>
  <c r="A219" i="6"/>
  <c r="U217" i="6"/>
  <c r="W217" i="6"/>
  <c r="H217" i="6"/>
  <c r="J217" i="6"/>
  <c r="T217" i="6"/>
  <c r="G217" i="6"/>
  <c r="X217" i="6"/>
  <c r="K217" i="6"/>
  <c r="Z218" i="6" l="1"/>
  <c r="P218" i="6"/>
  <c r="AA218" i="6"/>
  <c r="AM217" i="6"/>
  <c r="AL217" i="6"/>
  <c r="N236" i="16"/>
  <c r="O236" i="16" s="1"/>
  <c r="P236" i="16" s="1"/>
  <c r="N235" i="16"/>
  <c r="O235" i="16" s="1"/>
  <c r="P235" i="16" s="1"/>
  <c r="B239" i="16"/>
  <c r="A240" i="16"/>
  <c r="L239" i="16"/>
  <c r="F238" i="16"/>
  <c r="E238" i="16"/>
  <c r="D238" i="16"/>
  <c r="G237" i="16"/>
  <c r="O218" i="6"/>
  <c r="B219" i="6"/>
  <c r="A220" i="6"/>
  <c r="U218" i="6"/>
  <c r="H218" i="6"/>
  <c r="J218" i="6"/>
  <c r="K218" i="6"/>
  <c r="T218" i="6"/>
  <c r="W218" i="6"/>
  <c r="AM218" i="6" s="1"/>
  <c r="G218" i="6"/>
  <c r="X218" i="6"/>
  <c r="Z219" i="6" l="1"/>
  <c r="P219" i="6"/>
  <c r="AA219" i="6"/>
  <c r="AL218" i="6"/>
  <c r="B240" i="16"/>
  <c r="A241" i="16"/>
  <c r="L240" i="16"/>
  <c r="H237" i="16"/>
  <c r="I237" i="16" s="1"/>
  <c r="K237" i="16" s="1"/>
  <c r="M237" i="16" s="1"/>
  <c r="G238" i="16"/>
  <c r="F239" i="16"/>
  <c r="E239" i="16"/>
  <c r="D239" i="16"/>
  <c r="O219" i="6"/>
  <c r="B220" i="6"/>
  <c r="A221" i="6"/>
  <c r="B221" i="6" s="1"/>
  <c r="U219" i="6"/>
  <c r="W219" i="6"/>
  <c r="H219" i="6"/>
  <c r="T219" i="6"/>
  <c r="G219" i="6"/>
  <c r="X219" i="6"/>
  <c r="J219" i="6"/>
  <c r="K219" i="6"/>
  <c r="Z221" i="6" l="1"/>
  <c r="P221" i="6"/>
  <c r="AA221" i="6"/>
  <c r="Z220" i="6"/>
  <c r="P220" i="6"/>
  <c r="AA220" i="6"/>
  <c r="AM219" i="6"/>
  <c r="AL219" i="6"/>
  <c r="N237" i="16"/>
  <c r="O237" i="16" s="1"/>
  <c r="P237" i="16" s="1"/>
  <c r="G239" i="16"/>
  <c r="B241" i="16"/>
  <c r="A242" i="16"/>
  <c r="L241" i="16"/>
  <c r="H238" i="16"/>
  <c r="I238" i="16" s="1"/>
  <c r="K238" i="16" s="1"/>
  <c r="M238" i="16" s="1"/>
  <c r="F240" i="16"/>
  <c r="E240" i="16"/>
  <c r="D240" i="16"/>
  <c r="O221" i="6"/>
  <c r="O220" i="6"/>
  <c r="U221" i="6"/>
  <c r="W221" i="6"/>
  <c r="H221" i="6"/>
  <c r="J221" i="6"/>
  <c r="T221" i="6"/>
  <c r="G221" i="6"/>
  <c r="X221" i="6"/>
  <c r="K221" i="6"/>
  <c r="U220" i="6"/>
  <c r="H220" i="6"/>
  <c r="J220" i="6"/>
  <c r="K220" i="6"/>
  <c r="W220" i="6"/>
  <c r="T220" i="6"/>
  <c r="G220" i="6"/>
  <c r="X220" i="6"/>
  <c r="AM220" i="6" l="1"/>
  <c r="AM221" i="6"/>
  <c r="AL220" i="6"/>
  <c r="AL221" i="6"/>
  <c r="N238" i="16"/>
  <c r="O238" i="16" s="1"/>
  <c r="P238" i="16" s="1"/>
  <c r="B242" i="16"/>
  <c r="A243" i="16"/>
  <c r="L242" i="16"/>
  <c r="F241" i="16"/>
  <c r="E241" i="16"/>
  <c r="D241" i="16"/>
  <c r="G240" i="16"/>
  <c r="H239" i="16"/>
  <c r="I239" i="16" s="1"/>
  <c r="K239" i="16" s="1"/>
  <c r="M239" i="16" s="1"/>
  <c r="B30" i="2"/>
  <c r="B32" i="2" s="1"/>
  <c r="N239" i="16" l="1"/>
  <c r="O239" i="16" s="1"/>
  <c r="P239" i="16" s="1"/>
  <c r="G241" i="16"/>
  <c r="H241" i="16" s="1"/>
  <c r="I241" i="16" s="1"/>
  <c r="K241" i="16" s="1"/>
  <c r="M241" i="16" s="1"/>
  <c r="H240" i="16"/>
  <c r="I240" i="16" s="1"/>
  <c r="K240" i="16" s="1"/>
  <c r="M240" i="16" s="1"/>
  <c r="F242" i="16"/>
  <c r="E242" i="16"/>
  <c r="D242" i="16"/>
  <c r="B243" i="16"/>
  <c r="L243" i="16"/>
  <c r="A244" i="16"/>
  <c r="B74" i="1"/>
  <c r="B31" i="2"/>
  <c r="B75" i="1"/>
  <c r="N241" i="16" l="1"/>
  <c r="O241" i="16" s="1"/>
  <c r="P241" i="16" s="1"/>
  <c r="N240" i="16"/>
  <c r="O240" i="16" s="1"/>
  <c r="P240" i="16" s="1"/>
  <c r="E243" i="16"/>
  <c r="F243" i="16"/>
  <c r="D243" i="16"/>
  <c r="B244" i="16"/>
  <c r="L244" i="16"/>
  <c r="A245" i="16"/>
  <c r="G242" i="16"/>
  <c r="B73" i="1"/>
  <c r="B245" i="16" l="1"/>
  <c r="A246" i="16"/>
  <c r="L245" i="16"/>
  <c r="G243" i="16"/>
  <c r="H242" i="16"/>
  <c r="I242" i="16" s="1"/>
  <c r="K242" i="16" s="1"/>
  <c r="M242" i="16" s="1"/>
  <c r="F244" i="16"/>
  <c r="E244" i="16"/>
  <c r="D244" i="16"/>
  <c r="N242" i="16" l="1"/>
  <c r="O242" i="16" s="1"/>
  <c r="P242" i="16" s="1"/>
  <c r="G244" i="16"/>
  <c r="H244" i="16" s="1"/>
  <c r="I244" i="16" s="1"/>
  <c r="K244" i="16" s="1"/>
  <c r="M244" i="16" s="1"/>
  <c r="B246" i="16"/>
  <c r="A247" i="16"/>
  <c r="L246" i="16"/>
  <c r="H243" i="16"/>
  <c r="I243" i="16" s="1"/>
  <c r="K243" i="16" s="1"/>
  <c r="M243" i="16" s="1"/>
  <c r="F245" i="16"/>
  <c r="E245" i="16"/>
  <c r="D245" i="16"/>
  <c r="B22" i="6"/>
  <c r="B58" i="6" s="1"/>
  <c r="B75" i="6" s="1"/>
  <c r="B63" i="6"/>
  <c r="N244" i="16" l="1"/>
  <c r="O244" i="16" s="1"/>
  <c r="P244" i="16" s="1"/>
  <c r="N243" i="16"/>
  <c r="O243" i="16" s="1"/>
  <c r="P243" i="16" s="1"/>
  <c r="F246" i="16"/>
  <c r="E246" i="16"/>
  <c r="D246" i="16"/>
  <c r="B247" i="16"/>
  <c r="L247" i="16"/>
  <c r="A248" i="16"/>
  <c r="G245" i="16"/>
  <c r="AB97" i="6"/>
  <c r="AB101" i="6"/>
  <c r="AB105" i="6"/>
  <c r="AB109" i="6"/>
  <c r="AB113" i="6"/>
  <c r="AB117" i="6"/>
  <c r="AB121" i="6"/>
  <c r="AB125" i="6"/>
  <c r="AB129" i="6"/>
  <c r="AB133" i="6"/>
  <c r="AB137" i="6"/>
  <c r="AB141" i="6"/>
  <c r="AB145" i="6"/>
  <c r="AB149" i="6"/>
  <c r="AB153" i="6"/>
  <c r="AB157" i="6"/>
  <c r="AB161" i="6"/>
  <c r="AB165" i="6"/>
  <c r="AB169" i="6"/>
  <c r="AB173" i="6"/>
  <c r="AB177" i="6"/>
  <c r="AB181" i="6"/>
  <c r="AB185" i="6"/>
  <c r="AB189" i="6"/>
  <c r="AB193" i="6"/>
  <c r="AB197" i="6"/>
  <c r="AB201" i="6"/>
  <c r="AB205" i="6"/>
  <c r="AB209" i="6"/>
  <c r="AB213" i="6"/>
  <c r="AB217" i="6"/>
  <c r="AB221" i="6"/>
  <c r="AB206" i="6"/>
  <c r="AB218" i="6"/>
  <c r="AB98" i="6"/>
  <c r="AB102" i="6"/>
  <c r="AB106" i="6"/>
  <c r="AB110" i="6"/>
  <c r="AB114" i="6"/>
  <c r="AB118" i="6"/>
  <c r="AB122" i="6"/>
  <c r="AB126" i="6"/>
  <c r="AB130" i="6"/>
  <c r="AB134" i="6"/>
  <c r="AB138" i="6"/>
  <c r="AB142" i="6"/>
  <c r="AB146" i="6"/>
  <c r="AB150" i="6"/>
  <c r="AB154" i="6"/>
  <c r="AB158" i="6"/>
  <c r="AB162" i="6"/>
  <c r="AB166" i="6"/>
  <c r="AB170" i="6"/>
  <c r="AB174" i="6"/>
  <c r="AB178" i="6"/>
  <c r="AB182" i="6"/>
  <c r="AB186" i="6"/>
  <c r="AB190" i="6"/>
  <c r="AB194" i="6"/>
  <c r="AB198" i="6"/>
  <c r="AB202" i="6"/>
  <c r="AB210" i="6"/>
  <c r="AB214" i="6"/>
  <c r="AB95" i="6"/>
  <c r="AB99" i="6"/>
  <c r="AB103" i="6"/>
  <c r="AB107" i="6"/>
  <c r="AB111" i="6"/>
  <c r="AB115" i="6"/>
  <c r="AB119" i="6"/>
  <c r="AB123" i="6"/>
  <c r="AB127" i="6"/>
  <c r="AB131" i="6"/>
  <c r="AB135" i="6"/>
  <c r="AB139" i="6"/>
  <c r="AB143" i="6"/>
  <c r="AB147" i="6"/>
  <c r="AB151" i="6"/>
  <c r="AB155" i="6"/>
  <c r="AB159" i="6"/>
  <c r="AB163" i="6"/>
  <c r="AB167" i="6"/>
  <c r="AB171" i="6"/>
  <c r="AB175" i="6"/>
  <c r="AB179" i="6"/>
  <c r="AB183" i="6"/>
  <c r="AB187" i="6"/>
  <c r="AB191" i="6"/>
  <c r="AB195" i="6"/>
  <c r="AB199" i="6"/>
  <c r="AB203" i="6"/>
  <c r="AB207" i="6"/>
  <c r="AB211" i="6"/>
  <c r="AB215" i="6"/>
  <c r="AB219" i="6"/>
  <c r="AB96" i="6"/>
  <c r="AB100" i="6"/>
  <c r="AB104" i="6"/>
  <c r="AB108" i="6"/>
  <c r="AB112" i="6"/>
  <c r="AB116" i="6"/>
  <c r="AB120" i="6"/>
  <c r="AB124" i="6"/>
  <c r="AB128" i="6"/>
  <c r="AB132" i="6"/>
  <c r="AB136" i="6"/>
  <c r="AB140" i="6"/>
  <c r="AB144" i="6"/>
  <c r="AB148" i="6"/>
  <c r="AB152" i="6"/>
  <c r="AB156" i="6"/>
  <c r="AB160" i="6"/>
  <c r="AB164" i="6"/>
  <c r="AB168" i="6"/>
  <c r="AB172" i="6"/>
  <c r="AB176" i="6"/>
  <c r="AB180" i="6"/>
  <c r="AB184" i="6"/>
  <c r="AB188" i="6"/>
  <c r="AB192" i="6"/>
  <c r="AB196" i="6"/>
  <c r="AB200" i="6"/>
  <c r="AB204" i="6"/>
  <c r="AB208" i="6"/>
  <c r="AB212" i="6"/>
  <c r="AB216" i="6"/>
  <c r="AB220" i="6"/>
  <c r="Q101" i="6"/>
  <c r="Q129" i="6"/>
  <c r="Q145" i="6"/>
  <c r="Q165" i="6"/>
  <c r="Q185" i="6"/>
  <c r="Q201" i="6"/>
  <c r="Q221" i="6"/>
  <c r="Q150" i="6"/>
  <c r="Q174" i="6"/>
  <c r="Q194" i="6"/>
  <c r="Q98" i="6"/>
  <c r="Q102" i="6"/>
  <c r="Q106" i="6"/>
  <c r="Q110" i="6"/>
  <c r="Q114" i="6"/>
  <c r="Q118" i="6"/>
  <c r="Q122" i="6"/>
  <c r="Q126" i="6"/>
  <c r="Q130" i="6"/>
  <c r="Q134" i="6"/>
  <c r="Q138" i="6"/>
  <c r="Q154" i="6"/>
  <c r="Q166" i="6"/>
  <c r="Q182" i="6"/>
  <c r="Q99" i="6"/>
  <c r="Q103" i="6"/>
  <c r="Q107" i="6"/>
  <c r="Q111" i="6"/>
  <c r="Q115" i="6"/>
  <c r="Q119" i="6"/>
  <c r="Q123" i="6"/>
  <c r="Q127" i="6"/>
  <c r="Q131" i="6"/>
  <c r="Q135" i="6"/>
  <c r="Q139" i="6"/>
  <c r="Q143" i="6"/>
  <c r="Q147" i="6"/>
  <c r="Q151" i="6"/>
  <c r="Q155" i="6"/>
  <c r="Q159" i="6"/>
  <c r="Q163" i="6"/>
  <c r="Q167" i="6"/>
  <c r="Q171" i="6"/>
  <c r="Q175" i="6"/>
  <c r="Q179" i="6"/>
  <c r="Q183" i="6"/>
  <c r="Q187" i="6"/>
  <c r="Q191" i="6"/>
  <c r="Q195" i="6"/>
  <c r="Q199" i="6"/>
  <c r="Q203" i="6"/>
  <c r="Q207" i="6"/>
  <c r="Q211" i="6"/>
  <c r="Q215" i="6"/>
  <c r="Q219" i="6"/>
  <c r="Q97" i="6"/>
  <c r="Q109" i="6"/>
  <c r="Q117" i="6"/>
  <c r="Q125" i="6"/>
  <c r="Q137" i="6"/>
  <c r="Q149" i="6"/>
  <c r="Q161" i="6"/>
  <c r="Q173" i="6"/>
  <c r="Q181" i="6"/>
  <c r="Q193" i="6"/>
  <c r="Q209" i="6"/>
  <c r="Q213" i="6"/>
  <c r="Q146" i="6"/>
  <c r="Q162" i="6"/>
  <c r="Q178" i="6"/>
  <c r="Q190" i="6"/>
  <c r="Q96" i="6"/>
  <c r="Q100" i="6"/>
  <c r="Q104" i="6"/>
  <c r="Q108" i="6"/>
  <c r="Q112" i="6"/>
  <c r="Q116" i="6"/>
  <c r="Q120" i="6"/>
  <c r="Q124" i="6"/>
  <c r="Q128" i="6"/>
  <c r="Q132" i="6"/>
  <c r="Q136" i="6"/>
  <c r="Q140" i="6"/>
  <c r="Q144" i="6"/>
  <c r="Q148" i="6"/>
  <c r="Q152" i="6"/>
  <c r="Q156" i="6"/>
  <c r="Q160" i="6"/>
  <c r="Q164" i="6"/>
  <c r="Q168" i="6"/>
  <c r="Q172" i="6"/>
  <c r="Q176" i="6"/>
  <c r="Q180" i="6"/>
  <c r="Q184" i="6"/>
  <c r="Q188" i="6"/>
  <c r="Q192" i="6"/>
  <c r="Q196" i="6"/>
  <c r="Q200" i="6"/>
  <c r="Q204" i="6"/>
  <c r="Q208" i="6"/>
  <c r="Q212" i="6"/>
  <c r="Q216" i="6"/>
  <c r="Q220" i="6"/>
  <c r="Q105" i="6"/>
  <c r="Q113" i="6"/>
  <c r="Q121" i="6"/>
  <c r="Q133" i="6"/>
  <c r="Q141" i="6"/>
  <c r="Q153" i="6"/>
  <c r="Q157" i="6"/>
  <c r="Q169" i="6"/>
  <c r="Q177" i="6"/>
  <c r="Q189" i="6"/>
  <c r="Q197" i="6"/>
  <c r="Q205" i="6"/>
  <c r="Q217" i="6"/>
  <c r="Q142" i="6"/>
  <c r="Q158" i="6"/>
  <c r="Q170" i="6"/>
  <c r="Q186" i="6"/>
  <c r="Q198" i="6"/>
  <c r="Q214" i="6"/>
  <c r="Q95" i="6"/>
  <c r="Q210" i="6"/>
  <c r="Q202" i="6"/>
  <c r="Q218" i="6"/>
  <c r="Q206" i="6"/>
  <c r="B57" i="6"/>
  <c r="B74" i="6" s="1"/>
  <c r="D135" i="6" s="1"/>
  <c r="B56" i="6"/>
  <c r="B73" i="6" s="1"/>
  <c r="E117" i="6" s="1"/>
  <c r="G246" i="16" l="1"/>
  <c r="H246" i="16" s="1"/>
  <c r="I246" i="16" s="1"/>
  <c r="K246" i="16" s="1"/>
  <c r="M246" i="16" s="1"/>
  <c r="N246" i="16" s="1"/>
  <c r="H245" i="16"/>
  <c r="I245" i="16" s="1"/>
  <c r="K245" i="16" s="1"/>
  <c r="M245" i="16" s="1"/>
  <c r="F247" i="16"/>
  <c r="E247" i="16"/>
  <c r="D247" i="16"/>
  <c r="B248" i="16"/>
  <c r="A249" i="16"/>
  <c r="L248" i="16"/>
  <c r="D215" i="6"/>
  <c r="D182" i="6"/>
  <c r="E212" i="6"/>
  <c r="D112" i="6"/>
  <c r="D199" i="6"/>
  <c r="D150" i="6"/>
  <c r="E221" i="6"/>
  <c r="E194" i="6"/>
  <c r="D207" i="6"/>
  <c r="D166" i="6"/>
  <c r="D111" i="6"/>
  <c r="E202" i="6"/>
  <c r="D191" i="6"/>
  <c r="D99" i="6"/>
  <c r="E214" i="6"/>
  <c r="E192" i="6"/>
  <c r="D214" i="6"/>
  <c r="D206" i="6"/>
  <c r="D198" i="6"/>
  <c r="D190" i="6"/>
  <c r="D178" i="6"/>
  <c r="D162" i="6"/>
  <c r="D146" i="6"/>
  <c r="D137" i="6"/>
  <c r="D117" i="6"/>
  <c r="F117" i="6" s="1"/>
  <c r="AF117" i="6" s="1"/>
  <c r="D124" i="6"/>
  <c r="E206" i="6"/>
  <c r="E184" i="6"/>
  <c r="D219" i="6"/>
  <c r="D211" i="6"/>
  <c r="D203" i="6"/>
  <c r="D195" i="6"/>
  <c r="D187" i="6"/>
  <c r="D174" i="6"/>
  <c r="D158" i="6"/>
  <c r="D142" i="6"/>
  <c r="D107" i="6"/>
  <c r="D101" i="6"/>
  <c r="E182" i="6"/>
  <c r="D218" i="6"/>
  <c r="D210" i="6"/>
  <c r="D202" i="6"/>
  <c r="D194" i="6"/>
  <c r="D186" i="6"/>
  <c r="D170" i="6"/>
  <c r="D154" i="6"/>
  <c r="D131" i="6"/>
  <c r="D115" i="6"/>
  <c r="D138" i="6"/>
  <c r="D221" i="6"/>
  <c r="D217" i="6"/>
  <c r="D213" i="6"/>
  <c r="D209" i="6"/>
  <c r="D205" i="6"/>
  <c r="D201" i="6"/>
  <c r="D197" i="6"/>
  <c r="D193" i="6"/>
  <c r="D189" i="6"/>
  <c r="D185" i="6"/>
  <c r="D181" i="6"/>
  <c r="D177" i="6"/>
  <c r="D173" i="6"/>
  <c r="D169" i="6"/>
  <c r="D165" i="6"/>
  <c r="D161" i="6"/>
  <c r="D157" i="6"/>
  <c r="D153" i="6"/>
  <c r="D149" i="6"/>
  <c r="D145" i="6"/>
  <c r="D132" i="6"/>
  <c r="D140" i="6"/>
  <c r="D97" i="6"/>
  <c r="D102" i="6"/>
  <c r="D106" i="6"/>
  <c r="D119" i="6"/>
  <c r="D134" i="6"/>
  <c r="D125" i="6"/>
  <c r="D114" i="6"/>
  <c r="D95" i="6"/>
  <c r="D108" i="6"/>
  <c r="D128" i="6"/>
  <c r="E218" i="6"/>
  <c r="E210" i="6"/>
  <c r="E200" i="6"/>
  <c r="E190" i="6"/>
  <c r="E176" i="6"/>
  <c r="D220" i="6"/>
  <c r="D216" i="6"/>
  <c r="D212" i="6"/>
  <c r="D208" i="6"/>
  <c r="D204" i="6"/>
  <c r="D200" i="6"/>
  <c r="D196" i="6"/>
  <c r="D192" i="6"/>
  <c r="D188" i="6"/>
  <c r="D184" i="6"/>
  <c r="D180" i="6"/>
  <c r="D176" i="6"/>
  <c r="D172" i="6"/>
  <c r="D168" i="6"/>
  <c r="D164" i="6"/>
  <c r="D160" i="6"/>
  <c r="D156" i="6"/>
  <c r="D152" i="6"/>
  <c r="D148" i="6"/>
  <c r="D144" i="6"/>
  <c r="D141" i="6"/>
  <c r="D139" i="6"/>
  <c r="D113" i="6"/>
  <c r="D100" i="6"/>
  <c r="D105" i="6"/>
  <c r="D123" i="6"/>
  <c r="D98" i="6"/>
  <c r="D129" i="6"/>
  <c r="D122" i="6"/>
  <c r="D110" i="6"/>
  <c r="D116" i="6"/>
  <c r="D136" i="6"/>
  <c r="E216" i="6"/>
  <c r="E208" i="6"/>
  <c r="E198" i="6"/>
  <c r="E186" i="6"/>
  <c r="E166" i="6"/>
  <c r="D183" i="6"/>
  <c r="D179" i="6"/>
  <c r="D175" i="6"/>
  <c r="D171" i="6"/>
  <c r="D167" i="6"/>
  <c r="D163" i="6"/>
  <c r="D159" i="6"/>
  <c r="D155" i="6"/>
  <c r="D151" i="6"/>
  <c r="D147" i="6"/>
  <c r="D143" i="6"/>
  <c r="D133" i="6"/>
  <c r="D118" i="6"/>
  <c r="D121" i="6"/>
  <c r="D126" i="6"/>
  <c r="D104" i="6"/>
  <c r="D127" i="6"/>
  <c r="D96" i="6"/>
  <c r="D103" i="6"/>
  <c r="D130" i="6"/>
  <c r="D109" i="6"/>
  <c r="D120" i="6"/>
  <c r="E154" i="6"/>
  <c r="E170" i="6"/>
  <c r="E178" i="6"/>
  <c r="E168" i="6"/>
  <c r="E152" i="6"/>
  <c r="E174" i="6"/>
  <c r="E160" i="6"/>
  <c r="E204" i="6"/>
  <c r="E196" i="6"/>
  <c r="E188" i="6"/>
  <c r="E180" i="6"/>
  <c r="E172" i="6"/>
  <c r="E162" i="6"/>
  <c r="S162" i="6" s="1"/>
  <c r="AG162" i="6" s="1"/>
  <c r="E141" i="6"/>
  <c r="F141" i="6" s="1"/>
  <c r="AF141" i="6" s="1"/>
  <c r="E158" i="6"/>
  <c r="E99" i="6"/>
  <c r="E150" i="6"/>
  <c r="E164" i="6"/>
  <c r="E156" i="6"/>
  <c r="E146" i="6"/>
  <c r="E142" i="6"/>
  <c r="E100" i="6"/>
  <c r="E148" i="6"/>
  <c r="E131" i="6"/>
  <c r="E127" i="6"/>
  <c r="E144" i="6"/>
  <c r="E107" i="6"/>
  <c r="E96" i="6"/>
  <c r="F96" i="6" s="1"/>
  <c r="AF96" i="6" s="1"/>
  <c r="E137" i="6"/>
  <c r="E103" i="6"/>
  <c r="E120" i="6"/>
  <c r="E98" i="6"/>
  <c r="S98" i="6" s="1"/>
  <c r="AG98" i="6" s="1"/>
  <c r="E108" i="6"/>
  <c r="E115" i="6"/>
  <c r="E126" i="6"/>
  <c r="E118" i="6"/>
  <c r="E220" i="6"/>
  <c r="E217" i="6"/>
  <c r="F217" i="6" s="1"/>
  <c r="AF217" i="6" s="1"/>
  <c r="E213" i="6"/>
  <c r="E209" i="6"/>
  <c r="E205" i="6"/>
  <c r="E201" i="6"/>
  <c r="E197" i="6"/>
  <c r="E193" i="6"/>
  <c r="E189" i="6"/>
  <c r="E185" i="6"/>
  <c r="F185" i="6" s="1"/>
  <c r="AF185" i="6" s="1"/>
  <c r="E181" i="6"/>
  <c r="E177" i="6"/>
  <c r="E173" i="6"/>
  <c r="E169" i="6"/>
  <c r="E165" i="6"/>
  <c r="E161" i="6"/>
  <c r="E157" i="6"/>
  <c r="E153" i="6"/>
  <c r="F153" i="6" s="1"/>
  <c r="AF153" i="6" s="1"/>
  <c r="E149" i="6"/>
  <c r="E145" i="6"/>
  <c r="E132" i="6"/>
  <c r="E140" i="6"/>
  <c r="E136" i="6"/>
  <c r="E122" i="6"/>
  <c r="E123" i="6"/>
  <c r="E125" i="6"/>
  <c r="E128" i="6"/>
  <c r="E97" i="6"/>
  <c r="E219" i="6"/>
  <c r="E215" i="6"/>
  <c r="E211" i="6"/>
  <c r="E207" i="6"/>
  <c r="E203" i="6"/>
  <c r="E199" i="6"/>
  <c r="E195" i="6"/>
  <c r="S195" i="6" s="1"/>
  <c r="AG195" i="6" s="1"/>
  <c r="E191" i="6"/>
  <c r="E187" i="6"/>
  <c r="E183" i="6"/>
  <c r="E179" i="6"/>
  <c r="E175" i="6"/>
  <c r="E171" i="6"/>
  <c r="E167" i="6"/>
  <c r="E163" i="6"/>
  <c r="E159" i="6"/>
  <c r="E155" i="6"/>
  <c r="E151" i="6"/>
  <c r="E147" i="6"/>
  <c r="E143" i="6"/>
  <c r="E133" i="6"/>
  <c r="E134" i="6"/>
  <c r="E104" i="6"/>
  <c r="E112" i="6"/>
  <c r="E138" i="6"/>
  <c r="E116" i="6"/>
  <c r="E139" i="6"/>
  <c r="F139" i="6" s="1"/>
  <c r="AF139" i="6" s="1"/>
  <c r="E113" i="6"/>
  <c r="S113" i="6" s="1"/>
  <c r="AG113" i="6" s="1"/>
  <c r="E114" i="6"/>
  <c r="S114" i="6" s="1"/>
  <c r="AG114" i="6" s="1"/>
  <c r="E130" i="6"/>
  <c r="F130" i="6" s="1"/>
  <c r="AF130" i="6" s="1"/>
  <c r="E101" i="6"/>
  <c r="E110" i="6"/>
  <c r="E111" i="6"/>
  <c r="E105" i="6"/>
  <c r="E135" i="6"/>
  <c r="S135" i="6" s="1"/>
  <c r="AG135" i="6" s="1"/>
  <c r="E106" i="6"/>
  <c r="E102" i="6"/>
  <c r="E124" i="6"/>
  <c r="E95" i="6"/>
  <c r="E129" i="6"/>
  <c r="E119" i="6"/>
  <c r="E109" i="6"/>
  <c r="E121" i="6"/>
  <c r="F105" i="6" l="1"/>
  <c r="AF105" i="6" s="1"/>
  <c r="S140" i="6"/>
  <c r="AG140" i="6" s="1"/>
  <c r="S169" i="6"/>
  <c r="AG169" i="6" s="1"/>
  <c r="F201" i="6"/>
  <c r="AF201" i="6" s="1"/>
  <c r="F145" i="6"/>
  <c r="AF145" i="6" s="1"/>
  <c r="S177" i="6"/>
  <c r="AG177" i="6" s="1"/>
  <c r="F209" i="6"/>
  <c r="AF209" i="6" s="1"/>
  <c r="F132" i="6"/>
  <c r="AF132" i="6" s="1"/>
  <c r="F173" i="6"/>
  <c r="AF173" i="6" s="1"/>
  <c r="S205" i="6"/>
  <c r="AG205" i="6" s="1"/>
  <c r="S150" i="6"/>
  <c r="AG150" i="6" s="1"/>
  <c r="F154" i="6"/>
  <c r="AF154" i="6" s="1"/>
  <c r="S188" i="6"/>
  <c r="AG188" i="6" s="1"/>
  <c r="S181" i="6"/>
  <c r="AG181" i="6" s="1"/>
  <c r="S149" i="6"/>
  <c r="AG149" i="6" s="1"/>
  <c r="F157" i="6"/>
  <c r="AF157" i="6" s="1"/>
  <c r="S161" i="6"/>
  <c r="AG161" i="6" s="1"/>
  <c r="F165" i="6"/>
  <c r="AF165" i="6" s="1"/>
  <c r="F197" i="6"/>
  <c r="AF197" i="6" s="1"/>
  <c r="S193" i="6"/>
  <c r="AG193" i="6" s="1"/>
  <c r="F207" i="6"/>
  <c r="AF207" i="6" s="1"/>
  <c r="S176" i="6"/>
  <c r="AG176" i="6" s="1"/>
  <c r="N245" i="16"/>
  <c r="O245" i="16" s="1"/>
  <c r="P245" i="16" s="1"/>
  <c r="O246" i="16"/>
  <c r="P246" i="16" s="1"/>
  <c r="G247" i="16"/>
  <c r="H247" i="16" s="1"/>
  <c r="B249" i="16"/>
  <c r="A250" i="16"/>
  <c r="L249" i="16"/>
  <c r="F248" i="16"/>
  <c r="E248" i="16"/>
  <c r="D248" i="16"/>
  <c r="F213" i="6"/>
  <c r="AF213" i="6" s="1"/>
  <c r="F176" i="6"/>
  <c r="AF176" i="6" s="1"/>
  <c r="AC135" i="6"/>
  <c r="AC140" i="6"/>
  <c r="AC169" i="6"/>
  <c r="AC188" i="6"/>
  <c r="AC195" i="6"/>
  <c r="AC114" i="6"/>
  <c r="AC162" i="6"/>
  <c r="AC113" i="6"/>
  <c r="AC98" i="6"/>
  <c r="F188" i="6"/>
  <c r="AF188" i="6" s="1"/>
  <c r="F119" i="6"/>
  <c r="AF119" i="6" s="1"/>
  <c r="S129" i="6"/>
  <c r="AG129" i="6" s="1"/>
  <c r="F191" i="6"/>
  <c r="AF191" i="6" s="1"/>
  <c r="S121" i="6"/>
  <c r="AG121" i="6" s="1"/>
  <c r="F184" i="6"/>
  <c r="AF184" i="6" s="1"/>
  <c r="S104" i="6"/>
  <c r="AG104" i="6" s="1"/>
  <c r="S156" i="6"/>
  <c r="AG156" i="6" s="1"/>
  <c r="F158" i="6"/>
  <c r="AF158" i="6" s="1"/>
  <c r="S99" i="6"/>
  <c r="AG99" i="6" s="1"/>
  <c r="S117" i="6"/>
  <c r="AG117" i="6" s="1"/>
  <c r="F214" i="6"/>
  <c r="AF214" i="6" s="1"/>
  <c r="S138" i="6"/>
  <c r="AG138" i="6" s="1"/>
  <c r="F187" i="6"/>
  <c r="AF187" i="6" s="1"/>
  <c r="F219" i="6"/>
  <c r="AF219" i="6" s="1"/>
  <c r="S166" i="6"/>
  <c r="AG166" i="6" s="1"/>
  <c r="F189" i="6"/>
  <c r="AF189" i="6" s="1"/>
  <c r="S106" i="6"/>
  <c r="AG106" i="6" s="1"/>
  <c r="S210" i="6"/>
  <c r="AG210" i="6" s="1"/>
  <c r="F182" i="6"/>
  <c r="AF182" i="6" s="1"/>
  <c r="F143" i="6"/>
  <c r="AF143" i="6" s="1"/>
  <c r="F159" i="6"/>
  <c r="AF159" i="6" s="1"/>
  <c r="F175" i="6"/>
  <c r="AF175" i="6" s="1"/>
  <c r="F198" i="6"/>
  <c r="AF198" i="6" s="1"/>
  <c r="S221" i="6"/>
  <c r="AG221" i="6" s="1"/>
  <c r="F170" i="6"/>
  <c r="AF170" i="6" s="1"/>
  <c r="S154" i="6"/>
  <c r="AG154" i="6" s="1"/>
  <c r="F210" i="6"/>
  <c r="AF210" i="6" s="1"/>
  <c r="F124" i="6"/>
  <c r="AF124" i="6" s="1"/>
  <c r="F101" i="6"/>
  <c r="AF101" i="6" s="1"/>
  <c r="S211" i="6"/>
  <c r="AG211" i="6" s="1"/>
  <c r="F107" i="6"/>
  <c r="AF107" i="6" s="1"/>
  <c r="F199" i="6"/>
  <c r="AF199" i="6" s="1"/>
  <c r="F215" i="6"/>
  <c r="AF215" i="6" s="1"/>
  <c r="S174" i="6"/>
  <c r="AG174" i="6" s="1"/>
  <c r="F166" i="6"/>
  <c r="AF166" i="6" s="1"/>
  <c r="S182" i="6"/>
  <c r="AG182" i="6" s="1"/>
  <c r="S206" i="6"/>
  <c r="AG206" i="6" s="1"/>
  <c r="S214" i="6"/>
  <c r="AG214" i="6" s="1"/>
  <c r="S202" i="6"/>
  <c r="AG202" i="6" s="1"/>
  <c r="F221" i="6"/>
  <c r="AF221" i="6" s="1"/>
  <c r="F206" i="6"/>
  <c r="AF206" i="6" s="1"/>
  <c r="S111" i="6"/>
  <c r="AG111" i="6" s="1"/>
  <c r="F136" i="6"/>
  <c r="AF136" i="6" s="1"/>
  <c r="F178" i="6"/>
  <c r="AF178" i="6" s="1"/>
  <c r="S126" i="6"/>
  <c r="AG126" i="6" s="1"/>
  <c r="F160" i="6"/>
  <c r="AF160" i="6" s="1"/>
  <c r="S208" i="6"/>
  <c r="AG208" i="6" s="1"/>
  <c r="F186" i="6"/>
  <c r="AF186" i="6" s="1"/>
  <c r="F218" i="6"/>
  <c r="AF218" i="6" s="1"/>
  <c r="F192" i="6"/>
  <c r="AF192" i="6" s="1"/>
  <c r="F202" i="6"/>
  <c r="AF202" i="6" s="1"/>
  <c r="S200" i="6"/>
  <c r="AG200" i="6" s="1"/>
  <c r="S192" i="6"/>
  <c r="AG192" i="6" s="1"/>
  <c r="S112" i="6"/>
  <c r="AG112" i="6" s="1"/>
  <c r="S212" i="6"/>
  <c r="AG212" i="6" s="1"/>
  <c r="S141" i="6"/>
  <c r="AG141" i="6" s="1"/>
  <c r="S218" i="6"/>
  <c r="AG218" i="6" s="1"/>
  <c r="F103" i="6"/>
  <c r="AF103" i="6" s="1"/>
  <c r="S144" i="6"/>
  <c r="AG144" i="6" s="1"/>
  <c r="F100" i="6"/>
  <c r="AF100" i="6" s="1"/>
  <c r="F174" i="6"/>
  <c r="AF174" i="6" s="1"/>
  <c r="S170" i="6"/>
  <c r="AG170" i="6" s="1"/>
  <c r="S216" i="6"/>
  <c r="AG216" i="6" s="1"/>
  <c r="F190" i="6"/>
  <c r="AF190" i="6" s="1"/>
  <c r="S194" i="6"/>
  <c r="AG194" i="6" s="1"/>
  <c r="F194" i="6"/>
  <c r="AF194" i="6" s="1"/>
  <c r="S160" i="6"/>
  <c r="AG160" i="6" s="1"/>
  <c r="S184" i="6"/>
  <c r="AG184" i="6" s="1"/>
  <c r="F216" i="6"/>
  <c r="AF216" i="6" s="1"/>
  <c r="F200" i="6"/>
  <c r="AF200" i="6" s="1"/>
  <c r="F134" i="6"/>
  <c r="AF134" i="6" s="1"/>
  <c r="F167" i="6"/>
  <c r="AF167" i="6" s="1"/>
  <c r="F115" i="6"/>
  <c r="AF115" i="6" s="1"/>
  <c r="F208" i="6"/>
  <c r="AF208" i="6" s="1"/>
  <c r="F133" i="6"/>
  <c r="AF133" i="6" s="1"/>
  <c r="S155" i="6"/>
  <c r="AG155" i="6" s="1"/>
  <c r="S171" i="6"/>
  <c r="AG171" i="6" s="1"/>
  <c r="S203" i="6"/>
  <c r="AG203" i="6" s="1"/>
  <c r="F123" i="6"/>
  <c r="AF123" i="6" s="1"/>
  <c r="S220" i="6"/>
  <c r="AG220" i="6" s="1"/>
  <c r="F108" i="6"/>
  <c r="AF108" i="6" s="1"/>
  <c r="F137" i="6"/>
  <c r="AF137" i="6" s="1"/>
  <c r="S127" i="6"/>
  <c r="AG127" i="6" s="1"/>
  <c r="S142" i="6"/>
  <c r="AG142" i="6" s="1"/>
  <c r="S152" i="6"/>
  <c r="AG152" i="6" s="1"/>
  <c r="S178" i="6"/>
  <c r="AG178" i="6" s="1"/>
  <c r="S186" i="6"/>
  <c r="AG186" i="6" s="1"/>
  <c r="S107" i="6"/>
  <c r="AG107" i="6" s="1"/>
  <c r="F151" i="6"/>
  <c r="AF151" i="6" s="1"/>
  <c r="F183" i="6"/>
  <c r="AF183" i="6" s="1"/>
  <c r="F156" i="6"/>
  <c r="AF156" i="6" s="1"/>
  <c r="S158" i="6"/>
  <c r="AG158" i="6" s="1"/>
  <c r="S109" i="6"/>
  <c r="AG109" i="6" s="1"/>
  <c r="S95" i="6"/>
  <c r="AG95" i="6" s="1"/>
  <c r="S110" i="6"/>
  <c r="AG110" i="6" s="1"/>
  <c r="S97" i="6"/>
  <c r="AG97" i="6" s="1"/>
  <c r="S122" i="6"/>
  <c r="AG122" i="6" s="1"/>
  <c r="S118" i="6"/>
  <c r="AG118" i="6" s="1"/>
  <c r="S131" i="6"/>
  <c r="AG131" i="6" s="1"/>
  <c r="S146" i="6"/>
  <c r="AG146" i="6" s="1"/>
  <c r="S172" i="6"/>
  <c r="AG172" i="6" s="1"/>
  <c r="S204" i="6"/>
  <c r="AG204" i="6" s="1"/>
  <c r="F168" i="6"/>
  <c r="AF168" i="6" s="1"/>
  <c r="S198" i="6"/>
  <c r="AG198" i="6" s="1"/>
  <c r="S190" i="6"/>
  <c r="AG190" i="6" s="1"/>
  <c r="F212" i="6"/>
  <c r="AF212" i="6" s="1"/>
  <c r="F147" i="6"/>
  <c r="AF147" i="6" s="1"/>
  <c r="S163" i="6"/>
  <c r="AG163" i="6" s="1"/>
  <c r="S179" i="6"/>
  <c r="AG179" i="6" s="1"/>
  <c r="S128" i="6"/>
  <c r="AG128" i="6" s="1"/>
  <c r="F120" i="6"/>
  <c r="AF120" i="6" s="1"/>
  <c r="S148" i="6"/>
  <c r="AG148" i="6" s="1"/>
  <c r="F180" i="6"/>
  <c r="AF180" i="6" s="1"/>
  <c r="F102" i="6"/>
  <c r="AF102" i="6" s="1"/>
  <c r="S116" i="6"/>
  <c r="AG116" i="6" s="1"/>
  <c r="F125" i="6"/>
  <c r="AF125" i="6" s="1"/>
  <c r="F164" i="6"/>
  <c r="AF164" i="6" s="1"/>
  <c r="F196" i="6"/>
  <c r="AF196" i="6" s="1"/>
  <c r="F161" i="6"/>
  <c r="AF161" i="6" s="1"/>
  <c r="S168" i="6"/>
  <c r="AG168" i="6" s="1"/>
  <c r="F131" i="6"/>
  <c r="AF131" i="6" s="1"/>
  <c r="F172" i="6"/>
  <c r="AF172" i="6" s="1"/>
  <c r="F99" i="6"/>
  <c r="AF99" i="6" s="1"/>
  <c r="S196" i="6"/>
  <c r="AG196" i="6" s="1"/>
  <c r="S96" i="6"/>
  <c r="AG96" i="6" s="1"/>
  <c r="F150" i="6"/>
  <c r="AF150" i="6" s="1"/>
  <c r="F204" i="6"/>
  <c r="AF204" i="6" s="1"/>
  <c r="F162" i="6"/>
  <c r="AF162" i="6" s="1"/>
  <c r="S180" i="6"/>
  <c r="AG180" i="6" s="1"/>
  <c r="F169" i="6"/>
  <c r="AF169" i="6" s="1"/>
  <c r="S134" i="6"/>
  <c r="AG134" i="6" s="1"/>
  <c r="S201" i="6"/>
  <c r="AG201" i="6" s="1"/>
  <c r="F152" i="6"/>
  <c r="AF152" i="6" s="1"/>
  <c r="S153" i="6"/>
  <c r="AG153" i="6" s="1"/>
  <c r="F148" i="6"/>
  <c r="AF148" i="6" s="1"/>
  <c r="S120" i="6"/>
  <c r="AG120" i="6" s="1"/>
  <c r="S100" i="6"/>
  <c r="AG100" i="6" s="1"/>
  <c r="F140" i="6"/>
  <c r="AF140" i="6" s="1"/>
  <c r="S185" i="6"/>
  <c r="AG185" i="6" s="1"/>
  <c r="S183" i="6"/>
  <c r="AG183" i="6" s="1"/>
  <c r="S164" i="6"/>
  <c r="AG164" i="6" s="1"/>
  <c r="S215" i="6"/>
  <c r="AG215" i="6" s="1"/>
  <c r="F114" i="6"/>
  <c r="AF114" i="6" s="1"/>
  <c r="S217" i="6"/>
  <c r="AG217" i="6" s="1"/>
  <c r="F146" i="6"/>
  <c r="AF146" i="6" s="1"/>
  <c r="F127" i="6"/>
  <c r="AF127" i="6" s="1"/>
  <c r="F142" i="6"/>
  <c r="AF142" i="6" s="1"/>
  <c r="S159" i="6"/>
  <c r="AG159" i="6" s="1"/>
  <c r="F95" i="6"/>
  <c r="AF95" i="6" s="1"/>
  <c r="F106" i="6"/>
  <c r="AF106" i="6" s="1"/>
  <c r="F116" i="6"/>
  <c r="AF116" i="6" s="1"/>
  <c r="S115" i="6"/>
  <c r="AG115" i="6" s="1"/>
  <c r="S103" i="6"/>
  <c r="AG103" i="6" s="1"/>
  <c r="S167" i="6"/>
  <c r="AG167" i="6" s="1"/>
  <c r="S199" i="6"/>
  <c r="AG199" i="6" s="1"/>
  <c r="F144" i="6"/>
  <c r="AF144" i="6" s="1"/>
  <c r="S151" i="6"/>
  <c r="AG151" i="6" s="1"/>
  <c r="S125" i="6"/>
  <c r="AG125" i="6" s="1"/>
  <c r="F98" i="6"/>
  <c r="AF98" i="6" s="1"/>
  <c r="S143" i="6"/>
  <c r="AG143" i="6" s="1"/>
  <c r="S207" i="6"/>
  <c r="AG207" i="6" s="1"/>
  <c r="S145" i="6"/>
  <c r="AG145" i="6" s="1"/>
  <c r="S191" i="6"/>
  <c r="AG191" i="6" s="1"/>
  <c r="S175" i="6"/>
  <c r="AG175" i="6" s="1"/>
  <c r="F122" i="6"/>
  <c r="AF122" i="6" s="1"/>
  <c r="S137" i="6"/>
  <c r="AG137" i="6" s="1"/>
  <c r="F111" i="6"/>
  <c r="AF111" i="6" s="1"/>
  <c r="S132" i="6"/>
  <c r="AG132" i="6" s="1"/>
  <c r="S157" i="6"/>
  <c r="AG157" i="6" s="1"/>
  <c r="S173" i="6"/>
  <c r="AG173" i="6" s="1"/>
  <c r="F113" i="6"/>
  <c r="AF113" i="6" s="1"/>
  <c r="S108" i="6"/>
  <c r="AG108" i="6" s="1"/>
  <c r="S123" i="6"/>
  <c r="AG123" i="6" s="1"/>
  <c r="F138" i="6"/>
  <c r="AF138" i="6" s="1"/>
  <c r="F193" i="6"/>
  <c r="AF193" i="6" s="1"/>
  <c r="F118" i="6"/>
  <c r="AF118" i="6" s="1"/>
  <c r="F110" i="6"/>
  <c r="AF110" i="6" s="1"/>
  <c r="F177" i="6"/>
  <c r="AF177" i="6" s="1"/>
  <c r="F97" i="6"/>
  <c r="AF97" i="6" s="1"/>
  <c r="S209" i="6"/>
  <c r="AG209" i="6" s="1"/>
  <c r="F112" i="6"/>
  <c r="AF112" i="6" s="1"/>
  <c r="S101" i="6"/>
  <c r="AG101" i="6" s="1"/>
  <c r="F126" i="6"/>
  <c r="AF126" i="6" s="1"/>
  <c r="S197" i="6"/>
  <c r="AG197" i="6" s="1"/>
  <c r="S136" i="6"/>
  <c r="AG136" i="6" s="1"/>
  <c r="F179" i="6"/>
  <c r="AF179" i="6" s="1"/>
  <c r="S147" i="6"/>
  <c r="AG147" i="6" s="1"/>
  <c r="F149" i="6"/>
  <c r="AF149" i="6" s="1"/>
  <c r="F211" i="6"/>
  <c r="AF211" i="6" s="1"/>
  <c r="F181" i="6"/>
  <c r="AF181" i="6" s="1"/>
  <c r="S213" i="6"/>
  <c r="AG213" i="6" s="1"/>
  <c r="S139" i="6"/>
  <c r="AG139" i="6" s="1"/>
  <c r="F121" i="6"/>
  <c r="AF121" i="6" s="1"/>
  <c r="F163" i="6"/>
  <c r="AF163" i="6" s="1"/>
  <c r="F195" i="6"/>
  <c r="AF195" i="6" s="1"/>
  <c r="S165" i="6"/>
  <c r="AG165" i="6" s="1"/>
  <c r="F104" i="6"/>
  <c r="AF104" i="6" s="1"/>
  <c r="F128" i="6"/>
  <c r="AF128" i="6" s="1"/>
  <c r="S102" i="6"/>
  <c r="AG102" i="6" s="1"/>
  <c r="S133" i="6"/>
  <c r="AG133" i="6" s="1"/>
  <c r="F155" i="6"/>
  <c r="AF155" i="6" s="1"/>
  <c r="F171" i="6"/>
  <c r="AF171" i="6" s="1"/>
  <c r="S187" i="6"/>
  <c r="AG187" i="6" s="1"/>
  <c r="F203" i="6"/>
  <c r="AF203" i="6" s="1"/>
  <c r="S219" i="6"/>
  <c r="AG219" i="6" s="1"/>
  <c r="S189" i="6"/>
  <c r="AG189" i="6" s="1"/>
  <c r="F205" i="6"/>
  <c r="AF205" i="6" s="1"/>
  <c r="F220" i="6"/>
  <c r="AF220" i="6" s="1"/>
  <c r="F109" i="6"/>
  <c r="AF109" i="6" s="1"/>
  <c r="S130" i="6"/>
  <c r="AG130" i="6" s="1"/>
  <c r="F135" i="6"/>
  <c r="AF135" i="6" s="1"/>
  <c r="S124" i="6"/>
  <c r="AG124" i="6" s="1"/>
  <c r="S105" i="6"/>
  <c r="AG105" i="6" s="1"/>
  <c r="F129" i="6"/>
  <c r="AF129" i="6" s="1"/>
  <c r="S119" i="6"/>
  <c r="AG119" i="6" s="1"/>
  <c r="B78" i="6"/>
  <c r="I106" i="6" s="1"/>
  <c r="AC177" i="6" l="1"/>
  <c r="AC150" i="6"/>
  <c r="AC205" i="6"/>
  <c r="AC181" i="6"/>
  <c r="AC149" i="6"/>
  <c r="AC161" i="6"/>
  <c r="AC176" i="6"/>
  <c r="AC193" i="6"/>
  <c r="I247" i="16"/>
  <c r="K247" i="16" s="1"/>
  <c r="M247" i="16" s="1"/>
  <c r="G248" i="16"/>
  <c r="H248" i="16" s="1"/>
  <c r="I248" i="16" s="1"/>
  <c r="K248" i="16" s="1"/>
  <c r="M248" i="16" s="1"/>
  <c r="B250" i="16"/>
  <c r="L250" i="16"/>
  <c r="A251" i="16"/>
  <c r="F249" i="16"/>
  <c r="E249" i="16"/>
  <c r="D249" i="16"/>
  <c r="AC130" i="6"/>
  <c r="AC136" i="6"/>
  <c r="AC157" i="6"/>
  <c r="AC207" i="6"/>
  <c r="AC164" i="6"/>
  <c r="AC96" i="6"/>
  <c r="AC179" i="6"/>
  <c r="AC190" i="6"/>
  <c r="AC122" i="6"/>
  <c r="AC109" i="6"/>
  <c r="AC152" i="6"/>
  <c r="AC171" i="6"/>
  <c r="AC194" i="6"/>
  <c r="AC218" i="6"/>
  <c r="AC192" i="6"/>
  <c r="AC126" i="6"/>
  <c r="AC206" i="6"/>
  <c r="AC124" i="6"/>
  <c r="AC133" i="6"/>
  <c r="AC165" i="6"/>
  <c r="AC139" i="6"/>
  <c r="AC197" i="6"/>
  <c r="AC209" i="6"/>
  <c r="AC108" i="6"/>
  <c r="AC132" i="6"/>
  <c r="AC175" i="6"/>
  <c r="AC143" i="6"/>
  <c r="AC115" i="6"/>
  <c r="AC159" i="6"/>
  <c r="AC217" i="6"/>
  <c r="AC183" i="6"/>
  <c r="AC120" i="6"/>
  <c r="AC201" i="6"/>
  <c r="AC196" i="6"/>
  <c r="AC168" i="6"/>
  <c r="AC148" i="6"/>
  <c r="AC163" i="6"/>
  <c r="AC198" i="6"/>
  <c r="AC146" i="6"/>
  <c r="AC97" i="6"/>
  <c r="AC158" i="6"/>
  <c r="AC107" i="6"/>
  <c r="AC142" i="6"/>
  <c r="AC220" i="6"/>
  <c r="AC155" i="6"/>
  <c r="AC184" i="6"/>
  <c r="AC141" i="6"/>
  <c r="AC200" i="6"/>
  <c r="AC182" i="6"/>
  <c r="AC221" i="6"/>
  <c r="AC138" i="6"/>
  <c r="AC121" i="6"/>
  <c r="AC189" i="6"/>
  <c r="AC105" i="6"/>
  <c r="AC219" i="6"/>
  <c r="AC123" i="6"/>
  <c r="AC151" i="6"/>
  <c r="AC103" i="6"/>
  <c r="AC100" i="6"/>
  <c r="AC180" i="6"/>
  <c r="AC172" i="6"/>
  <c r="AC106" i="6"/>
  <c r="AC99" i="6"/>
  <c r="AC119" i="6"/>
  <c r="AC187" i="6"/>
  <c r="AC102" i="6"/>
  <c r="AC213" i="6"/>
  <c r="AC147" i="6"/>
  <c r="AC191" i="6"/>
  <c r="AC199" i="6"/>
  <c r="AC185" i="6"/>
  <c r="AC134" i="6"/>
  <c r="AC116" i="6"/>
  <c r="AC131" i="6"/>
  <c r="AC110" i="6"/>
  <c r="AC186" i="6"/>
  <c r="AC127" i="6"/>
  <c r="AC160" i="6"/>
  <c r="AC216" i="6"/>
  <c r="AC144" i="6"/>
  <c r="AC212" i="6"/>
  <c r="AC208" i="6"/>
  <c r="AC202" i="6"/>
  <c r="AC166" i="6"/>
  <c r="AC156" i="6"/>
  <c r="AC101" i="6"/>
  <c r="AC173" i="6"/>
  <c r="AC137" i="6"/>
  <c r="AC145" i="6"/>
  <c r="AC125" i="6"/>
  <c r="AC167" i="6"/>
  <c r="AC215" i="6"/>
  <c r="AC153" i="6"/>
  <c r="AC128" i="6"/>
  <c r="AC204" i="6"/>
  <c r="AC118" i="6"/>
  <c r="AC95" i="6"/>
  <c r="AC178" i="6"/>
  <c r="AC203" i="6"/>
  <c r="AC170" i="6"/>
  <c r="AC112" i="6"/>
  <c r="AC111" i="6"/>
  <c r="AC214" i="6"/>
  <c r="AC174" i="6"/>
  <c r="AC211" i="6"/>
  <c r="AC154" i="6"/>
  <c r="AC210" i="6"/>
  <c r="AC117" i="6"/>
  <c r="AC104" i="6"/>
  <c r="AC129" i="6"/>
  <c r="B59" i="7"/>
  <c r="V151" i="6"/>
  <c r="V175" i="6"/>
  <c r="V143" i="6"/>
  <c r="I206" i="6"/>
  <c r="I96" i="6"/>
  <c r="I172" i="6"/>
  <c r="V135" i="6"/>
  <c r="I135" i="6"/>
  <c r="V147" i="6"/>
  <c r="I195" i="6"/>
  <c r="V189" i="6"/>
  <c r="V183" i="6"/>
  <c r="V199" i="6"/>
  <c r="V167" i="6"/>
  <c r="V130" i="6"/>
  <c r="V109" i="6"/>
  <c r="I198" i="6"/>
  <c r="I166" i="6"/>
  <c r="V129" i="6"/>
  <c r="V114" i="6"/>
  <c r="I196" i="6"/>
  <c r="I164" i="6"/>
  <c r="I126" i="6"/>
  <c r="V101" i="6"/>
  <c r="V125" i="6"/>
  <c r="I102" i="6"/>
  <c r="V141" i="6"/>
  <c r="V179" i="6"/>
  <c r="I157" i="6"/>
  <c r="I207" i="6"/>
  <c r="I104" i="6"/>
  <c r="I174" i="6"/>
  <c r="V142" i="6"/>
  <c r="V204" i="6"/>
  <c r="I132" i="6"/>
  <c r="V113" i="6"/>
  <c r="I163" i="6"/>
  <c r="I203" i="6"/>
  <c r="V103" i="6"/>
  <c r="V220" i="6"/>
  <c r="V215" i="6"/>
  <c r="V191" i="6"/>
  <c r="V159" i="6"/>
  <c r="I120" i="6"/>
  <c r="V136" i="6"/>
  <c r="V190" i="6"/>
  <c r="V158" i="6"/>
  <c r="I119" i="6"/>
  <c r="I221" i="6"/>
  <c r="I188" i="6"/>
  <c r="V156" i="6"/>
  <c r="I124" i="6"/>
  <c r="I177" i="6"/>
  <c r="V201" i="6"/>
  <c r="V121" i="6"/>
  <c r="I171" i="6"/>
  <c r="V211" i="6"/>
  <c r="I123" i="6"/>
  <c r="V127" i="6"/>
  <c r="I215" i="6"/>
  <c r="I183" i="6"/>
  <c r="I151" i="6"/>
  <c r="V119" i="6"/>
  <c r="V214" i="6"/>
  <c r="V182" i="6"/>
  <c r="V150" i="6"/>
  <c r="V111" i="6"/>
  <c r="I212" i="6"/>
  <c r="I180" i="6"/>
  <c r="I148" i="6"/>
  <c r="V104" i="6"/>
  <c r="I185" i="6"/>
  <c r="I138" i="6"/>
  <c r="V165" i="6"/>
  <c r="V197" i="6"/>
  <c r="V134" i="6"/>
  <c r="V117" i="6"/>
  <c r="I159" i="6"/>
  <c r="I191" i="6"/>
  <c r="V221" i="6"/>
  <c r="I213" i="6"/>
  <c r="I205" i="6"/>
  <c r="I197" i="6"/>
  <c r="I189" i="6"/>
  <c r="V181" i="6"/>
  <c r="I173" i="6"/>
  <c r="I165" i="6"/>
  <c r="V157" i="6"/>
  <c r="I149" i="6"/>
  <c r="V132" i="6"/>
  <c r="V138" i="6"/>
  <c r="V120" i="6"/>
  <c r="V98" i="6"/>
  <c r="I134" i="6"/>
  <c r="V96" i="6"/>
  <c r="I220" i="6"/>
  <c r="V212" i="6"/>
  <c r="I204" i="6"/>
  <c r="V196" i="6"/>
  <c r="V188" i="6"/>
  <c r="V180" i="6"/>
  <c r="V172" i="6"/>
  <c r="V164" i="6"/>
  <c r="I156" i="6"/>
  <c r="V148" i="6"/>
  <c r="I133" i="6"/>
  <c r="I127" i="6"/>
  <c r="V115" i="6"/>
  <c r="V95" i="6"/>
  <c r="V137" i="6"/>
  <c r="I137" i="6"/>
  <c r="I218" i="6"/>
  <c r="I210" i="6"/>
  <c r="I202" i="6"/>
  <c r="V194" i="6"/>
  <c r="I186" i="6"/>
  <c r="I178" i="6"/>
  <c r="I170" i="6"/>
  <c r="V162" i="6"/>
  <c r="V154" i="6"/>
  <c r="V146" i="6"/>
  <c r="V131" i="6"/>
  <c r="I116" i="6"/>
  <c r="V123" i="6"/>
  <c r="I112" i="6"/>
  <c r="V102" i="6"/>
  <c r="V112" i="6"/>
  <c r="I209" i="6"/>
  <c r="V217" i="6"/>
  <c r="I161" i="6"/>
  <c r="V107" i="6"/>
  <c r="V116" i="6"/>
  <c r="I155" i="6"/>
  <c r="I187" i="6"/>
  <c r="V219" i="6"/>
  <c r="I114" i="6"/>
  <c r="V133" i="6"/>
  <c r="V173" i="6"/>
  <c r="V205" i="6"/>
  <c r="I110" i="6"/>
  <c r="I130" i="6"/>
  <c r="I167" i="6"/>
  <c r="I199" i="6"/>
  <c r="I219" i="6"/>
  <c r="I211" i="6"/>
  <c r="V203" i="6"/>
  <c r="V195" i="6"/>
  <c r="V187" i="6"/>
  <c r="I179" i="6"/>
  <c r="V171" i="6"/>
  <c r="V163" i="6"/>
  <c r="V155" i="6"/>
  <c r="I147" i="6"/>
  <c r="I141" i="6"/>
  <c r="V122" i="6"/>
  <c r="V124" i="6"/>
  <c r="V105" i="6"/>
  <c r="I105" i="6"/>
  <c r="I107" i="6"/>
  <c r="V218" i="6"/>
  <c r="V210" i="6"/>
  <c r="V202" i="6"/>
  <c r="I194" i="6"/>
  <c r="V186" i="6"/>
  <c r="V178" i="6"/>
  <c r="V170" i="6"/>
  <c r="I162" i="6"/>
  <c r="I154" i="6"/>
  <c r="I146" i="6"/>
  <c r="I140" i="6"/>
  <c r="I122" i="6"/>
  <c r="V128" i="6"/>
  <c r="V97" i="6"/>
  <c r="I97" i="6"/>
  <c r="I99" i="6"/>
  <c r="I216" i="6"/>
  <c r="I208" i="6"/>
  <c r="V200" i="6"/>
  <c r="V192" i="6"/>
  <c r="I184" i="6"/>
  <c r="V176" i="6"/>
  <c r="I168" i="6"/>
  <c r="I160" i="6"/>
  <c r="I152" i="6"/>
  <c r="I144" i="6"/>
  <c r="V139" i="6"/>
  <c r="I128" i="6"/>
  <c r="I115" i="6"/>
  <c r="I103" i="6"/>
  <c r="V100" i="6"/>
  <c r="I113" i="6"/>
  <c r="I125" i="6"/>
  <c r="V193" i="6"/>
  <c r="I131" i="6"/>
  <c r="V106" i="6"/>
  <c r="V149" i="6"/>
  <c r="I181" i="6"/>
  <c r="V213" i="6"/>
  <c r="I95" i="6"/>
  <c r="I143" i="6"/>
  <c r="I175" i="6"/>
  <c r="V207" i="6"/>
  <c r="I217" i="6"/>
  <c r="V209" i="6"/>
  <c r="I201" i="6"/>
  <c r="I193" i="6"/>
  <c r="V185" i="6"/>
  <c r="V177" i="6"/>
  <c r="V169" i="6"/>
  <c r="V161" i="6"/>
  <c r="V153" i="6"/>
  <c r="I145" i="6"/>
  <c r="V140" i="6"/>
  <c r="I121" i="6"/>
  <c r="V118" i="6"/>
  <c r="I98" i="6"/>
  <c r="V99" i="6"/>
  <c r="I100" i="6"/>
  <c r="V216" i="6"/>
  <c r="V208" i="6"/>
  <c r="I200" i="6"/>
  <c r="I192" i="6"/>
  <c r="V184" i="6"/>
  <c r="I176" i="6"/>
  <c r="V168" i="6"/>
  <c r="V160" i="6"/>
  <c r="V152" i="6"/>
  <c r="V144" i="6"/>
  <c r="I139" i="6"/>
  <c r="I117" i="6"/>
  <c r="V126" i="6"/>
  <c r="I111" i="6"/>
  <c r="V108" i="6"/>
  <c r="V110" i="6"/>
  <c r="I214" i="6"/>
  <c r="V206" i="6"/>
  <c r="V198" i="6"/>
  <c r="I190" i="6"/>
  <c r="I182" i="6"/>
  <c r="V174" i="6"/>
  <c r="V166" i="6"/>
  <c r="I158" i="6"/>
  <c r="I150" i="6"/>
  <c r="I142" i="6"/>
  <c r="I129" i="6"/>
  <c r="I118" i="6"/>
  <c r="I101" i="6"/>
  <c r="I109" i="6"/>
  <c r="I136" i="6"/>
  <c r="V145" i="6"/>
  <c r="I153" i="6"/>
  <c r="I108" i="6"/>
  <c r="I169" i="6"/>
  <c r="N248" i="16" l="1"/>
  <c r="O248" i="16" s="1"/>
  <c r="P248" i="16" s="1"/>
  <c r="N247" i="16"/>
  <c r="O247" i="16" s="1"/>
  <c r="P247" i="16" s="1"/>
  <c r="G249" i="16"/>
  <c r="H249" i="16" s="1"/>
  <c r="I249" i="16" s="1"/>
  <c r="K249" i="16" s="1"/>
  <c r="M249" i="16" s="1"/>
  <c r="F250" i="16"/>
  <c r="E250" i="16"/>
  <c r="D250" i="16"/>
  <c r="B251" i="16"/>
  <c r="L251" i="16"/>
  <c r="A252" i="16"/>
  <c r="B64" i="7"/>
  <c r="B37" i="6" s="1"/>
  <c r="B81" i="6" s="1"/>
  <c r="B65" i="7"/>
  <c r="B38" i="6" s="1"/>
  <c r="B82" i="6" s="1"/>
  <c r="L139" i="6" s="1"/>
  <c r="B66" i="7"/>
  <c r="N249" i="16" l="1"/>
  <c r="O249" i="16" s="1"/>
  <c r="P249" i="16" s="1"/>
  <c r="F251" i="16"/>
  <c r="E251" i="16"/>
  <c r="D251" i="16"/>
  <c r="G250" i="16"/>
  <c r="B252" i="16"/>
  <c r="L252" i="16"/>
  <c r="A253" i="16"/>
  <c r="B39" i="6"/>
  <c r="B83" i="6" s="1"/>
  <c r="L135" i="6"/>
  <c r="L194" i="6"/>
  <c r="L215" i="6"/>
  <c r="L178" i="6"/>
  <c r="L175" i="6"/>
  <c r="L146" i="6"/>
  <c r="L210" i="6"/>
  <c r="L104" i="6"/>
  <c r="L120" i="6"/>
  <c r="L136" i="6"/>
  <c r="L152" i="6"/>
  <c r="L168" i="6"/>
  <c r="L184" i="6"/>
  <c r="L200" i="6"/>
  <c r="L216" i="6"/>
  <c r="L143" i="6"/>
  <c r="L97" i="6"/>
  <c r="L113" i="6"/>
  <c r="L129" i="6"/>
  <c r="L145" i="6"/>
  <c r="L161" i="6"/>
  <c r="L177" i="6"/>
  <c r="L193" i="6"/>
  <c r="L209" i="6"/>
  <c r="L111" i="6"/>
  <c r="L151" i="6"/>
  <c r="L191" i="6"/>
  <c r="L102" i="6"/>
  <c r="L118" i="6"/>
  <c r="L134" i="6"/>
  <c r="L150" i="6"/>
  <c r="L166" i="6"/>
  <c r="L182" i="6"/>
  <c r="L198" i="6"/>
  <c r="L214" i="6"/>
  <c r="L107" i="6"/>
  <c r="L147" i="6"/>
  <c r="L187" i="6"/>
  <c r="L219" i="6"/>
  <c r="L108" i="6"/>
  <c r="L124" i="6"/>
  <c r="L140" i="6"/>
  <c r="L156" i="6"/>
  <c r="L172" i="6"/>
  <c r="L188" i="6"/>
  <c r="L204" i="6"/>
  <c r="L220" i="6"/>
  <c r="L163" i="6"/>
  <c r="L101" i="6"/>
  <c r="L117" i="6"/>
  <c r="L133" i="6"/>
  <c r="L149" i="6"/>
  <c r="L165" i="6"/>
  <c r="L181" i="6"/>
  <c r="L197" i="6"/>
  <c r="L213" i="6"/>
  <c r="L119" i="6"/>
  <c r="L159" i="6"/>
  <c r="L199" i="6"/>
  <c r="L106" i="6"/>
  <c r="L122" i="6"/>
  <c r="L138" i="6"/>
  <c r="L154" i="6"/>
  <c r="L170" i="6"/>
  <c r="L186" i="6"/>
  <c r="L202" i="6"/>
  <c r="L218" i="6"/>
  <c r="L115" i="6"/>
  <c r="L155" i="6"/>
  <c r="L195" i="6"/>
  <c r="L116" i="6"/>
  <c r="L148" i="6"/>
  <c r="L180" i="6"/>
  <c r="L212" i="6"/>
  <c r="L203" i="6"/>
  <c r="L125" i="6"/>
  <c r="L157" i="6"/>
  <c r="L189" i="6"/>
  <c r="L221" i="6"/>
  <c r="L98" i="6"/>
  <c r="L114" i="6"/>
  <c r="L96" i="6"/>
  <c r="L112" i="6"/>
  <c r="L128" i="6"/>
  <c r="L144" i="6"/>
  <c r="L160" i="6"/>
  <c r="L176" i="6"/>
  <c r="L192" i="6"/>
  <c r="L208" i="6"/>
  <c r="L103" i="6"/>
  <c r="L183" i="6"/>
  <c r="L105" i="6"/>
  <c r="L121" i="6"/>
  <c r="L137" i="6"/>
  <c r="L153" i="6"/>
  <c r="L169" i="6"/>
  <c r="L185" i="6"/>
  <c r="L201" i="6"/>
  <c r="L217" i="6"/>
  <c r="L131" i="6"/>
  <c r="L171" i="6"/>
  <c r="L211" i="6"/>
  <c r="L110" i="6"/>
  <c r="L126" i="6"/>
  <c r="L142" i="6"/>
  <c r="L158" i="6"/>
  <c r="L174" i="6"/>
  <c r="L190" i="6"/>
  <c r="L206" i="6"/>
  <c r="L95" i="6"/>
  <c r="L127" i="6"/>
  <c r="L167" i="6"/>
  <c r="L207" i="6"/>
  <c r="L100" i="6"/>
  <c r="L132" i="6"/>
  <c r="L164" i="6"/>
  <c r="L196" i="6"/>
  <c r="L123" i="6"/>
  <c r="L109" i="6"/>
  <c r="L141" i="6"/>
  <c r="L173" i="6"/>
  <c r="L205" i="6"/>
  <c r="L179" i="6"/>
  <c r="L130" i="6"/>
  <c r="L99" i="6"/>
  <c r="L162" i="6"/>
  <c r="G251" i="16" l="1"/>
  <c r="F252" i="16"/>
  <c r="E252" i="16"/>
  <c r="D252" i="16"/>
  <c r="B253" i="16"/>
  <c r="L253" i="16"/>
  <c r="A254" i="16"/>
  <c r="H250" i="16"/>
  <c r="I250" i="16" s="1"/>
  <c r="K250" i="16" s="1"/>
  <c r="M250" i="16" s="1"/>
  <c r="M201" i="6"/>
  <c r="N201" i="6" s="1"/>
  <c r="M98" i="6"/>
  <c r="Y98" i="6" s="1"/>
  <c r="M195" i="6"/>
  <c r="N195" i="6" s="1"/>
  <c r="M116" i="6"/>
  <c r="N116" i="6" s="1"/>
  <c r="M131" i="6"/>
  <c r="N131" i="6" s="1"/>
  <c r="M215" i="6"/>
  <c r="N215" i="6" s="1"/>
  <c r="M202" i="6"/>
  <c r="N202" i="6" s="1"/>
  <c r="M212" i="6"/>
  <c r="N212" i="6" s="1"/>
  <c r="M168" i="6"/>
  <c r="N168" i="6" s="1"/>
  <c r="M110" i="6"/>
  <c r="Y110" i="6" s="1"/>
  <c r="M213" i="6"/>
  <c r="Y213" i="6" s="1"/>
  <c r="M175" i="6"/>
  <c r="Y175" i="6" s="1"/>
  <c r="M143" i="6"/>
  <c r="N143" i="6" s="1"/>
  <c r="M102" i="6"/>
  <c r="Y102" i="6" s="1"/>
  <c r="M188" i="6"/>
  <c r="N188" i="6" s="1"/>
  <c r="M204" i="6"/>
  <c r="N204" i="6" s="1"/>
  <c r="M160" i="6"/>
  <c r="N160" i="6" s="1"/>
  <c r="M95" i="6"/>
  <c r="N95" i="6" s="1"/>
  <c r="M219" i="6"/>
  <c r="N219" i="6" s="1"/>
  <c r="M181" i="6"/>
  <c r="Y181" i="6" s="1"/>
  <c r="M149" i="6"/>
  <c r="Y149" i="6" s="1"/>
  <c r="M134" i="6"/>
  <c r="N134" i="6" s="1"/>
  <c r="M125" i="6"/>
  <c r="Y125" i="6" s="1"/>
  <c r="M190" i="6"/>
  <c r="Y190" i="6" s="1"/>
  <c r="M144" i="6"/>
  <c r="Y144" i="6" s="1"/>
  <c r="M148" i="6"/>
  <c r="N148" i="6" s="1"/>
  <c r="M166" i="6"/>
  <c r="N166" i="6" s="1"/>
  <c r="M208" i="6"/>
  <c r="Y208" i="6" s="1"/>
  <c r="M122" i="6"/>
  <c r="N122" i="6" s="1"/>
  <c r="M197" i="6"/>
  <c r="Y197" i="6" s="1"/>
  <c r="M163" i="6"/>
  <c r="Y163" i="6" s="1"/>
  <c r="M115" i="6"/>
  <c r="Y115" i="6" s="1"/>
  <c r="M126" i="6"/>
  <c r="N126" i="6" s="1"/>
  <c r="M154" i="6"/>
  <c r="N154" i="6" s="1"/>
  <c r="M210" i="6"/>
  <c r="Y210" i="6" s="1"/>
  <c r="M157" i="6"/>
  <c r="N157" i="6" s="1"/>
  <c r="M156" i="6"/>
  <c r="N156" i="6" s="1"/>
  <c r="M171" i="6"/>
  <c r="N171" i="6" s="1"/>
  <c r="M119" i="6"/>
  <c r="Y119" i="6" s="1"/>
  <c r="M103" i="6"/>
  <c r="Y103" i="6" s="1"/>
  <c r="M169" i="6"/>
  <c r="Y169" i="6" s="1"/>
  <c r="M135" i="6"/>
  <c r="Y135" i="6" s="1"/>
  <c r="M194" i="6"/>
  <c r="Y194" i="6" s="1"/>
  <c r="M182" i="6"/>
  <c r="N182" i="6" s="1"/>
  <c r="M118" i="6"/>
  <c r="Y118" i="6" s="1"/>
  <c r="M193" i="6"/>
  <c r="N193" i="6" s="1"/>
  <c r="M203" i="6"/>
  <c r="N203" i="6" s="1"/>
  <c r="M167" i="6"/>
  <c r="Y167" i="6" s="1"/>
  <c r="M139" i="6"/>
  <c r="Y139" i="6" s="1"/>
  <c r="M129" i="6"/>
  <c r="Y129" i="6" s="1"/>
  <c r="M180" i="6"/>
  <c r="Y180" i="6" s="1"/>
  <c r="M174" i="6"/>
  <c r="Y174" i="6" s="1"/>
  <c r="M216" i="6"/>
  <c r="Y216" i="6" s="1"/>
  <c r="M220" i="6"/>
  <c r="Y220" i="6" s="1"/>
  <c r="M211" i="6"/>
  <c r="Y211" i="6" s="1"/>
  <c r="M173" i="6"/>
  <c r="N173" i="6" s="1"/>
  <c r="M141" i="6"/>
  <c r="Y141" i="6" s="1"/>
  <c r="M99" i="6"/>
  <c r="N99" i="6" s="1"/>
  <c r="M121" i="6"/>
  <c r="Y121" i="6" s="1"/>
  <c r="M158" i="6"/>
  <c r="N158" i="6" s="1"/>
  <c r="M162" i="6"/>
  <c r="N162" i="6" s="1"/>
  <c r="M130" i="6"/>
  <c r="Y130" i="6" s="1"/>
  <c r="M107" i="6"/>
  <c r="Y107" i="6" s="1"/>
  <c r="M170" i="6"/>
  <c r="Y170" i="6" s="1"/>
  <c r="M96" i="6"/>
  <c r="N96" i="6" s="1"/>
  <c r="M187" i="6"/>
  <c r="N187" i="6" s="1"/>
  <c r="M155" i="6"/>
  <c r="Y155" i="6" s="1"/>
  <c r="M124" i="6"/>
  <c r="N124" i="6" s="1"/>
  <c r="M111" i="6"/>
  <c r="N111" i="6" s="1"/>
  <c r="M113" i="6"/>
  <c r="N113" i="6" s="1"/>
  <c r="M140" i="6"/>
  <c r="N140" i="6" s="1"/>
  <c r="M177" i="6"/>
  <c r="N177" i="6" s="1"/>
  <c r="M97" i="6"/>
  <c r="Y97" i="6" s="1"/>
  <c r="M100" i="6"/>
  <c r="Y100" i="6" s="1"/>
  <c r="M151" i="6"/>
  <c r="N151" i="6" s="1"/>
  <c r="M104" i="6"/>
  <c r="Y104" i="6" s="1"/>
  <c r="M146" i="6"/>
  <c r="Y146" i="6" s="1"/>
  <c r="M189" i="6"/>
  <c r="Y189" i="6" s="1"/>
  <c r="M105" i="6"/>
  <c r="Y105" i="6" s="1"/>
  <c r="M176" i="6"/>
  <c r="Y176" i="6" s="1"/>
  <c r="M152" i="6"/>
  <c r="N152" i="6" s="1"/>
  <c r="M207" i="6"/>
  <c r="Y207" i="6" s="1"/>
  <c r="M192" i="6"/>
  <c r="Y192" i="6" s="1"/>
  <c r="M153" i="6"/>
  <c r="N153" i="6" s="1"/>
  <c r="M128" i="6"/>
  <c r="Y128" i="6" s="1"/>
  <c r="M205" i="6"/>
  <c r="Y205" i="6" s="1"/>
  <c r="M145" i="6"/>
  <c r="Y145" i="6" s="1"/>
  <c r="M218" i="6"/>
  <c r="Y218" i="6" s="1"/>
  <c r="M150" i="6"/>
  <c r="Y150" i="6" s="1"/>
  <c r="M186" i="6"/>
  <c r="N186" i="6" s="1"/>
  <c r="M137" i="6"/>
  <c r="Y137" i="6" s="1"/>
  <c r="M191" i="6"/>
  <c r="N191" i="6" s="1"/>
  <c r="M159" i="6"/>
  <c r="N159" i="6" s="1"/>
  <c r="M117" i="6"/>
  <c r="N117" i="6" s="1"/>
  <c r="M114" i="6"/>
  <c r="Y114" i="6" s="1"/>
  <c r="M172" i="6"/>
  <c r="N172" i="6" s="1"/>
  <c r="M142" i="6"/>
  <c r="N142" i="6" s="1"/>
  <c r="M178" i="6"/>
  <c r="Y178" i="6" s="1"/>
  <c r="M133" i="6"/>
  <c r="N133" i="6" s="1"/>
  <c r="M199" i="6"/>
  <c r="Y199" i="6" s="1"/>
  <c r="M165" i="6"/>
  <c r="N165" i="6" s="1"/>
  <c r="M138" i="6"/>
  <c r="N138" i="6" s="1"/>
  <c r="M120" i="6"/>
  <c r="N120" i="6" s="1"/>
  <c r="M108" i="6"/>
  <c r="N108" i="6" s="1"/>
  <c r="M214" i="6"/>
  <c r="N214" i="6" s="1"/>
  <c r="M112" i="6"/>
  <c r="Y112" i="6" s="1"/>
  <c r="M164" i="6"/>
  <c r="Y164" i="6" s="1"/>
  <c r="M184" i="6"/>
  <c r="N184" i="6" s="1"/>
  <c r="M127" i="6"/>
  <c r="N127" i="6" s="1"/>
  <c r="M217" i="6"/>
  <c r="Y217" i="6" s="1"/>
  <c r="M179" i="6"/>
  <c r="Y179" i="6" s="1"/>
  <c r="M147" i="6"/>
  <c r="N147" i="6" s="1"/>
  <c r="M106" i="6"/>
  <c r="N106" i="6" s="1"/>
  <c r="M200" i="6"/>
  <c r="Y200" i="6" s="1"/>
  <c r="M185" i="6"/>
  <c r="N185" i="6" s="1"/>
  <c r="M161" i="6"/>
  <c r="Y161" i="6" s="1"/>
  <c r="M109" i="6"/>
  <c r="Y109" i="6" s="1"/>
  <c r="M206" i="6"/>
  <c r="Y206" i="6" s="1"/>
  <c r="M183" i="6"/>
  <c r="N183" i="6" s="1"/>
  <c r="M101" i="6"/>
  <c r="Y101" i="6" s="1"/>
  <c r="M198" i="6"/>
  <c r="Y198" i="6" s="1"/>
  <c r="M136" i="6"/>
  <c r="N136" i="6" s="1"/>
  <c r="M123" i="6"/>
  <c r="N123" i="6" s="1"/>
  <c r="M221" i="6"/>
  <c r="N221" i="6" s="1"/>
  <c r="M196" i="6"/>
  <c r="N196" i="6" s="1"/>
  <c r="M209" i="6"/>
  <c r="N209" i="6" s="1"/>
  <c r="M132" i="6"/>
  <c r="Y132" i="6" s="1"/>
  <c r="Y215" i="6"/>
  <c r="N130" i="6" l="1"/>
  <c r="Y202" i="6"/>
  <c r="N97" i="6"/>
  <c r="AI97" i="6" s="1"/>
  <c r="N250" i="16"/>
  <c r="O250" i="16" s="1"/>
  <c r="P250" i="16" s="1"/>
  <c r="N141" i="6"/>
  <c r="R141" i="6" s="1"/>
  <c r="N169" i="6"/>
  <c r="AI169" i="6" s="1"/>
  <c r="Y168" i="6"/>
  <c r="AJ168" i="6" s="1"/>
  <c r="G252" i="16"/>
  <c r="H252" i="16" s="1"/>
  <c r="I252" i="16" s="1"/>
  <c r="K252" i="16" s="1"/>
  <c r="M252" i="16" s="1"/>
  <c r="F253" i="16"/>
  <c r="E253" i="16"/>
  <c r="D253" i="16"/>
  <c r="H251" i="16"/>
  <c r="I251" i="16" s="1"/>
  <c r="K251" i="16" s="1"/>
  <c r="M251" i="16" s="1"/>
  <c r="B254" i="16"/>
  <c r="L254" i="16"/>
  <c r="A255" i="16"/>
  <c r="Y203" i="6"/>
  <c r="AJ203" i="6" s="1"/>
  <c r="Y134" i="6"/>
  <c r="AD134" i="6" s="1"/>
  <c r="Y171" i="6"/>
  <c r="AD171" i="6" s="1"/>
  <c r="Y193" i="6"/>
  <c r="AD193" i="6" s="1"/>
  <c r="Y187" i="6"/>
  <c r="AD187" i="6" s="1"/>
  <c r="Y95" i="6"/>
  <c r="AD95" i="6" s="1"/>
  <c r="Y131" i="6"/>
  <c r="AD131" i="6" s="1"/>
  <c r="Y113" i="6"/>
  <c r="AD113" i="6" s="1"/>
  <c r="N110" i="6"/>
  <c r="R110" i="6" s="1"/>
  <c r="Y148" i="6"/>
  <c r="AD148" i="6" s="1"/>
  <c r="N211" i="6"/>
  <c r="R211" i="6" s="1"/>
  <c r="N139" i="6"/>
  <c r="R139" i="6" s="1"/>
  <c r="Y122" i="6"/>
  <c r="AJ122" i="6" s="1"/>
  <c r="N146" i="6"/>
  <c r="AI146" i="6" s="1"/>
  <c r="N205" i="6"/>
  <c r="R205" i="6" s="1"/>
  <c r="N112" i="6"/>
  <c r="R112" i="6" s="1"/>
  <c r="N150" i="6"/>
  <c r="R150" i="6" s="1"/>
  <c r="Y117" i="6"/>
  <c r="AD117" i="6" s="1"/>
  <c r="N217" i="6"/>
  <c r="AI217" i="6" s="1"/>
  <c r="Y138" i="6"/>
  <c r="AD138" i="6" s="1"/>
  <c r="N155" i="6"/>
  <c r="R155" i="6" s="1"/>
  <c r="N192" i="6"/>
  <c r="R192" i="6" s="1"/>
  <c r="Y166" i="6"/>
  <c r="AD166" i="6" s="1"/>
  <c r="Y151" i="6"/>
  <c r="AD151" i="6" s="1"/>
  <c r="N220" i="6"/>
  <c r="R220" i="6" s="1"/>
  <c r="N194" i="6"/>
  <c r="AI194" i="6" s="1"/>
  <c r="N200" i="6"/>
  <c r="R200" i="6" s="1"/>
  <c r="Y99" i="6"/>
  <c r="AJ99" i="6" s="1"/>
  <c r="Y186" i="6"/>
  <c r="AD186" i="6" s="1"/>
  <c r="Y219" i="6"/>
  <c r="AD219" i="6" s="1"/>
  <c r="N125" i="6"/>
  <c r="R125" i="6" s="1"/>
  <c r="N102" i="6"/>
  <c r="R102" i="6" s="1"/>
  <c r="N129" i="6"/>
  <c r="AI129" i="6" s="1"/>
  <c r="N98" i="6"/>
  <c r="R98" i="6" s="1"/>
  <c r="N107" i="6"/>
  <c r="AI107" i="6" s="1"/>
  <c r="N189" i="6"/>
  <c r="R189" i="6" s="1"/>
  <c r="Y123" i="6"/>
  <c r="AD123" i="6" s="1"/>
  <c r="N100" i="6"/>
  <c r="R100" i="6" s="1"/>
  <c r="N119" i="6"/>
  <c r="R119" i="6" s="1"/>
  <c r="N207" i="6"/>
  <c r="R207" i="6" s="1"/>
  <c r="N197" i="6"/>
  <c r="R197" i="6" s="1"/>
  <c r="N213" i="6"/>
  <c r="R213" i="6" s="1"/>
  <c r="Y195" i="6"/>
  <c r="AD195" i="6" s="1"/>
  <c r="N118" i="6"/>
  <c r="R118" i="6" s="1"/>
  <c r="Y160" i="6"/>
  <c r="AD160" i="6" s="1"/>
  <c r="Y165" i="6"/>
  <c r="AJ165" i="6" s="1"/>
  <c r="N149" i="6"/>
  <c r="R149" i="6" s="1"/>
  <c r="Y133" i="6"/>
  <c r="AD133" i="6" s="1"/>
  <c r="Y162" i="6"/>
  <c r="AJ162" i="6" s="1"/>
  <c r="Y201" i="6"/>
  <c r="AD201" i="6" s="1"/>
  <c r="Y214" i="6"/>
  <c r="AJ214" i="6" s="1"/>
  <c r="N128" i="6"/>
  <c r="AI128" i="6" s="1"/>
  <c r="Y156" i="6"/>
  <c r="AD156" i="6" s="1"/>
  <c r="Y120" i="6"/>
  <c r="AJ120" i="6" s="1"/>
  <c r="Y96" i="6"/>
  <c r="AD96" i="6" s="1"/>
  <c r="N164" i="6"/>
  <c r="R164" i="6" s="1"/>
  <c r="N144" i="6"/>
  <c r="R144" i="6" s="1"/>
  <c r="Y143" i="6"/>
  <c r="AJ143" i="6" s="1"/>
  <c r="Y152" i="6"/>
  <c r="AD152" i="6" s="1"/>
  <c r="N206" i="6"/>
  <c r="AI206" i="6" s="1"/>
  <c r="Y106" i="6"/>
  <c r="AD106" i="6" s="1"/>
  <c r="N109" i="6"/>
  <c r="AI109" i="6" s="1"/>
  <c r="N198" i="6"/>
  <c r="R198" i="6" s="1"/>
  <c r="N216" i="6"/>
  <c r="R216" i="6" s="1"/>
  <c r="Y111" i="6"/>
  <c r="AJ111" i="6" s="1"/>
  <c r="Y126" i="6"/>
  <c r="AD126" i="6" s="1"/>
  <c r="Y127" i="6"/>
  <c r="AD127" i="6" s="1"/>
  <c r="Y142" i="6"/>
  <c r="AJ142" i="6" s="1"/>
  <c r="Y159" i="6"/>
  <c r="AJ159" i="6" s="1"/>
  <c r="Y196" i="6"/>
  <c r="AJ196" i="6" s="1"/>
  <c r="N105" i="6"/>
  <c r="R105" i="6" s="1"/>
  <c r="R162" i="6"/>
  <c r="AI162" i="6"/>
  <c r="AD202" i="6"/>
  <c r="AJ202" i="6"/>
  <c r="R96" i="6"/>
  <c r="AI96" i="6"/>
  <c r="AJ148" i="6"/>
  <c r="AD110" i="6"/>
  <c r="AJ110" i="6"/>
  <c r="R195" i="6"/>
  <c r="AI195" i="6"/>
  <c r="AD205" i="6"/>
  <c r="AJ205" i="6"/>
  <c r="AD161" i="6"/>
  <c r="AJ161" i="6"/>
  <c r="R108" i="6"/>
  <c r="AI108" i="6"/>
  <c r="AD199" i="6"/>
  <c r="AJ199" i="6"/>
  <c r="AD218" i="6"/>
  <c r="AJ218" i="6"/>
  <c r="R177" i="6"/>
  <c r="AI177" i="6"/>
  <c r="R173" i="6"/>
  <c r="AI173" i="6"/>
  <c r="AD167" i="6"/>
  <c r="AJ167" i="6"/>
  <c r="AD103" i="6"/>
  <c r="AJ103" i="6"/>
  <c r="AD115" i="6"/>
  <c r="AJ115" i="6"/>
  <c r="AD190" i="6"/>
  <c r="AJ190" i="6"/>
  <c r="AD181" i="6"/>
  <c r="AJ181" i="6"/>
  <c r="R204" i="6"/>
  <c r="AI204" i="6"/>
  <c r="AD175" i="6"/>
  <c r="AJ175" i="6"/>
  <c r="R212" i="6"/>
  <c r="AI212" i="6"/>
  <c r="R116" i="6"/>
  <c r="AI116" i="6"/>
  <c r="R138" i="6"/>
  <c r="AI138" i="6"/>
  <c r="R97" i="6"/>
  <c r="R117" i="6"/>
  <c r="AI117" i="6"/>
  <c r="AD200" i="6"/>
  <c r="AJ200" i="6"/>
  <c r="R159" i="6"/>
  <c r="AI159" i="6"/>
  <c r="R142" i="6"/>
  <c r="AI142" i="6"/>
  <c r="AD130" i="6"/>
  <c r="AJ130" i="6"/>
  <c r="R122" i="6"/>
  <c r="AI122" i="6"/>
  <c r="AD215" i="6"/>
  <c r="AJ215" i="6"/>
  <c r="AD197" i="6"/>
  <c r="AJ197" i="6"/>
  <c r="AD216" i="6"/>
  <c r="AJ216" i="6"/>
  <c r="R152" i="6"/>
  <c r="AI152" i="6"/>
  <c r="AD194" i="6"/>
  <c r="AJ194" i="6"/>
  <c r="AD132" i="6"/>
  <c r="AJ132" i="6"/>
  <c r="R123" i="6"/>
  <c r="AI123" i="6"/>
  <c r="R183" i="6"/>
  <c r="AI183" i="6"/>
  <c r="R185" i="6"/>
  <c r="AI185" i="6"/>
  <c r="AD179" i="6"/>
  <c r="AJ179" i="6"/>
  <c r="AD164" i="6"/>
  <c r="AJ164" i="6"/>
  <c r="R120" i="6"/>
  <c r="AI120" i="6"/>
  <c r="R133" i="6"/>
  <c r="AI133" i="6"/>
  <c r="AD114" i="6"/>
  <c r="AJ114" i="6"/>
  <c r="AD137" i="6"/>
  <c r="AJ137" i="6"/>
  <c r="AD145" i="6"/>
  <c r="AJ145" i="6"/>
  <c r="AD192" i="6"/>
  <c r="AJ192" i="6"/>
  <c r="AD105" i="6"/>
  <c r="AJ105" i="6"/>
  <c r="R151" i="6"/>
  <c r="AI151" i="6"/>
  <c r="R140" i="6"/>
  <c r="AI140" i="6"/>
  <c r="AD155" i="6"/>
  <c r="AJ155" i="6"/>
  <c r="AD107" i="6"/>
  <c r="AJ107" i="6"/>
  <c r="AD121" i="6"/>
  <c r="AJ121" i="6"/>
  <c r="AD180" i="6"/>
  <c r="AJ180" i="6"/>
  <c r="AD119" i="6"/>
  <c r="AJ119" i="6"/>
  <c r="AD210" i="6"/>
  <c r="AJ210" i="6"/>
  <c r="AD163" i="6"/>
  <c r="AJ163" i="6"/>
  <c r="R166" i="6"/>
  <c r="AI166" i="6"/>
  <c r="R219" i="6"/>
  <c r="AI219" i="6"/>
  <c r="R188" i="6"/>
  <c r="AI188" i="6"/>
  <c r="AD213" i="6"/>
  <c r="AJ213" i="6"/>
  <c r="R160" i="6"/>
  <c r="AI160" i="6"/>
  <c r="R187" i="6"/>
  <c r="AI187" i="6"/>
  <c r="R171" i="6"/>
  <c r="AI171" i="6"/>
  <c r="R221" i="6"/>
  <c r="AI221" i="6"/>
  <c r="R184" i="6"/>
  <c r="AI184" i="6"/>
  <c r="R191" i="6"/>
  <c r="AI191" i="6"/>
  <c r="AD104" i="6"/>
  <c r="AJ104" i="6"/>
  <c r="R158" i="6"/>
  <c r="AI158" i="6"/>
  <c r="R157" i="6"/>
  <c r="AI157" i="6"/>
  <c r="AD169" i="6"/>
  <c r="AJ169" i="6"/>
  <c r="R168" i="6"/>
  <c r="AI168" i="6"/>
  <c r="AD220" i="6"/>
  <c r="AJ220" i="6"/>
  <c r="AD144" i="6"/>
  <c r="AJ144" i="6"/>
  <c r="R209" i="6"/>
  <c r="AI209" i="6"/>
  <c r="AD206" i="6"/>
  <c r="AJ206" i="6"/>
  <c r="AD217" i="6"/>
  <c r="AJ217" i="6"/>
  <c r="AD112" i="6"/>
  <c r="AJ112" i="6"/>
  <c r="AD178" i="6"/>
  <c r="AJ178" i="6"/>
  <c r="R186" i="6"/>
  <c r="AI186" i="6"/>
  <c r="AD100" i="6"/>
  <c r="AJ100" i="6"/>
  <c r="R113" i="6"/>
  <c r="AI113" i="6"/>
  <c r="R99" i="6"/>
  <c r="AI99" i="6"/>
  <c r="AD135" i="6"/>
  <c r="AJ135" i="6"/>
  <c r="R154" i="6"/>
  <c r="AI154" i="6"/>
  <c r="R148" i="6"/>
  <c r="AI148" i="6"/>
  <c r="AD102" i="6"/>
  <c r="AJ102" i="6"/>
  <c r="R215" i="6"/>
  <c r="AI215" i="6"/>
  <c r="AD125" i="6"/>
  <c r="AJ125" i="6"/>
  <c r="AD101" i="6"/>
  <c r="AJ101" i="6"/>
  <c r="R147" i="6"/>
  <c r="AI147" i="6"/>
  <c r="R172" i="6"/>
  <c r="AI172" i="6"/>
  <c r="R153" i="6"/>
  <c r="AI153" i="6"/>
  <c r="AD176" i="6"/>
  <c r="AJ176" i="6"/>
  <c r="R124" i="6"/>
  <c r="AI124" i="6"/>
  <c r="AD170" i="6"/>
  <c r="AJ170" i="6"/>
  <c r="AD174" i="6"/>
  <c r="AJ174" i="6"/>
  <c r="R182" i="6"/>
  <c r="AI182" i="6"/>
  <c r="AD208" i="6"/>
  <c r="AJ208" i="6"/>
  <c r="AD150" i="6"/>
  <c r="AJ150" i="6"/>
  <c r="AD129" i="6"/>
  <c r="AJ129" i="6"/>
  <c r="R95" i="6"/>
  <c r="AI95" i="6"/>
  <c r="R134" i="6"/>
  <c r="AI134" i="6"/>
  <c r="AD211" i="6"/>
  <c r="AJ211" i="6"/>
  <c r="R165" i="6"/>
  <c r="AI165" i="6"/>
  <c r="R202" i="6"/>
  <c r="AI202" i="6"/>
  <c r="AD141" i="6"/>
  <c r="AJ141" i="6"/>
  <c r="AD98" i="6"/>
  <c r="AJ98" i="6"/>
  <c r="R193" i="6"/>
  <c r="AI193" i="6"/>
  <c r="AD146" i="6"/>
  <c r="AJ146" i="6"/>
  <c r="R156" i="6"/>
  <c r="AI156" i="6"/>
  <c r="R131" i="6"/>
  <c r="AI131" i="6"/>
  <c r="R136" i="6"/>
  <c r="AI136" i="6"/>
  <c r="AD168" i="6"/>
  <c r="AD198" i="6"/>
  <c r="AJ198" i="6"/>
  <c r="R201" i="6"/>
  <c r="AI201" i="6"/>
  <c r="Y136" i="6"/>
  <c r="N178" i="6"/>
  <c r="AD189" i="6"/>
  <c r="AJ189" i="6"/>
  <c r="AD207" i="6"/>
  <c r="AJ207" i="6"/>
  <c r="AD97" i="6"/>
  <c r="AJ97" i="6"/>
  <c r="R130" i="6"/>
  <c r="AI130" i="6"/>
  <c r="R203" i="6"/>
  <c r="AI203" i="6"/>
  <c r="R169" i="6"/>
  <c r="R196" i="6"/>
  <c r="AI196" i="6"/>
  <c r="AD109" i="6"/>
  <c r="AJ109" i="6"/>
  <c r="R106" i="6"/>
  <c r="AI106" i="6"/>
  <c r="R127" i="6"/>
  <c r="AI127" i="6"/>
  <c r="R214" i="6"/>
  <c r="AI214" i="6"/>
  <c r="AD128" i="6"/>
  <c r="AJ128" i="6"/>
  <c r="R111" i="6"/>
  <c r="AI111" i="6"/>
  <c r="AD139" i="6"/>
  <c r="AJ139" i="6"/>
  <c r="AD118" i="6"/>
  <c r="AJ118" i="6"/>
  <c r="R126" i="6"/>
  <c r="AI126" i="6"/>
  <c r="AD149" i="6"/>
  <c r="AJ149" i="6"/>
  <c r="R143" i="6"/>
  <c r="AI143" i="6"/>
  <c r="Y209" i="6"/>
  <c r="N132" i="6"/>
  <c r="N179" i="6"/>
  <c r="Y183" i="6"/>
  <c r="Y185" i="6"/>
  <c r="Y188" i="6"/>
  <c r="N180" i="6"/>
  <c r="Y140" i="6"/>
  <c r="N114" i="6"/>
  <c r="N137" i="6"/>
  <c r="N121" i="6"/>
  <c r="N163" i="6"/>
  <c r="N210" i="6"/>
  <c r="N145" i="6"/>
  <c r="Y158" i="6"/>
  <c r="Y172" i="6"/>
  <c r="Y154" i="6"/>
  <c r="N135" i="6"/>
  <c r="Y204" i="6"/>
  <c r="Y147" i="6"/>
  <c r="Y124" i="6"/>
  <c r="N103" i="6"/>
  <c r="N174" i="6"/>
  <c r="Y177" i="6"/>
  <c r="Y108" i="6"/>
  <c r="N161" i="6"/>
  <c r="Y173" i="6"/>
  <c r="Y191" i="6"/>
  <c r="N199" i="6"/>
  <c r="N208" i="6"/>
  <c r="Y157" i="6"/>
  <c r="N167" i="6"/>
  <c r="N170" i="6"/>
  <c r="N218" i="6"/>
  <c r="N175" i="6"/>
  <c r="Y116" i="6"/>
  <c r="Y153" i="6"/>
  <c r="N181" i="6"/>
  <c r="Y184" i="6"/>
  <c r="Y212" i="6"/>
  <c r="N101" i="6"/>
  <c r="N115" i="6"/>
  <c r="N104" i="6"/>
  <c r="N176" i="6"/>
  <c r="Y221" i="6"/>
  <c r="Y182" i="6"/>
  <c r="N190" i="6"/>
  <c r="AI141" i="6" l="1"/>
  <c r="R146" i="6"/>
  <c r="AJ95" i="6"/>
  <c r="AJ134" i="6"/>
  <c r="AJ171" i="6"/>
  <c r="N251" i="16"/>
  <c r="O251" i="16" s="1"/>
  <c r="P251" i="16" s="1"/>
  <c r="N252" i="16"/>
  <c r="O252" i="16" s="1"/>
  <c r="P252" i="16" s="1"/>
  <c r="AD203" i="6"/>
  <c r="G253" i="16"/>
  <c r="F254" i="16"/>
  <c r="E254" i="16"/>
  <c r="D254" i="16"/>
  <c r="B255" i="16"/>
  <c r="A256" i="16"/>
  <c r="L255" i="16"/>
  <c r="AJ193" i="6"/>
  <c r="AI112" i="6"/>
  <c r="AI139" i="6"/>
  <c r="AJ113" i="6"/>
  <c r="R129" i="6"/>
  <c r="AD122" i="6"/>
  <c r="AI150" i="6"/>
  <c r="AI110" i="6"/>
  <c r="AI144" i="6"/>
  <c r="AJ106" i="6"/>
  <c r="AD162" i="6"/>
  <c r="AJ187" i="6"/>
  <c r="AI211" i="6"/>
  <c r="AJ131" i="6"/>
  <c r="AI205" i="6"/>
  <c r="R217" i="6"/>
  <c r="AI192" i="6"/>
  <c r="AD143" i="6"/>
  <c r="R194" i="6"/>
  <c r="R109" i="6"/>
  <c r="AD165" i="6"/>
  <c r="AJ201" i="6"/>
  <c r="AI213" i="6"/>
  <c r="AI98" i="6"/>
  <c r="AJ219" i="6"/>
  <c r="AD196" i="6"/>
  <c r="AD120" i="6"/>
  <c r="AJ126" i="6"/>
  <c r="AI100" i="6"/>
  <c r="AJ117" i="6"/>
  <c r="AJ138" i="6"/>
  <c r="AI118" i="6"/>
  <c r="R128" i="6"/>
  <c r="AI189" i="6"/>
  <c r="AJ156" i="6"/>
  <c r="AI155" i="6"/>
  <c r="AI197" i="6"/>
  <c r="AJ186" i="6"/>
  <c r="AJ160" i="6"/>
  <c r="AJ123" i="6"/>
  <c r="AD159" i="6"/>
  <c r="AI220" i="6"/>
  <c r="AI125" i="6"/>
  <c r="R107" i="6"/>
  <c r="AD214" i="6"/>
  <c r="AI149" i="6"/>
  <c r="AI119" i="6"/>
  <c r="AI200" i="6"/>
  <c r="AI164" i="6"/>
  <c r="AJ151" i="6"/>
  <c r="AJ152" i="6"/>
  <c r="AJ195" i="6"/>
  <c r="R206" i="6"/>
  <c r="AD99" i="6"/>
  <c r="AJ166" i="6"/>
  <c r="AJ133" i="6"/>
  <c r="AI102" i="6"/>
  <c r="AI207" i="6"/>
  <c r="AD142" i="6"/>
  <c r="AI198" i="6"/>
  <c r="AJ96" i="6"/>
  <c r="AD111" i="6"/>
  <c r="AI216" i="6"/>
  <c r="AI105" i="6"/>
  <c r="AJ127" i="6"/>
  <c r="AD191" i="6"/>
  <c r="AJ191" i="6"/>
  <c r="R190" i="6"/>
  <c r="AI190" i="6"/>
  <c r="R175" i="6"/>
  <c r="AI175" i="6"/>
  <c r="R174" i="6"/>
  <c r="AI174" i="6"/>
  <c r="R121" i="6"/>
  <c r="AI121" i="6"/>
  <c r="AD136" i="6"/>
  <c r="AJ136" i="6"/>
  <c r="R176" i="6"/>
  <c r="AI176" i="6"/>
  <c r="AD116" i="6"/>
  <c r="AJ116" i="6"/>
  <c r="AD177" i="6"/>
  <c r="AJ177" i="6"/>
  <c r="AD172" i="6"/>
  <c r="AJ172" i="6"/>
  <c r="AD140" i="6"/>
  <c r="AJ140" i="6"/>
  <c r="R104" i="6"/>
  <c r="AI104" i="6"/>
  <c r="AD184" i="6"/>
  <c r="AJ184" i="6"/>
  <c r="AD157" i="6"/>
  <c r="AJ157" i="6"/>
  <c r="AD173" i="6"/>
  <c r="AJ173" i="6"/>
  <c r="AD204" i="6"/>
  <c r="AJ204" i="6"/>
  <c r="AD158" i="6"/>
  <c r="AJ158" i="6"/>
  <c r="R180" i="6"/>
  <c r="AI180" i="6"/>
  <c r="R179" i="6"/>
  <c r="AI179" i="6"/>
  <c r="AD182" i="6"/>
  <c r="AJ182" i="6"/>
  <c r="R115" i="6"/>
  <c r="AI115" i="6"/>
  <c r="R181" i="6"/>
  <c r="AI181" i="6"/>
  <c r="R218" i="6"/>
  <c r="AI218" i="6"/>
  <c r="R208" i="6"/>
  <c r="AI208" i="6"/>
  <c r="R161" i="6"/>
  <c r="AI161" i="6"/>
  <c r="R103" i="6"/>
  <c r="AI103" i="6"/>
  <c r="R135" i="6"/>
  <c r="AI135" i="6"/>
  <c r="R145" i="6"/>
  <c r="AI145" i="6"/>
  <c r="R137" i="6"/>
  <c r="AI137" i="6"/>
  <c r="AD188" i="6"/>
  <c r="AJ188" i="6"/>
  <c r="R132" i="6"/>
  <c r="AI132" i="6"/>
  <c r="AD212" i="6"/>
  <c r="AJ212" i="6"/>
  <c r="R167" i="6"/>
  <c r="AI167" i="6"/>
  <c r="AD147" i="6"/>
  <c r="AJ147" i="6"/>
  <c r="R163" i="6"/>
  <c r="AI163" i="6"/>
  <c r="AD183" i="6"/>
  <c r="AJ183" i="6"/>
  <c r="R178" i="6"/>
  <c r="AI178" i="6"/>
  <c r="AD221" i="6"/>
  <c r="AJ221" i="6"/>
  <c r="R101" i="6"/>
  <c r="AI101" i="6"/>
  <c r="AD153" i="6"/>
  <c r="AJ153" i="6"/>
  <c r="R170" i="6"/>
  <c r="AI170" i="6"/>
  <c r="R199" i="6"/>
  <c r="AI199" i="6"/>
  <c r="AD108" i="6"/>
  <c r="AJ108" i="6"/>
  <c r="AD124" i="6"/>
  <c r="AJ124" i="6"/>
  <c r="AD154" i="6"/>
  <c r="AJ154" i="6"/>
  <c r="R210" i="6"/>
  <c r="AI210" i="6"/>
  <c r="R114" i="6"/>
  <c r="AI114" i="6"/>
  <c r="AD185" i="6"/>
  <c r="AJ185" i="6"/>
  <c r="AD209" i="6"/>
  <c r="AJ209" i="6"/>
  <c r="G254" i="16" l="1"/>
  <c r="H253" i="16"/>
  <c r="I253" i="16" s="1"/>
  <c r="K253" i="16" s="1"/>
  <c r="M253" i="16" s="1"/>
  <c r="N253" i="16" s="1"/>
  <c r="B256" i="16"/>
  <c r="A257" i="16"/>
  <c r="L256" i="16"/>
  <c r="E255" i="16"/>
  <c r="F255" i="16"/>
  <c r="D255" i="16"/>
  <c r="B232" i="6"/>
  <c r="B234" i="6"/>
  <c r="B239" i="6"/>
  <c r="B238" i="6"/>
  <c r="B235" i="6"/>
  <c r="B233" i="6"/>
  <c r="O253" i="16" l="1"/>
  <c r="P253" i="16"/>
  <c r="H254" i="16"/>
  <c r="I254" i="16" s="1"/>
  <c r="K254" i="16" s="1"/>
  <c r="M254" i="16" s="1"/>
  <c r="N254" i="16" s="1"/>
  <c r="F256" i="16"/>
  <c r="E256" i="16"/>
  <c r="D256" i="16"/>
  <c r="G255" i="16"/>
  <c r="B257" i="16"/>
  <c r="A258" i="16"/>
  <c r="L257" i="16"/>
  <c r="B236" i="6"/>
  <c r="B237" i="6" s="1"/>
  <c r="B87" i="6" s="1"/>
  <c r="B26" i="6" s="1"/>
  <c r="B50" i="1" s="1"/>
  <c r="B240" i="6"/>
  <c r="O254" i="16" l="1"/>
  <c r="P254" i="16" s="1"/>
  <c r="F257" i="16"/>
  <c r="E257" i="16"/>
  <c r="D257" i="16"/>
  <c r="H255" i="16"/>
  <c r="I255" i="16" s="1"/>
  <c r="K255" i="16" s="1"/>
  <c r="M255" i="16" s="1"/>
  <c r="N255" i="16" s="1"/>
  <c r="G256" i="16"/>
  <c r="B258" i="16"/>
  <c r="L258" i="16"/>
  <c r="A259" i="16"/>
  <c r="B83" i="1"/>
  <c r="B241" i="6"/>
  <c r="B88" i="6" s="1"/>
  <c r="O255" i="16" l="1"/>
  <c r="P255" i="16"/>
  <c r="B259" i="16"/>
  <c r="A260" i="16"/>
  <c r="L259" i="16"/>
  <c r="H256" i="16"/>
  <c r="I256" i="16" s="1"/>
  <c r="K256" i="16" s="1"/>
  <c r="M256" i="16" s="1"/>
  <c r="N256" i="16" s="1"/>
  <c r="G257" i="16"/>
  <c r="F258" i="16"/>
  <c r="E258" i="16"/>
  <c r="D258" i="16"/>
  <c r="B242" i="6"/>
  <c r="B89" i="6" s="1"/>
  <c r="B84" i="1" s="1"/>
  <c r="O256" i="16" l="1"/>
  <c r="P256" i="16"/>
  <c r="G258" i="16"/>
  <c r="H258" i="16" s="1"/>
  <c r="I258" i="16" s="1"/>
  <c r="K258" i="16" s="1"/>
  <c r="M258" i="16" s="1"/>
  <c r="E259" i="16"/>
  <c r="F259" i="16"/>
  <c r="D259" i="16"/>
  <c r="H257" i="16"/>
  <c r="I257" i="16" s="1"/>
  <c r="K257" i="16" s="1"/>
  <c r="M257" i="16" s="1"/>
  <c r="N257" i="16" s="1"/>
  <c r="B260" i="16"/>
  <c r="L260" i="16"/>
  <c r="A261" i="16"/>
  <c r="N258" i="16" l="1"/>
  <c r="O258" i="16" s="1"/>
  <c r="P258" i="16" s="1"/>
  <c r="O257" i="16"/>
  <c r="P257" i="16" s="1"/>
  <c r="G259" i="16"/>
  <c r="H259" i="16" s="1"/>
  <c r="I259" i="16" s="1"/>
  <c r="K259" i="16" s="1"/>
  <c r="M259" i="16" s="1"/>
  <c r="B261" i="16"/>
  <c r="A262" i="16"/>
  <c r="L261" i="16"/>
  <c r="F260" i="16"/>
  <c r="E260" i="16"/>
  <c r="D260" i="16"/>
  <c r="N259" i="16" l="1"/>
  <c r="O259" i="16" s="1"/>
  <c r="P259" i="16" s="1"/>
  <c r="B262" i="16"/>
  <c r="L262" i="16"/>
  <c r="A263" i="16"/>
  <c r="G260" i="16"/>
  <c r="E261" i="16"/>
  <c r="F261" i="16"/>
  <c r="D261" i="16"/>
  <c r="G261" i="16" l="1"/>
  <c r="B263" i="16"/>
  <c r="A264" i="16"/>
  <c r="L263" i="16"/>
  <c r="H260" i="16"/>
  <c r="I260" i="16" s="1"/>
  <c r="K260" i="16" s="1"/>
  <c r="M260" i="16" s="1"/>
  <c r="N260" i="16" s="1"/>
  <c r="F262" i="16"/>
  <c r="E262" i="16"/>
  <c r="D262" i="16"/>
  <c r="O260" i="16" l="1"/>
  <c r="P260" i="16" s="1"/>
  <c r="B264" i="16"/>
  <c r="L264" i="16"/>
  <c r="A265" i="16"/>
  <c r="F263" i="16"/>
  <c r="E263" i="16"/>
  <c r="D263" i="16"/>
  <c r="G262" i="16"/>
  <c r="H261" i="16"/>
  <c r="I261" i="16" s="1"/>
  <c r="K261" i="16" s="1"/>
  <c r="M261" i="16" s="1"/>
  <c r="N261" i="16" s="1"/>
  <c r="G263" i="16" l="1"/>
  <c r="H263" i="16" s="1"/>
  <c r="I263" i="16" s="1"/>
  <c r="K263" i="16" s="1"/>
  <c r="M263" i="16" s="1"/>
  <c r="O261" i="16"/>
  <c r="P261" i="16"/>
  <c r="H262" i="16"/>
  <c r="I262" i="16" s="1"/>
  <c r="K262" i="16" s="1"/>
  <c r="M262" i="16" s="1"/>
  <c r="N262" i="16" s="1"/>
  <c r="B265" i="16"/>
  <c r="A266" i="16"/>
  <c r="L265" i="16"/>
  <c r="F264" i="16"/>
  <c r="E264" i="16"/>
  <c r="D264" i="16"/>
  <c r="N263" i="16" l="1"/>
  <c r="O263" i="16" s="1"/>
  <c r="P263" i="16" s="1"/>
  <c r="O262" i="16"/>
  <c r="P262" i="16"/>
  <c r="B266" i="16"/>
  <c r="L266" i="16"/>
  <c r="A267" i="16"/>
  <c r="G264" i="16"/>
  <c r="F265" i="16"/>
  <c r="E265" i="16"/>
  <c r="D265" i="16"/>
  <c r="G265" i="16" l="1"/>
  <c r="F266" i="16"/>
  <c r="E266" i="16"/>
  <c r="D266" i="16"/>
  <c r="B267" i="16"/>
  <c r="L267" i="16"/>
  <c r="A268" i="16"/>
  <c r="H264" i="16"/>
  <c r="I264" i="16" s="1"/>
  <c r="K264" i="16" s="1"/>
  <c r="M264" i="16" s="1"/>
  <c r="N264" i="16" l="1"/>
  <c r="O264" i="16" s="1"/>
  <c r="P264" i="16" s="1"/>
  <c r="H265" i="16"/>
  <c r="I265" i="16" s="1"/>
  <c r="K265" i="16" s="1"/>
  <c r="M265" i="16" s="1"/>
  <c r="N265" i="16" s="1"/>
  <c r="G266" i="16"/>
  <c r="H266" i="16" s="1"/>
  <c r="I266" i="16" s="1"/>
  <c r="K266" i="16" s="1"/>
  <c r="M266" i="16" s="1"/>
  <c r="E267" i="16"/>
  <c r="F267" i="16"/>
  <c r="D267" i="16"/>
  <c r="B268" i="16"/>
  <c r="A269" i="16"/>
  <c r="L268" i="16"/>
  <c r="N266" i="16" l="1"/>
  <c r="O266" i="16" s="1"/>
  <c r="P266" i="16" s="1"/>
  <c r="O265" i="16"/>
  <c r="P265" i="16"/>
  <c r="F268" i="16"/>
  <c r="E268" i="16"/>
  <c r="D268" i="16"/>
  <c r="B269" i="16"/>
  <c r="L269" i="16"/>
  <c r="A270" i="16"/>
  <c r="G267" i="16"/>
  <c r="G268" i="16" l="1"/>
  <c r="H268" i="16" s="1"/>
  <c r="I268" i="16" s="1"/>
  <c r="K268" i="16" s="1"/>
  <c r="M268" i="16" s="1"/>
  <c r="H267" i="16"/>
  <c r="I267" i="16" s="1"/>
  <c r="K267" i="16" s="1"/>
  <c r="M267" i="16" s="1"/>
  <c r="N267" i="16" s="1"/>
  <c r="F269" i="16"/>
  <c r="E269" i="16"/>
  <c r="D269" i="16"/>
  <c r="B270" i="16"/>
  <c r="A271" i="16"/>
  <c r="L270" i="16"/>
  <c r="N268" i="16" l="1"/>
  <c r="O268" i="16" s="1"/>
  <c r="P268" i="16" s="1"/>
  <c r="O267" i="16"/>
  <c r="P267" i="16"/>
  <c r="B271" i="16"/>
  <c r="A272" i="16"/>
  <c r="L271" i="16"/>
  <c r="F270" i="16"/>
  <c r="E270" i="16"/>
  <c r="D270" i="16"/>
  <c r="G269" i="16"/>
  <c r="E271" i="16" l="1"/>
  <c r="F271" i="16"/>
  <c r="D271" i="16"/>
  <c r="H269" i="16"/>
  <c r="I269" i="16" s="1"/>
  <c r="K269" i="16" s="1"/>
  <c r="M269" i="16" s="1"/>
  <c r="N269" i="16" s="1"/>
  <c r="B272" i="16"/>
  <c r="L272" i="16"/>
  <c r="A273" i="16"/>
  <c r="G270" i="16"/>
  <c r="O269" i="16" l="1"/>
  <c r="P269" i="16" s="1"/>
  <c r="G271" i="16"/>
  <c r="H271" i="16" s="1"/>
  <c r="H270" i="16"/>
  <c r="I270" i="16" s="1"/>
  <c r="K270" i="16" s="1"/>
  <c r="M270" i="16" s="1"/>
  <c r="N270" i="16" s="1"/>
  <c r="F272" i="16"/>
  <c r="E272" i="16"/>
  <c r="D272" i="16"/>
  <c r="B273" i="16"/>
  <c r="L273" i="16"/>
  <c r="A274" i="16"/>
  <c r="O270" i="16" l="1"/>
  <c r="P270" i="16" s="1"/>
  <c r="I271" i="16"/>
  <c r="K271" i="16" s="1"/>
  <c r="M271" i="16" s="1"/>
  <c r="N271" i="16" s="1"/>
  <c r="G272" i="16"/>
  <c r="H272" i="16" s="1"/>
  <c r="E273" i="16"/>
  <c r="F273" i="16"/>
  <c r="D273" i="16"/>
  <c r="B274" i="16"/>
  <c r="L274" i="16"/>
  <c r="A275" i="16"/>
  <c r="O271" i="16" l="1"/>
  <c r="P271" i="16" s="1"/>
  <c r="I272" i="16"/>
  <c r="K272" i="16" s="1"/>
  <c r="M272" i="16" s="1"/>
  <c r="N272" i="16" s="1"/>
  <c r="F274" i="16"/>
  <c r="E274" i="16"/>
  <c r="D274" i="16"/>
  <c r="B275" i="16"/>
  <c r="A276" i="16"/>
  <c r="L275" i="16"/>
  <c r="G273" i="16"/>
  <c r="O272" i="16" l="1"/>
  <c r="P272" i="16"/>
  <c r="G274" i="16"/>
  <c r="H274" i="16" s="1"/>
  <c r="I274" i="16" s="1"/>
  <c r="K274" i="16" s="1"/>
  <c r="M274" i="16" s="1"/>
  <c r="B276" i="16"/>
  <c r="L276" i="16"/>
  <c r="A277" i="16"/>
  <c r="H273" i="16"/>
  <c r="I273" i="16" s="1"/>
  <c r="K273" i="16" s="1"/>
  <c r="M273" i="16" s="1"/>
  <c r="E275" i="16"/>
  <c r="F275" i="16"/>
  <c r="D275" i="16"/>
  <c r="N273" i="16" l="1"/>
  <c r="O273" i="16" s="1"/>
  <c r="P273" i="16" s="1"/>
  <c r="N274" i="16"/>
  <c r="O274" i="16" s="1"/>
  <c r="P274" i="16" s="1"/>
  <c r="G275" i="16"/>
  <c r="H275" i="16" s="1"/>
  <c r="I275" i="16" s="1"/>
  <c r="K275" i="16" s="1"/>
  <c r="M275" i="16" s="1"/>
  <c r="N275" i="16" s="1"/>
  <c r="B277" i="16"/>
  <c r="A278" i="16"/>
  <c r="L277" i="16"/>
  <c r="F276" i="16"/>
  <c r="E276" i="16"/>
  <c r="D276" i="16"/>
  <c r="O275" i="16" l="1"/>
  <c r="P275" i="16"/>
  <c r="B278" i="16"/>
  <c r="L278" i="16"/>
  <c r="A279" i="16"/>
  <c r="G276" i="16"/>
  <c r="F277" i="16"/>
  <c r="E277" i="16"/>
  <c r="D277" i="16"/>
  <c r="G277" i="16" l="1"/>
  <c r="H277" i="16" s="1"/>
  <c r="I277" i="16" s="1"/>
  <c r="K277" i="16" s="1"/>
  <c r="M277" i="16" s="1"/>
  <c r="N277" i="16" s="1"/>
  <c r="F278" i="16"/>
  <c r="E278" i="16"/>
  <c r="D278" i="16"/>
  <c r="H276" i="16"/>
  <c r="I276" i="16" s="1"/>
  <c r="K276" i="16" s="1"/>
  <c r="M276" i="16" s="1"/>
  <c r="N276" i="16" s="1"/>
  <c r="B279" i="16"/>
  <c r="A280" i="16"/>
  <c r="L279" i="16"/>
  <c r="O277" i="16" l="1"/>
  <c r="P277" i="16"/>
  <c r="O276" i="16"/>
  <c r="P276" i="16"/>
  <c r="G278" i="16"/>
  <c r="H278" i="16" s="1"/>
  <c r="I278" i="16" s="1"/>
  <c r="K278" i="16" s="1"/>
  <c r="M278" i="16" s="1"/>
  <c r="B280" i="16"/>
  <c r="L280" i="16"/>
  <c r="A281" i="16"/>
  <c r="F279" i="16"/>
  <c r="E279" i="16"/>
  <c r="D279" i="16"/>
  <c r="N278" i="16" l="1"/>
  <c r="O278" i="16" s="1"/>
  <c r="P278" i="16" s="1"/>
  <c r="B281" i="16"/>
  <c r="A282" i="16"/>
  <c r="L281" i="16"/>
  <c r="F280" i="16"/>
  <c r="E280" i="16"/>
  <c r="D280" i="16"/>
  <c r="G279" i="16"/>
  <c r="B282" i="16" l="1"/>
  <c r="A283" i="16"/>
  <c r="L282" i="16"/>
  <c r="H279" i="16"/>
  <c r="I279" i="16" s="1"/>
  <c r="K279" i="16" s="1"/>
  <c r="M279" i="16" s="1"/>
  <c r="G280" i="16"/>
  <c r="F281" i="16"/>
  <c r="E281" i="16"/>
  <c r="D281" i="16"/>
  <c r="N279" i="16" l="1"/>
  <c r="O279" i="16" s="1"/>
  <c r="P279" i="16" s="1"/>
  <c r="B283" i="16"/>
  <c r="A284" i="16"/>
  <c r="L283" i="16"/>
  <c r="G281" i="16"/>
  <c r="H280" i="16"/>
  <c r="I280" i="16" s="1"/>
  <c r="K280" i="16" s="1"/>
  <c r="M280" i="16" s="1"/>
  <c r="F282" i="16"/>
  <c r="E282" i="16"/>
  <c r="D282" i="16"/>
  <c r="N280" i="16" l="1"/>
  <c r="O280" i="16" s="1"/>
  <c r="P280" i="16" s="1"/>
  <c r="G282" i="16"/>
  <c r="H282" i="16" s="1"/>
  <c r="B284" i="16"/>
  <c r="L284" i="16"/>
  <c r="A285" i="16"/>
  <c r="E283" i="16"/>
  <c r="F283" i="16"/>
  <c r="D283" i="16"/>
  <c r="H281" i="16"/>
  <c r="I281" i="16" s="1"/>
  <c r="K281" i="16" s="1"/>
  <c r="M281" i="16" s="1"/>
  <c r="N281" i="16" l="1"/>
  <c r="O281" i="16" s="1"/>
  <c r="P281" i="16" s="1"/>
  <c r="I282" i="16"/>
  <c r="K282" i="16" s="1"/>
  <c r="M282" i="16" s="1"/>
  <c r="G283" i="16"/>
  <c r="F284" i="16"/>
  <c r="E284" i="16"/>
  <c r="D284" i="16"/>
  <c r="B285" i="16"/>
  <c r="A286" i="16"/>
  <c r="L285" i="16"/>
  <c r="N282" i="16" l="1"/>
  <c r="O282" i="16" s="1"/>
  <c r="P282" i="16" s="1"/>
  <c r="F285" i="16"/>
  <c r="E285" i="16"/>
  <c r="D285" i="16"/>
  <c r="H283" i="16"/>
  <c r="I283" i="16" s="1"/>
  <c r="K283" i="16" s="1"/>
  <c r="M283" i="16" s="1"/>
  <c r="G284" i="16"/>
  <c r="B286" i="16"/>
  <c r="A287" i="16"/>
  <c r="L286" i="16"/>
  <c r="N283" i="16" l="1"/>
  <c r="O283" i="16" s="1"/>
  <c r="P283" i="16" s="1"/>
  <c r="H284" i="16"/>
  <c r="I284" i="16" s="1"/>
  <c r="K284" i="16" s="1"/>
  <c r="M284" i="16" s="1"/>
  <c r="B287" i="16"/>
  <c r="A288" i="16"/>
  <c r="L287" i="16"/>
  <c r="G285" i="16"/>
  <c r="F286" i="16"/>
  <c r="E286" i="16"/>
  <c r="D286" i="16"/>
  <c r="N284" i="16" l="1"/>
  <c r="O284" i="16" s="1"/>
  <c r="P284" i="16" s="1"/>
  <c r="B288" i="16"/>
  <c r="L288" i="16"/>
  <c r="A289" i="16"/>
  <c r="G286" i="16"/>
  <c r="H285" i="16"/>
  <c r="I285" i="16" s="1"/>
  <c r="K285" i="16" s="1"/>
  <c r="M285" i="16" s="1"/>
  <c r="E287" i="16"/>
  <c r="F287" i="16"/>
  <c r="D287" i="16"/>
  <c r="N285" i="16" l="1"/>
  <c r="O285" i="16" s="1"/>
  <c r="P285" i="16" s="1"/>
  <c r="G287" i="16"/>
  <c r="H287" i="16" s="1"/>
  <c r="I287" i="16" s="1"/>
  <c r="K287" i="16" s="1"/>
  <c r="M287" i="16" s="1"/>
  <c r="F288" i="16"/>
  <c r="E288" i="16"/>
  <c r="D288" i="16"/>
  <c r="H286" i="16"/>
  <c r="I286" i="16" s="1"/>
  <c r="K286" i="16" s="1"/>
  <c r="M286" i="16" s="1"/>
  <c r="B289" i="16"/>
  <c r="L289" i="16"/>
  <c r="A290" i="16"/>
  <c r="N287" i="16" l="1"/>
  <c r="O287" i="16" s="1"/>
  <c r="P287" i="16" s="1"/>
  <c r="N286" i="16"/>
  <c r="O286" i="16" s="1"/>
  <c r="P286" i="16" s="1"/>
  <c r="F289" i="16"/>
  <c r="E289" i="16"/>
  <c r="D289" i="16"/>
  <c r="B290" i="16"/>
  <c r="L290" i="16"/>
  <c r="A291" i="16"/>
  <c r="G288" i="16"/>
  <c r="G289" i="16" l="1"/>
  <c r="H289" i="16" s="1"/>
  <c r="I289" i="16" s="1"/>
  <c r="K289" i="16" s="1"/>
  <c r="M289" i="16" s="1"/>
  <c r="F290" i="16"/>
  <c r="E290" i="16"/>
  <c r="D290" i="16"/>
  <c r="H288" i="16"/>
  <c r="I288" i="16" s="1"/>
  <c r="K288" i="16" s="1"/>
  <c r="M288" i="16" s="1"/>
  <c r="B291" i="16"/>
  <c r="A292" i="16"/>
  <c r="L291" i="16"/>
  <c r="N288" i="16" l="1"/>
  <c r="O288" i="16" s="1"/>
  <c r="P288" i="16" s="1"/>
  <c r="N289" i="16"/>
  <c r="O289" i="16" s="1"/>
  <c r="P289" i="16" s="1"/>
  <c r="B292" i="16"/>
  <c r="L292" i="16"/>
  <c r="A293" i="16"/>
  <c r="E291" i="16"/>
  <c r="F291" i="16"/>
  <c r="D291" i="16"/>
  <c r="G290" i="16"/>
  <c r="G291" i="16" l="1"/>
  <c r="H291" i="16" s="1"/>
  <c r="I291" i="16" s="1"/>
  <c r="K291" i="16" s="1"/>
  <c r="M291" i="16" s="1"/>
  <c r="H290" i="16"/>
  <c r="I290" i="16" s="1"/>
  <c r="K290" i="16" s="1"/>
  <c r="M290" i="16" s="1"/>
  <c r="B293" i="16"/>
  <c r="L293" i="16"/>
  <c r="A294" i="16"/>
  <c r="F292" i="16"/>
  <c r="E292" i="16"/>
  <c r="D292" i="16"/>
  <c r="N290" i="16" l="1"/>
  <c r="O290" i="16" s="1"/>
  <c r="P290" i="16" s="1"/>
  <c r="N291" i="16"/>
  <c r="O291" i="16" s="1"/>
  <c r="P291" i="16" s="1"/>
  <c r="G292" i="16"/>
  <c r="H292" i="16" s="1"/>
  <c r="F293" i="16"/>
  <c r="E293" i="16"/>
  <c r="D293" i="16"/>
  <c r="B294" i="16"/>
  <c r="A295" i="16"/>
  <c r="L294" i="16"/>
  <c r="G293" i="16" l="1"/>
  <c r="H293" i="16" s="1"/>
  <c r="I293" i="16" s="1"/>
  <c r="K293" i="16" s="1"/>
  <c r="M293" i="16" s="1"/>
  <c r="I292" i="16"/>
  <c r="K292" i="16" s="1"/>
  <c r="M292" i="16" s="1"/>
  <c r="E294" i="16"/>
  <c r="F294" i="16"/>
  <c r="D294" i="16"/>
  <c r="B295" i="16"/>
  <c r="A296" i="16"/>
  <c r="L295" i="16"/>
  <c r="N293" i="16" l="1"/>
  <c r="O293" i="16" s="1"/>
  <c r="P293" i="16" s="1"/>
  <c r="N292" i="16"/>
  <c r="O292" i="16" s="1"/>
  <c r="P292" i="16" s="1"/>
  <c r="F295" i="16"/>
  <c r="E295" i="16"/>
  <c r="D295" i="16"/>
  <c r="B296" i="16"/>
  <c r="A297" i="16"/>
  <c r="L296" i="16"/>
  <c r="G294" i="16"/>
  <c r="F296" i="16" l="1"/>
  <c r="E296" i="16"/>
  <c r="D296" i="16"/>
  <c r="H294" i="16"/>
  <c r="I294" i="16" s="1"/>
  <c r="K294" i="16" s="1"/>
  <c r="M294" i="16" s="1"/>
  <c r="B297" i="16"/>
  <c r="A298" i="16"/>
  <c r="L297" i="16"/>
  <c r="G295" i="16"/>
  <c r="N294" i="16" l="1"/>
  <c r="O294" i="16" s="1"/>
  <c r="P294" i="16" s="1"/>
  <c r="G296" i="16"/>
  <c r="F297" i="16"/>
  <c r="E297" i="16"/>
  <c r="D297" i="16"/>
  <c r="B298" i="16"/>
  <c r="L298" i="16"/>
  <c r="A299" i="16"/>
  <c r="H295" i="16"/>
  <c r="I295" i="16" s="1"/>
  <c r="K295" i="16" s="1"/>
  <c r="M295" i="16" s="1"/>
  <c r="N295" i="16" l="1"/>
  <c r="O295" i="16" s="1"/>
  <c r="P295" i="16" s="1"/>
  <c r="H296" i="16"/>
  <c r="I296" i="16" s="1"/>
  <c r="K296" i="16" s="1"/>
  <c r="M296" i="16" s="1"/>
  <c r="F298" i="16"/>
  <c r="E298" i="16"/>
  <c r="D298" i="16"/>
  <c r="B299" i="16"/>
  <c r="A300" i="16"/>
  <c r="L299" i="16"/>
  <c r="G297" i="16"/>
  <c r="N296" i="16" l="1"/>
  <c r="O296" i="16" s="1"/>
  <c r="P296" i="16" s="1"/>
  <c r="E299" i="16"/>
  <c r="F299" i="16"/>
  <c r="D299" i="16"/>
  <c r="H297" i="16"/>
  <c r="I297" i="16" s="1"/>
  <c r="K297" i="16" s="1"/>
  <c r="M297" i="16" s="1"/>
  <c r="B300" i="16"/>
  <c r="A301" i="16"/>
  <c r="L300" i="16"/>
  <c r="G298" i="16"/>
  <c r="N297" i="16" l="1"/>
  <c r="O297" i="16" s="1"/>
  <c r="P297" i="16" s="1"/>
  <c r="G299" i="16"/>
  <c r="H299" i="16" s="1"/>
  <c r="I299" i="16" s="1"/>
  <c r="K299" i="16" s="1"/>
  <c r="M299" i="16" s="1"/>
  <c r="B301" i="16"/>
  <c r="A302" i="16"/>
  <c r="L301" i="16"/>
  <c r="H298" i="16"/>
  <c r="I298" i="16" s="1"/>
  <c r="K298" i="16" s="1"/>
  <c r="M298" i="16" s="1"/>
  <c r="F300" i="16"/>
  <c r="E300" i="16"/>
  <c r="D300" i="16"/>
  <c r="N299" i="16" l="1"/>
  <c r="O299" i="16" s="1"/>
  <c r="P299" i="16" s="1"/>
  <c r="N298" i="16"/>
  <c r="O298" i="16" s="1"/>
  <c r="P298" i="16" s="1"/>
  <c r="B302" i="16"/>
  <c r="L302" i="16"/>
  <c r="A303" i="16"/>
  <c r="G300" i="16"/>
  <c r="H300" i="16" s="1"/>
  <c r="I300" i="16" s="1"/>
  <c r="K300" i="16" s="1"/>
  <c r="M300" i="16" s="1"/>
  <c r="F301" i="16"/>
  <c r="E301" i="16"/>
  <c r="D301" i="16"/>
  <c r="N300" i="16" l="1"/>
  <c r="O300" i="16" s="1"/>
  <c r="P300" i="16" s="1"/>
  <c r="G301" i="16"/>
  <c r="B303" i="16"/>
  <c r="A304" i="16"/>
  <c r="L303" i="16"/>
  <c r="F302" i="16"/>
  <c r="E302" i="16"/>
  <c r="D302" i="16"/>
  <c r="G302" i="16" l="1"/>
  <c r="H302" i="16" s="1"/>
  <c r="I302" i="16" s="1"/>
  <c r="K302" i="16" s="1"/>
  <c r="M302" i="16" s="1"/>
  <c r="B304" i="16"/>
  <c r="L304" i="16"/>
  <c r="A305" i="16"/>
  <c r="E303" i="16"/>
  <c r="F303" i="16"/>
  <c r="D303" i="16"/>
  <c r="H301" i="16"/>
  <c r="I301" i="16" s="1"/>
  <c r="K301" i="16" s="1"/>
  <c r="M301" i="16" s="1"/>
  <c r="N301" i="16" l="1"/>
  <c r="O301" i="16" s="1"/>
  <c r="P301" i="16" s="1"/>
  <c r="N302" i="16"/>
  <c r="O302" i="16" s="1"/>
  <c r="P302" i="16" s="1"/>
  <c r="G303" i="16"/>
  <c r="H303" i="16" s="1"/>
  <c r="I303" i="16" s="1"/>
  <c r="K303" i="16" s="1"/>
  <c r="M303" i="16" s="1"/>
  <c r="B305" i="16"/>
  <c r="A306" i="16"/>
  <c r="L305" i="16"/>
  <c r="F304" i="16"/>
  <c r="E304" i="16"/>
  <c r="D304" i="16"/>
  <c r="N303" i="16" l="1"/>
  <c r="O303" i="16" s="1"/>
  <c r="P303" i="16" s="1"/>
  <c r="G304" i="16"/>
  <c r="H304" i="16" s="1"/>
  <c r="I304" i="16" s="1"/>
  <c r="K304" i="16" s="1"/>
  <c r="M304" i="16" s="1"/>
  <c r="B306" i="16"/>
  <c r="L306" i="16"/>
  <c r="A307" i="16"/>
  <c r="E305" i="16"/>
  <c r="F305" i="16"/>
  <c r="D305" i="16"/>
  <c r="N304" i="16" l="1"/>
  <c r="O304" i="16" s="1"/>
  <c r="P304" i="16" s="1"/>
  <c r="B307" i="16"/>
  <c r="A308" i="16"/>
  <c r="L307" i="16"/>
  <c r="G305" i="16"/>
  <c r="H305" i="16" s="1"/>
  <c r="I305" i="16" s="1"/>
  <c r="K305" i="16" s="1"/>
  <c r="M305" i="16" s="1"/>
  <c r="F306" i="16"/>
  <c r="E306" i="16"/>
  <c r="D306" i="16"/>
  <c r="N305" i="16" l="1"/>
  <c r="O305" i="16" s="1"/>
  <c r="P305" i="16" s="1"/>
  <c r="G306" i="16"/>
  <c r="H306" i="16" s="1"/>
  <c r="I306" i="16" s="1"/>
  <c r="K306" i="16" s="1"/>
  <c r="M306" i="16" s="1"/>
  <c r="B308" i="16"/>
  <c r="A309" i="16"/>
  <c r="L308" i="16"/>
  <c r="F307" i="16"/>
  <c r="E307" i="16"/>
  <c r="D307" i="16"/>
  <c r="N306" i="16" l="1"/>
  <c r="O306" i="16" s="1"/>
  <c r="P306" i="16" s="1"/>
  <c r="B309" i="16"/>
  <c r="L309" i="16"/>
  <c r="A310" i="16"/>
  <c r="G307" i="16"/>
  <c r="F308" i="16"/>
  <c r="E308" i="16"/>
  <c r="D308" i="16"/>
  <c r="G308" i="16" l="1"/>
  <c r="H308" i="16" s="1"/>
  <c r="B310" i="16"/>
  <c r="L310" i="16"/>
  <c r="A311" i="16"/>
  <c r="H307" i="16"/>
  <c r="I307" i="16" s="1"/>
  <c r="K307" i="16" s="1"/>
  <c r="M307" i="16" s="1"/>
  <c r="E309" i="16"/>
  <c r="F309" i="16"/>
  <c r="D309" i="16"/>
  <c r="N307" i="16" l="1"/>
  <c r="O307" i="16" s="1"/>
  <c r="P307" i="16" s="1"/>
  <c r="I308" i="16"/>
  <c r="K308" i="16" s="1"/>
  <c r="M308" i="16" s="1"/>
  <c r="G309" i="16"/>
  <c r="H309" i="16" s="1"/>
  <c r="I309" i="16" s="1"/>
  <c r="K309" i="16" s="1"/>
  <c r="M309" i="16" s="1"/>
  <c r="B311" i="16"/>
  <c r="A312" i="16"/>
  <c r="L311" i="16"/>
  <c r="F310" i="16"/>
  <c r="E310" i="16"/>
  <c r="D310" i="16"/>
  <c r="N309" i="16" l="1"/>
  <c r="O309" i="16" s="1"/>
  <c r="P309" i="16" s="1"/>
  <c r="N308" i="16"/>
  <c r="O308" i="16" s="1"/>
  <c r="P308" i="16" s="1"/>
  <c r="B312" i="16"/>
  <c r="L312" i="16"/>
  <c r="A313" i="16"/>
  <c r="G310" i="16"/>
  <c r="F311" i="16"/>
  <c r="E311" i="16"/>
  <c r="D311" i="16"/>
  <c r="G311" i="16" l="1"/>
  <c r="H311" i="16" s="1"/>
  <c r="I311" i="16" s="1"/>
  <c r="K311" i="16" s="1"/>
  <c r="M311" i="16" s="1"/>
  <c r="B313" i="16"/>
  <c r="A314" i="16"/>
  <c r="L313" i="16"/>
  <c r="H310" i="16"/>
  <c r="I310" i="16" s="1"/>
  <c r="K310" i="16" s="1"/>
  <c r="M310" i="16" s="1"/>
  <c r="F312" i="16"/>
  <c r="E312" i="16"/>
  <c r="D312" i="16"/>
  <c r="N310" i="16" l="1"/>
  <c r="O310" i="16" s="1"/>
  <c r="P310" i="16" s="1"/>
  <c r="N311" i="16"/>
  <c r="O311" i="16" s="1"/>
  <c r="P311" i="16" s="1"/>
  <c r="B314" i="16"/>
  <c r="A315" i="16"/>
  <c r="L314" i="16"/>
  <c r="G312" i="16"/>
  <c r="F313" i="16"/>
  <c r="E313" i="16"/>
  <c r="D313" i="16"/>
  <c r="H312" i="16" l="1"/>
  <c r="I312" i="16" s="1"/>
  <c r="K312" i="16" s="1"/>
  <c r="M312" i="16" s="1"/>
  <c r="B315" i="16"/>
  <c r="A316" i="16"/>
  <c r="L315" i="16"/>
  <c r="G313" i="16"/>
  <c r="H313" i="16" s="1"/>
  <c r="I313" i="16" s="1"/>
  <c r="K313" i="16" s="1"/>
  <c r="M313" i="16" s="1"/>
  <c r="F314" i="16"/>
  <c r="E314" i="16"/>
  <c r="D314" i="16"/>
  <c r="N313" i="16" l="1"/>
  <c r="O313" i="16" s="1"/>
  <c r="P313" i="16" s="1"/>
  <c r="N312" i="16"/>
  <c r="O312" i="16" s="1"/>
  <c r="P312" i="16" s="1"/>
  <c r="G314" i="16"/>
  <c r="H314" i="16" s="1"/>
  <c r="I314" i="16" s="1"/>
  <c r="K314" i="16" s="1"/>
  <c r="M314" i="16" s="1"/>
  <c r="F315" i="16"/>
  <c r="E315" i="16"/>
  <c r="D315" i="16"/>
  <c r="B316" i="16"/>
  <c r="A317" i="16"/>
  <c r="L316" i="16"/>
  <c r="N314" i="16" l="1"/>
  <c r="O314" i="16" s="1"/>
  <c r="P314" i="16" s="1"/>
  <c r="G315" i="16"/>
  <c r="H315" i="16" s="1"/>
  <c r="I315" i="16" s="1"/>
  <c r="K315" i="16" s="1"/>
  <c r="M315" i="16" s="1"/>
  <c r="F316" i="16"/>
  <c r="E316" i="16"/>
  <c r="D316" i="16"/>
  <c r="B317" i="16"/>
  <c r="A318" i="16"/>
  <c r="L317" i="16"/>
  <c r="N315" i="16" l="1"/>
  <c r="O315" i="16" s="1"/>
  <c r="P315" i="16" s="1"/>
  <c r="G316" i="16"/>
  <c r="H316" i="16" s="1"/>
  <c r="I316" i="16" s="1"/>
  <c r="K316" i="16" s="1"/>
  <c r="M316" i="16" s="1"/>
  <c r="B318" i="16"/>
  <c r="A319" i="16"/>
  <c r="L318" i="16"/>
  <c r="F317" i="16"/>
  <c r="E317" i="16"/>
  <c r="D317" i="16"/>
  <c r="N316" i="16" l="1"/>
  <c r="O316" i="16" s="1"/>
  <c r="P316" i="16" s="1"/>
  <c r="G317" i="16"/>
  <c r="H317" i="16" s="1"/>
  <c r="I317" i="16" s="1"/>
  <c r="K317" i="16" s="1"/>
  <c r="M317" i="16" s="1"/>
  <c r="B319" i="16"/>
  <c r="L319" i="16"/>
  <c r="A320" i="16"/>
  <c r="F318" i="16"/>
  <c r="E318" i="16"/>
  <c r="D318" i="16"/>
  <c r="N317" i="16" l="1"/>
  <c r="O317" i="16" s="1"/>
  <c r="P317" i="16" s="1"/>
  <c r="B320" i="16"/>
  <c r="L320" i="16"/>
  <c r="A321" i="16"/>
  <c r="G318" i="16"/>
  <c r="E319" i="16"/>
  <c r="F319" i="16"/>
  <c r="D319" i="16"/>
  <c r="B321" i="16" l="1"/>
  <c r="A322" i="16"/>
  <c r="L321" i="16"/>
  <c r="G319" i="16"/>
  <c r="H318" i="16"/>
  <c r="I318" i="16" s="1"/>
  <c r="K318" i="16" s="1"/>
  <c r="M318" i="16" s="1"/>
  <c r="F320" i="16"/>
  <c r="E320" i="16"/>
  <c r="D320" i="16"/>
  <c r="N318" i="16" l="1"/>
  <c r="O318" i="16" s="1"/>
  <c r="P318" i="16" s="1"/>
  <c r="B322" i="16"/>
  <c r="L322" i="16"/>
  <c r="A323" i="16"/>
  <c r="G320" i="16"/>
  <c r="H319" i="16"/>
  <c r="I319" i="16" s="1"/>
  <c r="K319" i="16" s="1"/>
  <c r="M319" i="16" s="1"/>
  <c r="F321" i="16"/>
  <c r="E321" i="16"/>
  <c r="D321" i="16"/>
  <c r="N319" i="16" l="1"/>
  <c r="O319" i="16" s="1"/>
  <c r="P319" i="16" s="1"/>
  <c r="G321" i="16"/>
  <c r="H321" i="16" s="1"/>
  <c r="I321" i="16" s="1"/>
  <c r="K321" i="16" s="1"/>
  <c r="M321" i="16" s="1"/>
  <c r="B323" i="16"/>
  <c r="L323" i="16"/>
  <c r="A324" i="16"/>
  <c r="H320" i="16"/>
  <c r="I320" i="16" s="1"/>
  <c r="K320" i="16" s="1"/>
  <c r="M320" i="16" s="1"/>
  <c r="F322" i="16"/>
  <c r="E322" i="16"/>
  <c r="D322" i="16"/>
  <c r="N320" i="16" l="1"/>
  <c r="O320" i="16" s="1"/>
  <c r="P320" i="16" s="1"/>
  <c r="N321" i="16"/>
  <c r="O321" i="16" s="1"/>
  <c r="P321" i="16" s="1"/>
  <c r="B324" i="16"/>
  <c r="A325" i="16"/>
  <c r="L324" i="16"/>
  <c r="G322" i="16"/>
  <c r="H322" i="16" s="1"/>
  <c r="I322" i="16" s="1"/>
  <c r="K322" i="16" s="1"/>
  <c r="M322" i="16" s="1"/>
  <c r="N322" i="16" s="1"/>
  <c r="E323" i="16"/>
  <c r="F323" i="16"/>
  <c r="D323" i="16"/>
  <c r="O322" i="16" l="1"/>
  <c r="P322" i="16" s="1"/>
  <c r="B325" i="16"/>
  <c r="A326" i="16"/>
  <c r="L325" i="16"/>
  <c r="G323" i="16"/>
  <c r="H323" i="16" s="1"/>
  <c r="I323" i="16" s="1"/>
  <c r="K323" i="16" s="1"/>
  <c r="M323" i="16" s="1"/>
  <c r="F324" i="16"/>
  <c r="E324" i="16"/>
  <c r="D324" i="16"/>
  <c r="N323" i="16" l="1"/>
  <c r="O323" i="16" s="1"/>
  <c r="P323" i="16" s="1"/>
  <c r="G324" i="16"/>
  <c r="B326" i="16"/>
  <c r="A327" i="16"/>
  <c r="L326" i="16"/>
  <c r="E325" i="16"/>
  <c r="F325" i="16"/>
  <c r="D325" i="16"/>
  <c r="B327" i="16" l="1"/>
  <c r="A328" i="16"/>
  <c r="L327" i="16"/>
  <c r="G325" i="16"/>
  <c r="F326" i="16"/>
  <c r="E326" i="16"/>
  <c r="D326" i="16"/>
  <c r="H324" i="16"/>
  <c r="I324" i="16" s="1"/>
  <c r="K324" i="16" s="1"/>
  <c r="M324" i="16" s="1"/>
  <c r="N324" i="16" l="1"/>
  <c r="O324" i="16" s="1"/>
  <c r="P324" i="16" s="1"/>
  <c r="G326" i="16"/>
  <c r="H326" i="16" s="1"/>
  <c r="I326" i="16" s="1"/>
  <c r="K326" i="16" s="1"/>
  <c r="M326" i="16" s="1"/>
  <c r="B328" i="16"/>
  <c r="L328" i="16"/>
  <c r="A329" i="16"/>
  <c r="H325" i="16"/>
  <c r="I325" i="16" s="1"/>
  <c r="K325" i="16" s="1"/>
  <c r="M325" i="16" s="1"/>
  <c r="F327" i="16"/>
  <c r="E327" i="16"/>
  <c r="D327" i="16"/>
  <c r="N325" i="16" l="1"/>
  <c r="O325" i="16" s="1"/>
  <c r="P325" i="16" s="1"/>
  <c r="N326" i="16"/>
  <c r="O326" i="16" s="1"/>
  <c r="P326" i="16" s="1"/>
  <c r="F328" i="16"/>
  <c r="E328" i="16"/>
  <c r="D328" i="16"/>
  <c r="G327" i="16"/>
  <c r="B329" i="16"/>
  <c r="L329" i="16"/>
  <c r="A330" i="16"/>
  <c r="G328" i="16" l="1"/>
  <c r="H327" i="16"/>
  <c r="I327" i="16" s="1"/>
  <c r="K327" i="16" s="1"/>
  <c r="M327" i="16" s="1"/>
  <c r="B330" i="16"/>
  <c r="A331" i="16"/>
  <c r="L330" i="16"/>
  <c r="F329" i="16"/>
  <c r="E329" i="16"/>
  <c r="D329" i="16"/>
  <c r="N327" i="16" l="1"/>
  <c r="O327" i="16" s="1"/>
  <c r="P327" i="16" s="1"/>
  <c r="G329" i="16"/>
  <c r="H329" i="16" s="1"/>
  <c r="H328" i="16"/>
  <c r="I328" i="16" s="1"/>
  <c r="K328" i="16" s="1"/>
  <c r="M328" i="16" s="1"/>
  <c r="F330" i="16"/>
  <c r="E330" i="16"/>
  <c r="D330" i="16"/>
  <c r="B331" i="16"/>
  <c r="L331" i="16"/>
  <c r="A332" i="16"/>
  <c r="N328" i="16" l="1"/>
  <c r="O328" i="16" s="1"/>
  <c r="P328" i="16" s="1"/>
  <c r="I329" i="16"/>
  <c r="K329" i="16" s="1"/>
  <c r="M329" i="16" s="1"/>
  <c r="G330" i="16"/>
  <c r="H330" i="16" s="1"/>
  <c r="I330" i="16" s="1"/>
  <c r="K330" i="16" s="1"/>
  <c r="M330" i="16" s="1"/>
  <c r="B332" i="16"/>
  <c r="L332" i="16"/>
  <c r="A333" i="16"/>
  <c r="E331" i="16"/>
  <c r="F331" i="16"/>
  <c r="D331" i="16"/>
  <c r="N329" i="16" l="1"/>
  <c r="O329" i="16" s="1"/>
  <c r="P329" i="16" s="1"/>
  <c r="N330" i="16"/>
  <c r="O330" i="16" s="1"/>
  <c r="P330" i="16" s="1"/>
  <c r="G331" i="16"/>
  <c r="H331" i="16" s="1"/>
  <c r="I331" i="16" s="1"/>
  <c r="K331" i="16" s="1"/>
  <c r="M331" i="16" s="1"/>
  <c r="B333" i="16"/>
  <c r="A334" i="16"/>
  <c r="L333" i="16"/>
  <c r="F332" i="16"/>
  <c r="E332" i="16"/>
  <c r="D332" i="16"/>
  <c r="N331" i="16" l="1"/>
  <c r="O331" i="16" s="1"/>
  <c r="P331" i="16" s="1"/>
  <c r="G332" i="16"/>
  <c r="B334" i="16"/>
  <c r="A335" i="16"/>
  <c r="L334" i="16"/>
  <c r="F333" i="16"/>
  <c r="E333" i="16"/>
  <c r="D333" i="16"/>
  <c r="B335" i="16" l="1"/>
  <c r="A336" i="16"/>
  <c r="L335" i="16"/>
  <c r="G333" i="16"/>
  <c r="H333" i="16" s="1"/>
  <c r="I333" i="16" s="1"/>
  <c r="K333" i="16" s="1"/>
  <c r="M333" i="16" s="1"/>
  <c r="E334" i="16"/>
  <c r="F334" i="16"/>
  <c r="D334" i="16"/>
  <c r="H332" i="16"/>
  <c r="I332" i="16" s="1"/>
  <c r="K332" i="16" s="1"/>
  <c r="M332" i="16" s="1"/>
  <c r="N332" i="16" l="1"/>
  <c r="O332" i="16" s="1"/>
  <c r="P332" i="16" s="1"/>
  <c r="N333" i="16"/>
  <c r="O333" i="16" s="1"/>
  <c r="P333" i="16" s="1"/>
  <c r="B336" i="16"/>
  <c r="L336" i="16"/>
  <c r="A337" i="16"/>
  <c r="G334" i="16"/>
  <c r="F335" i="16"/>
  <c r="E335" i="16"/>
  <c r="D335" i="16"/>
  <c r="G335" i="16" l="1"/>
  <c r="H335" i="16" s="1"/>
  <c r="I335" i="16" s="1"/>
  <c r="K335" i="16" s="1"/>
  <c r="M335" i="16" s="1"/>
  <c r="N335" i="16" s="1"/>
  <c r="B337" i="16"/>
  <c r="A338" i="16"/>
  <c r="L337" i="16"/>
  <c r="H334" i="16"/>
  <c r="I334" i="16" s="1"/>
  <c r="K334" i="16" s="1"/>
  <c r="M334" i="16" s="1"/>
  <c r="F336" i="16"/>
  <c r="E336" i="16"/>
  <c r="D336" i="16"/>
  <c r="N334" i="16" l="1"/>
  <c r="O334" i="16" s="1"/>
  <c r="P334" i="16" s="1"/>
  <c r="O335" i="16"/>
  <c r="P335" i="16"/>
  <c r="G336" i="16"/>
  <c r="H336" i="16" s="1"/>
  <c r="I336" i="16" s="1"/>
  <c r="K336" i="16" s="1"/>
  <c r="M336" i="16" s="1"/>
  <c r="E337" i="16"/>
  <c r="F337" i="16"/>
  <c r="D337" i="16"/>
  <c r="B338" i="16"/>
  <c r="L338" i="16"/>
  <c r="A339" i="16"/>
  <c r="N336" i="16" l="1"/>
  <c r="O336" i="16" s="1"/>
  <c r="P336" i="16" s="1"/>
  <c r="F338" i="16"/>
  <c r="E338" i="16"/>
  <c r="D338" i="16"/>
  <c r="B339" i="16"/>
  <c r="A340" i="16"/>
  <c r="L339" i="16"/>
  <c r="G337" i="16"/>
  <c r="G338" i="16" l="1"/>
  <c r="H338" i="16" s="1"/>
  <c r="I338" i="16" s="1"/>
  <c r="K338" i="16" s="1"/>
  <c r="M338" i="16" s="1"/>
  <c r="F339" i="16"/>
  <c r="E339" i="16"/>
  <c r="D339" i="16"/>
  <c r="H337" i="16"/>
  <c r="I337" i="16" s="1"/>
  <c r="K337" i="16" s="1"/>
  <c r="M337" i="16" s="1"/>
  <c r="B340" i="16"/>
  <c r="L340" i="16"/>
  <c r="A341" i="16"/>
  <c r="N337" i="16" l="1"/>
  <c r="O337" i="16" s="1"/>
  <c r="P337" i="16" s="1"/>
  <c r="N338" i="16"/>
  <c r="O338" i="16" s="1"/>
  <c r="P338" i="16" s="1"/>
  <c r="B341" i="16"/>
  <c r="A342" i="16"/>
  <c r="L341" i="16"/>
  <c r="F340" i="16"/>
  <c r="E340" i="16"/>
  <c r="D340" i="16"/>
  <c r="G339" i="16"/>
  <c r="H339" i="16" s="1"/>
  <c r="I339" i="16" s="1"/>
  <c r="K339" i="16" s="1"/>
  <c r="M339" i="16" s="1"/>
  <c r="N339" i="16" l="1"/>
  <c r="O339" i="16" s="1"/>
  <c r="P339" i="16" s="1"/>
  <c r="G340" i="16"/>
  <c r="H340" i="16" s="1"/>
  <c r="F341" i="16"/>
  <c r="E341" i="16"/>
  <c r="D341" i="16"/>
  <c r="B342" i="16"/>
  <c r="L342" i="16"/>
  <c r="A343" i="16"/>
  <c r="I340" i="16" l="1"/>
  <c r="K340" i="16" s="1"/>
  <c r="M340" i="16" s="1"/>
  <c r="F342" i="16"/>
  <c r="E342" i="16"/>
  <c r="D342" i="16"/>
  <c r="G341" i="16"/>
  <c r="H341" i="16" s="1"/>
  <c r="I341" i="16" s="1"/>
  <c r="K341" i="16" s="1"/>
  <c r="M341" i="16" s="1"/>
  <c r="B343" i="16"/>
  <c r="A344" i="16"/>
  <c r="L343" i="16"/>
  <c r="N341" i="16" l="1"/>
  <c r="O341" i="16" s="1"/>
  <c r="P341" i="16" s="1"/>
  <c r="N340" i="16"/>
  <c r="O340" i="16" s="1"/>
  <c r="P340" i="16" s="1"/>
  <c r="G342" i="16"/>
  <c r="H342" i="16" s="1"/>
  <c r="I342" i="16" s="1"/>
  <c r="K342" i="16" s="1"/>
  <c r="M342" i="16" s="1"/>
  <c r="B344" i="16"/>
  <c r="L344" i="16"/>
  <c r="A345" i="16"/>
  <c r="E343" i="16"/>
  <c r="F343" i="16"/>
  <c r="D343" i="16"/>
  <c r="N342" i="16" l="1"/>
  <c r="O342" i="16" s="1"/>
  <c r="P342" i="16" s="1"/>
  <c r="B345" i="16"/>
  <c r="A346" i="16"/>
  <c r="L345" i="16"/>
  <c r="G343" i="16"/>
  <c r="H343" i="16" s="1"/>
  <c r="I343" i="16" s="1"/>
  <c r="K343" i="16" s="1"/>
  <c r="M343" i="16" s="1"/>
  <c r="F344" i="16"/>
  <c r="E344" i="16"/>
  <c r="D344" i="16"/>
  <c r="N343" i="16" l="1"/>
  <c r="O343" i="16" s="1"/>
  <c r="P343" i="16" s="1"/>
  <c r="B346" i="16"/>
  <c r="L346" i="16"/>
  <c r="A347" i="16"/>
  <c r="G344" i="16"/>
  <c r="H344" i="16" s="1"/>
  <c r="I344" i="16" s="1"/>
  <c r="K344" i="16" s="1"/>
  <c r="M344" i="16" s="1"/>
  <c r="F345" i="16"/>
  <c r="E345" i="16"/>
  <c r="D345" i="16"/>
  <c r="N344" i="16" l="1"/>
  <c r="O344" i="16" s="1"/>
  <c r="P344" i="16" s="1"/>
  <c r="B347" i="16"/>
  <c r="A348" i="16"/>
  <c r="L347" i="16"/>
  <c r="G345" i="16"/>
  <c r="E346" i="16"/>
  <c r="F346" i="16"/>
  <c r="D346" i="16"/>
  <c r="B348" i="16" l="1"/>
  <c r="L348" i="16"/>
  <c r="A349" i="16"/>
  <c r="G346" i="16"/>
  <c r="H345" i="16"/>
  <c r="I345" i="16" s="1"/>
  <c r="K345" i="16" s="1"/>
  <c r="M345" i="16" s="1"/>
  <c r="E347" i="16"/>
  <c r="F347" i="16"/>
  <c r="D347" i="16"/>
  <c r="N345" i="16" l="1"/>
  <c r="O345" i="16" s="1"/>
  <c r="P345" i="16" s="1"/>
  <c r="G347" i="16"/>
  <c r="H347" i="16" s="1"/>
  <c r="I347" i="16" s="1"/>
  <c r="K347" i="16" s="1"/>
  <c r="M347" i="16" s="1"/>
  <c r="B349" i="16"/>
  <c r="A350" i="16"/>
  <c r="L349" i="16"/>
  <c r="H346" i="16"/>
  <c r="I346" i="16" s="1"/>
  <c r="K346" i="16" s="1"/>
  <c r="M346" i="16" s="1"/>
  <c r="F348" i="16"/>
  <c r="E348" i="16"/>
  <c r="D348" i="16"/>
  <c r="N346" i="16" l="1"/>
  <c r="O346" i="16" s="1"/>
  <c r="P346" i="16" s="1"/>
  <c r="N347" i="16"/>
  <c r="O347" i="16" s="1"/>
  <c r="P347" i="16" s="1"/>
  <c r="B350" i="16"/>
  <c r="A351" i="16"/>
  <c r="L350" i="16"/>
  <c r="G348" i="16"/>
  <c r="F349" i="16"/>
  <c r="E349" i="16"/>
  <c r="D349" i="16"/>
  <c r="G349" i="16" l="1"/>
  <c r="H349" i="16" s="1"/>
  <c r="I349" i="16" s="1"/>
  <c r="K349" i="16" s="1"/>
  <c r="M349" i="16" s="1"/>
  <c r="B351" i="16"/>
  <c r="L351" i="16"/>
  <c r="A352" i="16"/>
  <c r="H348" i="16"/>
  <c r="I348" i="16" s="1"/>
  <c r="K348" i="16" s="1"/>
  <c r="M348" i="16" s="1"/>
  <c r="E350" i="16"/>
  <c r="F350" i="16"/>
  <c r="D350" i="16"/>
  <c r="N348" i="16" l="1"/>
  <c r="O348" i="16" s="1"/>
  <c r="P348" i="16" s="1"/>
  <c r="N349" i="16"/>
  <c r="O349" i="16" s="1"/>
  <c r="P349" i="16" s="1"/>
  <c r="F351" i="16"/>
  <c r="E351" i="16"/>
  <c r="D351" i="16"/>
  <c r="G350" i="16"/>
  <c r="B352" i="16"/>
  <c r="L352" i="16"/>
  <c r="A353" i="16"/>
  <c r="G351" i="16" l="1"/>
  <c r="H351" i="16" s="1"/>
  <c r="I351" i="16" s="1"/>
  <c r="K351" i="16" s="1"/>
  <c r="M351" i="16" s="1"/>
  <c r="N351" i="16" s="1"/>
  <c r="B353" i="16"/>
  <c r="A354" i="16"/>
  <c r="L353" i="16"/>
  <c r="H350" i="16"/>
  <c r="I350" i="16" s="1"/>
  <c r="K350" i="16" s="1"/>
  <c r="M350" i="16" s="1"/>
  <c r="F352" i="16"/>
  <c r="E352" i="16"/>
  <c r="D352" i="16"/>
  <c r="N350" i="16" l="1"/>
  <c r="O350" i="16" s="1"/>
  <c r="P350" i="16" s="1"/>
  <c r="O351" i="16"/>
  <c r="P351" i="16" s="1"/>
  <c r="B354" i="16"/>
  <c r="L354" i="16"/>
  <c r="A355" i="16"/>
  <c r="G352" i="16"/>
  <c r="F353" i="16"/>
  <c r="E353" i="16"/>
  <c r="D353" i="16"/>
  <c r="G353" i="16" l="1"/>
  <c r="H353" i="16" s="1"/>
  <c r="I353" i="16" s="1"/>
  <c r="K353" i="16" s="1"/>
  <c r="M353" i="16" s="1"/>
  <c r="H352" i="16"/>
  <c r="I352" i="16" s="1"/>
  <c r="K352" i="16" s="1"/>
  <c r="M352" i="16" s="1"/>
  <c r="B355" i="16"/>
  <c r="L355" i="16"/>
  <c r="A356" i="16"/>
  <c r="F354" i="16"/>
  <c r="E354" i="16"/>
  <c r="D354" i="16"/>
  <c r="N352" i="16" l="1"/>
  <c r="O352" i="16" s="1"/>
  <c r="P352" i="16" s="1"/>
  <c r="N353" i="16"/>
  <c r="O353" i="16" s="1"/>
  <c r="P353" i="16" s="1"/>
  <c r="G354" i="16"/>
  <c r="H354" i="16" s="1"/>
  <c r="I354" i="16" s="1"/>
  <c r="K354" i="16" s="1"/>
  <c r="M354" i="16" s="1"/>
  <c r="F355" i="16"/>
  <c r="E355" i="16"/>
  <c r="D355" i="16"/>
  <c r="B356" i="16"/>
  <c r="L356" i="16"/>
  <c r="A357" i="16"/>
  <c r="N354" i="16" l="1"/>
  <c r="O354" i="16" s="1"/>
  <c r="P354" i="16" s="1"/>
  <c r="B357" i="16"/>
  <c r="A358" i="16"/>
  <c r="L357" i="16"/>
  <c r="F356" i="16"/>
  <c r="E356" i="16"/>
  <c r="D356" i="16"/>
  <c r="G355" i="16"/>
  <c r="H355" i="16" s="1"/>
  <c r="I355" i="16" s="1"/>
  <c r="K355" i="16" s="1"/>
  <c r="M355" i="16" s="1"/>
  <c r="N355" i="16" l="1"/>
  <c r="O355" i="16" s="1"/>
  <c r="P355" i="16" s="1"/>
  <c r="G356" i="16"/>
  <c r="B358" i="16"/>
  <c r="L358" i="16"/>
  <c r="A359" i="16"/>
  <c r="F357" i="16"/>
  <c r="E357" i="16"/>
  <c r="D357" i="16"/>
  <c r="E358" i="16" l="1"/>
  <c r="F358" i="16"/>
  <c r="D358" i="16"/>
  <c r="G357" i="16"/>
  <c r="B359" i="16"/>
  <c r="A360" i="16"/>
  <c r="L359" i="16"/>
  <c r="H356" i="16"/>
  <c r="I356" i="16" s="1"/>
  <c r="K356" i="16" s="1"/>
  <c r="M356" i="16" s="1"/>
  <c r="N356" i="16" l="1"/>
  <c r="O356" i="16" s="1"/>
  <c r="P356" i="16" s="1"/>
  <c r="H357" i="16"/>
  <c r="I357" i="16" s="1"/>
  <c r="K357" i="16" s="1"/>
  <c r="M357" i="16" s="1"/>
  <c r="B360" i="16"/>
  <c r="L360" i="16"/>
  <c r="A361" i="16"/>
  <c r="E359" i="16"/>
  <c r="F359" i="16"/>
  <c r="D359" i="16"/>
  <c r="G358" i="16"/>
  <c r="N357" i="16" l="1"/>
  <c r="O357" i="16" s="1"/>
  <c r="P357" i="16" s="1"/>
  <c r="H358" i="16"/>
  <c r="I358" i="16" s="1"/>
  <c r="K358" i="16" s="1"/>
  <c r="M358" i="16" s="1"/>
  <c r="E360" i="16"/>
  <c r="F360" i="16"/>
  <c r="D360" i="16"/>
  <c r="G359" i="16"/>
  <c r="B361" i="16"/>
  <c r="A362" i="16"/>
  <c r="L361" i="16"/>
  <c r="N358" i="16" l="1"/>
  <c r="O358" i="16" s="1"/>
  <c r="P358" i="16" s="1"/>
  <c r="F361" i="16"/>
  <c r="E361" i="16"/>
  <c r="D361" i="16"/>
  <c r="H359" i="16"/>
  <c r="I359" i="16" s="1"/>
  <c r="K359" i="16" s="1"/>
  <c r="M359" i="16" s="1"/>
  <c r="B362" i="16"/>
  <c r="A363" i="16"/>
  <c r="L362" i="16"/>
  <c r="G360" i="16"/>
  <c r="N359" i="16" l="1"/>
  <c r="O359" i="16" s="1"/>
  <c r="P359" i="16" s="1"/>
  <c r="G361" i="16"/>
  <c r="H360" i="16"/>
  <c r="I360" i="16" s="1"/>
  <c r="K360" i="16" s="1"/>
  <c r="M360" i="16" s="1"/>
  <c r="E362" i="16"/>
  <c r="F362" i="16"/>
  <c r="D362" i="16"/>
  <c r="B363" i="16"/>
  <c r="L363" i="16"/>
  <c r="A364" i="16"/>
  <c r="N360" i="16" l="1"/>
  <c r="O360" i="16" s="1"/>
  <c r="P360" i="16" s="1"/>
  <c r="G362" i="16"/>
  <c r="F363" i="16"/>
  <c r="E363" i="16"/>
  <c r="D363" i="16"/>
  <c r="B364" i="16"/>
  <c r="A365" i="16"/>
  <c r="L364" i="16"/>
  <c r="H361" i="16"/>
  <c r="I361" i="16" s="1"/>
  <c r="K361" i="16" s="1"/>
  <c r="M361" i="16" s="1"/>
  <c r="N361" i="16" l="1"/>
  <c r="O361" i="16" s="1"/>
  <c r="P361" i="16" s="1"/>
  <c r="G363" i="16"/>
  <c r="H363" i="16" s="1"/>
  <c r="I363" i="16" s="1"/>
  <c r="K363" i="16" s="1"/>
  <c r="M363" i="16" s="1"/>
  <c r="H362" i="16"/>
  <c r="I362" i="16" s="1"/>
  <c r="K362" i="16" s="1"/>
  <c r="M362" i="16" s="1"/>
  <c r="B365" i="16"/>
  <c r="A366" i="16"/>
  <c r="L365" i="16"/>
  <c r="F364" i="16"/>
  <c r="E364" i="16"/>
  <c r="D364" i="16"/>
  <c r="N363" i="16" l="1"/>
  <c r="O363" i="16" s="1"/>
  <c r="P363" i="16" s="1"/>
  <c r="N362" i="16"/>
  <c r="O362" i="16" s="1"/>
  <c r="P362" i="16" s="1"/>
  <c r="G364" i="16"/>
  <c r="H364" i="16" s="1"/>
  <c r="I364" i="16" s="1"/>
  <c r="K364" i="16" s="1"/>
  <c r="M364" i="16" s="1"/>
  <c r="F365" i="16"/>
  <c r="E365" i="16"/>
  <c r="D365" i="16"/>
  <c r="B366" i="16"/>
  <c r="L366" i="16"/>
  <c r="A367" i="16"/>
  <c r="N364" i="16" l="1"/>
  <c r="O364" i="16" s="1"/>
  <c r="P364" i="16" s="1"/>
  <c r="G365" i="16"/>
  <c r="H365" i="16" s="1"/>
  <c r="I365" i="16" s="1"/>
  <c r="K365" i="16" s="1"/>
  <c r="M365" i="16" s="1"/>
  <c r="N365" i="16" s="1"/>
  <c r="B367" i="16"/>
  <c r="L367" i="16"/>
  <c r="A368" i="16"/>
  <c r="E366" i="16"/>
  <c r="F366" i="16"/>
  <c r="D366" i="16"/>
  <c r="O365" i="16" l="1"/>
  <c r="P365" i="16" s="1"/>
  <c r="B368" i="16"/>
  <c r="A369" i="16"/>
  <c r="L368" i="16"/>
  <c r="G366" i="16"/>
  <c r="F367" i="16"/>
  <c r="E367" i="16"/>
  <c r="D367" i="16"/>
  <c r="B369" i="16" l="1"/>
  <c r="L369" i="16"/>
  <c r="A370" i="16"/>
  <c r="H366" i="16"/>
  <c r="I366" i="16" s="1"/>
  <c r="K366" i="16" s="1"/>
  <c r="M366" i="16" s="1"/>
  <c r="G367" i="16"/>
  <c r="H367" i="16" s="1"/>
  <c r="I367" i="16" s="1"/>
  <c r="K367" i="16" s="1"/>
  <c r="M367" i="16" s="1"/>
  <c r="F368" i="16"/>
  <c r="E368" i="16"/>
  <c r="D368" i="16"/>
  <c r="N366" i="16" l="1"/>
  <c r="O366" i="16" s="1"/>
  <c r="P366" i="16" s="1"/>
  <c r="N367" i="16"/>
  <c r="O367" i="16" s="1"/>
  <c r="P367" i="16" s="1"/>
  <c r="B370" i="16"/>
  <c r="A371" i="16"/>
  <c r="L370" i="16"/>
  <c r="G368" i="16"/>
  <c r="H368" i="16" s="1"/>
  <c r="I368" i="16" s="1"/>
  <c r="K368" i="16" s="1"/>
  <c r="M368" i="16" s="1"/>
  <c r="F369" i="16"/>
  <c r="E369" i="16"/>
  <c r="D369" i="16"/>
  <c r="G369" i="16" l="1"/>
  <c r="H369" i="16" s="1"/>
  <c r="I369" i="16" s="1"/>
  <c r="K369" i="16" s="1"/>
  <c r="M369" i="16" s="1"/>
  <c r="N369" i="16" s="1"/>
  <c r="N368" i="16"/>
  <c r="O368" i="16" s="1"/>
  <c r="P368" i="16" s="1"/>
  <c r="B371" i="16"/>
  <c r="L371" i="16"/>
  <c r="A372" i="16"/>
  <c r="F370" i="16"/>
  <c r="E370" i="16"/>
  <c r="D370" i="16"/>
  <c r="O369" i="16" l="1"/>
  <c r="P369" i="16" s="1"/>
  <c r="F371" i="16"/>
  <c r="E371" i="16"/>
  <c r="D371" i="16"/>
  <c r="B372" i="16"/>
  <c r="A373" i="16"/>
  <c r="L372" i="16"/>
  <c r="G370" i="16"/>
  <c r="G371" i="16" l="1"/>
  <c r="H371" i="16" s="1"/>
  <c r="I371" i="16" s="1"/>
  <c r="K371" i="16" s="1"/>
  <c r="M371" i="16" s="1"/>
  <c r="F372" i="16"/>
  <c r="E372" i="16"/>
  <c r="D372" i="16"/>
  <c r="H370" i="16"/>
  <c r="I370" i="16" s="1"/>
  <c r="K370" i="16" s="1"/>
  <c r="M370" i="16" s="1"/>
  <c r="N370" i="16" s="1"/>
  <c r="B373" i="16"/>
  <c r="L373" i="16"/>
  <c r="A374" i="16"/>
  <c r="N371" i="16" l="1"/>
  <c r="O371" i="16" s="1"/>
  <c r="P371" i="16" s="1"/>
  <c r="O370" i="16"/>
  <c r="P370" i="16" s="1"/>
  <c r="G372" i="16"/>
  <c r="H372" i="16" s="1"/>
  <c r="I372" i="16" s="1"/>
  <c r="K372" i="16" s="1"/>
  <c r="M372" i="16" s="1"/>
  <c r="E373" i="16"/>
  <c r="F373" i="16"/>
  <c r="D373" i="16"/>
  <c r="B374" i="16"/>
  <c r="A375" i="16"/>
  <c r="L374" i="16"/>
  <c r="N372" i="16" l="1"/>
  <c r="O372" i="16" s="1"/>
  <c r="P372" i="16" s="1"/>
  <c r="B375" i="16"/>
  <c r="A376" i="16"/>
  <c r="L375" i="16"/>
  <c r="G373" i="16"/>
  <c r="F374" i="16"/>
  <c r="E374" i="16"/>
  <c r="D374" i="16"/>
  <c r="G374" i="16" l="1"/>
  <c r="B376" i="16"/>
  <c r="L376" i="16"/>
  <c r="A377" i="16"/>
  <c r="H373" i="16"/>
  <c r="I373" i="16" s="1"/>
  <c r="K373" i="16" s="1"/>
  <c r="M373" i="16" s="1"/>
  <c r="N373" i="16" s="1"/>
  <c r="E375" i="16"/>
  <c r="F375" i="16"/>
  <c r="D375" i="16"/>
  <c r="O373" i="16" l="1"/>
  <c r="P373" i="16" s="1"/>
  <c r="G375" i="16"/>
  <c r="H375" i="16" s="1"/>
  <c r="I375" i="16" s="1"/>
  <c r="K375" i="16" s="1"/>
  <c r="M375" i="16" s="1"/>
  <c r="F376" i="16"/>
  <c r="E376" i="16"/>
  <c r="D376" i="16"/>
  <c r="B377" i="16"/>
  <c r="A378" i="16"/>
  <c r="L377" i="16"/>
  <c r="H374" i="16"/>
  <c r="I374" i="16" s="1"/>
  <c r="K374" i="16" s="1"/>
  <c r="M374" i="16" s="1"/>
  <c r="N375" i="16" l="1"/>
  <c r="O375" i="16" s="1"/>
  <c r="P375" i="16" s="1"/>
  <c r="N374" i="16"/>
  <c r="O374" i="16" s="1"/>
  <c r="P374" i="16" s="1"/>
  <c r="G376" i="16"/>
  <c r="H376" i="16" s="1"/>
  <c r="I376" i="16" s="1"/>
  <c r="K376" i="16" s="1"/>
  <c r="M376" i="16" s="1"/>
  <c r="N376" i="16" s="1"/>
  <c r="B378" i="16"/>
  <c r="L378" i="16"/>
  <c r="A379" i="16"/>
  <c r="F377" i="16"/>
  <c r="E377" i="16"/>
  <c r="D377" i="16"/>
  <c r="O376" i="16" l="1"/>
  <c r="P376" i="16" s="1"/>
  <c r="G377" i="16"/>
  <c r="H377" i="16" s="1"/>
  <c r="I377" i="16" s="1"/>
  <c r="K377" i="16" s="1"/>
  <c r="M377" i="16" s="1"/>
  <c r="E378" i="16"/>
  <c r="F378" i="16"/>
  <c r="D378" i="16"/>
  <c r="B379" i="16"/>
  <c r="L379" i="16"/>
  <c r="A380" i="16"/>
  <c r="N377" i="16" l="1"/>
  <c r="O377" i="16" s="1"/>
  <c r="P377" i="16" s="1"/>
  <c r="G378" i="16"/>
  <c r="H378" i="16" s="1"/>
  <c r="I378" i="16" s="1"/>
  <c r="K378" i="16" s="1"/>
  <c r="M378" i="16" s="1"/>
  <c r="B380" i="16"/>
  <c r="L380" i="16"/>
  <c r="A381" i="16"/>
  <c r="E379" i="16"/>
  <c r="F379" i="16"/>
  <c r="D379" i="16"/>
  <c r="N378" i="16" l="1"/>
  <c r="O378" i="16" s="1"/>
  <c r="P378" i="16" s="1"/>
  <c r="B381" i="16"/>
  <c r="A382" i="16"/>
  <c r="L381" i="16"/>
  <c r="G379" i="16"/>
  <c r="F380" i="16"/>
  <c r="E380" i="16"/>
  <c r="D380" i="16"/>
  <c r="G380" i="16" l="1"/>
  <c r="B382" i="16"/>
  <c r="L382" i="16"/>
  <c r="A383" i="16"/>
  <c r="H379" i="16"/>
  <c r="I379" i="16" s="1"/>
  <c r="K379" i="16" s="1"/>
  <c r="M379" i="16" s="1"/>
  <c r="F381" i="16"/>
  <c r="E381" i="16"/>
  <c r="D381" i="16"/>
  <c r="N379" i="16" l="1"/>
  <c r="O379" i="16" s="1"/>
  <c r="P379" i="16" s="1"/>
  <c r="E382" i="16"/>
  <c r="F382" i="16"/>
  <c r="D382" i="16"/>
  <c r="G381" i="16"/>
  <c r="H381" i="16" s="1"/>
  <c r="I381" i="16" s="1"/>
  <c r="K381" i="16" s="1"/>
  <c r="M381" i="16" s="1"/>
  <c r="B383" i="16"/>
  <c r="L383" i="16"/>
  <c r="A384" i="16"/>
  <c r="H380" i="16"/>
  <c r="I380" i="16" s="1"/>
  <c r="K380" i="16" s="1"/>
  <c r="M380" i="16" s="1"/>
  <c r="N380" i="16" l="1"/>
  <c r="O380" i="16" s="1"/>
  <c r="P380" i="16" s="1"/>
  <c r="N381" i="16"/>
  <c r="O381" i="16" s="1"/>
  <c r="P381" i="16" s="1"/>
  <c r="B384" i="16"/>
  <c r="L384" i="16"/>
  <c r="A385" i="16"/>
  <c r="F383" i="16"/>
  <c r="E383" i="16"/>
  <c r="D383" i="16"/>
  <c r="G382" i="16"/>
  <c r="H382" i="16" s="1"/>
  <c r="I382" i="16" s="1"/>
  <c r="K382" i="16" s="1"/>
  <c r="M382" i="16" s="1"/>
  <c r="N382" i="16" l="1"/>
  <c r="O382" i="16" s="1"/>
  <c r="P382" i="16" s="1"/>
  <c r="B385" i="16"/>
  <c r="L385" i="16"/>
  <c r="A386" i="16"/>
  <c r="G383" i="16"/>
  <c r="F384" i="16"/>
  <c r="E384" i="16"/>
  <c r="D384" i="16"/>
  <c r="H383" i="16" l="1"/>
  <c r="I383" i="16" s="1"/>
  <c r="K383" i="16" s="1"/>
  <c r="M383" i="16" s="1"/>
  <c r="B386" i="16"/>
  <c r="L386" i="16"/>
  <c r="A387" i="16"/>
  <c r="G384" i="16"/>
  <c r="F385" i="16"/>
  <c r="E385" i="16"/>
  <c r="D385" i="16"/>
  <c r="G385" i="16" l="1"/>
  <c r="H385" i="16" s="1"/>
  <c r="I385" i="16" s="1"/>
  <c r="K385" i="16" s="1"/>
  <c r="M385" i="16" s="1"/>
  <c r="N385" i="16" s="1"/>
  <c r="O385" i="16" s="1"/>
  <c r="P385" i="16" s="1"/>
  <c r="N383" i="16"/>
  <c r="O383" i="16" s="1"/>
  <c r="P383" i="16" s="1"/>
  <c r="F386" i="16"/>
  <c r="E386" i="16"/>
  <c r="D386" i="16"/>
  <c r="H384" i="16"/>
  <c r="I384" i="16" s="1"/>
  <c r="K384" i="16" s="1"/>
  <c r="M384" i="16" s="1"/>
  <c r="B387" i="16"/>
  <c r="L387" i="16"/>
  <c r="A388" i="16"/>
  <c r="N384" i="16" l="1"/>
  <c r="O384" i="16" s="1"/>
  <c r="P384" i="16" s="1"/>
  <c r="B388" i="16"/>
  <c r="A389" i="16"/>
  <c r="L388" i="16"/>
  <c r="F387" i="16"/>
  <c r="E387" i="16"/>
  <c r="D387" i="16"/>
  <c r="G386" i="16"/>
  <c r="H386" i="16" s="1"/>
  <c r="I386" i="16" s="1"/>
  <c r="K386" i="16" s="1"/>
  <c r="M386" i="16" s="1"/>
  <c r="N386" i="16" l="1"/>
  <c r="O386" i="16" s="1"/>
  <c r="P386" i="16" s="1"/>
  <c r="B389" i="16"/>
  <c r="L389" i="16"/>
  <c r="A390" i="16"/>
  <c r="G387" i="16"/>
  <c r="F388" i="16"/>
  <c r="E388" i="16"/>
  <c r="D388" i="16"/>
  <c r="G388" i="16" l="1"/>
  <c r="H388" i="16" s="1"/>
  <c r="I388" i="16" s="1"/>
  <c r="K388" i="16" s="1"/>
  <c r="M388" i="16" s="1"/>
  <c r="H387" i="16"/>
  <c r="I387" i="16" s="1"/>
  <c r="K387" i="16" s="1"/>
  <c r="M387" i="16" s="1"/>
  <c r="B390" i="16"/>
  <c r="A391" i="16"/>
  <c r="L390" i="16"/>
  <c r="E389" i="16"/>
  <c r="F389" i="16"/>
  <c r="D389" i="16"/>
  <c r="N387" i="16" l="1"/>
  <c r="O387" i="16" s="1"/>
  <c r="P387" i="16" s="1"/>
  <c r="N388" i="16"/>
  <c r="O388" i="16" s="1"/>
  <c r="P388" i="16" s="1"/>
  <c r="G389" i="16"/>
  <c r="H389" i="16" s="1"/>
  <c r="I389" i="16" s="1"/>
  <c r="K389" i="16" s="1"/>
  <c r="M389" i="16" s="1"/>
  <c r="B391" i="16"/>
  <c r="A392" i="16"/>
  <c r="L391" i="16"/>
  <c r="E390" i="16"/>
  <c r="F390" i="16"/>
  <c r="D390" i="16"/>
  <c r="N389" i="16" l="1"/>
  <c r="O389" i="16" s="1"/>
  <c r="P389" i="16" s="1"/>
  <c r="F391" i="16"/>
  <c r="E391" i="16"/>
  <c r="D391" i="16"/>
  <c r="G390" i="16"/>
  <c r="B392" i="16"/>
  <c r="L392" i="16"/>
  <c r="A393" i="16"/>
  <c r="H390" i="16" l="1"/>
  <c r="I390" i="16" s="1"/>
  <c r="K390" i="16" s="1"/>
  <c r="M390" i="16" s="1"/>
  <c r="B393" i="16"/>
  <c r="L393" i="16"/>
  <c r="A394" i="16"/>
  <c r="G391" i="16"/>
  <c r="H391" i="16" s="1"/>
  <c r="I391" i="16" s="1"/>
  <c r="K391" i="16" s="1"/>
  <c r="M391" i="16" s="1"/>
  <c r="F392" i="16"/>
  <c r="E392" i="16"/>
  <c r="D392" i="16"/>
  <c r="N391" i="16" l="1"/>
  <c r="O391" i="16" s="1"/>
  <c r="P391" i="16" s="1"/>
  <c r="N390" i="16"/>
  <c r="O390" i="16" s="1"/>
  <c r="P390" i="16" s="1"/>
  <c r="G392" i="16"/>
  <c r="H392" i="16" s="1"/>
  <c r="I392" i="16" s="1"/>
  <c r="K392" i="16" s="1"/>
  <c r="M392" i="16" s="1"/>
  <c r="F393" i="16"/>
  <c r="E393" i="16"/>
  <c r="D393" i="16"/>
  <c r="B394" i="16"/>
  <c r="L394" i="16"/>
  <c r="A395" i="16"/>
  <c r="N392" i="16" l="1"/>
  <c r="O392" i="16" s="1"/>
  <c r="P392" i="16" s="1"/>
  <c r="E394" i="16"/>
  <c r="F394" i="16"/>
  <c r="D394" i="16"/>
  <c r="B395" i="16"/>
  <c r="L395" i="16"/>
  <c r="A396" i="16"/>
  <c r="G393" i="16"/>
  <c r="E395" i="16" l="1"/>
  <c r="F395" i="16"/>
  <c r="D395" i="16"/>
  <c r="H393" i="16"/>
  <c r="I393" i="16" s="1"/>
  <c r="K393" i="16" s="1"/>
  <c r="M393" i="16" s="1"/>
  <c r="B396" i="16"/>
  <c r="A397" i="16"/>
  <c r="L396" i="16"/>
  <c r="G394" i="16"/>
  <c r="H394" i="16" s="1"/>
  <c r="I394" i="16" s="1"/>
  <c r="K394" i="16" s="1"/>
  <c r="M394" i="16" s="1"/>
  <c r="N393" i="16" l="1"/>
  <c r="O393" i="16" s="1"/>
  <c r="P393" i="16" s="1"/>
  <c r="N394" i="16"/>
  <c r="O394" i="16" s="1"/>
  <c r="P394" i="16" s="1"/>
  <c r="B397" i="16"/>
  <c r="L397" i="16"/>
  <c r="A398" i="16"/>
  <c r="F396" i="16"/>
  <c r="E396" i="16"/>
  <c r="D396" i="16"/>
  <c r="G395" i="16"/>
  <c r="H395" i="16" l="1"/>
  <c r="I395" i="16" s="1"/>
  <c r="K395" i="16" s="1"/>
  <c r="M395" i="16" s="1"/>
  <c r="B398" i="16"/>
  <c r="L398" i="16"/>
  <c r="A399" i="16"/>
  <c r="G396" i="16"/>
  <c r="F397" i="16"/>
  <c r="E397" i="16"/>
  <c r="D397" i="16"/>
  <c r="N395" i="16" l="1"/>
  <c r="O395" i="16" s="1"/>
  <c r="P395" i="16" s="1"/>
  <c r="G397" i="16"/>
  <c r="H397" i="16" s="1"/>
  <c r="I397" i="16" s="1"/>
  <c r="K397" i="16" s="1"/>
  <c r="M397" i="16" s="1"/>
  <c r="E398" i="16"/>
  <c r="F398" i="16"/>
  <c r="D398" i="16"/>
  <c r="H396" i="16"/>
  <c r="I396" i="16" s="1"/>
  <c r="K396" i="16" s="1"/>
  <c r="M396" i="16" s="1"/>
  <c r="B399" i="16"/>
  <c r="L399" i="16"/>
  <c r="A400" i="16"/>
  <c r="N396" i="16" l="1"/>
  <c r="O396" i="16" s="1"/>
  <c r="P396" i="16" s="1"/>
  <c r="N397" i="16"/>
  <c r="O397" i="16" s="1"/>
  <c r="P397" i="16" s="1"/>
  <c r="G398" i="16"/>
  <c r="H398" i="16" s="1"/>
  <c r="I398" i="16" s="1"/>
  <c r="K398" i="16" s="1"/>
  <c r="M398" i="16" s="1"/>
  <c r="B400" i="16"/>
  <c r="A401" i="16"/>
  <c r="L400" i="16"/>
  <c r="E399" i="16"/>
  <c r="F399" i="16"/>
  <c r="D399" i="16"/>
  <c r="N398" i="16" l="1"/>
  <c r="O398" i="16" s="1"/>
  <c r="P398" i="16" s="1"/>
  <c r="G399" i="16"/>
  <c r="B401" i="16"/>
  <c r="A402" i="16"/>
  <c r="L401" i="16"/>
  <c r="F400" i="16"/>
  <c r="E400" i="16"/>
  <c r="D400" i="16"/>
  <c r="G400" i="16" l="1"/>
  <c r="H400" i="16" s="1"/>
  <c r="I400" i="16" s="1"/>
  <c r="K400" i="16" s="1"/>
  <c r="M400" i="16" s="1"/>
  <c r="B402" i="16"/>
  <c r="L402" i="16"/>
  <c r="A403" i="16"/>
  <c r="F401" i="16"/>
  <c r="E401" i="16"/>
  <c r="D401" i="16"/>
  <c r="H399" i="16"/>
  <c r="I399" i="16" s="1"/>
  <c r="K399" i="16" s="1"/>
  <c r="M399" i="16" s="1"/>
  <c r="N399" i="16" l="1"/>
  <c r="O399" i="16" s="1"/>
  <c r="P399" i="16" s="1"/>
  <c r="N400" i="16"/>
  <c r="O400" i="16" s="1"/>
  <c r="P400" i="16" s="1"/>
  <c r="G401" i="16"/>
  <c r="H401" i="16" s="1"/>
  <c r="I401" i="16" s="1"/>
  <c r="K401" i="16" s="1"/>
  <c r="M401" i="16" s="1"/>
  <c r="B403" i="16"/>
  <c r="L403" i="16"/>
  <c r="A404" i="16"/>
  <c r="F402" i="16"/>
  <c r="E402" i="16"/>
  <c r="D402" i="16"/>
  <c r="N401" i="16" l="1"/>
  <c r="O401" i="16" s="1"/>
  <c r="P401" i="16" s="1"/>
  <c r="B404" i="16"/>
  <c r="L404" i="16"/>
  <c r="A405" i="16"/>
  <c r="G402" i="16"/>
  <c r="F403" i="16"/>
  <c r="E403" i="16"/>
  <c r="D403" i="16"/>
  <c r="G403" i="16" l="1"/>
  <c r="H403" i="16" s="1"/>
  <c r="H402" i="16"/>
  <c r="I402" i="16" s="1"/>
  <c r="K402" i="16" s="1"/>
  <c r="M402" i="16" s="1"/>
  <c r="B405" i="16"/>
  <c r="L405" i="16"/>
  <c r="A406" i="16"/>
  <c r="F404" i="16"/>
  <c r="E404" i="16"/>
  <c r="D404" i="16"/>
  <c r="N402" i="16" l="1"/>
  <c r="O402" i="16" s="1"/>
  <c r="P402" i="16" s="1"/>
  <c r="I403" i="16"/>
  <c r="K403" i="16" s="1"/>
  <c r="M403" i="16" s="1"/>
  <c r="E405" i="16"/>
  <c r="F405" i="16"/>
  <c r="D405" i="16"/>
  <c r="G404" i="16"/>
  <c r="H404" i="16" s="1"/>
  <c r="I404" i="16" s="1"/>
  <c r="K404" i="16" s="1"/>
  <c r="M404" i="16" s="1"/>
  <c r="B406" i="16"/>
  <c r="A407" i="16"/>
  <c r="L406" i="16"/>
  <c r="N404" i="16" l="1"/>
  <c r="O404" i="16" s="1"/>
  <c r="P404" i="16" s="1"/>
  <c r="N403" i="16"/>
  <c r="O403" i="16" s="1"/>
  <c r="P403" i="16" s="1"/>
  <c r="B407" i="16"/>
  <c r="L407" i="16"/>
  <c r="A408" i="16"/>
  <c r="F406" i="16"/>
  <c r="E406" i="16"/>
  <c r="D406" i="16"/>
  <c r="G405" i="16"/>
  <c r="B408" i="16" l="1"/>
  <c r="L408" i="16"/>
  <c r="A409" i="16"/>
  <c r="H405" i="16"/>
  <c r="I405" i="16" s="1"/>
  <c r="K405" i="16" s="1"/>
  <c r="M405" i="16" s="1"/>
  <c r="G406" i="16"/>
  <c r="E407" i="16"/>
  <c r="F407" i="16"/>
  <c r="D407" i="16"/>
  <c r="N405" i="16" l="1"/>
  <c r="O405" i="16" s="1"/>
  <c r="P405" i="16" s="1"/>
  <c r="G407" i="16"/>
  <c r="B409" i="16"/>
  <c r="L409" i="16"/>
  <c r="A410" i="16"/>
  <c r="H406" i="16"/>
  <c r="I406" i="16" s="1"/>
  <c r="K406" i="16" s="1"/>
  <c r="M406" i="16" s="1"/>
  <c r="F408" i="16"/>
  <c r="E408" i="16"/>
  <c r="D408" i="16"/>
  <c r="N406" i="16" l="1"/>
  <c r="O406" i="16" s="1"/>
  <c r="P406" i="16" s="1"/>
  <c r="G408" i="16"/>
  <c r="H408" i="16" s="1"/>
  <c r="I408" i="16" s="1"/>
  <c r="K408" i="16" s="1"/>
  <c r="M408" i="16" s="1"/>
  <c r="B410" i="16"/>
  <c r="L410" i="16"/>
  <c r="A411" i="16"/>
  <c r="F409" i="16"/>
  <c r="E409" i="16"/>
  <c r="D409" i="16"/>
  <c r="H407" i="16"/>
  <c r="I407" i="16" s="1"/>
  <c r="K407" i="16" s="1"/>
  <c r="M407" i="16" s="1"/>
  <c r="N408" i="16" l="1"/>
  <c r="O408" i="16" s="1"/>
  <c r="P408" i="16" s="1"/>
  <c r="N407" i="16"/>
  <c r="O407" i="16" s="1"/>
  <c r="P407" i="16" s="1"/>
  <c r="B411" i="16"/>
  <c r="L411" i="16"/>
  <c r="A412" i="16"/>
  <c r="E410" i="16"/>
  <c r="F410" i="16"/>
  <c r="D410" i="16"/>
  <c r="G409" i="16"/>
  <c r="H409" i="16" s="1"/>
  <c r="I409" i="16" s="1"/>
  <c r="K409" i="16" s="1"/>
  <c r="M409" i="16" s="1"/>
  <c r="N409" i="16" l="1"/>
  <c r="O409" i="16" s="1"/>
  <c r="P409" i="16" s="1"/>
  <c r="G410" i="16"/>
  <c r="H410" i="16" s="1"/>
  <c r="B412" i="16"/>
  <c r="L412" i="16"/>
  <c r="A413" i="16"/>
  <c r="F411" i="16"/>
  <c r="E411" i="16"/>
  <c r="D411" i="16"/>
  <c r="I410" i="16" l="1"/>
  <c r="K410" i="16" s="1"/>
  <c r="M410" i="16" s="1"/>
  <c r="B413" i="16"/>
  <c r="L413" i="16"/>
  <c r="A414" i="16"/>
  <c r="G411" i="16"/>
  <c r="F412" i="16"/>
  <c r="E412" i="16"/>
  <c r="D412" i="16"/>
  <c r="N410" i="16" l="1"/>
  <c r="O410" i="16" s="1"/>
  <c r="P410" i="16" s="1"/>
  <c r="G412" i="16"/>
  <c r="H412" i="16" s="1"/>
  <c r="B414" i="16"/>
  <c r="A415" i="16"/>
  <c r="L414" i="16"/>
  <c r="H411" i="16"/>
  <c r="I411" i="16" s="1"/>
  <c r="K411" i="16" s="1"/>
  <c r="M411" i="16" s="1"/>
  <c r="F413" i="16"/>
  <c r="E413" i="16"/>
  <c r="D413" i="16"/>
  <c r="N411" i="16" l="1"/>
  <c r="O411" i="16" s="1"/>
  <c r="P411" i="16" s="1"/>
  <c r="I412" i="16"/>
  <c r="K412" i="16" s="1"/>
  <c r="M412" i="16" s="1"/>
  <c r="B415" i="16"/>
  <c r="A416" i="16"/>
  <c r="L415" i="16"/>
  <c r="E414" i="16"/>
  <c r="F414" i="16"/>
  <c r="D414" i="16"/>
  <c r="G413" i="16"/>
  <c r="H413" i="16" s="1"/>
  <c r="I413" i="16" s="1"/>
  <c r="K413" i="16" s="1"/>
  <c r="M413" i="16" s="1"/>
  <c r="N412" i="16" l="1"/>
  <c r="O412" i="16" s="1"/>
  <c r="P412" i="16" s="1"/>
  <c r="N413" i="16"/>
  <c r="O413" i="16" s="1"/>
  <c r="P413" i="16" s="1"/>
  <c r="G414" i="16"/>
  <c r="H414" i="16" s="1"/>
  <c r="I414" i="16" s="1"/>
  <c r="K414" i="16" s="1"/>
  <c r="M414" i="16" s="1"/>
  <c r="B416" i="16"/>
  <c r="L416" i="16"/>
  <c r="A417" i="16"/>
  <c r="F415" i="16"/>
  <c r="E415" i="16"/>
  <c r="D415" i="16"/>
  <c r="N414" i="16" l="1"/>
  <c r="O414" i="16" s="1"/>
  <c r="P414" i="16" s="1"/>
  <c r="B417" i="16"/>
  <c r="L417" i="16"/>
  <c r="A418" i="16"/>
  <c r="G415" i="16"/>
  <c r="F416" i="16"/>
  <c r="E416" i="16"/>
  <c r="D416" i="16"/>
  <c r="H415" i="16" l="1"/>
  <c r="I415" i="16" s="1"/>
  <c r="K415" i="16" s="1"/>
  <c r="M415" i="16" s="1"/>
  <c r="B418" i="16"/>
  <c r="L418" i="16"/>
  <c r="A419" i="16"/>
  <c r="G416" i="16"/>
  <c r="F417" i="16"/>
  <c r="E417" i="16"/>
  <c r="D417" i="16"/>
  <c r="N415" i="16" l="1"/>
  <c r="O415" i="16" s="1"/>
  <c r="P415" i="16" s="1"/>
  <c r="G417" i="16"/>
  <c r="H417" i="16" s="1"/>
  <c r="F418" i="16"/>
  <c r="E418" i="16"/>
  <c r="D418" i="16"/>
  <c r="H416" i="16"/>
  <c r="I416" i="16" s="1"/>
  <c r="K416" i="16" s="1"/>
  <c r="M416" i="16" s="1"/>
  <c r="B419" i="16"/>
  <c r="L419" i="16"/>
  <c r="A420" i="16"/>
  <c r="N416" i="16" l="1"/>
  <c r="O416" i="16" s="1"/>
  <c r="P416" i="16" s="1"/>
  <c r="I417" i="16"/>
  <c r="K417" i="16" s="1"/>
  <c r="M417" i="16" s="1"/>
  <c r="G418" i="16"/>
  <c r="H418" i="16" s="1"/>
  <c r="I418" i="16" s="1"/>
  <c r="K418" i="16" s="1"/>
  <c r="M418" i="16" s="1"/>
  <c r="F419" i="16"/>
  <c r="E419" i="16"/>
  <c r="D419" i="16"/>
  <c r="B420" i="16"/>
  <c r="A421" i="16"/>
  <c r="L420" i="16"/>
  <c r="N418" i="16" l="1"/>
  <c r="O418" i="16" s="1"/>
  <c r="P418" i="16" s="1"/>
  <c r="N417" i="16"/>
  <c r="O417" i="16" s="1"/>
  <c r="P417" i="16" s="1"/>
  <c r="F420" i="16"/>
  <c r="E420" i="16"/>
  <c r="D420" i="16"/>
  <c r="G419" i="16"/>
  <c r="B421" i="16"/>
  <c r="A422" i="16"/>
  <c r="L421" i="16"/>
  <c r="G420" i="16" l="1"/>
  <c r="H420" i="16" s="1"/>
  <c r="I420" i="16" s="1"/>
  <c r="K420" i="16" s="1"/>
  <c r="M420" i="16" s="1"/>
  <c r="H419" i="16"/>
  <c r="I419" i="16" s="1"/>
  <c r="K419" i="16" s="1"/>
  <c r="M419" i="16" s="1"/>
  <c r="B422" i="16"/>
  <c r="L422" i="16"/>
  <c r="A423" i="16"/>
  <c r="F421" i="16"/>
  <c r="E421" i="16"/>
  <c r="D421" i="16"/>
  <c r="N419" i="16" l="1"/>
  <c r="O419" i="16" s="1"/>
  <c r="P419" i="16" s="1"/>
  <c r="N420" i="16"/>
  <c r="O420" i="16" s="1"/>
  <c r="P420" i="16" s="1"/>
  <c r="G421" i="16"/>
  <c r="H421" i="16" s="1"/>
  <c r="I421" i="16" s="1"/>
  <c r="K421" i="16" s="1"/>
  <c r="M421" i="16" s="1"/>
  <c r="E422" i="16"/>
  <c r="F422" i="16"/>
  <c r="D422" i="16"/>
  <c r="B423" i="16"/>
  <c r="L423" i="16"/>
  <c r="A424" i="16"/>
  <c r="N421" i="16" l="1"/>
  <c r="O421" i="16" s="1"/>
  <c r="P421" i="16" s="1"/>
  <c r="B424" i="16"/>
  <c r="L424" i="16"/>
  <c r="A425" i="16"/>
  <c r="E423" i="16"/>
  <c r="F423" i="16"/>
  <c r="D423" i="16"/>
  <c r="G422" i="16"/>
  <c r="H422" i="16" s="1"/>
  <c r="I422" i="16" s="1"/>
  <c r="K422" i="16" s="1"/>
  <c r="M422" i="16" s="1"/>
  <c r="N422" i="16" l="1"/>
  <c r="O422" i="16" s="1"/>
  <c r="P422" i="16" s="1"/>
  <c r="G423" i="16"/>
  <c r="H423" i="16" s="1"/>
  <c r="I423" i="16" s="1"/>
  <c r="K423" i="16" s="1"/>
  <c r="M423" i="16" s="1"/>
  <c r="B425" i="16"/>
  <c r="L425" i="16"/>
  <c r="A426" i="16"/>
  <c r="E424" i="16"/>
  <c r="F424" i="16"/>
  <c r="D424" i="16"/>
  <c r="N423" i="16" l="1"/>
  <c r="O423" i="16" s="1"/>
  <c r="P423" i="16" s="1"/>
  <c r="G424" i="16"/>
  <c r="H424" i="16" s="1"/>
  <c r="B426" i="16"/>
  <c r="L426" i="16"/>
  <c r="A427" i="16"/>
  <c r="F425" i="16"/>
  <c r="E425" i="16"/>
  <c r="D425" i="16"/>
  <c r="I424" i="16" l="1"/>
  <c r="K424" i="16" s="1"/>
  <c r="M424" i="16" s="1"/>
  <c r="B427" i="16"/>
  <c r="L427" i="16"/>
  <c r="A428" i="16"/>
  <c r="G425" i="16"/>
  <c r="E426" i="16"/>
  <c r="F426" i="16"/>
  <c r="D426" i="16"/>
  <c r="N424" i="16" l="1"/>
  <c r="O424" i="16" s="1"/>
  <c r="P424" i="16" s="1"/>
  <c r="H425" i="16"/>
  <c r="I425" i="16" s="1"/>
  <c r="K425" i="16" s="1"/>
  <c r="M425" i="16" s="1"/>
  <c r="B428" i="16"/>
  <c r="L428" i="16"/>
  <c r="A429" i="16"/>
  <c r="G426" i="16"/>
  <c r="H426" i="16" s="1"/>
  <c r="I426" i="16" s="1"/>
  <c r="K426" i="16" s="1"/>
  <c r="M426" i="16" s="1"/>
  <c r="F427" i="16"/>
  <c r="E427" i="16"/>
  <c r="D427" i="16"/>
  <c r="N425" i="16" l="1"/>
  <c r="O425" i="16" s="1"/>
  <c r="P425" i="16" s="1"/>
  <c r="N426" i="16"/>
  <c r="O426" i="16" s="1"/>
  <c r="P426" i="16" s="1"/>
  <c r="G427" i="16"/>
  <c r="H427" i="16" s="1"/>
  <c r="I427" i="16" s="1"/>
  <c r="K427" i="16" s="1"/>
  <c r="M427" i="16" s="1"/>
  <c r="F428" i="16"/>
  <c r="E428" i="16"/>
  <c r="D428" i="16"/>
  <c r="B429" i="16"/>
  <c r="A430" i="16"/>
  <c r="L429" i="16"/>
  <c r="N427" i="16" l="1"/>
  <c r="O427" i="16" s="1"/>
  <c r="P427" i="16" s="1"/>
  <c r="F429" i="16"/>
  <c r="E429" i="16"/>
  <c r="D429" i="16"/>
  <c r="G428" i="16"/>
  <c r="B430" i="16"/>
  <c r="A431" i="16"/>
  <c r="L430" i="16"/>
  <c r="G429" i="16" l="1"/>
  <c r="H429" i="16" s="1"/>
  <c r="I429" i="16" s="1"/>
  <c r="K429" i="16" s="1"/>
  <c r="M429" i="16" s="1"/>
  <c r="H428" i="16"/>
  <c r="I428" i="16" s="1"/>
  <c r="K428" i="16" s="1"/>
  <c r="M428" i="16" s="1"/>
  <c r="B431" i="16"/>
  <c r="A432" i="16"/>
  <c r="L431" i="16"/>
  <c r="E430" i="16"/>
  <c r="F430" i="16"/>
  <c r="D430" i="16"/>
  <c r="N428" i="16" l="1"/>
  <c r="O428" i="16" s="1"/>
  <c r="P428" i="16" s="1"/>
  <c r="N429" i="16"/>
  <c r="O429" i="16" s="1"/>
  <c r="P429" i="16" s="1"/>
  <c r="G430" i="16"/>
  <c r="H430" i="16" s="1"/>
  <c r="I430" i="16" s="1"/>
  <c r="K430" i="16" s="1"/>
  <c r="M430" i="16" s="1"/>
  <c r="B432" i="16"/>
  <c r="L432" i="16"/>
  <c r="A433" i="16"/>
  <c r="F431" i="16"/>
  <c r="E431" i="16"/>
  <c r="D431" i="16"/>
  <c r="N430" i="16" l="1"/>
  <c r="O430" i="16" s="1"/>
  <c r="P430" i="16" s="1"/>
  <c r="G431" i="16"/>
  <c r="H431" i="16" s="1"/>
  <c r="I431" i="16" s="1"/>
  <c r="K431" i="16" s="1"/>
  <c r="M431" i="16" s="1"/>
  <c r="B433" i="16"/>
  <c r="A434" i="16"/>
  <c r="L433" i="16"/>
  <c r="F432" i="16"/>
  <c r="E432" i="16"/>
  <c r="D432" i="16"/>
  <c r="N431" i="16" l="1"/>
  <c r="O431" i="16" s="1"/>
  <c r="P431" i="16" s="1"/>
  <c r="G432" i="16"/>
  <c r="H432" i="16" s="1"/>
  <c r="I432" i="16" s="1"/>
  <c r="K432" i="16" s="1"/>
  <c r="M432" i="16" s="1"/>
  <c r="B434" i="16"/>
  <c r="L434" i="16"/>
  <c r="A435" i="16"/>
  <c r="E433" i="16"/>
  <c r="F433" i="16"/>
  <c r="D433" i="16"/>
  <c r="N432" i="16" l="1"/>
  <c r="O432" i="16" s="1"/>
  <c r="P432" i="16" s="1"/>
  <c r="B435" i="16"/>
  <c r="L435" i="16"/>
  <c r="A436" i="16"/>
  <c r="G433" i="16"/>
  <c r="F434" i="16"/>
  <c r="E434" i="16"/>
  <c r="D434" i="16"/>
  <c r="G434" i="16" l="1"/>
  <c r="H434" i="16" s="1"/>
  <c r="I434" i="16" s="1"/>
  <c r="K434" i="16" s="1"/>
  <c r="M434" i="16" s="1"/>
  <c r="H433" i="16"/>
  <c r="I433" i="16" s="1"/>
  <c r="K433" i="16" s="1"/>
  <c r="M433" i="16" s="1"/>
  <c r="B436" i="16"/>
  <c r="L436" i="16"/>
  <c r="A437" i="16"/>
  <c r="F435" i="16"/>
  <c r="E435" i="16"/>
  <c r="D435" i="16"/>
  <c r="N433" i="16" l="1"/>
  <c r="O433" i="16" s="1"/>
  <c r="P433" i="16" s="1"/>
  <c r="N434" i="16"/>
  <c r="O434" i="16" s="1"/>
  <c r="P434" i="16" s="1"/>
  <c r="G435" i="16"/>
  <c r="F436" i="16"/>
  <c r="E436" i="16"/>
  <c r="D436" i="16"/>
  <c r="B437" i="16"/>
  <c r="A438" i="16"/>
  <c r="L437" i="16"/>
  <c r="G436" i="16" l="1"/>
  <c r="H436" i="16" s="1"/>
  <c r="B438" i="16"/>
  <c r="A439" i="16"/>
  <c r="L438" i="16"/>
  <c r="E437" i="16"/>
  <c r="F437" i="16"/>
  <c r="D437" i="16"/>
  <c r="H435" i="16"/>
  <c r="I435" i="16" s="1"/>
  <c r="K435" i="16" s="1"/>
  <c r="M435" i="16" s="1"/>
  <c r="N435" i="16" l="1"/>
  <c r="O435" i="16" s="1"/>
  <c r="P435" i="16" s="1"/>
  <c r="I436" i="16"/>
  <c r="K436" i="16" s="1"/>
  <c r="M436" i="16" s="1"/>
  <c r="B439" i="16"/>
  <c r="L439" i="16"/>
  <c r="A440" i="16"/>
  <c r="G437" i="16"/>
  <c r="H437" i="16" s="1"/>
  <c r="I437" i="16" s="1"/>
  <c r="K437" i="16" s="1"/>
  <c r="M437" i="16" s="1"/>
  <c r="F438" i="16"/>
  <c r="E438" i="16"/>
  <c r="D438" i="16"/>
  <c r="N436" i="16" l="1"/>
  <c r="O436" i="16" s="1"/>
  <c r="P436" i="16" s="1"/>
  <c r="N437" i="16"/>
  <c r="O437" i="16" s="1"/>
  <c r="P437" i="16" s="1"/>
  <c r="B440" i="16"/>
  <c r="L440" i="16"/>
  <c r="A441" i="16"/>
  <c r="G438" i="16"/>
  <c r="H438" i="16" s="1"/>
  <c r="I438" i="16" s="1"/>
  <c r="K438" i="16" s="1"/>
  <c r="M438" i="16" s="1"/>
  <c r="F439" i="16"/>
  <c r="E439" i="16"/>
  <c r="D439" i="16"/>
  <c r="N438" i="16" l="1"/>
  <c r="O438" i="16" s="1"/>
  <c r="P438" i="16" s="1"/>
  <c r="B441" i="16"/>
  <c r="L441" i="16"/>
  <c r="A442" i="16"/>
  <c r="G439" i="16"/>
  <c r="F440" i="16"/>
  <c r="E440" i="16"/>
  <c r="D440" i="16"/>
  <c r="H439" i="16" l="1"/>
  <c r="I439" i="16" s="1"/>
  <c r="K439" i="16" s="1"/>
  <c r="M439" i="16" s="1"/>
  <c r="B442" i="16"/>
  <c r="L442" i="16"/>
  <c r="A443" i="16"/>
  <c r="G440" i="16"/>
  <c r="F441" i="16"/>
  <c r="E441" i="16"/>
  <c r="D441" i="16"/>
  <c r="N439" i="16" l="1"/>
  <c r="O439" i="16" s="1"/>
  <c r="P439" i="16" s="1"/>
  <c r="E442" i="16"/>
  <c r="F442" i="16"/>
  <c r="D442" i="16"/>
  <c r="H440" i="16"/>
  <c r="I440" i="16" s="1"/>
  <c r="K440" i="16" s="1"/>
  <c r="M440" i="16" s="1"/>
  <c r="G441" i="16"/>
  <c r="H441" i="16" s="1"/>
  <c r="I441" i="16" s="1"/>
  <c r="K441" i="16" s="1"/>
  <c r="M441" i="16" s="1"/>
  <c r="B443" i="16"/>
  <c r="L443" i="16"/>
  <c r="A444" i="16"/>
  <c r="N441" i="16" l="1"/>
  <c r="O441" i="16" s="1"/>
  <c r="P441" i="16" s="1"/>
  <c r="N440" i="16"/>
  <c r="O440" i="16" s="1"/>
  <c r="P440" i="16" s="1"/>
  <c r="E443" i="16"/>
  <c r="F443" i="16"/>
  <c r="D443" i="16"/>
  <c r="B444" i="16"/>
  <c r="A445" i="16"/>
  <c r="L444" i="16"/>
  <c r="G442" i="16"/>
  <c r="F444" i="16" l="1"/>
  <c r="E444" i="16"/>
  <c r="D444" i="16"/>
  <c r="H442" i="16"/>
  <c r="I442" i="16" s="1"/>
  <c r="K442" i="16" s="1"/>
  <c r="M442" i="16" s="1"/>
  <c r="B445" i="16"/>
  <c r="L445" i="16"/>
  <c r="A446" i="16"/>
  <c r="G443" i="16"/>
  <c r="N442" i="16" l="1"/>
  <c r="O442" i="16" s="1"/>
  <c r="P442" i="16" s="1"/>
  <c r="G444" i="16"/>
  <c r="H444" i="16" s="1"/>
  <c r="I444" i="16" s="1"/>
  <c r="K444" i="16" s="1"/>
  <c r="M444" i="16" s="1"/>
  <c r="B446" i="16"/>
  <c r="L446" i="16"/>
  <c r="A447" i="16"/>
  <c r="F445" i="16"/>
  <c r="E445" i="16"/>
  <c r="D445" i="16"/>
  <c r="H443" i="16"/>
  <c r="I443" i="16" s="1"/>
  <c r="K443" i="16" s="1"/>
  <c r="M443" i="16" s="1"/>
  <c r="N444" i="16" l="1"/>
  <c r="O444" i="16" s="1"/>
  <c r="P444" i="16" s="1"/>
  <c r="N443" i="16"/>
  <c r="O443" i="16" s="1"/>
  <c r="P443" i="16" s="1"/>
  <c r="B447" i="16"/>
  <c r="L447" i="16"/>
  <c r="A448" i="16"/>
  <c r="G445" i="16"/>
  <c r="E446" i="16"/>
  <c r="F446" i="16"/>
  <c r="D446" i="16"/>
  <c r="H445" i="16" l="1"/>
  <c r="I445" i="16" s="1"/>
  <c r="K445" i="16" s="1"/>
  <c r="M445" i="16" s="1"/>
  <c r="G446" i="16"/>
  <c r="B448" i="16"/>
  <c r="L448" i="16"/>
  <c r="A449" i="16"/>
  <c r="F447" i="16"/>
  <c r="E447" i="16"/>
  <c r="D447" i="16"/>
  <c r="N445" i="16" l="1"/>
  <c r="O445" i="16" s="1"/>
  <c r="P445" i="16" s="1"/>
  <c r="G447" i="16"/>
  <c r="H447" i="16" s="1"/>
  <c r="I447" i="16" s="1"/>
  <c r="K447" i="16" s="1"/>
  <c r="M447" i="16" s="1"/>
  <c r="F448" i="16"/>
  <c r="E448" i="16"/>
  <c r="D448" i="16"/>
  <c r="H446" i="16"/>
  <c r="I446" i="16" s="1"/>
  <c r="K446" i="16" s="1"/>
  <c r="M446" i="16" s="1"/>
  <c r="B449" i="16"/>
  <c r="A450" i="16"/>
  <c r="L449" i="16"/>
  <c r="N446" i="16" l="1"/>
  <c r="O446" i="16" s="1"/>
  <c r="P446" i="16" s="1"/>
  <c r="N447" i="16"/>
  <c r="O447" i="16" s="1"/>
  <c r="P447" i="16" s="1"/>
  <c r="G448" i="16"/>
  <c r="H448" i="16" s="1"/>
  <c r="I448" i="16" s="1"/>
  <c r="K448" i="16" s="1"/>
  <c r="M448" i="16" s="1"/>
  <c r="F449" i="16"/>
  <c r="E449" i="16"/>
  <c r="D449" i="16"/>
  <c r="B450" i="16"/>
  <c r="L450" i="16"/>
  <c r="A451" i="16"/>
  <c r="N448" i="16" l="1"/>
  <c r="O448" i="16" s="1"/>
  <c r="P448" i="16" s="1"/>
  <c r="G449" i="16"/>
  <c r="H449" i="16" s="1"/>
  <c r="I449" i="16" s="1"/>
  <c r="K449" i="16" s="1"/>
  <c r="M449" i="16" s="1"/>
  <c r="B451" i="16"/>
  <c r="L451" i="16"/>
  <c r="A452" i="16"/>
  <c r="F450" i="16"/>
  <c r="E450" i="16"/>
  <c r="D450" i="16"/>
  <c r="N449" i="16" l="1"/>
  <c r="O449" i="16" s="1"/>
  <c r="P449" i="16" s="1"/>
  <c r="B452" i="16"/>
  <c r="A453" i="16"/>
  <c r="L452" i="16"/>
  <c r="G450" i="16"/>
  <c r="F451" i="16"/>
  <c r="E451" i="16"/>
  <c r="D451" i="16"/>
  <c r="G451" i="16" l="1"/>
  <c r="H451" i="16" s="1"/>
  <c r="I451" i="16" s="1"/>
  <c r="K451" i="16" s="1"/>
  <c r="M451" i="16" s="1"/>
  <c r="H450" i="16"/>
  <c r="I450" i="16" s="1"/>
  <c r="K450" i="16" s="1"/>
  <c r="M450" i="16" s="1"/>
  <c r="B453" i="16"/>
  <c r="A454" i="16"/>
  <c r="L453" i="16"/>
  <c r="F452" i="16"/>
  <c r="E452" i="16"/>
  <c r="D452" i="16"/>
  <c r="N450" i="16" l="1"/>
  <c r="O450" i="16" s="1"/>
  <c r="P450" i="16" s="1"/>
  <c r="N451" i="16"/>
  <c r="O451" i="16" s="1"/>
  <c r="P451" i="16" s="1"/>
  <c r="G452" i="16"/>
  <c r="H452" i="16" s="1"/>
  <c r="I452" i="16" s="1"/>
  <c r="K452" i="16" s="1"/>
  <c r="M452" i="16" s="1"/>
  <c r="B454" i="16"/>
  <c r="A455" i="16"/>
  <c r="L454" i="16"/>
  <c r="F453" i="16"/>
  <c r="E453" i="16"/>
  <c r="D453" i="16"/>
  <c r="N452" i="16" l="1"/>
  <c r="O452" i="16" s="1"/>
  <c r="P452" i="16" s="1"/>
  <c r="G453" i="16"/>
  <c r="H453" i="16" s="1"/>
  <c r="I453" i="16" s="1"/>
  <c r="K453" i="16" s="1"/>
  <c r="M453" i="16" s="1"/>
  <c r="B455" i="16"/>
  <c r="L455" i="16"/>
  <c r="A456" i="16"/>
  <c r="E454" i="16"/>
  <c r="F454" i="16"/>
  <c r="D454" i="16"/>
  <c r="N453" i="16" l="1"/>
  <c r="O453" i="16" s="1"/>
  <c r="P453" i="16" s="1"/>
  <c r="B456" i="16"/>
  <c r="L456" i="16"/>
  <c r="A457" i="16"/>
  <c r="G454" i="16"/>
  <c r="H454" i="16" s="1"/>
  <c r="I454" i="16" s="1"/>
  <c r="K454" i="16" s="1"/>
  <c r="M454" i="16" s="1"/>
  <c r="F455" i="16"/>
  <c r="E455" i="16"/>
  <c r="D455" i="16"/>
  <c r="N454" i="16" l="1"/>
  <c r="O454" i="16" s="1"/>
  <c r="P454" i="16" s="1"/>
  <c r="G455" i="16"/>
  <c r="H455" i="16" s="1"/>
  <c r="I455" i="16" s="1"/>
  <c r="K455" i="16" s="1"/>
  <c r="M455" i="16" s="1"/>
  <c r="B457" i="16"/>
  <c r="A458" i="16"/>
  <c r="L457" i="16"/>
  <c r="F456" i="16"/>
  <c r="E456" i="16"/>
  <c r="D456" i="16"/>
  <c r="N455" i="16" l="1"/>
  <c r="O455" i="16" s="1"/>
  <c r="P455" i="16" s="1"/>
  <c r="G456" i="16"/>
  <c r="H456" i="16" s="1"/>
  <c r="I456" i="16" s="1"/>
  <c r="K456" i="16" s="1"/>
  <c r="M456" i="16" s="1"/>
  <c r="B458" i="16"/>
  <c r="L458" i="16"/>
  <c r="A459" i="16"/>
  <c r="F457" i="16"/>
  <c r="E457" i="16"/>
  <c r="D457" i="16"/>
  <c r="N456" i="16" l="1"/>
  <c r="O456" i="16" s="1"/>
  <c r="P456" i="16" s="1"/>
  <c r="B459" i="16"/>
  <c r="L459" i="16"/>
  <c r="A460" i="16"/>
  <c r="G457" i="16"/>
  <c r="E458" i="16"/>
  <c r="F458" i="16"/>
  <c r="D458" i="16"/>
  <c r="H457" i="16" l="1"/>
  <c r="I457" i="16" s="1"/>
  <c r="K457" i="16" s="1"/>
  <c r="M457" i="16" s="1"/>
  <c r="B460" i="16"/>
  <c r="A461" i="16"/>
  <c r="L460" i="16"/>
  <c r="G458" i="16"/>
  <c r="E459" i="16"/>
  <c r="F459" i="16"/>
  <c r="D459" i="16"/>
  <c r="N457" i="16" l="1"/>
  <c r="O457" i="16" s="1"/>
  <c r="P457" i="16" s="1"/>
  <c r="B461" i="16"/>
  <c r="L461" i="16"/>
  <c r="A462" i="16"/>
  <c r="G459" i="16"/>
  <c r="F460" i="16"/>
  <c r="E460" i="16"/>
  <c r="D460" i="16"/>
  <c r="H458" i="16"/>
  <c r="I458" i="16" s="1"/>
  <c r="K458" i="16" s="1"/>
  <c r="M458" i="16" s="1"/>
  <c r="N458" i="16" l="1"/>
  <c r="O458" i="16" s="1"/>
  <c r="P458" i="16" s="1"/>
  <c r="G460" i="16"/>
  <c r="H460" i="16" s="1"/>
  <c r="I460" i="16" s="1"/>
  <c r="K460" i="16" s="1"/>
  <c r="M460" i="16" s="1"/>
  <c r="H459" i="16"/>
  <c r="I459" i="16" s="1"/>
  <c r="K459" i="16" s="1"/>
  <c r="M459" i="16" s="1"/>
  <c r="B462" i="16"/>
  <c r="L462" i="16"/>
  <c r="A463" i="16"/>
  <c r="F461" i="16"/>
  <c r="E461" i="16"/>
  <c r="D461" i="16"/>
  <c r="N459" i="16" l="1"/>
  <c r="O459" i="16" s="1"/>
  <c r="P459" i="16" s="1"/>
  <c r="N460" i="16"/>
  <c r="O460" i="16" s="1"/>
  <c r="P460" i="16" s="1"/>
  <c r="G461" i="16"/>
  <c r="H461" i="16" s="1"/>
  <c r="I461" i="16" s="1"/>
  <c r="K461" i="16" s="1"/>
  <c r="M461" i="16" s="1"/>
  <c r="E462" i="16"/>
  <c r="F462" i="16"/>
  <c r="D462" i="16"/>
  <c r="B463" i="16"/>
  <c r="L463" i="16"/>
  <c r="A464" i="16"/>
  <c r="N461" i="16" l="1"/>
  <c r="O461" i="16" s="1"/>
  <c r="P461" i="16" s="1"/>
  <c r="B464" i="16"/>
  <c r="L464" i="16"/>
  <c r="A465" i="16"/>
  <c r="E463" i="16"/>
  <c r="F463" i="16"/>
  <c r="D463" i="16"/>
  <c r="G462" i="16"/>
  <c r="G463" i="16" l="1"/>
  <c r="H463" i="16" s="1"/>
  <c r="H462" i="16"/>
  <c r="I462" i="16" s="1"/>
  <c r="K462" i="16" s="1"/>
  <c r="M462" i="16" s="1"/>
  <c r="B465" i="16"/>
  <c r="L465" i="16"/>
  <c r="A466" i="16"/>
  <c r="F464" i="16"/>
  <c r="E464" i="16"/>
  <c r="D464" i="16"/>
  <c r="N462" i="16" l="1"/>
  <c r="O462" i="16" s="1"/>
  <c r="P462" i="16" s="1"/>
  <c r="I463" i="16"/>
  <c r="K463" i="16" s="1"/>
  <c r="M463" i="16" s="1"/>
  <c r="E465" i="16"/>
  <c r="F465" i="16"/>
  <c r="D465" i="16"/>
  <c r="B466" i="16"/>
  <c r="L466" i="16"/>
  <c r="A467" i="16"/>
  <c r="G464" i="16"/>
  <c r="H464" i="16" s="1"/>
  <c r="I464" i="16" s="1"/>
  <c r="K464" i="16" s="1"/>
  <c r="M464" i="16" s="1"/>
  <c r="N464" i="16" l="1"/>
  <c r="O464" i="16" s="1"/>
  <c r="P464" i="16" s="1"/>
  <c r="N463" i="16"/>
  <c r="O463" i="16" s="1"/>
  <c r="P463" i="16" s="1"/>
  <c r="G465" i="16"/>
  <c r="H465" i="16" s="1"/>
  <c r="I465" i="16" s="1"/>
  <c r="K465" i="16" s="1"/>
  <c r="M465" i="16" s="1"/>
  <c r="F466" i="16"/>
  <c r="E466" i="16"/>
  <c r="D466" i="16"/>
  <c r="B467" i="16"/>
  <c r="L467" i="16"/>
  <c r="A468" i="16"/>
  <c r="N465" i="16" l="1"/>
  <c r="O465" i="16" s="1"/>
  <c r="P465" i="16" s="1"/>
  <c r="F467" i="16"/>
  <c r="E467" i="16"/>
  <c r="D467" i="16"/>
  <c r="G466" i="16"/>
  <c r="B468" i="16"/>
  <c r="L468" i="16"/>
  <c r="A469" i="16"/>
  <c r="G467" i="16" l="1"/>
  <c r="H467" i="16" s="1"/>
  <c r="I467" i="16" s="1"/>
  <c r="K467" i="16" s="1"/>
  <c r="M467" i="16" s="1"/>
  <c r="H466" i="16"/>
  <c r="I466" i="16" s="1"/>
  <c r="K466" i="16" s="1"/>
  <c r="M466" i="16" s="1"/>
  <c r="B469" i="16"/>
  <c r="L469" i="16"/>
  <c r="A470" i="16"/>
  <c r="F468" i="16"/>
  <c r="E468" i="16"/>
  <c r="D468" i="16"/>
  <c r="N466" i="16" l="1"/>
  <c r="O466" i="16" s="1"/>
  <c r="P466" i="16" s="1"/>
  <c r="N467" i="16"/>
  <c r="O467" i="16" s="1"/>
  <c r="P467" i="16" s="1"/>
  <c r="F469" i="16"/>
  <c r="E469" i="16"/>
  <c r="D469" i="16"/>
  <c r="G468" i="16"/>
  <c r="H468" i="16" s="1"/>
  <c r="I468" i="16" s="1"/>
  <c r="K468" i="16" s="1"/>
  <c r="M468" i="16" s="1"/>
  <c r="B470" i="16"/>
  <c r="A471" i="16"/>
  <c r="L470" i="16"/>
  <c r="N468" i="16" l="1"/>
  <c r="O468" i="16" s="1"/>
  <c r="P468" i="16" s="1"/>
  <c r="G469" i="16"/>
  <c r="H469" i="16" s="1"/>
  <c r="I469" i="16" s="1"/>
  <c r="K469" i="16" s="1"/>
  <c r="M469" i="16" s="1"/>
  <c r="B471" i="16"/>
  <c r="L471" i="16"/>
  <c r="A472" i="16"/>
  <c r="F470" i="16"/>
  <c r="E470" i="16"/>
  <c r="D470" i="16"/>
  <c r="N469" i="16" l="1"/>
  <c r="O469" i="16" s="1"/>
  <c r="P469" i="16" s="1"/>
  <c r="B472" i="16"/>
  <c r="L472" i="16"/>
  <c r="A473" i="16"/>
  <c r="G470" i="16"/>
  <c r="E471" i="16"/>
  <c r="F471" i="16"/>
  <c r="D471" i="16"/>
  <c r="H470" i="16" l="1"/>
  <c r="I470" i="16" s="1"/>
  <c r="K470" i="16" s="1"/>
  <c r="M470" i="16" s="1"/>
  <c r="B473" i="16"/>
  <c r="L473" i="16"/>
  <c r="A474" i="16"/>
  <c r="G471" i="16"/>
  <c r="E472" i="16"/>
  <c r="F472" i="16"/>
  <c r="D472" i="16"/>
  <c r="N470" i="16" l="1"/>
  <c r="O470" i="16" s="1"/>
  <c r="P470" i="16" s="1"/>
  <c r="F473" i="16"/>
  <c r="E473" i="16"/>
  <c r="D473" i="16"/>
  <c r="G472" i="16"/>
  <c r="H471" i="16"/>
  <c r="I471" i="16" s="1"/>
  <c r="K471" i="16" s="1"/>
  <c r="M471" i="16" s="1"/>
  <c r="B474" i="16"/>
  <c r="L474" i="16"/>
  <c r="A475" i="16"/>
  <c r="N471" i="16" l="1"/>
  <c r="O471" i="16" s="1"/>
  <c r="P471" i="16" s="1"/>
  <c r="E474" i="16"/>
  <c r="F474" i="16"/>
  <c r="D474" i="16"/>
  <c r="H472" i="16"/>
  <c r="I472" i="16" s="1"/>
  <c r="K472" i="16" s="1"/>
  <c r="M472" i="16" s="1"/>
  <c r="G473" i="16"/>
  <c r="B475" i="16"/>
  <c r="L475" i="16"/>
  <c r="A476" i="16"/>
  <c r="N472" i="16" l="1"/>
  <c r="O472" i="16" s="1"/>
  <c r="P472" i="16" s="1"/>
  <c r="F475" i="16"/>
  <c r="E475" i="16"/>
  <c r="D475" i="16"/>
  <c r="H473" i="16"/>
  <c r="I473" i="16" s="1"/>
  <c r="K473" i="16" s="1"/>
  <c r="M473" i="16" s="1"/>
  <c r="B476" i="16"/>
  <c r="L476" i="16"/>
  <c r="A477" i="16"/>
  <c r="G474" i="16"/>
  <c r="N473" i="16" l="1"/>
  <c r="O473" i="16" s="1"/>
  <c r="P473" i="16" s="1"/>
  <c r="G475" i="16"/>
  <c r="H475" i="16" s="1"/>
  <c r="I475" i="16" s="1"/>
  <c r="K475" i="16" s="1"/>
  <c r="M475" i="16" s="1"/>
  <c r="B477" i="16"/>
  <c r="L477" i="16"/>
  <c r="A478" i="16"/>
  <c r="F476" i="16"/>
  <c r="E476" i="16"/>
  <c r="D476" i="16"/>
  <c r="H474" i="16"/>
  <c r="I474" i="16" s="1"/>
  <c r="K474" i="16" s="1"/>
  <c r="M474" i="16" s="1"/>
  <c r="N475" i="16" l="1"/>
  <c r="O475" i="16" s="1"/>
  <c r="P475" i="16" s="1"/>
  <c r="N474" i="16"/>
  <c r="O474" i="16" s="1"/>
  <c r="P474" i="16" s="1"/>
  <c r="B478" i="16"/>
  <c r="A479" i="16"/>
  <c r="L478" i="16"/>
  <c r="G476" i="16"/>
  <c r="H476" i="16" s="1"/>
  <c r="I476" i="16" s="1"/>
  <c r="K476" i="16" s="1"/>
  <c r="M476" i="16" s="1"/>
  <c r="F477" i="16"/>
  <c r="E477" i="16"/>
  <c r="D477" i="16"/>
  <c r="N476" i="16" l="1"/>
  <c r="O476" i="16" s="1"/>
  <c r="P476" i="16" s="1"/>
  <c r="G477" i="16"/>
  <c r="B479" i="16"/>
  <c r="L479" i="16"/>
  <c r="A480" i="16"/>
  <c r="E478" i="16"/>
  <c r="F478" i="16"/>
  <c r="D478" i="16"/>
  <c r="B480" i="16" l="1"/>
  <c r="L480" i="16"/>
  <c r="A481" i="16"/>
  <c r="E479" i="16"/>
  <c r="F479" i="16"/>
  <c r="D479" i="16"/>
  <c r="G478" i="16"/>
  <c r="H477" i="16"/>
  <c r="I477" i="16" s="1"/>
  <c r="K477" i="16" s="1"/>
  <c r="M477" i="16" s="1"/>
  <c r="N477" i="16" l="1"/>
  <c r="O477" i="16" s="1"/>
  <c r="P477" i="16" s="1"/>
  <c r="G479" i="16"/>
  <c r="H479" i="16" s="1"/>
  <c r="H478" i="16"/>
  <c r="I478" i="16" s="1"/>
  <c r="K478" i="16" s="1"/>
  <c r="M478" i="16" s="1"/>
  <c r="B481" i="16"/>
  <c r="L481" i="16"/>
  <c r="A482" i="16"/>
  <c r="F480" i="16"/>
  <c r="E480" i="16"/>
  <c r="D480" i="16"/>
  <c r="N478" i="16" l="1"/>
  <c r="O478" i="16" s="1"/>
  <c r="P478" i="16" s="1"/>
  <c r="I479" i="16"/>
  <c r="K479" i="16" s="1"/>
  <c r="M479" i="16" s="1"/>
  <c r="G480" i="16"/>
  <c r="F481" i="16"/>
  <c r="E481" i="16"/>
  <c r="D481" i="16"/>
  <c r="B482" i="16"/>
  <c r="L482" i="16"/>
  <c r="A483" i="16"/>
  <c r="N479" i="16" l="1"/>
  <c r="O479" i="16" s="1"/>
  <c r="P479" i="16" s="1"/>
  <c r="G481" i="16"/>
  <c r="H481" i="16" s="1"/>
  <c r="I481" i="16" s="1"/>
  <c r="K481" i="16" s="1"/>
  <c r="M481" i="16" s="1"/>
  <c r="B483" i="16"/>
  <c r="A484" i="16"/>
  <c r="L483" i="16"/>
  <c r="F482" i="16"/>
  <c r="E482" i="16"/>
  <c r="D482" i="16"/>
  <c r="H480" i="16"/>
  <c r="I480" i="16" s="1"/>
  <c r="K480" i="16" s="1"/>
  <c r="M480" i="16" s="1"/>
  <c r="N481" i="16" l="1"/>
  <c r="O481" i="16" s="1"/>
  <c r="P481" i="16" s="1"/>
  <c r="N480" i="16"/>
  <c r="O480" i="16" s="1"/>
  <c r="P480" i="16" s="1"/>
  <c r="B484" i="16"/>
  <c r="L484" i="16"/>
  <c r="A485" i="16"/>
  <c r="G482" i="16"/>
  <c r="F483" i="16"/>
  <c r="E483" i="16"/>
  <c r="D483" i="16"/>
  <c r="G483" i="16" l="1"/>
  <c r="H483" i="16" s="1"/>
  <c r="I483" i="16" s="1"/>
  <c r="K483" i="16" s="1"/>
  <c r="M483" i="16" s="1"/>
  <c r="B485" i="16"/>
  <c r="L485" i="16"/>
  <c r="A486" i="16"/>
  <c r="H482" i="16"/>
  <c r="I482" i="16" s="1"/>
  <c r="K482" i="16" s="1"/>
  <c r="M482" i="16" s="1"/>
  <c r="F484" i="16"/>
  <c r="E484" i="16"/>
  <c r="D484" i="16"/>
  <c r="N482" i="16" l="1"/>
  <c r="O482" i="16" s="1"/>
  <c r="P482" i="16" s="1"/>
  <c r="N483" i="16"/>
  <c r="O483" i="16" s="1"/>
  <c r="P483" i="16" s="1"/>
  <c r="G484" i="16"/>
  <c r="H484" i="16" s="1"/>
  <c r="I484" i="16" s="1"/>
  <c r="K484" i="16" s="1"/>
  <c r="M484" i="16" s="1"/>
  <c r="B486" i="16"/>
  <c r="L486" i="16"/>
  <c r="A487" i="16"/>
  <c r="F485" i="16"/>
  <c r="E485" i="16"/>
  <c r="D485" i="16"/>
  <c r="N484" i="16" l="1"/>
  <c r="O484" i="16" s="1"/>
  <c r="P484" i="16" s="1"/>
  <c r="B487" i="16"/>
  <c r="A488" i="16"/>
  <c r="L487" i="16"/>
  <c r="G485" i="16"/>
  <c r="E486" i="16"/>
  <c r="F486" i="16"/>
  <c r="D486" i="16"/>
  <c r="H485" i="16" l="1"/>
  <c r="I485" i="16" s="1"/>
  <c r="K485" i="16" s="1"/>
  <c r="M485" i="16" s="1"/>
  <c r="B488" i="16"/>
  <c r="L488" i="16"/>
  <c r="A489" i="16"/>
  <c r="G486" i="16"/>
  <c r="F487" i="16"/>
  <c r="E487" i="16"/>
  <c r="D487" i="16"/>
  <c r="N485" i="16" l="1"/>
  <c r="O485" i="16" s="1"/>
  <c r="P485" i="16" s="1"/>
  <c r="E488" i="16"/>
  <c r="F488" i="16"/>
  <c r="D488" i="16"/>
  <c r="H486" i="16"/>
  <c r="I486" i="16" s="1"/>
  <c r="K486" i="16" s="1"/>
  <c r="M486" i="16" s="1"/>
  <c r="G487" i="16"/>
  <c r="B489" i="16"/>
  <c r="L489" i="16"/>
  <c r="A490" i="16"/>
  <c r="N486" i="16" l="1"/>
  <c r="O486" i="16" s="1"/>
  <c r="P486" i="16" s="1"/>
  <c r="F489" i="16"/>
  <c r="E489" i="16"/>
  <c r="D489" i="16"/>
  <c r="H487" i="16"/>
  <c r="I487" i="16" s="1"/>
  <c r="K487" i="16" s="1"/>
  <c r="M487" i="16" s="1"/>
  <c r="B490" i="16"/>
  <c r="L490" i="16"/>
  <c r="A491" i="16"/>
  <c r="G488" i="16"/>
  <c r="N487" i="16" l="1"/>
  <c r="O487" i="16" s="1"/>
  <c r="P487" i="16" s="1"/>
  <c r="B491" i="16"/>
  <c r="A492" i="16"/>
  <c r="L491" i="16"/>
  <c r="G489" i="16"/>
  <c r="E490" i="16"/>
  <c r="F490" i="16"/>
  <c r="D490" i="16"/>
  <c r="H488" i="16"/>
  <c r="I488" i="16" s="1"/>
  <c r="K488" i="16" s="1"/>
  <c r="M488" i="16" s="1"/>
  <c r="N488" i="16" l="1"/>
  <c r="O488" i="16" s="1"/>
  <c r="P488" i="16" s="1"/>
  <c r="H489" i="16"/>
  <c r="I489" i="16" s="1"/>
  <c r="K489" i="16" s="1"/>
  <c r="M489" i="16" s="1"/>
  <c r="B492" i="16"/>
  <c r="A493" i="16"/>
  <c r="L492" i="16"/>
  <c r="G490" i="16"/>
  <c r="F491" i="16"/>
  <c r="E491" i="16"/>
  <c r="D491" i="16"/>
  <c r="N489" i="16" l="1"/>
  <c r="O489" i="16" s="1"/>
  <c r="P489" i="16" s="1"/>
  <c r="G491" i="16"/>
  <c r="B493" i="16"/>
  <c r="A494" i="16"/>
  <c r="L493" i="16"/>
  <c r="F492" i="16"/>
  <c r="E492" i="16"/>
  <c r="D492" i="16"/>
  <c r="H490" i="16"/>
  <c r="I490" i="16" s="1"/>
  <c r="K490" i="16" s="1"/>
  <c r="M490" i="16" s="1"/>
  <c r="N490" i="16" l="1"/>
  <c r="O490" i="16" s="1"/>
  <c r="P490" i="16" s="1"/>
  <c r="B494" i="16"/>
  <c r="L494" i="16"/>
  <c r="A495" i="16"/>
  <c r="G492" i="16"/>
  <c r="E493" i="16"/>
  <c r="F493" i="16"/>
  <c r="D493" i="16"/>
  <c r="H491" i="16"/>
  <c r="I491" i="16" s="1"/>
  <c r="K491" i="16" s="1"/>
  <c r="M491" i="16" s="1"/>
  <c r="N491" i="16" l="1"/>
  <c r="O491" i="16" s="1"/>
  <c r="P491" i="16" s="1"/>
  <c r="H492" i="16"/>
  <c r="I492" i="16" s="1"/>
  <c r="K492" i="16" s="1"/>
  <c r="M492" i="16" s="1"/>
  <c r="G493" i="16"/>
  <c r="H493" i="16" s="1"/>
  <c r="I493" i="16" s="1"/>
  <c r="K493" i="16" s="1"/>
  <c r="M493" i="16" s="1"/>
  <c r="B495" i="16"/>
  <c r="A496" i="16"/>
  <c r="L495" i="16"/>
  <c r="E494" i="16"/>
  <c r="F494" i="16"/>
  <c r="D494" i="16"/>
  <c r="N492" i="16" l="1"/>
  <c r="O492" i="16" s="1"/>
  <c r="P492" i="16" s="1"/>
  <c r="N493" i="16"/>
  <c r="O493" i="16" s="1"/>
  <c r="P493" i="16" s="1"/>
  <c r="E495" i="16"/>
  <c r="F495" i="16"/>
  <c r="D495" i="16"/>
  <c r="G494" i="16"/>
  <c r="B496" i="16"/>
  <c r="A497" i="16"/>
  <c r="L496" i="16"/>
  <c r="H494" i="16" l="1"/>
  <c r="I494" i="16" s="1"/>
  <c r="K494" i="16" s="1"/>
  <c r="M494" i="16" s="1"/>
  <c r="B497" i="16"/>
  <c r="L497" i="16"/>
  <c r="A498" i="16"/>
  <c r="F496" i="16"/>
  <c r="E496" i="16"/>
  <c r="D496" i="16"/>
  <c r="G495" i="16"/>
  <c r="N494" i="16" l="1"/>
  <c r="O494" i="16" s="1"/>
  <c r="P494" i="16" s="1"/>
  <c r="G496" i="16"/>
  <c r="H496" i="16" s="1"/>
  <c r="I496" i="16" s="1"/>
  <c r="K496" i="16" s="1"/>
  <c r="M496" i="16" s="1"/>
  <c r="F497" i="16"/>
  <c r="E497" i="16"/>
  <c r="D497" i="16"/>
  <c r="H495" i="16"/>
  <c r="I495" i="16" s="1"/>
  <c r="K495" i="16" s="1"/>
  <c r="M495" i="16" s="1"/>
  <c r="B498" i="16"/>
  <c r="L498" i="16"/>
  <c r="A499" i="16"/>
  <c r="N496" i="16" l="1"/>
  <c r="O496" i="16" s="1"/>
  <c r="P496" i="16" s="1"/>
  <c r="N495" i="16"/>
  <c r="O495" i="16" s="1"/>
  <c r="P495" i="16" s="1"/>
  <c r="G497" i="16"/>
  <c r="H497" i="16" s="1"/>
  <c r="F498" i="16"/>
  <c r="E498" i="16"/>
  <c r="D498" i="16"/>
  <c r="B499" i="16"/>
  <c r="L499" i="16"/>
  <c r="A500" i="16"/>
  <c r="I497" i="16" l="1"/>
  <c r="K497" i="16" s="1"/>
  <c r="M497" i="16" s="1"/>
  <c r="G498" i="16"/>
  <c r="H498" i="16" s="1"/>
  <c r="I498" i="16" s="1"/>
  <c r="K498" i="16" s="1"/>
  <c r="M498" i="16" s="1"/>
  <c r="B500" i="16"/>
  <c r="A501" i="16"/>
  <c r="L500" i="16"/>
  <c r="F499" i="16"/>
  <c r="E499" i="16"/>
  <c r="D499" i="16"/>
  <c r="N498" i="16" l="1"/>
  <c r="O498" i="16" s="1"/>
  <c r="P498" i="16" s="1"/>
  <c r="N497" i="16"/>
  <c r="O497" i="16" s="1"/>
  <c r="P497" i="16" s="1"/>
  <c r="G499" i="16"/>
  <c r="H499" i="16" s="1"/>
  <c r="I499" i="16" s="1"/>
  <c r="K499" i="16" s="1"/>
  <c r="M499" i="16" s="1"/>
  <c r="B501" i="16"/>
  <c r="L501" i="16"/>
  <c r="A502" i="16"/>
  <c r="F500" i="16"/>
  <c r="E500" i="16"/>
  <c r="D500" i="16"/>
  <c r="N499" i="16" l="1"/>
  <c r="O499" i="16" s="1"/>
  <c r="P499" i="16" s="1"/>
  <c r="B502" i="16"/>
  <c r="L502" i="16"/>
  <c r="A503" i="16"/>
  <c r="G500" i="16"/>
  <c r="H500" i="16" s="1"/>
  <c r="I500" i="16" s="1"/>
  <c r="K500" i="16" s="1"/>
  <c r="M500" i="16" s="1"/>
  <c r="E501" i="16"/>
  <c r="F501" i="16"/>
  <c r="D501" i="16"/>
  <c r="N500" i="16" l="1"/>
  <c r="O500" i="16" s="1"/>
  <c r="P500" i="16" s="1"/>
  <c r="G501" i="16"/>
  <c r="H501" i="16" s="1"/>
  <c r="I501" i="16" s="1"/>
  <c r="K501" i="16" s="1"/>
  <c r="M501" i="16" s="1"/>
  <c r="B503" i="16"/>
  <c r="A504" i="16"/>
  <c r="L503" i="16"/>
  <c r="F502" i="16"/>
  <c r="E502" i="16"/>
  <c r="D502" i="16"/>
  <c r="N501" i="16" l="1"/>
  <c r="O501" i="16" s="1"/>
  <c r="P501" i="16" s="1"/>
  <c r="B504" i="16"/>
  <c r="A505" i="16"/>
  <c r="L504" i="16"/>
  <c r="G502" i="16"/>
  <c r="E503" i="16"/>
  <c r="F503" i="16"/>
  <c r="D503" i="16"/>
  <c r="H502" i="16" l="1"/>
  <c r="I502" i="16" s="1"/>
  <c r="K502" i="16" s="1"/>
  <c r="M502" i="16" s="1"/>
  <c r="B505" i="16"/>
  <c r="L505" i="16"/>
  <c r="A506" i="16"/>
  <c r="G503" i="16"/>
  <c r="F504" i="16"/>
  <c r="E504" i="16"/>
  <c r="D504" i="16"/>
  <c r="N502" i="16" l="1"/>
  <c r="O502" i="16" s="1"/>
  <c r="P502" i="16" s="1"/>
  <c r="G504" i="16"/>
  <c r="H504" i="16" s="1"/>
  <c r="I504" i="16" s="1"/>
  <c r="K504" i="16" s="1"/>
  <c r="M504" i="16" s="1"/>
  <c r="F505" i="16"/>
  <c r="E505" i="16"/>
  <c r="D505" i="16"/>
  <c r="H503" i="16"/>
  <c r="I503" i="16" s="1"/>
  <c r="K503" i="16" s="1"/>
  <c r="M503" i="16" s="1"/>
  <c r="B506" i="16"/>
  <c r="A507" i="16"/>
  <c r="L506" i="16"/>
  <c r="N503" i="16" l="1"/>
  <c r="O503" i="16" s="1"/>
  <c r="P503" i="16" s="1"/>
  <c r="N504" i="16"/>
  <c r="O504" i="16" s="1"/>
  <c r="P504" i="16" s="1"/>
  <c r="B507" i="16"/>
  <c r="A508" i="16"/>
  <c r="L507" i="16"/>
  <c r="G505" i="16"/>
  <c r="E506" i="16"/>
  <c r="F506" i="16"/>
  <c r="D506" i="16"/>
  <c r="H505" i="16" l="1"/>
  <c r="I505" i="16" s="1"/>
  <c r="K505" i="16" s="1"/>
  <c r="M505" i="16" s="1"/>
  <c r="B508" i="16"/>
  <c r="L508" i="16"/>
  <c r="A509" i="16"/>
  <c r="G506" i="16"/>
  <c r="E507" i="16"/>
  <c r="F507" i="16"/>
  <c r="D507" i="16"/>
  <c r="N505" i="16" l="1"/>
  <c r="O505" i="16" s="1"/>
  <c r="P505" i="16" s="1"/>
  <c r="F508" i="16"/>
  <c r="E508" i="16"/>
  <c r="D508" i="16"/>
  <c r="G507" i="16"/>
  <c r="H506" i="16"/>
  <c r="I506" i="16" s="1"/>
  <c r="K506" i="16" s="1"/>
  <c r="M506" i="16" s="1"/>
  <c r="B509" i="16"/>
  <c r="A510" i="16"/>
  <c r="L509" i="16"/>
  <c r="N506" i="16" l="1"/>
  <c r="O506" i="16" s="1"/>
  <c r="P506" i="16" s="1"/>
  <c r="G508" i="16"/>
  <c r="H508" i="16" s="1"/>
  <c r="I508" i="16" s="1"/>
  <c r="K508" i="16" s="1"/>
  <c r="M508" i="16" s="1"/>
  <c r="B510" i="16"/>
  <c r="L510" i="16"/>
  <c r="A511" i="16"/>
  <c r="H507" i="16"/>
  <c r="I507" i="16" s="1"/>
  <c r="K507" i="16" s="1"/>
  <c r="M507" i="16" s="1"/>
  <c r="F509" i="16"/>
  <c r="E509" i="16"/>
  <c r="D509" i="16"/>
  <c r="N507" i="16" l="1"/>
  <c r="O507" i="16" s="1"/>
  <c r="P507" i="16" s="1"/>
  <c r="N508" i="16"/>
  <c r="O508" i="16" s="1"/>
  <c r="P508" i="16" s="1"/>
  <c r="G509" i="16"/>
  <c r="H509" i="16" s="1"/>
  <c r="I509" i="16" s="1"/>
  <c r="K509" i="16" s="1"/>
  <c r="M509" i="16" s="1"/>
  <c r="B511" i="16"/>
  <c r="A512" i="16"/>
  <c r="L511" i="16"/>
  <c r="E510" i="16"/>
  <c r="F510" i="16"/>
  <c r="D510" i="16"/>
  <c r="N509" i="16" l="1"/>
  <c r="O509" i="16" s="1"/>
  <c r="P509" i="16" s="1"/>
  <c r="B512" i="16"/>
  <c r="L512" i="16"/>
  <c r="A513" i="16"/>
  <c r="F511" i="16"/>
  <c r="E511" i="16"/>
  <c r="D511" i="16"/>
  <c r="G510" i="16"/>
  <c r="H510" i="16" l="1"/>
  <c r="I510" i="16" s="1"/>
  <c r="K510" i="16" s="1"/>
  <c r="M510" i="16" s="1"/>
  <c r="B513" i="16"/>
  <c r="A514" i="16"/>
  <c r="L513" i="16"/>
  <c r="G511" i="16"/>
  <c r="F512" i="16"/>
  <c r="E512" i="16"/>
  <c r="D512" i="16"/>
  <c r="N510" i="16" l="1"/>
  <c r="O510" i="16" s="1"/>
  <c r="P510" i="16" s="1"/>
  <c r="G512" i="16"/>
  <c r="H512" i="16" s="1"/>
  <c r="I512" i="16" s="1"/>
  <c r="K512" i="16" s="1"/>
  <c r="M512" i="16" s="1"/>
  <c r="B514" i="16"/>
  <c r="A515" i="16"/>
  <c r="L514" i="16"/>
  <c r="F513" i="16"/>
  <c r="E513" i="16"/>
  <c r="D513" i="16"/>
  <c r="H511" i="16"/>
  <c r="I511" i="16" s="1"/>
  <c r="K511" i="16" s="1"/>
  <c r="M511" i="16" s="1"/>
  <c r="N512" i="16" l="1"/>
  <c r="O512" i="16" s="1"/>
  <c r="P512" i="16" s="1"/>
  <c r="N511" i="16"/>
  <c r="O511" i="16" s="1"/>
  <c r="P511" i="16" s="1"/>
  <c r="G513" i="16"/>
  <c r="H513" i="16" s="1"/>
  <c r="I513" i="16" s="1"/>
  <c r="K513" i="16" s="1"/>
  <c r="M513" i="16" s="1"/>
  <c r="B515" i="16"/>
  <c r="A516" i="16"/>
  <c r="L515" i="16"/>
  <c r="F514" i="16"/>
  <c r="E514" i="16"/>
  <c r="D514" i="16"/>
  <c r="N513" i="16" l="1"/>
  <c r="O513" i="16" s="1"/>
  <c r="P513" i="16" s="1"/>
  <c r="B516" i="16"/>
  <c r="L516" i="16"/>
  <c r="A517" i="16"/>
  <c r="G514" i="16"/>
  <c r="H514" i="16" s="1"/>
  <c r="I514" i="16" s="1"/>
  <c r="K514" i="16" s="1"/>
  <c r="M514" i="16" s="1"/>
  <c r="F515" i="16"/>
  <c r="E515" i="16"/>
  <c r="D515" i="16"/>
  <c r="N514" i="16" l="1"/>
  <c r="O514" i="16" s="1"/>
  <c r="P514" i="16" s="1"/>
  <c r="B517" i="16"/>
  <c r="A518" i="16"/>
  <c r="L517" i="16"/>
  <c r="G515" i="16"/>
  <c r="F516" i="16"/>
  <c r="E516" i="16"/>
  <c r="D516" i="16"/>
  <c r="G516" i="16" l="1"/>
  <c r="H516" i="16" s="1"/>
  <c r="H515" i="16"/>
  <c r="I515" i="16" s="1"/>
  <c r="K515" i="16" s="1"/>
  <c r="M515" i="16" s="1"/>
  <c r="B518" i="16"/>
  <c r="L518" i="16"/>
  <c r="A519" i="16"/>
  <c r="E517" i="16"/>
  <c r="F517" i="16"/>
  <c r="D517" i="16"/>
  <c r="N515" i="16" l="1"/>
  <c r="O515" i="16" s="1"/>
  <c r="P515" i="16" s="1"/>
  <c r="I516" i="16"/>
  <c r="K516" i="16" s="1"/>
  <c r="M516" i="16" s="1"/>
  <c r="E518" i="16"/>
  <c r="F518" i="16"/>
  <c r="D518" i="16"/>
  <c r="G517" i="16"/>
  <c r="B519" i="16"/>
  <c r="L519" i="16"/>
  <c r="A520" i="16"/>
  <c r="N516" i="16" l="1"/>
  <c r="O516" i="16" s="1"/>
  <c r="P516" i="16" s="1"/>
  <c r="G518" i="16"/>
  <c r="H518" i="16" s="1"/>
  <c r="I518" i="16" s="1"/>
  <c r="K518" i="16" s="1"/>
  <c r="M518" i="16" s="1"/>
  <c r="H517" i="16"/>
  <c r="I517" i="16" s="1"/>
  <c r="K517" i="16" s="1"/>
  <c r="M517" i="16" s="1"/>
  <c r="B520" i="16"/>
  <c r="L520" i="16"/>
  <c r="A521" i="16"/>
  <c r="F519" i="16"/>
  <c r="E519" i="16"/>
  <c r="D519" i="16"/>
  <c r="N517" i="16" l="1"/>
  <c r="O517" i="16" s="1"/>
  <c r="P517" i="16" s="1"/>
  <c r="N518" i="16"/>
  <c r="O518" i="16" s="1"/>
  <c r="P518" i="16" s="1"/>
  <c r="B521" i="16"/>
  <c r="L521" i="16"/>
  <c r="A522" i="16"/>
  <c r="G519" i="16"/>
  <c r="H519" i="16" s="1"/>
  <c r="I519" i="16" s="1"/>
  <c r="K519" i="16" s="1"/>
  <c r="M519" i="16" s="1"/>
  <c r="E520" i="16"/>
  <c r="F520" i="16"/>
  <c r="D520" i="16"/>
  <c r="N519" i="16" l="1"/>
  <c r="O519" i="16" s="1"/>
  <c r="P519" i="16" s="1"/>
  <c r="G520" i="16"/>
  <c r="H520" i="16" s="1"/>
  <c r="I520" i="16" s="1"/>
  <c r="K520" i="16" s="1"/>
  <c r="M520" i="16" s="1"/>
  <c r="B522" i="16"/>
  <c r="L522" i="16"/>
  <c r="A523" i="16"/>
  <c r="F521" i="16"/>
  <c r="E521" i="16"/>
  <c r="D521" i="16"/>
  <c r="N520" i="16" l="1"/>
  <c r="O520" i="16" s="1"/>
  <c r="P520" i="16" s="1"/>
  <c r="B523" i="16"/>
  <c r="L523" i="16"/>
  <c r="A524" i="16"/>
  <c r="G521" i="16"/>
  <c r="E522" i="16"/>
  <c r="F522" i="16"/>
  <c r="D522" i="16"/>
  <c r="H521" i="16" l="1"/>
  <c r="I521" i="16" s="1"/>
  <c r="K521" i="16" s="1"/>
  <c r="M521" i="16" s="1"/>
  <c r="B524" i="16"/>
  <c r="L524" i="16"/>
  <c r="A525" i="16"/>
  <c r="G522" i="16"/>
  <c r="H522" i="16" s="1"/>
  <c r="I522" i="16" s="1"/>
  <c r="K522" i="16" s="1"/>
  <c r="M522" i="16" s="1"/>
  <c r="E523" i="16"/>
  <c r="F523" i="16"/>
  <c r="D523" i="16"/>
  <c r="N522" i="16" l="1"/>
  <c r="O522" i="16" s="1"/>
  <c r="P522" i="16" s="1"/>
  <c r="N521" i="16"/>
  <c r="O521" i="16" s="1"/>
  <c r="P521" i="16" s="1"/>
  <c r="G523" i="16"/>
  <c r="F524" i="16"/>
  <c r="E524" i="16"/>
  <c r="D524" i="16"/>
  <c r="B525" i="16"/>
  <c r="A526" i="16"/>
  <c r="L525" i="16"/>
  <c r="G524" i="16" l="1"/>
  <c r="B526" i="16"/>
  <c r="A527" i="16"/>
  <c r="L526" i="16"/>
  <c r="E525" i="16"/>
  <c r="F525" i="16"/>
  <c r="D525" i="16"/>
  <c r="H523" i="16"/>
  <c r="I523" i="16" s="1"/>
  <c r="K523" i="16" s="1"/>
  <c r="M523" i="16" s="1"/>
  <c r="N523" i="16" l="1"/>
  <c r="O523" i="16" s="1"/>
  <c r="P523" i="16" s="1"/>
  <c r="E526" i="16"/>
  <c r="F526" i="16"/>
  <c r="D526" i="16"/>
  <c r="B527" i="16"/>
  <c r="A528" i="16"/>
  <c r="L527" i="16"/>
  <c r="G525" i="16"/>
  <c r="H525" i="16" s="1"/>
  <c r="I525" i="16" s="1"/>
  <c r="K525" i="16" s="1"/>
  <c r="M525" i="16" s="1"/>
  <c r="H524" i="16"/>
  <c r="I524" i="16" s="1"/>
  <c r="K524" i="16" s="1"/>
  <c r="M524" i="16" s="1"/>
  <c r="N524" i="16" l="1"/>
  <c r="O524" i="16" s="1"/>
  <c r="P524" i="16" s="1"/>
  <c r="N525" i="16"/>
  <c r="O525" i="16" s="1"/>
  <c r="P525" i="16" s="1"/>
  <c r="E527" i="16"/>
  <c r="F527" i="16"/>
  <c r="D527" i="16"/>
  <c r="B528" i="16"/>
  <c r="L528" i="16"/>
  <c r="A529" i="16"/>
  <c r="G526" i="16"/>
  <c r="G527" i="16" l="1"/>
  <c r="H527" i="16" s="1"/>
  <c r="I527" i="16" s="1"/>
  <c r="K527" i="16" s="1"/>
  <c r="M527" i="16" s="1"/>
  <c r="F528" i="16"/>
  <c r="E528" i="16"/>
  <c r="D528" i="16"/>
  <c r="H526" i="16"/>
  <c r="I526" i="16" s="1"/>
  <c r="K526" i="16" s="1"/>
  <c r="M526" i="16" s="1"/>
  <c r="B529" i="16"/>
  <c r="A530" i="16"/>
  <c r="L529" i="16"/>
  <c r="N526" i="16" l="1"/>
  <c r="O526" i="16" s="1"/>
  <c r="P526" i="16" s="1"/>
  <c r="N527" i="16"/>
  <c r="O527" i="16" s="1"/>
  <c r="P527" i="16" s="1"/>
  <c r="G528" i="16"/>
  <c r="H528" i="16" s="1"/>
  <c r="I528" i="16" s="1"/>
  <c r="K528" i="16" s="1"/>
  <c r="M528" i="16" s="1"/>
  <c r="F529" i="16"/>
  <c r="E529" i="16"/>
  <c r="D529" i="16"/>
  <c r="B530" i="16"/>
  <c r="L530" i="16"/>
  <c r="A531" i="16"/>
  <c r="N528" i="16" l="1"/>
  <c r="O528" i="16" s="1"/>
  <c r="P528" i="16" s="1"/>
  <c r="F530" i="16"/>
  <c r="E530" i="16"/>
  <c r="D530" i="16"/>
  <c r="B531" i="16"/>
  <c r="L531" i="16"/>
  <c r="A532" i="16"/>
  <c r="G529" i="16"/>
  <c r="H529" i="16" s="1"/>
  <c r="I529" i="16" s="1"/>
  <c r="K529" i="16" s="1"/>
  <c r="M529" i="16" s="1"/>
  <c r="N529" i="16" l="1"/>
  <c r="O529" i="16" s="1"/>
  <c r="P529" i="16" s="1"/>
  <c r="G530" i="16"/>
  <c r="H530" i="16" s="1"/>
  <c r="I530" i="16" s="1"/>
  <c r="K530" i="16" s="1"/>
  <c r="M530" i="16" s="1"/>
  <c r="B532" i="16"/>
  <c r="L532" i="16"/>
  <c r="A533" i="16"/>
  <c r="F531" i="16"/>
  <c r="E531" i="16"/>
  <c r="D531" i="16"/>
  <c r="N530" i="16" l="1"/>
  <c r="O530" i="16" s="1"/>
  <c r="P530" i="16" s="1"/>
  <c r="G531" i="16"/>
  <c r="H531" i="16" s="1"/>
  <c r="I531" i="16" s="1"/>
  <c r="K531" i="16" s="1"/>
  <c r="M531" i="16" s="1"/>
  <c r="B533" i="16"/>
  <c r="A534" i="16"/>
  <c r="L533" i="16"/>
  <c r="F532" i="16"/>
  <c r="E532" i="16"/>
  <c r="D532" i="16"/>
  <c r="N531" i="16" l="1"/>
  <c r="O531" i="16" s="1"/>
  <c r="P531" i="16" s="1"/>
  <c r="B534" i="16"/>
  <c r="A535" i="16"/>
  <c r="L534" i="16"/>
  <c r="G532" i="16"/>
  <c r="H532" i="16" s="1"/>
  <c r="I532" i="16" s="1"/>
  <c r="K532" i="16" s="1"/>
  <c r="M532" i="16" s="1"/>
  <c r="F533" i="16"/>
  <c r="E533" i="16"/>
  <c r="D533" i="16"/>
  <c r="N532" i="16" l="1"/>
  <c r="O532" i="16" s="1"/>
  <c r="P532" i="16" s="1"/>
  <c r="G533" i="16"/>
  <c r="H533" i="16" s="1"/>
  <c r="I533" i="16" s="1"/>
  <c r="K533" i="16" s="1"/>
  <c r="M533" i="16" s="1"/>
  <c r="B535" i="16"/>
  <c r="A536" i="16"/>
  <c r="L535" i="16"/>
  <c r="E534" i="16"/>
  <c r="F534" i="16"/>
  <c r="D534" i="16"/>
  <c r="N533" i="16" l="1"/>
  <c r="O533" i="16" s="1"/>
  <c r="P533" i="16" s="1"/>
  <c r="G534" i="16"/>
  <c r="H534" i="16" s="1"/>
  <c r="I534" i="16" s="1"/>
  <c r="K534" i="16" s="1"/>
  <c r="M534" i="16" s="1"/>
  <c r="B536" i="16"/>
  <c r="L536" i="16"/>
  <c r="A537" i="16"/>
  <c r="E535" i="16"/>
  <c r="F535" i="16"/>
  <c r="D535" i="16"/>
  <c r="N534" i="16" l="1"/>
  <c r="O534" i="16" s="1"/>
  <c r="P534" i="16" s="1"/>
  <c r="G535" i="16"/>
  <c r="B537" i="16"/>
  <c r="L537" i="16"/>
  <c r="A538" i="16"/>
  <c r="E536" i="16"/>
  <c r="F536" i="16"/>
  <c r="D536" i="16"/>
  <c r="B538" i="16" l="1"/>
  <c r="L538" i="16"/>
  <c r="A539" i="16"/>
  <c r="F537" i="16"/>
  <c r="E537" i="16"/>
  <c r="D537" i="16"/>
  <c r="G536" i="16"/>
  <c r="H535" i="16"/>
  <c r="I535" i="16" s="1"/>
  <c r="K535" i="16" s="1"/>
  <c r="M535" i="16" s="1"/>
  <c r="N535" i="16" l="1"/>
  <c r="O535" i="16" s="1"/>
  <c r="P535" i="16" s="1"/>
  <c r="H536" i="16"/>
  <c r="I536" i="16" s="1"/>
  <c r="K536" i="16" s="1"/>
  <c r="M536" i="16" s="1"/>
  <c r="B539" i="16"/>
  <c r="A540" i="16"/>
  <c r="L539" i="16"/>
  <c r="G537" i="16"/>
  <c r="H537" i="16" s="1"/>
  <c r="I537" i="16" s="1"/>
  <c r="K537" i="16" s="1"/>
  <c r="M537" i="16" s="1"/>
  <c r="E538" i="16"/>
  <c r="F538" i="16"/>
  <c r="D538" i="16"/>
  <c r="N537" i="16" l="1"/>
  <c r="O537" i="16" s="1"/>
  <c r="P537" i="16" s="1"/>
  <c r="N536" i="16"/>
  <c r="O536" i="16" s="1"/>
  <c r="P536" i="16" s="1"/>
  <c r="B540" i="16"/>
  <c r="L540" i="16"/>
  <c r="A541" i="16"/>
  <c r="G538" i="16"/>
  <c r="H538" i="16" s="1"/>
  <c r="I538" i="16" s="1"/>
  <c r="K538" i="16" s="1"/>
  <c r="M538" i="16" s="1"/>
  <c r="F539" i="16"/>
  <c r="E539" i="16"/>
  <c r="D539" i="16"/>
  <c r="N538" i="16" l="1"/>
  <c r="O538" i="16" s="1"/>
  <c r="P538" i="16" s="1"/>
  <c r="B541" i="16"/>
  <c r="L541" i="16"/>
  <c r="A542" i="16"/>
  <c r="G539" i="16"/>
  <c r="H539" i="16" s="1"/>
  <c r="I539" i="16" s="1"/>
  <c r="K539" i="16" s="1"/>
  <c r="M539" i="16" s="1"/>
  <c r="F540" i="16"/>
  <c r="E540" i="16"/>
  <c r="D540" i="16"/>
  <c r="N539" i="16" l="1"/>
  <c r="O539" i="16" s="1"/>
  <c r="P539" i="16" s="1"/>
  <c r="G540" i="16"/>
  <c r="H540" i="16" s="1"/>
  <c r="I540" i="16" s="1"/>
  <c r="K540" i="16" s="1"/>
  <c r="M540" i="16" s="1"/>
  <c r="B542" i="16"/>
  <c r="A543" i="16"/>
  <c r="L542" i="16"/>
  <c r="F541" i="16"/>
  <c r="E541" i="16"/>
  <c r="D541" i="16"/>
  <c r="N540" i="16" l="1"/>
  <c r="O540" i="16" s="1"/>
  <c r="P540" i="16" s="1"/>
  <c r="G541" i="16"/>
  <c r="B543" i="16"/>
  <c r="L543" i="16"/>
  <c r="A544" i="16"/>
  <c r="E542" i="16"/>
  <c r="F542" i="16"/>
  <c r="D542" i="16"/>
  <c r="B544" i="16" l="1"/>
  <c r="L544" i="16"/>
  <c r="A545" i="16"/>
  <c r="E543" i="16"/>
  <c r="F543" i="16"/>
  <c r="D543" i="16"/>
  <c r="G542" i="16"/>
  <c r="H541" i="16"/>
  <c r="I541" i="16" s="1"/>
  <c r="K541" i="16" s="1"/>
  <c r="M541" i="16" s="1"/>
  <c r="N541" i="16" l="1"/>
  <c r="O541" i="16" s="1"/>
  <c r="P541" i="16" s="1"/>
  <c r="G543" i="16"/>
  <c r="H542" i="16"/>
  <c r="I542" i="16" s="1"/>
  <c r="K542" i="16" s="1"/>
  <c r="M542" i="16" s="1"/>
  <c r="B545" i="16"/>
  <c r="L545" i="16"/>
  <c r="A546" i="16"/>
  <c r="E544" i="16"/>
  <c r="F544" i="16"/>
  <c r="D544" i="16"/>
  <c r="N542" i="16" l="1"/>
  <c r="O542" i="16" s="1"/>
  <c r="P542" i="16" s="1"/>
  <c r="F545" i="16"/>
  <c r="E545" i="16"/>
  <c r="D545" i="16"/>
  <c r="B546" i="16"/>
  <c r="L546" i="16"/>
  <c r="A547" i="16"/>
  <c r="G544" i="16"/>
  <c r="H543" i="16"/>
  <c r="I543" i="16" s="1"/>
  <c r="K543" i="16" s="1"/>
  <c r="M543" i="16" s="1"/>
  <c r="N543" i="16" l="1"/>
  <c r="O543" i="16" s="1"/>
  <c r="P543" i="16" s="1"/>
  <c r="G545" i="16"/>
  <c r="H545" i="16" s="1"/>
  <c r="F546" i="16"/>
  <c r="E546" i="16"/>
  <c r="D546" i="16"/>
  <c r="H544" i="16"/>
  <c r="I544" i="16" s="1"/>
  <c r="K544" i="16" s="1"/>
  <c r="M544" i="16" s="1"/>
  <c r="B547" i="16"/>
  <c r="L547" i="16"/>
  <c r="A548" i="16"/>
  <c r="N544" i="16" l="1"/>
  <c r="O544" i="16" s="1"/>
  <c r="P544" i="16" s="1"/>
  <c r="I545" i="16"/>
  <c r="K545" i="16" s="1"/>
  <c r="M545" i="16" s="1"/>
  <c r="G546" i="16"/>
  <c r="H546" i="16" s="1"/>
  <c r="I546" i="16" s="1"/>
  <c r="K546" i="16" s="1"/>
  <c r="M546" i="16" s="1"/>
  <c r="B548" i="16"/>
  <c r="L548" i="16"/>
  <c r="A549" i="16"/>
  <c r="F547" i="16"/>
  <c r="E547" i="16"/>
  <c r="D547" i="16"/>
  <c r="N545" i="16" l="1"/>
  <c r="O545" i="16" s="1"/>
  <c r="P545" i="16" s="1"/>
  <c r="N546" i="16"/>
  <c r="O546" i="16" s="1"/>
  <c r="P546" i="16" s="1"/>
  <c r="B549" i="16"/>
  <c r="A550" i="16"/>
  <c r="L549" i="16"/>
  <c r="G547" i="16"/>
  <c r="F548" i="16"/>
  <c r="E548" i="16"/>
  <c r="D548" i="16"/>
  <c r="G548" i="16" l="1"/>
  <c r="H548" i="16" s="1"/>
  <c r="I548" i="16" s="1"/>
  <c r="K548" i="16" s="1"/>
  <c r="M548" i="16" s="1"/>
  <c r="B550" i="16"/>
  <c r="A551" i="16"/>
  <c r="L550" i="16"/>
  <c r="H547" i="16"/>
  <c r="I547" i="16" s="1"/>
  <c r="K547" i="16" s="1"/>
  <c r="M547" i="16" s="1"/>
  <c r="F549" i="16"/>
  <c r="E549" i="16"/>
  <c r="D549" i="16"/>
  <c r="N547" i="16" l="1"/>
  <c r="O547" i="16" s="1"/>
  <c r="P547" i="16" s="1"/>
  <c r="N548" i="16"/>
  <c r="O548" i="16" s="1"/>
  <c r="P548" i="16" s="1"/>
  <c r="B551" i="16"/>
  <c r="A552" i="16"/>
  <c r="L551" i="16"/>
  <c r="E550" i="16"/>
  <c r="F550" i="16"/>
  <c r="D550" i="16"/>
  <c r="G549" i="16"/>
  <c r="H549" i="16" s="1"/>
  <c r="I549" i="16" s="1"/>
  <c r="K549" i="16" s="1"/>
  <c r="M549" i="16" s="1"/>
  <c r="N549" i="16" l="1"/>
  <c r="O549" i="16" s="1"/>
  <c r="P549" i="16" s="1"/>
  <c r="G550" i="16"/>
  <c r="H550" i="16" s="1"/>
  <c r="I550" i="16" s="1"/>
  <c r="K550" i="16" s="1"/>
  <c r="M550" i="16" s="1"/>
  <c r="B552" i="16"/>
  <c r="L552" i="16"/>
  <c r="A553" i="16"/>
  <c r="F551" i="16"/>
  <c r="E551" i="16"/>
  <c r="D551" i="16"/>
  <c r="N550" i="16" l="1"/>
  <c r="O550" i="16" s="1"/>
  <c r="P550" i="16" s="1"/>
  <c r="G551" i="16"/>
  <c r="F552" i="16"/>
  <c r="E552" i="16"/>
  <c r="D552" i="16"/>
  <c r="B553" i="16"/>
  <c r="L553" i="16"/>
  <c r="A554" i="16"/>
  <c r="B554" i="16" l="1"/>
  <c r="A555" i="16"/>
  <c r="L554" i="16"/>
  <c r="G552" i="16"/>
  <c r="H552" i="16" s="1"/>
  <c r="I552" i="16" s="1"/>
  <c r="K552" i="16" s="1"/>
  <c r="M552" i="16" s="1"/>
  <c r="F553" i="16"/>
  <c r="E553" i="16"/>
  <c r="D553" i="16"/>
  <c r="H551" i="16"/>
  <c r="I551" i="16" s="1"/>
  <c r="K551" i="16" s="1"/>
  <c r="M551" i="16" s="1"/>
  <c r="N551" i="16" l="1"/>
  <c r="O551" i="16" s="1"/>
  <c r="P551" i="16" s="1"/>
  <c r="N552" i="16"/>
  <c r="O552" i="16" s="1"/>
  <c r="P552" i="16" s="1"/>
  <c r="G553" i="16"/>
  <c r="H553" i="16" s="1"/>
  <c r="I553" i="16" s="1"/>
  <c r="K553" i="16" s="1"/>
  <c r="M553" i="16" s="1"/>
  <c r="B555" i="16"/>
  <c r="L555" i="16"/>
  <c r="A556" i="16"/>
  <c r="E554" i="16"/>
  <c r="F554" i="16"/>
  <c r="D554" i="16"/>
  <c r="N553" i="16" l="1"/>
  <c r="O553" i="16" s="1"/>
  <c r="P553" i="16" s="1"/>
  <c r="B556" i="16"/>
  <c r="L556" i="16"/>
  <c r="A557" i="16"/>
  <c r="G554" i="16"/>
  <c r="F555" i="16"/>
  <c r="E555" i="16"/>
  <c r="D555" i="16"/>
  <c r="G555" i="16" l="1"/>
  <c r="H555" i="16" s="1"/>
  <c r="I555" i="16" s="1"/>
  <c r="K555" i="16" s="1"/>
  <c r="M555" i="16" s="1"/>
  <c r="H554" i="16"/>
  <c r="I554" i="16" s="1"/>
  <c r="K554" i="16" s="1"/>
  <c r="M554" i="16" s="1"/>
  <c r="B557" i="16"/>
  <c r="A558" i="16"/>
  <c r="L557" i="16"/>
  <c r="F556" i="16"/>
  <c r="E556" i="16"/>
  <c r="D556" i="16"/>
  <c r="N554" i="16" l="1"/>
  <c r="O554" i="16" s="1"/>
  <c r="P554" i="16" s="1"/>
  <c r="N555" i="16"/>
  <c r="O555" i="16" s="1"/>
  <c r="P555" i="16" s="1"/>
  <c r="G556" i="16"/>
  <c r="H556" i="16" s="1"/>
  <c r="I556" i="16" s="1"/>
  <c r="K556" i="16" s="1"/>
  <c r="M556" i="16" s="1"/>
  <c r="B558" i="16"/>
  <c r="A559" i="16"/>
  <c r="L558" i="16"/>
  <c r="E557" i="16"/>
  <c r="F557" i="16"/>
  <c r="D557" i="16"/>
  <c r="N556" i="16" l="1"/>
  <c r="O556" i="16" s="1"/>
  <c r="P556" i="16" s="1"/>
  <c r="B559" i="16"/>
  <c r="A560" i="16"/>
  <c r="L559" i="16"/>
  <c r="E558" i="16"/>
  <c r="F558" i="16"/>
  <c r="D558" i="16"/>
  <c r="G557" i="16"/>
  <c r="G558" i="16" l="1"/>
  <c r="H558" i="16" s="1"/>
  <c r="I558" i="16" s="1"/>
  <c r="K558" i="16" s="1"/>
  <c r="M558" i="16" s="1"/>
  <c r="H557" i="16"/>
  <c r="I557" i="16" s="1"/>
  <c r="K557" i="16" s="1"/>
  <c r="M557" i="16" s="1"/>
  <c r="B560" i="16"/>
  <c r="A561" i="16"/>
  <c r="L560" i="16"/>
  <c r="E559" i="16"/>
  <c r="F559" i="16"/>
  <c r="D559" i="16"/>
  <c r="N557" i="16" l="1"/>
  <c r="O557" i="16" s="1"/>
  <c r="P557" i="16" s="1"/>
  <c r="N558" i="16"/>
  <c r="O558" i="16" s="1"/>
  <c r="P558" i="16" s="1"/>
  <c r="G559" i="16"/>
  <c r="B561" i="16"/>
  <c r="A562" i="16"/>
  <c r="L561" i="16"/>
  <c r="F560" i="16"/>
  <c r="E560" i="16"/>
  <c r="D560" i="16"/>
  <c r="B562" i="16" l="1"/>
  <c r="A563" i="16"/>
  <c r="L562" i="16"/>
  <c r="F561" i="16"/>
  <c r="E561" i="16"/>
  <c r="D561" i="16"/>
  <c r="G560" i="16"/>
  <c r="H559" i="16"/>
  <c r="I559" i="16" s="1"/>
  <c r="K559" i="16" s="1"/>
  <c r="M559" i="16" s="1"/>
  <c r="N559" i="16" l="1"/>
  <c r="O559" i="16" s="1"/>
  <c r="P559" i="16" s="1"/>
  <c r="B563" i="16"/>
  <c r="A564" i="16"/>
  <c r="L563" i="16"/>
  <c r="H560" i="16"/>
  <c r="I560" i="16" s="1"/>
  <c r="K560" i="16" s="1"/>
  <c r="M560" i="16" s="1"/>
  <c r="G561" i="16"/>
  <c r="H561" i="16" s="1"/>
  <c r="I561" i="16" s="1"/>
  <c r="K561" i="16" s="1"/>
  <c r="M561" i="16" s="1"/>
  <c r="F562" i="16"/>
  <c r="E562" i="16"/>
  <c r="D562" i="16"/>
  <c r="N561" i="16" l="1"/>
  <c r="O561" i="16" s="1"/>
  <c r="P561" i="16" s="1"/>
  <c r="N560" i="16"/>
  <c r="O560" i="16" s="1"/>
  <c r="P560" i="16" s="1"/>
  <c r="G562" i="16"/>
  <c r="B564" i="16"/>
  <c r="A565" i="16"/>
  <c r="L564" i="16"/>
  <c r="F563" i="16"/>
  <c r="E563" i="16"/>
  <c r="D563" i="16"/>
  <c r="G563" i="16" l="1"/>
  <c r="H563" i="16" s="1"/>
  <c r="I563" i="16" s="1"/>
  <c r="K563" i="16" s="1"/>
  <c r="M563" i="16" s="1"/>
  <c r="B565" i="16"/>
  <c r="L565" i="16"/>
  <c r="A566" i="16"/>
  <c r="F564" i="16"/>
  <c r="E564" i="16"/>
  <c r="D564" i="16"/>
  <c r="H562" i="16"/>
  <c r="I562" i="16" s="1"/>
  <c r="K562" i="16" s="1"/>
  <c r="M562" i="16" s="1"/>
  <c r="N562" i="16" l="1"/>
  <c r="O562" i="16" s="1"/>
  <c r="P562" i="16" s="1"/>
  <c r="N563" i="16"/>
  <c r="O563" i="16" s="1"/>
  <c r="P563" i="16" s="1"/>
  <c r="B566" i="16"/>
  <c r="A567" i="16"/>
  <c r="L566" i="16"/>
  <c r="G564" i="16"/>
  <c r="E565" i="16"/>
  <c r="F565" i="16"/>
  <c r="D565" i="16"/>
  <c r="B567" i="16" l="1"/>
  <c r="A568" i="16"/>
  <c r="L567" i="16"/>
  <c r="H564" i="16"/>
  <c r="I564" i="16" s="1"/>
  <c r="K564" i="16" s="1"/>
  <c r="M564" i="16" s="1"/>
  <c r="G565" i="16"/>
  <c r="E566" i="16"/>
  <c r="F566" i="16"/>
  <c r="D566" i="16"/>
  <c r="N564" i="16" l="1"/>
  <c r="O564" i="16" s="1"/>
  <c r="P564" i="16" s="1"/>
  <c r="B568" i="16"/>
  <c r="A569" i="16"/>
  <c r="L568" i="16"/>
  <c r="G566" i="16"/>
  <c r="H566" i="16" s="1"/>
  <c r="I566" i="16" s="1"/>
  <c r="K566" i="16" s="1"/>
  <c r="M566" i="16" s="1"/>
  <c r="H565" i="16"/>
  <c r="I565" i="16" s="1"/>
  <c r="K565" i="16" s="1"/>
  <c r="M565" i="16" s="1"/>
  <c r="F567" i="16"/>
  <c r="E567" i="16"/>
  <c r="D567" i="16"/>
  <c r="N565" i="16" l="1"/>
  <c r="O565" i="16" s="1"/>
  <c r="P565" i="16" s="1"/>
  <c r="N566" i="16"/>
  <c r="O566" i="16" s="1"/>
  <c r="P566" i="16" s="1"/>
  <c r="G567" i="16"/>
  <c r="H567" i="16" s="1"/>
  <c r="I567" i="16" s="1"/>
  <c r="K567" i="16" s="1"/>
  <c r="M567" i="16" s="1"/>
  <c r="B569" i="16"/>
  <c r="A570" i="16"/>
  <c r="L569" i="16"/>
  <c r="F568" i="16"/>
  <c r="E568" i="16"/>
  <c r="D568" i="16"/>
  <c r="N567" i="16" l="1"/>
  <c r="O567" i="16" s="1"/>
  <c r="P567" i="16" s="1"/>
  <c r="B570" i="16"/>
  <c r="L570" i="16"/>
  <c r="A571" i="16"/>
  <c r="F569" i="16"/>
  <c r="E569" i="16"/>
  <c r="D569" i="16"/>
  <c r="G568" i="16"/>
  <c r="H568" i="16" s="1"/>
  <c r="I568" i="16" s="1"/>
  <c r="K568" i="16" s="1"/>
  <c r="M568" i="16" s="1"/>
  <c r="N568" i="16" l="1"/>
  <c r="O568" i="16" s="1"/>
  <c r="P568" i="16" s="1"/>
  <c r="B571" i="16"/>
  <c r="L571" i="16"/>
  <c r="A572" i="16"/>
  <c r="G569" i="16"/>
  <c r="E570" i="16"/>
  <c r="F570" i="16"/>
  <c r="D570" i="16"/>
  <c r="H569" i="16" l="1"/>
  <c r="I569" i="16" s="1"/>
  <c r="K569" i="16" s="1"/>
  <c r="M569" i="16" s="1"/>
  <c r="B572" i="16"/>
  <c r="A573" i="16"/>
  <c r="L572" i="16"/>
  <c r="G570" i="16"/>
  <c r="E571" i="16"/>
  <c r="F571" i="16"/>
  <c r="D571" i="16"/>
  <c r="N569" i="16" l="1"/>
  <c r="O569" i="16" s="1"/>
  <c r="P569" i="16" s="1"/>
  <c r="B573" i="16"/>
  <c r="L573" i="16"/>
  <c r="A574" i="16"/>
  <c r="F572" i="16"/>
  <c r="E572" i="16"/>
  <c r="D572" i="16"/>
  <c r="H570" i="16"/>
  <c r="I570" i="16" s="1"/>
  <c r="K570" i="16" s="1"/>
  <c r="M570" i="16" s="1"/>
  <c r="G571" i="16"/>
  <c r="N570" i="16" l="1"/>
  <c r="O570" i="16" s="1"/>
  <c r="P570" i="16" s="1"/>
  <c r="B574" i="16"/>
  <c r="A575" i="16"/>
  <c r="L574" i="16"/>
  <c r="H571" i="16"/>
  <c r="I571" i="16" s="1"/>
  <c r="K571" i="16" s="1"/>
  <c r="M571" i="16" s="1"/>
  <c r="G572" i="16"/>
  <c r="H572" i="16" s="1"/>
  <c r="I572" i="16" s="1"/>
  <c r="K572" i="16" s="1"/>
  <c r="M572" i="16" s="1"/>
  <c r="F573" i="16"/>
  <c r="E573" i="16"/>
  <c r="D573" i="16"/>
  <c r="N572" i="16" l="1"/>
  <c r="O572" i="16" s="1"/>
  <c r="P572" i="16" s="1"/>
  <c r="N571" i="16"/>
  <c r="O571" i="16" s="1"/>
  <c r="P571" i="16" s="1"/>
  <c r="G573" i="16"/>
  <c r="B575" i="16"/>
  <c r="L575" i="16"/>
  <c r="A576" i="16"/>
  <c r="E574" i="16"/>
  <c r="F574" i="16"/>
  <c r="D574" i="16"/>
  <c r="H573" i="16" l="1"/>
  <c r="I573" i="16" s="1"/>
  <c r="K573" i="16" s="1"/>
  <c r="M573" i="16" s="1"/>
  <c r="B576" i="16"/>
  <c r="A577" i="16"/>
  <c r="L576" i="16"/>
  <c r="G574" i="16"/>
  <c r="F575" i="16"/>
  <c r="E575" i="16"/>
  <c r="D575" i="16"/>
  <c r="N573" i="16" l="1"/>
  <c r="O573" i="16" s="1"/>
  <c r="P573" i="16" s="1"/>
  <c r="G575" i="16"/>
  <c r="H575" i="16" s="1"/>
  <c r="I575" i="16" s="1"/>
  <c r="K575" i="16" s="1"/>
  <c r="M575" i="16" s="1"/>
  <c r="B577" i="16"/>
  <c r="A578" i="16"/>
  <c r="L577" i="16"/>
  <c r="E576" i="16"/>
  <c r="F576" i="16"/>
  <c r="D576" i="16"/>
  <c r="H574" i="16"/>
  <c r="I574" i="16" s="1"/>
  <c r="K574" i="16" s="1"/>
  <c r="M574" i="16" s="1"/>
  <c r="N574" i="16" l="1"/>
  <c r="O574" i="16" s="1"/>
  <c r="P574" i="16" s="1"/>
  <c r="N575" i="16"/>
  <c r="O575" i="16" s="1"/>
  <c r="P575" i="16" s="1"/>
  <c r="G576" i="16"/>
  <c r="H576" i="16" s="1"/>
  <c r="I576" i="16" s="1"/>
  <c r="K576" i="16" s="1"/>
  <c r="M576" i="16" s="1"/>
  <c r="B578" i="16"/>
  <c r="L578" i="16"/>
  <c r="A579" i="16"/>
  <c r="F577" i="16"/>
  <c r="E577" i="16"/>
  <c r="D577" i="16"/>
  <c r="N576" i="16" l="1"/>
  <c r="O576" i="16" s="1"/>
  <c r="P576" i="16" s="1"/>
  <c r="G577" i="16"/>
  <c r="B579" i="16"/>
  <c r="A580" i="16"/>
  <c r="L579" i="16"/>
  <c r="F578" i="16"/>
  <c r="E578" i="16"/>
  <c r="D578" i="16"/>
  <c r="B580" i="16" l="1"/>
  <c r="A581" i="16"/>
  <c r="L580" i="16"/>
  <c r="G578" i="16"/>
  <c r="F579" i="16"/>
  <c r="E579" i="16"/>
  <c r="D579" i="16"/>
  <c r="H577" i="16"/>
  <c r="I577" i="16" s="1"/>
  <c r="K577" i="16" s="1"/>
  <c r="M577" i="16" s="1"/>
  <c r="N577" i="16" l="1"/>
  <c r="O577" i="16" s="1"/>
  <c r="P577" i="16" s="1"/>
  <c r="G579" i="16"/>
  <c r="H579" i="16" s="1"/>
  <c r="H578" i="16"/>
  <c r="I578" i="16" s="1"/>
  <c r="K578" i="16" s="1"/>
  <c r="M578" i="16" s="1"/>
  <c r="B581" i="16"/>
  <c r="L581" i="16"/>
  <c r="A582" i="16"/>
  <c r="F580" i="16"/>
  <c r="E580" i="16"/>
  <c r="D580" i="16"/>
  <c r="N578" i="16" l="1"/>
  <c r="O578" i="16" s="1"/>
  <c r="P578" i="16" s="1"/>
  <c r="I579" i="16"/>
  <c r="K579" i="16" s="1"/>
  <c r="M579" i="16" s="1"/>
  <c r="B582" i="16"/>
  <c r="A583" i="16"/>
  <c r="L582" i="16"/>
  <c r="G580" i="16"/>
  <c r="E581" i="16"/>
  <c r="F581" i="16"/>
  <c r="D581" i="16"/>
  <c r="N579" i="16" l="1"/>
  <c r="O579" i="16" s="1"/>
  <c r="P579" i="16" s="1"/>
  <c r="H580" i="16"/>
  <c r="I580" i="16" s="1"/>
  <c r="K580" i="16" s="1"/>
  <c r="M580" i="16" s="1"/>
  <c r="B583" i="16"/>
  <c r="A584" i="16"/>
  <c r="L583" i="16"/>
  <c r="G581" i="16"/>
  <c r="E582" i="16"/>
  <c r="F582" i="16"/>
  <c r="D582" i="16"/>
  <c r="N580" i="16" l="1"/>
  <c r="O580" i="16" s="1"/>
  <c r="P580" i="16" s="1"/>
  <c r="B584" i="16"/>
  <c r="L584" i="16"/>
  <c r="A585" i="16"/>
  <c r="F583" i="16"/>
  <c r="E583" i="16"/>
  <c r="D583" i="16"/>
  <c r="G582" i="16"/>
  <c r="H582" i="16" s="1"/>
  <c r="I582" i="16" s="1"/>
  <c r="K582" i="16" s="1"/>
  <c r="M582" i="16" s="1"/>
  <c r="H581" i="16"/>
  <c r="I581" i="16" s="1"/>
  <c r="K581" i="16" s="1"/>
  <c r="M581" i="16" s="1"/>
  <c r="N581" i="16" l="1"/>
  <c r="O581" i="16" s="1"/>
  <c r="P581" i="16" s="1"/>
  <c r="N582" i="16"/>
  <c r="O582" i="16" s="1"/>
  <c r="P582" i="16" s="1"/>
  <c r="B585" i="16"/>
  <c r="L585" i="16"/>
  <c r="A586" i="16"/>
  <c r="G583" i="16"/>
  <c r="F584" i="16"/>
  <c r="E584" i="16"/>
  <c r="D584" i="16"/>
  <c r="G584" i="16" l="1"/>
  <c r="H584" i="16" s="1"/>
  <c r="I584" i="16" s="1"/>
  <c r="K584" i="16" s="1"/>
  <c r="M584" i="16" s="1"/>
  <c r="H583" i="16"/>
  <c r="I583" i="16" s="1"/>
  <c r="K583" i="16" s="1"/>
  <c r="M583" i="16" s="1"/>
  <c r="B586" i="16"/>
  <c r="L586" i="16"/>
  <c r="A587" i="16"/>
  <c r="F585" i="16"/>
  <c r="E585" i="16"/>
  <c r="D585" i="16"/>
  <c r="N583" i="16" l="1"/>
  <c r="O583" i="16" s="1"/>
  <c r="P583" i="16" s="1"/>
  <c r="N584" i="16"/>
  <c r="O584" i="16" s="1"/>
  <c r="P584" i="16" s="1"/>
  <c r="B587" i="16"/>
  <c r="L587" i="16"/>
  <c r="A588" i="16"/>
  <c r="G585" i="16"/>
  <c r="E586" i="16"/>
  <c r="F586" i="16"/>
  <c r="D586" i="16"/>
  <c r="G586" i="16" l="1"/>
  <c r="H586" i="16" s="1"/>
  <c r="I586" i="16" s="1"/>
  <c r="K586" i="16" s="1"/>
  <c r="M586" i="16" s="1"/>
  <c r="B588" i="16"/>
  <c r="L588" i="16"/>
  <c r="A589" i="16"/>
  <c r="H585" i="16"/>
  <c r="I585" i="16" s="1"/>
  <c r="K585" i="16" s="1"/>
  <c r="M585" i="16" s="1"/>
  <c r="E587" i="16"/>
  <c r="F587" i="16"/>
  <c r="D587" i="16"/>
  <c r="N585" i="16" l="1"/>
  <c r="O585" i="16" s="1"/>
  <c r="P585" i="16" s="1"/>
  <c r="N586" i="16"/>
  <c r="O586" i="16" s="1"/>
  <c r="P586" i="16" s="1"/>
  <c r="G587" i="16"/>
  <c r="H587" i="16" s="1"/>
  <c r="I587" i="16" s="1"/>
  <c r="K587" i="16" s="1"/>
  <c r="M587" i="16" s="1"/>
  <c r="F588" i="16"/>
  <c r="E588" i="16"/>
  <c r="D588" i="16"/>
  <c r="B589" i="16"/>
  <c r="A590" i="16"/>
  <c r="L589" i="16"/>
  <c r="N587" i="16" l="1"/>
  <c r="O587" i="16" s="1"/>
  <c r="P587" i="16" s="1"/>
  <c r="B590" i="16"/>
  <c r="L590" i="16"/>
  <c r="A591" i="16"/>
  <c r="E589" i="16"/>
  <c r="F589" i="16"/>
  <c r="D589" i="16"/>
  <c r="G588" i="16"/>
  <c r="E590" i="16" l="1"/>
  <c r="F590" i="16"/>
  <c r="D590" i="16"/>
  <c r="G589" i="16"/>
  <c r="H588" i="16"/>
  <c r="I588" i="16" s="1"/>
  <c r="K588" i="16" s="1"/>
  <c r="M588" i="16" s="1"/>
  <c r="B591" i="16"/>
  <c r="L591" i="16"/>
  <c r="A592" i="16"/>
  <c r="N588" i="16" l="1"/>
  <c r="O588" i="16" s="1"/>
  <c r="P588" i="16" s="1"/>
  <c r="H589" i="16"/>
  <c r="I589" i="16" s="1"/>
  <c r="K589" i="16" s="1"/>
  <c r="M589" i="16" s="1"/>
  <c r="E591" i="16"/>
  <c r="F591" i="16"/>
  <c r="D591" i="16"/>
  <c r="B592" i="16"/>
  <c r="A593" i="16"/>
  <c r="L592" i="16"/>
  <c r="G590" i="16"/>
  <c r="N589" i="16" l="1"/>
  <c r="O589" i="16" s="1"/>
  <c r="P589" i="16" s="1"/>
  <c r="B593" i="16"/>
  <c r="A594" i="16"/>
  <c r="L593" i="16"/>
  <c r="G591" i="16"/>
  <c r="F592" i="16"/>
  <c r="E592" i="16"/>
  <c r="D592" i="16"/>
  <c r="H590" i="16"/>
  <c r="I590" i="16" s="1"/>
  <c r="K590" i="16" s="1"/>
  <c r="M590" i="16" s="1"/>
  <c r="N590" i="16" l="1"/>
  <c r="O590" i="16" s="1"/>
  <c r="P590" i="16" s="1"/>
  <c r="G592" i="16"/>
  <c r="H592" i="16" s="1"/>
  <c r="H591" i="16"/>
  <c r="I591" i="16" s="1"/>
  <c r="K591" i="16" s="1"/>
  <c r="M591" i="16" s="1"/>
  <c r="B594" i="16"/>
  <c r="A595" i="16"/>
  <c r="L594" i="16"/>
  <c r="F593" i="16"/>
  <c r="E593" i="16"/>
  <c r="D593" i="16"/>
  <c r="N591" i="16" l="1"/>
  <c r="O591" i="16" s="1"/>
  <c r="P591" i="16" s="1"/>
  <c r="G593" i="16"/>
  <c r="H593" i="16" s="1"/>
  <c r="I593" i="16" s="1"/>
  <c r="K593" i="16" s="1"/>
  <c r="M593" i="16" s="1"/>
  <c r="I592" i="16"/>
  <c r="K592" i="16" s="1"/>
  <c r="M592" i="16" s="1"/>
  <c r="B595" i="16"/>
  <c r="L595" i="16"/>
  <c r="A596" i="16"/>
  <c r="F594" i="16"/>
  <c r="E594" i="16"/>
  <c r="D594" i="16"/>
  <c r="N593" i="16" l="1"/>
  <c r="O593" i="16" s="1"/>
  <c r="P593" i="16" s="1"/>
  <c r="N592" i="16"/>
  <c r="O592" i="16" s="1"/>
  <c r="P592" i="16" s="1"/>
  <c r="B596" i="16"/>
  <c r="L596" i="16"/>
  <c r="A597" i="16"/>
  <c r="G594" i="16"/>
  <c r="F595" i="16"/>
  <c r="E595" i="16"/>
  <c r="D595" i="16"/>
  <c r="B597" i="16" l="1"/>
  <c r="A598" i="16"/>
  <c r="L597" i="16"/>
  <c r="G595" i="16"/>
  <c r="H594" i="16"/>
  <c r="I594" i="16" s="1"/>
  <c r="K594" i="16" s="1"/>
  <c r="M594" i="16" s="1"/>
  <c r="F596" i="16"/>
  <c r="E596" i="16"/>
  <c r="D596" i="16"/>
  <c r="N594" i="16" l="1"/>
  <c r="O594" i="16" s="1"/>
  <c r="P594" i="16" s="1"/>
  <c r="G596" i="16"/>
  <c r="H595" i="16"/>
  <c r="I595" i="16" s="1"/>
  <c r="K595" i="16" s="1"/>
  <c r="M595" i="16" s="1"/>
  <c r="B598" i="16"/>
  <c r="A599" i="16"/>
  <c r="L598" i="16"/>
  <c r="F597" i="16"/>
  <c r="E597" i="16"/>
  <c r="D597" i="16"/>
  <c r="N595" i="16" l="1"/>
  <c r="O595" i="16" s="1"/>
  <c r="P595" i="16" s="1"/>
  <c r="H596" i="16"/>
  <c r="I596" i="16" s="1"/>
  <c r="K596" i="16" s="1"/>
  <c r="M596" i="16" s="1"/>
  <c r="B599" i="16"/>
  <c r="L599" i="16"/>
  <c r="A600" i="16"/>
  <c r="E598" i="16"/>
  <c r="F598" i="16"/>
  <c r="D598" i="16"/>
  <c r="G597" i="16"/>
  <c r="N596" i="16" l="1"/>
  <c r="O596" i="16" s="1"/>
  <c r="P596" i="16" s="1"/>
  <c r="G598" i="16"/>
  <c r="H598" i="16" s="1"/>
  <c r="I598" i="16" s="1"/>
  <c r="K598" i="16" s="1"/>
  <c r="M598" i="16" s="1"/>
  <c r="H597" i="16"/>
  <c r="I597" i="16" s="1"/>
  <c r="K597" i="16" s="1"/>
  <c r="M597" i="16" s="1"/>
  <c r="B600" i="16"/>
  <c r="A601" i="16"/>
  <c r="L600" i="16"/>
  <c r="E599" i="16"/>
  <c r="F599" i="16"/>
  <c r="D599" i="16"/>
  <c r="N598" i="16" l="1"/>
  <c r="O598" i="16" s="1"/>
  <c r="P598" i="16" s="1"/>
  <c r="N597" i="16"/>
  <c r="O597" i="16" s="1"/>
  <c r="P597" i="16" s="1"/>
  <c r="B601" i="16"/>
  <c r="A602" i="16"/>
  <c r="L601" i="16"/>
  <c r="F600" i="16"/>
  <c r="E600" i="16"/>
  <c r="D600" i="16"/>
  <c r="G599" i="16"/>
  <c r="H599" i="16" l="1"/>
  <c r="I599" i="16" s="1"/>
  <c r="K599" i="16" s="1"/>
  <c r="M599" i="16" s="1"/>
  <c r="G600" i="16"/>
  <c r="B602" i="16"/>
  <c r="L602" i="16"/>
  <c r="A603" i="16"/>
  <c r="F601" i="16"/>
  <c r="E601" i="16"/>
  <c r="D601" i="16"/>
  <c r="N599" i="16" l="1"/>
  <c r="O599" i="16" s="1"/>
  <c r="P599" i="16" s="1"/>
  <c r="G601" i="16"/>
  <c r="H601" i="16" s="1"/>
  <c r="I601" i="16" s="1"/>
  <c r="K601" i="16" s="1"/>
  <c r="M601" i="16" s="1"/>
  <c r="E602" i="16"/>
  <c r="F602" i="16"/>
  <c r="D602" i="16"/>
  <c r="H600" i="16"/>
  <c r="I600" i="16" s="1"/>
  <c r="K600" i="16" s="1"/>
  <c r="M600" i="16" s="1"/>
  <c r="B603" i="16"/>
  <c r="L603" i="16"/>
  <c r="A604" i="16"/>
  <c r="N600" i="16" l="1"/>
  <c r="O600" i="16" s="1"/>
  <c r="P600" i="16" s="1"/>
  <c r="N601" i="16"/>
  <c r="O601" i="16" s="1"/>
  <c r="P601" i="16" s="1"/>
  <c r="F603" i="16"/>
  <c r="E603" i="16"/>
  <c r="D603" i="16"/>
  <c r="B604" i="16"/>
  <c r="A605" i="16"/>
  <c r="L604" i="16"/>
  <c r="G602" i="16"/>
  <c r="G603" i="16" l="1"/>
  <c r="H603" i="16" s="1"/>
  <c r="I603" i="16" s="1"/>
  <c r="K603" i="16" s="1"/>
  <c r="M603" i="16" s="1"/>
  <c r="F604" i="16"/>
  <c r="E604" i="16"/>
  <c r="D604" i="16"/>
  <c r="H602" i="16"/>
  <c r="I602" i="16" s="1"/>
  <c r="K602" i="16" s="1"/>
  <c r="M602" i="16" s="1"/>
  <c r="B605" i="16"/>
  <c r="A606" i="16"/>
  <c r="L605" i="16"/>
  <c r="N602" i="16" l="1"/>
  <c r="O602" i="16" s="1"/>
  <c r="P602" i="16" s="1"/>
  <c r="N603" i="16"/>
  <c r="O603" i="16" s="1"/>
  <c r="P603" i="16" s="1"/>
  <c r="G604" i="16"/>
  <c r="H604" i="16" s="1"/>
  <c r="I604" i="16" s="1"/>
  <c r="K604" i="16" s="1"/>
  <c r="M604" i="16" s="1"/>
  <c r="B606" i="16"/>
  <c r="A607" i="16"/>
  <c r="L606" i="16"/>
  <c r="F605" i="16"/>
  <c r="E605" i="16"/>
  <c r="D605" i="16"/>
  <c r="N604" i="16" l="1"/>
  <c r="O604" i="16" s="1"/>
  <c r="P604" i="16" s="1"/>
  <c r="B607" i="16"/>
  <c r="A608" i="16"/>
  <c r="L607" i="16"/>
  <c r="G605" i="16"/>
  <c r="E606" i="16"/>
  <c r="F606" i="16"/>
  <c r="D606" i="16"/>
  <c r="G606" i="16" l="1"/>
  <c r="H606" i="16" s="1"/>
  <c r="I606" i="16" s="1"/>
  <c r="K606" i="16" s="1"/>
  <c r="M606" i="16" s="1"/>
  <c r="H605" i="16"/>
  <c r="I605" i="16" s="1"/>
  <c r="K605" i="16" s="1"/>
  <c r="M605" i="16" s="1"/>
  <c r="B608" i="16"/>
  <c r="L608" i="16"/>
  <c r="A609" i="16"/>
  <c r="E607" i="16"/>
  <c r="F607" i="16"/>
  <c r="D607" i="16"/>
  <c r="N605" i="16" l="1"/>
  <c r="O605" i="16" s="1"/>
  <c r="P605" i="16" s="1"/>
  <c r="N606" i="16"/>
  <c r="O606" i="16" s="1"/>
  <c r="P606" i="16" s="1"/>
  <c r="E608" i="16"/>
  <c r="F608" i="16"/>
  <c r="D608" i="16"/>
  <c r="G607" i="16"/>
  <c r="H607" i="16" s="1"/>
  <c r="I607" i="16" s="1"/>
  <c r="K607" i="16" s="1"/>
  <c r="M607" i="16" s="1"/>
  <c r="B609" i="16"/>
  <c r="A610" i="16"/>
  <c r="L609" i="16"/>
  <c r="N607" i="16" l="1"/>
  <c r="O607" i="16" s="1"/>
  <c r="P607" i="16" s="1"/>
  <c r="B610" i="16"/>
  <c r="L610" i="16"/>
  <c r="A611" i="16"/>
  <c r="F609" i="16"/>
  <c r="E609" i="16"/>
  <c r="D609" i="16"/>
  <c r="G608" i="16"/>
  <c r="H608" i="16" l="1"/>
  <c r="I608" i="16" s="1"/>
  <c r="K608" i="16" s="1"/>
  <c r="M608" i="16" s="1"/>
  <c r="B611" i="16"/>
  <c r="L611" i="16"/>
  <c r="A612" i="16"/>
  <c r="G609" i="16"/>
  <c r="F610" i="16"/>
  <c r="E610" i="16"/>
  <c r="D610" i="16"/>
  <c r="N608" i="16" l="1"/>
  <c r="O608" i="16" s="1"/>
  <c r="P608" i="16" s="1"/>
  <c r="G610" i="16"/>
  <c r="H610" i="16" s="1"/>
  <c r="I610" i="16" s="1"/>
  <c r="K610" i="16" s="1"/>
  <c r="M610" i="16" s="1"/>
  <c r="F611" i="16"/>
  <c r="E611" i="16"/>
  <c r="D611" i="16"/>
  <c r="H609" i="16"/>
  <c r="I609" i="16" s="1"/>
  <c r="K609" i="16" s="1"/>
  <c r="M609" i="16" s="1"/>
  <c r="B612" i="16"/>
  <c r="L612" i="16"/>
  <c r="A613" i="16"/>
  <c r="N610" i="16" l="1"/>
  <c r="O610" i="16" s="1"/>
  <c r="P610" i="16" s="1"/>
  <c r="N609" i="16"/>
  <c r="O609" i="16" s="1"/>
  <c r="P609" i="16" s="1"/>
  <c r="B613" i="16"/>
  <c r="A614" i="16"/>
  <c r="L613" i="16"/>
  <c r="G611" i="16"/>
  <c r="H611" i="16" s="1"/>
  <c r="I611" i="16" s="1"/>
  <c r="K611" i="16" s="1"/>
  <c r="M611" i="16" s="1"/>
  <c r="F612" i="16"/>
  <c r="E612" i="16"/>
  <c r="D612" i="16"/>
  <c r="N611" i="16" l="1"/>
  <c r="O611" i="16" s="1"/>
  <c r="P611" i="16" s="1"/>
  <c r="G612" i="16"/>
  <c r="H612" i="16" s="1"/>
  <c r="I612" i="16" s="1"/>
  <c r="K612" i="16" s="1"/>
  <c r="M612" i="16" s="1"/>
  <c r="B614" i="16"/>
  <c r="L614" i="16"/>
  <c r="A615" i="16"/>
  <c r="F613" i="16"/>
  <c r="E613" i="16"/>
  <c r="D613" i="16"/>
  <c r="N612" i="16" l="1"/>
  <c r="O612" i="16" s="1"/>
  <c r="P612" i="16" s="1"/>
  <c r="G613" i="16"/>
  <c r="H613" i="16" s="1"/>
  <c r="I613" i="16" s="1"/>
  <c r="K613" i="16" s="1"/>
  <c r="M613" i="16" s="1"/>
  <c r="E614" i="16"/>
  <c r="F614" i="16"/>
  <c r="D614" i="16"/>
  <c r="B615" i="16"/>
  <c r="A616" i="16"/>
  <c r="L615" i="16"/>
  <c r="N613" i="16" l="1"/>
  <c r="O613" i="16" s="1"/>
  <c r="P613" i="16" s="1"/>
  <c r="B616" i="16"/>
  <c r="L616" i="16"/>
  <c r="A617" i="16"/>
  <c r="F615" i="16"/>
  <c r="E615" i="16"/>
  <c r="D615" i="16"/>
  <c r="G614" i="16"/>
  <c r="H614" i="16" l="1"/>
  <c r="I614" i="16" s="1"/>
  <c r="K614" i="16" s="1"/>
  <c r="M614" i="16" s="1"/>
  <c r="B617" i="16"/>
  <c r="L617" i="16"/>
  <c r="A618" i="16"/>
  <c r="G615" i="16"/>
  <c r="F616" i="16"/>
  <c r="E616" i="16"/>
  <c r="D616" i="16"/>
  <c r="N614" i="16" l="1"/>
  <c r="O614" i="16" s="1"/>
  <c r="P614" i="16" s="1"/>
  <c r="F617" i="16"/>
  <c r="E617" i="16"/>
  <c r="D617" i="16"/>
  <c r="H615" i="16"/>
  <c r="I615" i="16" s="1"/>
  <c r="K615" i="16" s="1"/>
  <c r="M615" i="16" s="1"/>
  <c r="G616" i="16"/>
  <c r="B618" i="16"/>
  <c r="A619" i="16"/>
  <c r="L618" i="16"/>
  <c r="N615" i="16" l="1"/>
  <c r="O615" i="16" s="1"/>
  <c r="P615" i="16" s="1"/>
  <c r="G617" i="16"/>
  <c r="H617" i="16" s="1"/>
  <c r="B619" i="16"/>
  <c r="A620" i="16"/>
  <c r="L619" i="16"/>
  <c r="E618" i="16"/>
  <c r="F618" i="16"/>
  <c r="D618" i="16"/>
  <c r="H616" i="16"/>
  <c r="I616" i="16" s="1"/>
  <c r="K616" i="16" s="1"/>
  <c r="M616" i="16" s="1"/>
  <c r="N616" i="16" l="1"/>
  <c r="O616" i="16" s="1"/>
  <c r="P616" i="16" s="1"/>
  <c r="I617" i="16"/>
  <c r="K617" i="16" s="1"/>
  <c r="M617" i="16" s="1"/>
  <c r="B620" i="16"/>
  <c r="L620" i="16"/>
  <c r="A621" i="16"/>
  <c r="G618" i="16"/>
  <c r="F619" i="16"/>
  <c r="E619" i="16"/>
  <c r="D619" i="16"/>
  <c r="N617" i="16" l="1"/>
  <c r="O617" i="16" s="1"/>
  <c r="P617" i="16" s="1"/>
  <c r="G619" i="16"/>
  <c r="H619" i="16" s="1"/>
  <c r="I619" i="16" s="1"/>
  <c r="K619" i="16" s="1"/>
  <c r="M619" i="16" s="1"/>
  <c r="H618" i="16"/>
  <c r="I618" i="16" s="1"/>
  <c r="K618" i="16" s="1"/>
  <c r="M618" i="16" s="1"/>
  <c r="B621" i="16"/>
  <c r="A622" i="16"/>
  <c r="L621" i="16"/>
  <c r="F620" i="16"/>
  <c r="E620" i="16"/>
  <c r="D620" i="16"/>
  <c r="N618" i="16" l="1"/>
  <c r="O618" i="16" s="1"/>
  <c r="P618" i="16" s="1"/>
  <c r="N619" i="16"/>
  <c r="O619" i="16" s="1"/>
  <c r="P619" i="16" s="1"/>
  <c r="B622" i="16"/>
  <c r="L622" i="16"/>
  <c r="A623" i="16"/>
  <c r="F621" i="16"/>
  <c r="E621" i="16"/>
  <c r="D621" i="16"/>
  <c r="G620" i="16"/>
  <c r="H620" i="16" l="1"/>
  <c r="I620" i="16" s="1"/>
  <c r="K620" i="16" s="1"/>
  <c r="M620" i="16" s="1"/>
  <c r="B623" i="16"/>
  <c r="A624" i="16"/>
  <c r="L623" i="16"/>
  <c r="G621" i="16"/>
  <c r="E622" i="16"/>
  <c r="F622" i="16"/>
  <c r="D622" i="16"/>
  <c r="N620" i="16" l="1"/>
  <c r="O620" i="16" s="1"/>
  <c r="P620" i="16" s="1"/>
  <c r="B624" i="16"/>
  <c r="L624" i="16"/>
  <c r="A625" i="16"/>
  <c r="E623" i="16"/>
  <c r="F623" i="16"/>
  <c r="D623" i="16"/>
  <c r="H621" i="16"/>
  <c r="I621" i="16" s="1"/>
  <c r="K621" i="16" s="1"/>
  <c r="M621" i="16" s="1"/>
  <c r="G622" i="16"/>
  <c r="N621" i="16" l="1"/>
  <c r="O621" i="16" s="1"/>
  <c r="P621" i="16" s="1"/>
  <c r="B625" i="16"/>
  <c r="L625" i="16"/>
  <c r="A626" i="16"/>
  <c r="G623" i="16"/>
  <c r="H622" i="16"/>
  <c r="I622" i="16" s="1"/>
  <c r="K622" i="16" s="1"/>
  <c r="M622" i="16" s="1"/>
  <c r="F624" i="16"/>
  <c r="E624" i="16"/>
  <c r="D624" i="16"/>
  <c r="N622" i="16" l="1"/>
  <c r="O622" i="16" s="1"/>
  <c r="P622" i="16" s="1"/>
  <c r="B626" i="16"/>
  <c r="L626" i="16"/>
  <c r="A627" i="16"/>
  <c r="G624" i="16"/>
  <c r="H623" i="16"/>
  <c r="I623" i="16" s="1"/>
  <c r="K623" i="16" s="1"/>
  <c r="M623" i="16" s="1"/>
  <c r="F625" i="16"/>
  <c r="E625" i="16"/>
  <c r="D625" i="16"/>
  <c r="N623" i="16" l="1"/>
  <c r="O623" i="16" s="1"/>
  <c r="P623" i="16" s="1"/>
  <c r="G625" i="16"/>
  <c r="H625" i="16" s="1"/>
  <c r="I625" i="16" s="1"/>
  <c r="K625" i="16" s="1"/>
  <c r="M625" i="16" s="1"/>
  <c r="H624" i="16"/>
  <c r="I624" i="16" s="1"/>
  <c r="K624" i="16" s="1"/>
  <c r="M624" i="16" s="1"/>
  <c r="B627" i="16"/>
  <c r="A628" i="16"/>
  <c r="L627" i="16"/>
  <c r="F626" i="16"/>
  <c r="E626" i="16"/>
  <c r="D626" i="16"/>
  <c r="N625" i="16" l="1"/>
  <c r="O625" i="16" s="1"/>
  <c r="P625" i="16" s="1"/>
  <c r="N624" i="16"/>
  <c r="O624" i="16" s="1"/>
  <c r="P624" i="16" s="1"/>
  <c r="B628" i="16"/>
  <c r="L628" i="16"/>
  <c r="A629" i="16"/>
  <c r="G626" i="16"/>
  <c r="F627" i="16"/>
  <c r="E627" i="16"/>
  <c r="D627" i="16"/>
  <c r="H626" i="16" l="1"/>
  <c r="I626" i="16" s="1"/>
  <c r="K626" i="16" s="1"/>
  <c r="M626" i="16" s="1"/>
  <c r="B629" i="16"/>
  <c r="L629" i="16"/>
  <c r="A630" i="16"/>
  <c r="G627" i="16"/>
  <c r="F628" i="16"/>
  <c r="E628" i="16"/>
  <c r="D628" i="16"/>
  <c r="N626" i="16" l="1"/>
  <c r="O626" i="16" s="1"/>
  <c r="P626" i="16" s="1"/>
  <c r="F629" i="16"/>
  <c r="E629" i="16"/>
  <c r="D629" i="16"/>
  <c r="H627" i="16"/>
  <c r="I627" i="16" s="1"/>
  <c r="K627" i="16" s="1"/>
  <c r="M627" i="16" s="1"/>
  <c r="G628" i="16"/>
  <c r="H628" i="16" s="1"/>
  <c r="I628" i="16" s="1"/>
  <c r="K628" i="16" s="1"/>
  <c r="M628" i="16" s="1"/>
  <c r="B630" i="16"/>
  <c r="A631" i="16"/>
  <c r="L630" i="16"/>
  <c r="N628" i="16" l="1"/>
  <c r="O628" i="16" s="1"/>
  <c r="P628" i="16" s="1"/>
  <c r="N627" i="16"/>
  <c r="O627" i="16" s="1"/>
  <c r="P627" i="16" s="1"/>
  <c r="G629" i="16"/>
  <c r="H629" i="16" s="1"/>
  <c r="I629" i="16" s="1"/>
  <c r="K629" i="16" s="1"/>
  <c r="M629" i="16" s="1"/>
  <c r="B631" i="16"/>
  <c r="A632" i="16"/>
  <c r="L631" i="16"/>
  <c r="F630" i="16"/>
  <c r="E630" i="16"/>
  <c r="D630" i="16"/>
  <c r="N629" i="16" l="1"/>
  <c r="O629" i="16" s="1"/>
  <c r="P629" i="16" s="1"/>
  <c r="G630" i="16"/>
  <c r="B632" i="16"/>
  <c r="L632" i="16"/>
  <c r="A633" i="16"/>
  <c r="E631" i="16"/>
  <c r="F631" i="16"/>
  <c r="D631" i="16"/>
  <c r="F632" i="16" l="1"/>
  <c r="E632" i="16"/>
  <c r="D632" i="16"/>
  <c r="B633" i="16"/>
  <c r="A634" i="16"/>
  <c r="L633" i="16"/>
  <c r="G631" i="16"/>
  <c r="H630" i="16"/>
  <c r="I630" i="16" s="1"/>
  <c r="K630" i="16" s="1"/>
  <c r="M630" i="16" s="1"/>
  <c r="N630" i="16" l="1"/>
  <c r="O630" i="16" s="1"/>
  <c r="P630" i="16" s="1"/>
  <c r="F633" i="16"/>
  <c r="E633" i="16"/>
  <c r="D633" i="16"/>
  <c r="H631" i="16"/>
  <c r="I631" i="16" s="1"/>
  <c r="K631" i="16" s="1"/>
  <c r="M631" i="16" s="1"/>
  <c r="G632" i="16"/>
  <c r="B634" i="16"/>
  <c r="A635" i="16"/>
  <c r="L634" i="16"/>
  <c r="N631" i="16" l="1"/>
  <c r="O631" i="16" s="1"/>
  <c r="P631" i="16" s="1"/>
  <c r="G633" i="16"/>
  <c r="H633" i="16" s="1"/>
  <c r="I633" i="16" s="1"/>
  <c r="K633" i="16" s="1"/>
  <c r="M633" i="16" s="1"/>
  <c r="B635" i="16"/>
  <c r="L635" i="16"/>
  <c r="A636" i="16"/>
  <c r="E634" i="16"/>
  <c r="F634" i="16"/>
  <c r="D634" i="16"/>
  <c r="H632" i="16"/>
  <c r="I632" i="16" s="1"/>
  <c r="K632" i="16" s="1"/>
  <c r="M632" i="16" s="1"/>
  <c r="N633" i="16" l="1"/>
  <c r="O633" i="16" s="1"/>
  <c r="P633" i="16" s="1"/>
  <c r="N632" i="16"/>
  <c r="O632" i="16" s="1"/>
  <c r="P632" i="16" s="1"/>
  <c r="G634" i="16"/>
  <c r="H634" i="16" s="1"/>
  <c r="B636" i="16"/>
  <c r="A637" i="16"/>
  <c r="L636" i="16"/>
  <c r="E635" i="16"/>
  <c r="F635" i="16"/>
  <c r="D635" i="16"/>
  <c r="I634" i="16" l="1"/>
  <c r="K634" i="16" s="1"/>
  <c r="M634" i="16" s="1"/>
  <c r="B637" i="16"/>
  <c r="A638" i="16"/>
  <c r="L637" i="16"/>
  <c r="F636" i="16"/>
  <c r="E636" i="16"/>
  <c r="D636" i="16"/>
  <c r="G635" i="16"/>
  <c r="N634" i="16" l="1"/>
  <c r="O634" i="16" s="1"/>
  <c r="P634" i="16" s="1"/>
  <c r="H635" i="16"/>
  <c r="I635" i="16" s="1"/>
  <c r="K635" i="16" s="1"/>
  <c r="M635" i="16" s="1"/>
  <c r="B638" i="16"/>
  <c r="A639" i="16"/>
  <c r="L638" i="16"/>
  <c r="G636" i="16"/>
  <c r="H636" i="16" s="1"/>
  <c r="I636" i="16" s="1"/>
  <c r="K636" i="16" s="1"/>
  <c r="M636" i="16" s="1"/>
  <c r="F637" i="16"/>
  <c r="E637" i="16"/>
  <c r="D637" i="16"/>
  <c r="N635" i="16" l="1"/>
  <c r="O635" i="16" s="1"/>
  <c r="P635" i="16" s="1"/>
  <c r="N636" i="16"/>
  <c r="O636" i="16" s="1"/>
  <c r="P636" i="16" s="1"/>
  <c r="B639" i="16"/>
  <c r="A640" i="16"/>
  <c r="L639" i="16"/>
  <c r="E638" i="16"/>
  <c r="F638" i="16"/>
  <c r="D638" i="16"/>
  <c r="G637" i="16"/>
  <c r="H637" i="16" s="1"/>
  <c r="I637" i="16" s="1"/>
  <c r="K637" i="16" s="1"/>
  <c r="M637" i="16" s="1"/>
  <c r="N637" i="16" l="1"/>
  <c r="O637" i="16" s="1"/>
  <c r="P637" i="16" s="1"/>
  <c r="B640" i="16"/>
  <c r="A641" i="16"/>
  <c r="L640" i="16"/>
  <c r="G638" i="16"/>
  <c r="F639" i="16"/>
  <c r="E639" i="16"/>
  <c r="D639" i="16"/>
  <c r="H638" i="16" l="1"/>
  <c r="I638" i="16" s="1"/>
  <c r="K638" i="16" s="1"/>
  <c r="M638" i="16" s="1"/>
  <c r="G639" i="16"/>
  <c r="B641" i="16"/>
  <c r="L641" i="16"/>
  <c r="E640" i="16"/>
  <c r="F640" i="16"/>
  <c r="D640" i="16"/>
  <c r="N638" i="16" l="1"/>
  <c r="O638" i="16" s="1"/>
  <c r="P638" i="16" s="1"/>
  <c r="F641" i="16"/>
  <c r="E641" i="16"/>
  <c r="D641" i="16"/>
  <c r="H639" i="16"/>
  <c r="I639" i="16" s="1"/>
  <c r="K639" i="16" s="1"/>
  <c r="M639" i="16" s="1"/>
  <c r="G640" i="16"/>
  <c r="N639" i="16" l="1"/>
  <c r="O639" i="16" s="1"/>
  <c r="P639" i="16" s="1"/>
  <c r="H640" i="16"/>
  <c r="I640" i="16" s="1"/>
  <c r="K640" i="16" s="1"/>
  <c r="M640" i="16" s="1"/>
  <c r="G641" i="16"/>
  <c r="N640" i="16" l="1"/>
  <c r="O640" i="16" s="1"/>
  <c r="P640" i="16" s="1"/>
  <c r="H641" i="16"/>
  <c r="I641" i="16" s="1"/>
  <c r="K641" i="16" s="1"/>
  <c r="M641" i="16" s="1"/>
  <c r="N641" i="16" l="1"/>
  <c r="O641" i="16" s="1"/>
  <c r="P641" i="16" s="1"/>
</calcChain>
</file>

<file path=xl/sharedStrings.xml><?xml version="1.0" encoding="utf-8"?>
<sst xmlns="http://schemas.openxmlformats.org/spreadsheetml/2006/main" count="305" uniqueCount="237">
  <si>
    <t>Nominal Input Voltage</t>
  </si>
  <si>
    <t>Output Voltage</t>
  </si>
  <si>
    <t>Output Current</t>
  </si>
  <si>
    <t>Switching Frequency (kHz)</t>
  </si>
  <si>
    <t>RFBT  (kΩ)</t>
  </si>
  <si>
    <t>RFBB   (kΩ)</t>
  </si>
  <si>
    <t>CVCC  (µF)</t>
  </si>
  <si>
    <t>CBOOT  (µF)</t>
  </si>
  <si>
    <t>CIN-HF  (µF)</t>
  </si>
  <si>
    <t>Actual Inductance used  (µH)</t>
  </si>
  <si>
    <t>CIN  (µF)</t>
  </si>
  <si>
    <t>UPDATE BASED ON CALCULATED INDUCTANCE</t>
  </si>
  <si>
    <t>Peak Inductor Current (A)</t>
  </si>
  <si>
    <t>Valley Inductor Current (A)</t>
  </si>
  <si>
    <t>Inductor Current Ripple (A)</t>
  </si>
  <si>
    <t>m</t>
  </si>
  <si>
    <t>Vr</t>
  </si>
  <si>
    <t>L</t>
  </si>
  <si>
    <t>Fx</t>
  </si>
  <si>
    <t>PM</t>
  </si>
  <si>
    <t>&lt;=3.3V</t>
  </si>
  <si>
    <t>&gt;=5V</t>
  </si>
  <si>
    <t>High side Ilimit</t>
  </si>
  <si>
    <t>Low side Ilimit</t>
  </si>
  <si>
    <t>peak</t>
  </si>
  <si>
    <t>delta I</t>
  </si>
  <si>
    <t>valley</t>
  </si>
  <si>
    <t>CoutAL</t>
  </si>
  <si>
    <t>ESR</t>
  </si>
  <si>
    <t>Gm</t>
  </si>
  <si>
    <t>mc</t>
  </si>
  <si>
    <t>A0</t>
  </si>
  <si>
    <t>T0</t>
  </si>
  <si>
    <t>Tz</t>
  </si>
  <si>
    <t>T2</t>
  </si>
  <si>
    <t>A2</t>
  </si>
  <si>
    <t>B2</t>
  </si>
  <si>
    <t>Tpara</t>
  </si>
  <si>
    <t>Tffz</t>
  </si>
  <si>
    <t>external CFF zero</t>
  </si>
  <si>
    <t>***************************************************************</t>
  </si>
  <si>
    <t>alpha</t>
  </si>
  <si>
    <t>D</t>
  </si>
  <si>
    <t>D'</t>
  </si>
  <si>
    <t>m2</t>
  </si>
  <si>
    <t>ro</t>
  </si>
  <si>
    <t>RL</t>
  </si>
  <si>
    <t>R</t>
  </si>
  <si>
    <t>To</t>
  </si>
  <si>
    <t>Cs</t>
  </si>
  <si>
    <t>A</t>
  </si>
  <si>
    <t>B</t>
  </si>
  <si>
    <t>C</t>
  </si>
  <si>
    <t>********************************************************************</t>
  </si>
  <si>
    <t>Crossover frequency</t>
  </si>
  <si>
    <t>Px</t>
  </si>
  <si>
    <t>Phase at crossover</t>
  </si>
  <si>
    <t>Phase Margin</t>
  </si>
  <si>
    <t>Frequency</t>
  </si>
  <si>
    <t>Radians</t>
  </si>
  <si>
    <t>real3</t>
  </si>
  <si>
    <t>imag3</t>
  </si>
  <si>
    <t>3rd</t>
  </si>
  <si>
    <t>Magnitude</t>
  </si>
  <si>
    <t>phase 3rd</t>
  </si>
  <si>
    <t>phase Tz</t>
  </si>
  <si>
    <t>phase Tffz</t>
  </si>
  <si>
    <t>phaseT0</t>
  </si>
  <si>
    <t>phasepT2</t>
  </si>
  <si>
    <t>phasepTpara</t>
  </si>
  <si>
    <t>Phase</t>
  </si>
  <si>
    <t>Intermediate calcs</t>
  </si>
  <si>
    <t>*********************************************************************</t>
  </si>
  <si>
    <t>F1</t>
  </si>
  <si>
    <t>F2</t>
  </si>
  <si>
    <t>T1</t>
  </si>
  <si>
    <t>P1</t>
  </si>
  <si>
    <t>P2</t>
  </si>
  <si>
    <t>mp</t>
  </si>
  <si>
    <t>ADJ</t>
  </si>
  <si>
    <t>*******************************************************************</t>
  </si>
  <si>
    <t>Fsw</t>
  </si>
  <si>
    <t>CoutCerm</t>
  </si>
  <si>
    <t>RFBT</t>
  </si>
  <si>
    <t>RFBB</t>
  </si>
  <si>
    <t>Power stage Gm</t>
  </si>
  <si>
    <t>Corrective ramp slope at inductor</t>
  </si>
  <si>
    <t>Error amp DC gain</t>
  </si>
  <si>
    <t>Type II comp dominant pole</t>
  </si>
  <si>
    <t>Type II comp dominant zero</t>
  </si>
  <si>
    <t>C2</t>
  </si>
  <si>
    <t>Error amp parasitic network pole</t>
  </si>
  <si>
    <t>FB divider pole parameter</t>
  </si>
  <si>
    <t>Cout_total</t>
  </si>
  <si>
    <t>****************************************************************</t>
  </si>
  <si>
    <t>Zero from Al ESR</t>
  </si>
  <si>
    <t>Pole from cerm Co and Al ESR</t>
  </si>
  <si>
    <t>T_CFFe</t>
  </si>
  <si>
    <t>real3_FB</t>
  </si>
  <si>
    <t>imag3_FB</t>
  </si>
  <si>
    <t>3rd_FB</t>
  </si>
  <si>
    <t>Tesrzero</t>
  </si>
  <si>
    <t>Tesrpole</t>
  </si>
  <si>
    <t>phaseESRzero</t>
  </si>
  <si>
    <t>phaseESRpole</t>
  </si>
  <si>
    <t>TESR</t>
  </si>
  <si>
    <t>TCESR</t>
  </si>
  <si>
    <t>UPDATE BASED ON CALCULATED CAPACITANCE</t>
  </si>
  <si>
    <t>Calculated Minimum Inductance  (µH)</t>
  </si>
  <si>
    <t>Calculated Output Capacitance  (µF)</t>
  </si>
  <si>
    <t>Calculated Minimum Output Capacitance  (µF)</t>
  </si>
  <si>
    <t>Actual Output Capacitance used  (µF)</t>
  </si>
  <si>
    <t>calc CFFe</t>
  </si>
  <si>
    <t>CFFe</t>
  </si>
  <si>
    <t>Calculated Feed-forward Capacitance  (pF)</t>
  </si>
  <si>
    <t>Al. Electrolytic Output Capacitance (if used)  (µF)</t>
  </si>
  <si>
    <t>Loop Gain Crossover Frequency (kHz)</t>
  </si>
  <si>
    <t>Loop Gain Phase Margin  (°)</t>
  </si>
  <si>
    <t>Actual Feed-forward capacitance (if used)  (pF)</t>
  </si>
  <si>
    <t>Current rating</t>
  </si>
  <si>
    <t>Device Number</t>
  </si>
  <si>
    <t>R1</t>
  </si>
  <si>
    <t>R2</t>
  </si>
  <si>
    <t>******************************************************************</t>
  </si>
  <si>
    <t>Rated Current Fudge</t>
  </si>
  <si>
    <t>Leave at 1.0</t>
  </si>
  <si>
    <t>DONT TOUCH</t>
  </si>
  <si>
    <t>Enter @ right</t>
  </si>
  <si>
    <t>Vatche'</t>
  </si>
  <si>
    <t>See notes for details of this calculation tab</t>
  </si>
  <si>
    <t>Input Specifications</t>
  </si>
  <si>
    <t>Inductor Calculations</t>
  </si>
  <si>
    <t>Output Capacitor Calculations</t>
  </si>
  <si>
    <t>Feed-forward Capacitor Calculations</t>
  </si>
  <si>
    <t>Feed-back Divider Resistors</t>
  </si>
  <si>
    <t>Auxiliary Components and Connections</t>
  </si>
  <si>
    <t>Current Limit Calculations</t>
  </si>
  <si>
    <t xml:space="preserve">Calculated Inductance  (µH)  </t>
  </si>
  <si>
    <t>Vin min</t>
  </si>
  <si>
    <t>Vin max op</t>
  </si>
  <si>
    <t>Ton min</t>
  </si>
  <si>
    <t>Toff min</t>
  </si>
  <si>
    <t>Ton max</t>
  </si>
  <si>
    <t>Dmin</t>
  </si>
  <si>
    <t>Dmax freq</t>
  </si>
  <si>
    <t>Dmax drop</t>
  </si>
  <si>
    <t>Vin max</t>
  </si>
  <si>
    <t>RHS</t>
  </si>
  <si>
    <t>RLS</t>
  </si>
  <si>
    <t>Vin min freq</t>
  </si>
  <si>
    <t>Vin min drop</t>
  </si>
  <si>
    <t>Input Voltage Range</t>
  </si>
  <si>
    <t>Inductor DC Resistance  (mΩ)</t>
  </si>
  <si>
    <t>Maximum Input for Full Frequency (V)</t>
  </si>
  <si>
    <t>Minimum Input for Full Frequency (V)</t>
  </si>
  <si>
    <t>Minimum Input for Regulation (V)</t>
  </si>
  <si>
    <t>Al. Electrolytic ESR (if used)  (mΩ)</t>
  </si>
  <si>
    <t>Estimated Loop Performance</t>
  </si>
  <si>
    <t>Input Cells</t>
  </si>
  <si>
    <t>Results</t>
  </si>
  <si>
    <t>ADJ 1Vout</t>
  </si>
  <si>
    <t>Inductor Current Ripple Factor</t>
  </si>
  <si>
    <t>This is the maximum input voltage before the switching frequency will drop because of minimum on-time restrictions.</t>
  </si>
  <si>
    <t>This is the minimum input voltage before the switching frequency will drop because of minimum off-time restrictions</t>
  </si>
  <si>
    <t>This is the minimum input voltage before the output voltage falls out of regulation. (drop-out)</t>
  </si>
  <si>
    <t>Inductance calc</t>
  </si>
  <si>
    <t>Min inductance</t>
  </si>
  <si>
    <t>Suggested inductance</t>
  </si>
  <si>
    <t>adj</t>
  </si>
  <si>
    <t>LMR33630</t>
  </si>
  <si>
    <t>LMR33620</t>
  </si>
  <si>
    <t>LMR33640</t>
  </si>
  <si>
    <t>Package</t>
  </si>
  <si>
    <t>DDA</t>
  </si>
  <si>
    <t>C1</t>
  </si>
  <si>
    <t>RP</t>
  </si>
  <si>
    <t>C1||C2</t>
  </si>
  <si>
    <t>Rpara</t>
  </si>
  <si>
    <t>Cpara</t>
  </si>
  <si>
    <t>Not used</t>
  </si>
  <si>
    <t>Tz2</t>
  </si>
  <si>
    <t>phase Tz2</t>
  </si>
  <si>
    <t>*********************   reef *******************************</t>
  </si>
  <si>
    <t>phase 3rd FB</t>
  </si>
  <si>
    <t>gm</t>
  </si>
  <si>
    <t>Reo</t>
  </si>
  <si>
    <t>RC</t>
  </si>
  <si>
    <t>CC</t>
  </si>
  <si>
    <t>Ae</t>
  </si>
  <si>
    <t>Chf</t>
  </si>
  <si>
    <t>Be</t>
  </si>
  <si>
    <t>Approx dominant pole</t>
  </si>
  <si>
    <t>Approx HF pole</t>
  </si>
  <si>
    <t>Power stage</t>
  </si>
  <si>
    <t>Mag</t>
  </si>
  <si>
    <t>FB Div</t>
  </si>
  <si>
    <t>Eamp+para</t>
  </si>
  <si>
    <t>THF</t>
  </si>
  <si>
    <t>Cr</t>
  </si>
  <si>
    <t>Cout:&gt;5V</t>
  </si>
  <si>
    <t>Cout:&lt;3.3V</t>
  </si>
  <si>
    <t>COUT</t>
  </si>
  <si>
    <t>cout_min</t>
  </si>
  <si>
    <t>COUT_MIN</t>
  </si>
  <si>
    <r>
      <rPr>
        <i/>
        <sz val="12"/>
        <color theme="1"/>
        <rFont val="Calibri"/>
        <family val="2"/>
      </rPr>
      <t>µ</t>
    </r>
    <r>
      <rPr>
        <i/>
        <sz val="12"/>
        <color theme="1"/>
        <rFont val="Times New Roman"/>
        <family val="2"/>
      </rPr>
      <t>F</t>
    </r>
  </si>
  <si>
    <t>Values in table are based on data sheet and assumed de-rate with lots of guessing</t>
  </si>
  <si>
    <t>Delta I'</t>
  </si>
  <si>
    <t>K6</t>
  </si>
  <si>
    <t>I1</t>
  </si>
  <si>
    <t>I2</t>
  </si>
  <si>
    <t>I3</t>
  </si>
  <si>
    <t>modeX</t>
  </si>
  <si>
    <t>Flag mode</t>
  </si>
  <si>
    <t>Iout</t>
  </si>
  <si>
    <t>Rload</t>
  </si>
  <si>
    <t>a</t>
  </si>
  <si>
    <t>b</t>
  </si>
  <si>
    <t>c</t>
  </si>
  <si>
    <t>vo3</t>
  </si>
  <si>
    <t>di3</t>
  </si>
  <si>
    <t>i3v</t>
  </si>
  <si>
    <t>MODE</t>
  </si>
  <si>
    <t>Iout'</t>
  </si>
  <si>
    <t>Vout'</t>
  </si>
  <si>
    <t>FSW</t>
  </si>
  <si>
    <t>Inductor Current Calculations</t>
  </si>
  <si>
    <t>Fold-back Current Limit (A)</t>
  </si>
  <si>
    <t>This is the maximum output current before the switching frequency will drop.</t>
  </si>
  <si>
    <t>Current Limit (A)</t>
  </si>
  <si>
    <t>This is the maximum output current before the output voltage falls out of regulation</t>
  </si>
  <si>
    <t>Maximum Output Current (A)</t>
  </si>
  <si>
    <t>Maximum output current in current limit</t>
  </si>
  <si>
    <t>Revision</t>
  </si>
  <si>
    <t>Date</t>
  </si>
  <si>
    <t>Comments</t>
  </si>
  <si>
    <t>Initial release</t>
  </si>
  <si>
    <t>June, 17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</si>
</sst>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E+00"/>
    <numFmt numFmtId="167" formatCode="0.00000E+00"/>
    <numFmt numFmtId="168" formatCode="#,##0.0"/>
    <numFmt numFmtId="169" formatCode="0.000E+00"/>
    <numFmt numFmtId="170" formatCode="#,##0.0000"/>
    <numFmt numFmtId="171" formatCode="#,##0.000"/>
    <numFmt numFmtId="172" formatCode="0.0000"/>
  </numFmts>
  <fonts count="33"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sz val="12"/>
      <color theme="1"/>
      <name val="Times New Roman"/>
      <family val="2"/>
    </font>
    <font>
      <b/>
      <sz val="12"/>
      <color rgb="FFFF0000"/>
      <name val="Times New Roman"/>
      <family val="1"/>
    </font>
    <font>
      <i/>
      <sz val="12"/>
      <color theme="1"/>
      <name val="Times New Roman"/>
      <family val="1"/>
    </font>
    <font>
      <b/>
      <sz val="11"/>
      <color theme="1"/>
      <name val="Calibri"/>
      <family val="2"/>
      <scheme val="minor"/>
    </font>
    <font>
      <i/>
      <sz val="11"/>
      <color theme="1"/>
      <name val="Calibri"/>
      <family val="2"/>
      <scheme val="minor"/>
    </font>
    <font>
      <b/>
      <sz val="12"/>
      <color theme="1"/>
      <name val="Calibri"/>
      <family val="2"/>
      <scheme val="minor"/>
    </font>
    <font>
      <b/>
      <sz val="14"/>
      <color rgb="FF0070C0"/>
      <name val="Arial"/>
      <family val="2"/>
    </font>
    <font>
      <sz val="12"/>
      <color theme="1"/>
      <name val="Arial"/>
      <family val="2"/>
    </font>
    <font>
      <b/>
      <sz val="12"/>
      <color theme="1"/>
      <name val="Arial"/>
      <family val="2"/>
    </font>
    <font>
      <i/>
      <sz val="12"/>
      <color theme="1"/>
      <name val="Arial"/>
      <family val="2"/>
    </font>
    <font>
      <sz val="12"/>
      <name val="Cambria"/>
      <family val="1"/>
    </font>
    <font>
      <sz val="11"/>
      <name val="Calibri"/>
      <family val="2"/>
      <scheme val="minor"/>
    </font>
    <font>
      <b/>
      <sz val="12"/>
      <color rgb="FFFF0000"/>
      <name val="Arial"/>
      <family val="2"/>
    </font>
    <font>
      <i/>
      <sz val="12"/>
      <color theme="1"/>
      <name val="Times New Roman"/>
      <family val="2"/>
    </font>
    <font>
      <i/>
      <sz val="12"/>
      <color theme="1"/>
      <name val="Calibri"/>
      <family val="2"/>
    </font>
    <font>
      <sz val="12"/>
      <name val="Times New Roman"/>
      <family val="2"/>
    </font>
    <font>
      <sz val="18"/>
      <color theme="1"/>
      <name val="Times New Roman"/>
      <family val="2"/>
    </font>
    <font>
      <sz val="16"/>
      <color theme="1"/>
      <name val="Times New Roman"/>
      <family val="2"/>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14996795556505021"/>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auto="1"/>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
      <left style="thin">
        <color auto="1"/>
      </left>
      <right style="medium">
        <color indexed="64"/>
      </right>
      <top style="thin">
        <color auto="1"/>
      </top>
      <bottom style="thin">
        <color auto="1"/>
      </bottom>
      <diagonal/>
    </border>
    <border>
      <left style="medium">
        <color indexed="64"/>
      </left>
      <right/>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thin">
        <color auto="1"/>
      </bottom>
      <diagonal/>
    </border>
    <border>
      <left/>
      <right style="medium">
        <color indexed="64"/>
      </right>
      <top style="medium">
        <color indexed="64"/>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xf numFmtId="0" fontId="15" fillId="0" borderId="0"/>
    <xf numFmtId="0" fontId="12" fillId="0" borderId="0"/>
    <xf numFmtId="0" fontId="11" fillId="0" borderId="0"/>
    <xf numFmtId="0" fontId="5" fillId="0" borderId="0"/>
    <xf numFmtId="0" fontId="5" fillId="0" borderId="0"/>
    <xf numFmtId="0" fontId="3" fillId="0" borderId="0"/>
    <xf numFmtId="0" fontId="2" fillId="0" borderId="0"/>
  </cellStyleXfs>
  <cellXfs count="164">
    <xf numFmtId="0" fontId="0" fillId="0" borderId="0" xfId="0"/>
    <xf numFmtId="0" fontId="0" fillId="0" borderId="0" xfId="0" applyAlignment="1">
      <alignment vertical="center"/>
    </xf>
    <xf numFmtId="166" fontId="0" fillId="0" borderId="0" xfId="0" applyNumberFormat="1" applyAlignment="1">
      <alignment vertical="center"/>
    </xf>
    <xf numFmtId="11" fontId="0" fillId="0" borderId="0" xfId="0" applyNumberFormat="1" applyAlignment="1">
      <alignment vertical="center"/>
    </xf>
    <xf numFmtId="167" fontId="0" fillId="0" borderId="0" xfId="0" applyNumberFormat="1" applyAlignment="1">
      <alignment vertical="center"/>
    </xf>
    <xf numFmtId="0" fontId="15" fillId="0" borderId="0" xfId="1"/>
    <xf numFmtId="0" fontId="16" fillId="0" borderId="0" xfId="1" applyFont="1"/>
    <xf numFmtId="0" fontId="14" fillId="0" borderId="0" xfId="1" applyFont="1"/>
    <xf numFmtId="0" fontId="11" fillId="0" borderId="0" xfId="3"/>
    <xf numFmtId="11" fontId="11" fillId="0" borderId="0" xfId="3" applyNumberFormat="1"/>
    <xf numFmtId="0" fontId="19" fillId="0" borderId="0" xfId="3" applyFont="1"/>
    <xf numFmtId="166" fontId="11" fillId="0" borderId="0" xfId="3" applyNumberFormat="1"/>
    <xf numFmtId="164" fontId="11" fillId="0" borderId="0" xfId="3" applyNumberFormat="1"/>
    <xf numFmtId="0" fontId="11" fillId="0" borderId="1" xfId="3" applyBorder="1"/>
    <xf numFmtId="11" fontId="11" fillId="4" borderId="1" xfId="3" applyNumberFormat="1" applyFill="1" applyBorder="1"/>
    <xf numFmtId="11" fontId="11" fillId="0" borderId="1" xfId="3" applyNumberFormat="1" applyBorder="1"/>
    <xf numFmtId="0" fontId="11" fillId="2" borderId="1" xfId="3" applyFill="1" applyBorder="1"/>
    <xf numFmtId="164" fontId="11" fillId="2" borderId="1" xfId="3" applyNumberFormat="1" applyFill="1" applyBorder="1"/>
    <xf numFmtId="0" fontId="18" fillId="0" borderId="0" xfId="3" applyFont="1"/>
    <xf numFmtId="0" fontId="20" fillId="3" borderId="1" xfId="3" applyFont="1" applyFill="1" applyBorder="1"/>
    <xf numFmtId="168" fontId="11" fillId="0" borderId="0" xfId="3" applyNumberFormat="1"/>
    <xf numFmtId="2" fontId="11" fillId="0" borderId="0" xfId="3" applyNumberFormat="1"/>
    <xf numFmtId="166" fontId="15" fillId="2" borderId="1" xfId="1" applyNumberFormat="1" applyFill="1" applyBorder="1"/>
    <xf numFmtId="11" fontId="15" fillId="0" borderId="0" xfId="1" applyNumberFormat="1"/>
    <xf numFmtId="166" fontId="15" fillId="0" borderId="0" xfId="1" applyNumberFormat="1"/>
    <xf numFmtId="168" fontId="15" fillId="0" borderId="0" xfId="1" applyNumberFormat="1"/>
    <xf numFmtId="0" fontId="10" fillId="0" borderId="0" xfId="3" applyFont="1"/>
    <xf numFmtId="0" fontId="9" fillId="0" borderId="0" xfId="3" applyFont="1"/>
    <xf numFmtId="0" fontId="0" fillId="0" borderId="0" xfId="1" applyFont="1"/>
    <xf numFmtId="166" fontId="15" fillId="6" borderId="1" xfId="1" applyNumberFormat="1" applyFill="1" applyBorder="1"/>
    <xf numFmtId="0" fontId="9" fillId="0" borderId="1" xfId="3" applyFont="1" applyBorder="1"/>
    <xf numFmtId="0" fontId="8" fillId="0" borderId="0" xfId="3" applyFont="1"/>
    <xf numFmtId="0" fontId="7" fillId="0" borderId="0" xfId="3" applyFont="1"/>
    <xf numFmtId="0" fontId="6" fillId="0" borderId="0" xfId="3" applyFont="1"/>
    <xf numFmtId="0" fontId="7" fillId="0" borderId="1" xfId="3" applyFont="1" applyBorder="1"/>
    <xf numFmtId="0" fontId="4" fillId="0" borderId="0" xfId="3" applyFont="1"/>
    <xf numFmtId="14" fontId="18" fillId="0" borderId="0" xfId="3" applyNumberFormat="1" applyFont="1"/>
    <xf numFmtId="0" fontId="0" fillId="3" borderId="1" xfId="0" applyFill="1" applyBorder="1"/>
    <xf numFmtId="0" fontId="0" fillId="0" borderId="3" xfId="0" applyBorder="1"/>
    <xf numFmtId="0" fontId="0" fillId="0" borderId="5" xfId="0" applyBorder="1"/>
    <xf numFmtId="0" fontId="0" fillId="0" borderId="7" xfId="0" applyBorder="1"/>
    <xf numFmtId="169" fontId="11" fillId="3" borderId="1" xfId="3" applyNumberFormat="1" applyFill="1" applyBorder="1"/>
    <xf numFmtId="11" fontId="11" fillId="2" borderId="1" xfId="3" applyNumberFormat="1" applyFill="1" applyBorder="1"/>
    <xf numFmtId="14" fontId="14" fillId="0" borderId="0" xfId="0" applyNumberFormat="1" applyFont="1" applyAlignment="1">
      <alignment vertical="center"/>
    </xf>
    <xf numFmtId="0" fontId="21" fillId="0" borderId="0" xfId="0" applyFont="1" applyAlignment="1">
      <alignment vertical="center"/>
    </xf>
    <xf numFmtId="0" fontId="22" fillId="0" borderId="0" xfId="0" applyFont="1" applyAlignment="1">
      <alignment vertical="center"/>
    </xf>
    <xf numFmtId="0" fontId="22" fillId="0" borderId="12" xfId="0" applyFont="1" applyBorder="1"/>
    <xf numFmtId="0" fontId="22" fillId="0" borderId="0" xfId="0" applyFont="1"/>
    <xf numFmtId="0" fontId="22" fillId="0" borderId="12" xfId="0" applyFont="1" applyBorder="1" applyAlignment="1">
      <alignment vertical="center"/>
    </xf>
    <xf numFmtId="2" fontId="22" fillId="3" borderId="16" xfId="0" applyNumberFormat="1" applyFont="1" applyFill="1" applyBorder="1" applyAlignment="1">
      <alignment vertical="center"/>
    </xf>
    <xf numFmtId="0" fontId="22" fillId="0" borderId="17" xfId="0" applyFont="1" applyBorder="1" applyAlignment="1">
      <alignment vertical="center"/>
    </xf>
    <xf numFmtId="2" fontId="22" fillId="3" borderId="2" xfId="0" applyNumberFormat="1" applyFont="1" applyFill="1" applyBorder="1" applyAlignment="1">
      <alignment vertical="center"/>
    </xf>
    <xf numFmtId="0" fontId="23" fillId="4" borderId="15" xfId="0" applyFont="1" applyFill="1" applyBorder="1" applyAlignment="1">
      <alignment vertical="center"/>
    </xf>
    <xf numFmtId="2" fontId="22" fillId="0" borderId="0" xfId="0" applyNumberFormat="1" applyFont="1" applyAlignment="1">
      <alignment vertical="center"/>
    </xf>
    <xf numFmtId="164" fontId="22" fillId="3" borderId="16" xfId="0" applyNumberFormat="1" applyFont="1" applyFill="1" applyBorder="1" applyAlignment="1">
      <alignment vertical="center"/>
    </xf>
    <xf numFmtId="0" fontId="22" fillId="0" borderId="20" xfId="0" applyFont="1" applyBorder="1" applyAlignment="1">
      <alignment vertical="center"/>
    </xf>
    <xf numFmtId="164" fontId="22" fillId="6" borderId="16" xfId="0" applyNumberFormat="1" applyFont="1" applyFill="1" applyBorder="1"/>
    <xf numFmtId="0" fontId="22" fillId="0" borderId="17" xfId="0" applyFont="1" applyBorder="1"/>
    <xf numFmtId="0" fontId="22" fillId="3" borderId="16" xfId="0" applyFont="1" applyFill="1" applyBorder="1" applyAlignment="1">
      <alignment vertical="center"/>
    </xf>
    <xf numFmtId="164" fontId="22" fillId="3" borderId="19" xfId="0" applyNumberFormat="1" applyFont="1" applyFill="1" applyBorder="1" applyAlignment="1">
      <alignment vertical="center"/>
    </xf>
    <xf numFmtId="0" fontId="22" fillId="3" borderId="13" xfId="0" applyFont="1" applyFill="1" applyBorder="1" applyAlignment="1">
      <alignment vertical="center"/>
    </xf>
    <xf numFmtId="0" fontId="22" fillId="3" borderId="15" xfId="0" applyFont="1" applyFill="1" applyBorder="1" applyAlignment="1">
      <alignment vertical="center"/>
    </xf>
    <xf numFmtId="2" fontId="22" fillId="3" borderId="1" xfId="0" applyNumberFormat="1" applyFont="1" applyFill="1" applyBorder="1" applyAlignment="1">
      <alignment vertical="center"/>
    </xf>
    <xf numFmtId="165" fontId="22" fillId="3" borderId="19" xfId="0" applyNumberFormat="1" applyFont="1" applyFill="1" applyBorder="1" applyAlignment="1">
      <alignment vertical="center"/>
    </xf>
    <xf numFmtId="0" fontId="23" fillId="0" borderId="9" xfId="0" applyFont="1" applyBorder="1" applyAlignment="1">
      <alignment vertical="center"/>
    </xf>
    <xf numFmtId="0" fontId="23" fillId="0" borderId="11" xfId="0" applyFont="1" applyBorder="1"/>
    <xf numFmtId="0" fontId="23" fillId="0" borderId="11" xfId="0" applyFont="1" applyBorder="1" applyAlignment="1">
      <alignment vertical="center"/>
    </xf>
    <xf numFmtId="0" fontId="23" fillId="0" borderId="14" xfId="0" applyFont="1" applyBorder="1" applyAlignment="1">
      <alignment vertical="center"/>
    </xf>
    <xf numFmtId="0" fontId="23" fillId="4" borderId="18" xfId="0" applyFont="1" applyFill="1" applyBorder="1" applyAlignment="1">
      <alignment vertical="center"/>
    </xf>
    <xf numFmtId="0" fontId="0" fillId="2" borderId="1" xfId="0" applyFill="1" applyBorder="1"/>
    <xf numFmtId="11" fontId="0" fillId="2" borderId="1" xfId="0" applyNumberFormat="1" applyFill="1" applyBorder="1"/>
    <xf numFmtId="166" fontId="0" fillId="3" borderId="1" xfId="0" applyNumberFormat="1" applyFill="1" applyBorder="1"/>
    <xf numFmtId="2" fontId="0" fillId="3" borderId="1" xfId="0" applyNumberFormat="1" applyFill="1" applyBorder="1"/>
    <xf numFmtId="0" fontId="23" fillId="0" borderId="0" xfId="0" applyFont="1" applyAlignment="1">
      <alignment vertical="center"/>
    </xf>
    <xf numFmtId="0" fontId="23" fillId="0" borderId="21" xfId="0" applyFont="1" applyBorder="1" applyAlignment="1">
      <alignment vertical="center"/>
    </xf>
    <xf numFmtId="0" fontId="23" fillId="0" borderId="22" xfId="0" applyFont="1" applyBorder="1" applyAlignment="1">
      <alignment vertical="center"/>
    </xf>
    <xf numFmtId="0" fontId="23" fillId="0" borderId="18" xfId="0" applyFont="1" applyBorder="1" applyAlignment="1">
      <alignment vertical="center"/>
    </xf>
    <xf numFmtId="2" fontId="22" fillId="3" borderId="13" xfId="0" applyNumberFormat="1" applyFont="1" applyFill="1" applyBorder="1"/>
    <xf numFmtId="2" fontId="22" fillId="3" borderId="15" xfId="0" applyNumberFormat="1" applyFont="1" applyFill="1" applyBorder="1"/>
    <xf numFmtId="164" fontId="22" fillId="6" borderId="10" xfId="0" applyNumberFormat="1" applyFont="1" applyFill="1" applyBorder="1" applyAlignment="1">
      <alignment vertical="center"/>
    </xf>
    <xf numFmtId="164" fontId="22" fillId="6" borderId="15" xfId="0" applyNumberFormat="1" applyFont="1" applyFill="1" applyBorder="1" applyAlignment="1">
      <alignment vertical="center"/>
    </xf>
    <xf numFmtId="0" fontId="23" fillId="2" borderId="1" xfId="0" applyFont="1" applyFill="1" applyBorder="1" applyAlignment="1">
      <alignment horizontal="center" vertical="center"/>
    </xf>
    <xf numFmtId="0" fontId="23" fillId="3" borderId="1" xfId="0" applyFont="1" applyFill="1" applyBorder="1" applyAlignment="1">
      <alignment horizontal="center" vertical="center"/>
    </xf>
    <xf numFmtId="0" fontId="15" fillId="3" borderId="1" xfId="1" applyFill="1" applyBorder="1"/>
    <xf numFmtId="11" fontId="15" fillId="3" borderId="1" xfId="1" applyNumberFormat="1" applyFill="1" applyBorder="1"/>
    <xf numFmtId="166" fontId="15" fillId="3" borderId="1" xfId="1" applyNumberFormat="1" applyFill="1" applyBorder="1"/>
    <xf numFmtId="164" fontId="22" fillId="3" borderId="2" xfId="0" applyNumberFormat="1" applyFont="1" applyFill="1" applyBorder="1"/>
    <xf numFmtId="0" fontId="23" fillId="4" borderId="1" xfId="0" applyFont="1" applyFill="1" applyBorder="1" applyAlignment="1">
      <alignment vertical="center"/>
    </xf>
    <xf numFmtId="0" fontId="24" fillId="0" borderId="0" xfId="0" applyFont="1" applyAlignment="1">
      <alignment vertical="center" wrapText="1"/>
    </xf>
    <xf numFmtId="0" fontId="22" fillId="2" borderId="10" xfId="0" applyFont="1" applyFill="1" applyBorder="1" applyAlignment="1" applyProtection="1">
      <alignment vertical="center"/>
      <protection locked="0"/>
    </xf>
    <xf numFmtId="0" fontId="22" fillId="2" borderId="13" xfId="0" applyFont="1" applyFill="1" applyBorder="1" applyAlignment="1" applyProtection="1">
      <alignment vertical="center"/>
      <protection locked="0"/>
    </xf>
    <xf numFmtId="0" fontId="22" fillId="2" borderId="15" xfId="0" applyFont="1" applyFill="1" applyBorder="1" applyAlignment="1" applyProtection="1">
      <alignment vertical="center"/>
      <protection locked="0"/>
    </xf>
    <xf numFmtId="164" fontId="22" fillId="2" borderId="19" xfId="0" applyNumberFormat="1" applyFont="1" applyFill="1" applyBorder="1" applyAlignment="1" applyProtection="1">
      <alignment vertical="center"/>
      <protection locked="0"/>
    </xf>
    <xf numFmtId="164" fontId="22" fillId="2" borderId="1" xfId="0" applyNumberFormat="1" applyFont="1" applyFill="1" applyBorder="1" applyAlignment="1" applyProtection="1">
      <alignment vertical="center"/>
      <protection locked="0"/>
    </xf>
    <xf numFmtId="1" fontId="22" fillId="2" borderId="1" xfId="0" applyNumberFormat="1" applyFont="1" applyFill="1" applyBorder="1" applyAlignment="1" applyProtection="1">
      <alignment vertical="center"/>
      <protection locked="0"/>
    </xf>
    <xf numFmtId="0" fontId="22" fillId="2" borderId="19" xfId="0" applyFont="1" applyFill="1" applyBorder="1" applyProtection="1">
      <protection locked="0"/>
    </xf>
    <xf numFmtId="0" fontId="22" fillId="2" borderId="10" xfId="0" applyFont="1" applyFill="1" applyBorder="1" applyProtection="1">
      <protection locked="0"/>
    </xf>
    <xf numFmtId="169" fontId="0" fillId="3" borderId="1" xfId="0" applyNumberFormat="1" applyFill="1" applyBorder="1"/>
    <xf numFmtId="0" fontId="25" fillId="0" borderId="0" xfId="0" applyFont="1" applyAlignment="1">
      <alignment vertical="center"/>
    </xf>
    <xf numFmtId="0" fontId="22" fillId="3" borderId="10" xfId="0" applyFont="1" applyFill="1" applyBorder="1" applyAlignment="1">
      <alignment vertical="center"/>
    </xf>
    <xf numFmtId="0" fontId="17" fillId="0" borderId="0" xfId="0" applyFont="1" applyAlignment="1">
      <alignment horizontal="center" vertical="center"/>
    </xf>
    <xf numFmtId="0" fontId="13" fillId="0" borderId="3" xfId="0" applyFont="1" applyBorder="1"/>
    <xf numFmtId="0" fontId="13" fillId="0" borderId="7" xfId="0" applyFont="1" applyBorder="1"/>
    <xf numFmtId="0" fontId="22" fillId="0" borderId="0" xfId="0" applyFont="1" applyAlignment="1">
      <alignment horizontal="left" vertical="center" indent="2"/>
    </xf>
    <xf numFmtId="0" fontId="22" fillId="0" borderId="0" xfId="0" applyFont="1" applyAlignment="1">
      <alignment horizontal="left" indent="2"/>
    </xf>
    <xf numFmtId="4" fontId="0" fillId="3" borderId="1" xfId="0" applyNumberFormat="1" applyFill="1" applyBorder="1"/>
    <xf numFmtId="11" fontId="0" fillId="3" borderId="1" xfId="0" applyNumberFormat="1" applyFill="1" applyBorder="1"/>
    <xf numFmtId="11" fontId="15" fillId="2" borderId="1" xfId="1" applyNumberFormat="1" applyFill="1" applyBorder="1"/>
    <xf numFmtId="0" fontId="2" fillId="0" borderId="0" xfId="3" applyFont="1"/>
    <xf numFmtId="0" fontId="2" fillId="0" borderId="1" xfId="3" applyFont="1" applyBorder="1"/>
    <xf numFmtId="170" fontId="11" fillId="0" borderId="0" xfId="3" applyNumberFormat="1"/>
    <xf numFmtId="4" fontId="11" fillId="0" borderId="0" xfId="3" applyNumberFormat="1"/>
    <xf numFmtId="171" fontId="11" fillId="0" borderId="0" xfId="3" applyNumberFormat="1"/>
    <xf numFmtId="172" fontId="11" fillId="0" borderId="0" xfId="3" applyNumberFormat="1"/>
    <xf numFmtId="14" fontId="14" fillId="0" borderId="0" xfId="1" applyNumberFormat="1" applyFont="1"/>
    <xf numFmtId="0" fontId="22" fillId="5" borderId="10" xfId="0" applyFont="1" applyFill="1" applyBorder="1" applyAlignment="1" applyProtection="1">
      <alignment horizontal="left" vertical="center"/>
      <protection locked="0"/>
    </xf>
    <xf numFmtId="168" fontId="11" fillId="2" borderId="1" xfId="3" applyNumberFormat="1" applyFill="1" applyBorder="1"/>
    <xf numFmtId="0" fontId="1" fillId="0" borderId="0" xfId="3" applyFont="1"/>
    <xf numFmtId="0" fontId="17" fillId="0" borderId="0" xfId="0" applyFont="1"/>
    <xf numFmtId="166" fontId="0" fillId="0" borderId="0" xfId="0" applyNumberFormat="1"/>
    <xf numFmtId="0" fontId="26" fillId="3" borderId="0" xfId="3" applyFont="1" applyFill="1"/>
    <xf numFmtId="0" fontId="14" fillId="0" borderId="0" xfId="0" applyFont="1"/>
    <xf numFmtId="0" fontId="15" fillId="2" borderId="1" xfId="1" applyFill="1" applyBorder="1"/>
    <xf numFmtId="0" fontId="0" fillId="0" borderId="1" xfId="0" applyBorder="1"/>
    <xf numFmtId="164" fontId="0" fillId="3" borderId="1" xfId="0" applyNumberFormat="1" applyFill="1" applyBorder="1"/>
    <xf numFmtId="0" fontId="27" fillId="0" borderId="0" xfId="0" applyFont="1" applyAlignment="1">
      <alignment horizontal="left" vertical="center" indent="2"/>
    </xf>
    <xf numFmtId="0" fontId="28" fillId="0" borderId="0" xfId="0" applyFont="1"/>
    <xf numFmtId="164" fontId="0" fillId="0" borderId="0" xfId="0" applyNumberFormat="1"/>
    <xf numFmtId="14" fontId="14" fillId="0" borderId="0" xfId="0" applyNumberFormat="1" applyFont="1"/>
    <xf numFmtId="165" fontId="0" fillId="3" borderId="1" xfId="0" applyNumberFormat="1" applyFill="1" applyBorder="1"/>
    <xf numFmtId="0" fontId="30" fillId="3" borderId="1" xfId="0" applyFont="1" applyFill="1" applyBorder="1"/>
    <xf numFmtId="0" fontId="13" fillId="0" borderId="0" xfId="0" applyFont="1"/>
    <xf numFmtId="165" fontId="0" fillId="0" borderId="0" xfId="0" applyNumberFormat="1"/>
    <xf numFmtId="1" fontId="0" fillId="0" borderId="0" xfId="0" applyNumberFormat="1"/>
    <xf numFmtId="168" fontId="0" fillId="0" borderId="0" xfId="0" applyNumberFormat="1"/>
    <xf numFmtId="1" fontId="0" fillId="3" borderId="1" xfId="0" applyNumberFormat="1" applyFill="1" applyBorder="1"/>
    <xf numFmtId="2" fontId="22" fillId="3" borderId="10" xfId="0" applyNumberFormat="1" applyFont="1" applyFill="1" applyBorder="1" applyAlignment="1">
      <alignment vertical="center"/>
    </xf>
    <xf numFmtId="2" fontId="22" fillId="3" borderId="13" xfId="0" applyNumberFormat="1" applyFont="1" applyFill="1" applyBorder="1" applyAlignment="1">
      <alignment vertical="center"/>
    </xf>
    <xf numFmtId="2" fontId="22" fillId="3" borderId="15" xfId="0" applyNumberFormat="1" applyFont="1" applyFill="1" applyBorder="1" applyAlignment="1">
      <alignment vertical="center"/>
    </xf>
    <xf numFmtId="0" fontId="31" fillId="2" borderId="21" xfId="0" applyFont="1" applyFill="1" applyBorder="1" applyAlignment="1">
      <alignment horizontal="center" vertical="center"/>
    </xf>
    <xf numFmtId="0" fontId="31" fillId="2" borderId="16" xfId="0" applyFont="1" applyFill="1" applyBorder="1" applyAlignment="1">
      <alignment horizontal="center" vertical="center"/>
    </xf>
    <xf numFmtId="0" fontId="31" fillId="2" borderId="10" xfId="0" applyFont="1" applyFill="1" applyBorder="1" applyAlignment="1">
      <alignment horizontal="center" vertical="center"/>
    </xf>
    <xf numFmtId="0" fontId="0" fillId="0" borderId="11" xfId="0" applyBorder="1"/>
    <xf numFmtId="0" fontId="0" fillId="0" borderId="12" xfId="0" applyBorder="1"/>
    <xf numFmtId="0" fontId="32" fillId="0" borderId="21" xfId="0" applyFont="1" applyBorder="1"/>
    <xf numFmtId="49" fontId="32" fillId="0" borderId="16" xfId="0" quotePrefix="1" applyNumberFormat="1" applyFont="1" applyBorder="1"/>
    <xf numFmtId="0" fontId="32" fillId="0" borderId="10" xfId="0" applyFont="1" applyBorder="1" applyAlignment="1">
      <alignment vertical="top" wrapText="1"/>
    </xf>
    <xf numFmtId="0" fontId="32" fillId="0" borderId="22" xfId="0" applyFont="1" applyBorder="1"/>
    <xf numFmtId="49" fontId="32" fillId="0" borderId="1" xfId="0" quotePrefix="1" applyNumberFormat="1" applyFont="1" applyBorder="1"/>
    <xf numFmtId="0" fontId="32" fillId="0" borderId="13" xfId="0" applyFont="1" applyBorder="1" applyAlignment="1">
      <alignment vertical="top" wrapText="1"/>
    </xf>
    <xf numFmtId="49" fontId="32" fillId="0" borderId="1" xfId="0" applyNumberFormat="1" applyFont="1" applyBorder="1"/>
    <xf numFmtId="0" fontId="32" fillId="0" borderId="13" xfId="0" applyFont="1" applyBorder="1" applyAlignment="1">
      <alignment wrapText="1"/>
    </xf>
    <xf numFmtId="0" fontId="32" fillId="0" borderId="18" xfId="0" applyFont="1" applyBorder="1"/>
    <xf numFmtId="49" fontId="32" fillId="0" borderId="19" xfId="0" applyNumberFormat="1" applyFont="1" applyBorder="1"/>
    <xf numFmtId="0" fontId="32" fillId="0" borderId="15" xfId="0" applyFont="1" applyBorder="1" applyAlignment="1">
      <alignment wrapText="1"/>
    </xf>
    <xf numFmtId="0" fontId="22" fillId="2" borderId="23" xfId="0" applyFont="1" applyFill="1" applyBorder="1" applyProtection="1">
      <protection locked="0"/>
    </xf>
    <xf numFmtId="0" fontId="18" fillId="0" borderId="0" xfId="3" applyFont="1" applyAlignment="1">
      <alignment horizontal="center"/>
    </xf>
    <xf numFmtId="0" fontId="0" fillId="0" borderId="0" xfId="0" applyAlignment="1">
      <alignment horizontal="center"/>
    </xf>
    <xf numFmtId="0" fontId="17" fillId="0" borderId="4" xfId="0" applyFont="1" applyBorder="1" applyAlignment="1">
      <alignment horizontal="center" vertical="center"/>
    </xf>
    <xf numFmtId="0" fontId="17" fillId="0" borderId="6" xfId="0" applyFont="1" applyBorder="1" applyAlignment="1">
      <alignment horizontal="center" vertical="center"/>
    </xf>
    <xf numFmtId="0" fontId="17" fillId="0" borderId="8" xfId="0" applyFont="1" applyBorder="1" applyAlignment="1">
      <alignment horizontal="center" vertical="center"/>
    </xf>
    <xf numFmtId="0" fontId="17" fillId="0" borderId="2" xfId="0" applyFont="1" applyBorder="1" applyAlignment="1">
      <alignment horizontal="center" vertical="center"/>
    </xf>
    <xf numFmtId="0" fontId="17" fillId="0" borderId="24" xfId="0" applyFont="1" applyBorder="1" applyAlignment="1">
      <alignment horizontal="center" vertical="center"/>
    </xf>
    <xf numFmtId="0" fontId="0" fillId="0" borderId="25" xfId="0" applyBorder="1" applyAlignment="1">
      <alignment horizontal="center" vertical="center"/>
    </xf>
  </cellXfs>
  <cellStyles count="8">
    <cellStyle name="Normal 2" xfId="1" xr:uid="{00000000-0005-0000-0000-000001000000}"/>
    <cellStyle name="Normal 2 2" xfId="5" xr:uid="{00000000-0005-0000-0000-000002000000}"/>
    <cellStyle name="Normal 3" xfId="2" xr:uid="{00000000-0005-0000-0000-000003000000}"/>
    <cellStyle name="Normal 4" xfId="3" xr:uid="{00000000-0005-0000-0000-000004000000}"/>
    <cellStyle name="Normal 5" xfId="4" xr:uid="{00000000-0005-0000-0000-000005000000}"/>
    <cellStyle name="Normal 6" xfId="6" xr:uid="{00000000-0005-0000-0000-000006000000}"/>
    <cellStyle name="Normal 7" xfId="7" xr:uid="{00000000-0005-0000-0000-000007000000}"/>
    <cellStyle name="Standard" xfId="0" builtinId="0"/>
  </cellStyles>
  <dxfs count="6">
    <dxf>
      <fill>
        <patternFill>
          <bgColor rgb="FFFFFF00"/>
        </patternFill>
      </fill>
    </dxf>
    <dxf>
      <fill>
        <patternFill>
          <bgColor theme="1"/>
        </patternFill>
      </fill>
    </dxf>
    <dxf>
      <font>
        <b/>
        <i val="0"/>
        <color rgb="FFFF0000"/>
      </font>
    </dxf>
    <dxf>
      <font>
        <b/>
        <i val="0"/>
        <color rgb="FFFF0000"/>
      </font>
    </dxf>
    <dxf>
      <font>
        <b/>
        <i val="0"/>
        <color rgb="FFFF0000"/>
      </font>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Bode Plot</a:t>
            </a:r>
          </a:p>
        </c:rich>
      </c:tx>
      <c:overlay val="0"/>
    </c:title>
    <c:autoTitleDeleted val="0"/>
    <c:plotArea>
      <c:layout/>
      <c:scatterChart>
        <c:scatterStyle val="smoothMarker"/>
        <c:varyColors val="0"/>
        <c:ser>
          <c:idx val="0"/>
          <c:order val="0"/>
          <c:tx>
            <c:v>Loop Gain</c:v>
          </c:tx>
          <c:spPr>
            <a:ln>
              <a:solidFill>
                <a:schemeClr val="tx1"/>
              </a:solidFill>
            </a:ln>
          </c:spPr>
          <c:marker>
            <c:symbol val="none"/>
          </c:marker>
          <c:xVal>
            <c:numRef>
              <c:f>loop_gain!$A$113:$A$203</c:f>
              <c:numCache>
                <c:formatCode>#,##0.0</c:formatCode>
                <c:ptCount val="91"/>
                <c:pt idx="0">
                  <c:v>10</c:v>
                </c:pt>
                <c:pt idx="1">
                  <c:v>15</c:v>
                </c:pt>
                <c:pt idx="2">
                  <c:v>20</c:v>
                </c:pt>
                <c:pt idx="3">
                  <c:v>25</c:v>
                </c:pt>
                <c:pt idx="4">
                  <c:v>30</c:v>
                </c:pt>
                <c:pt idx="5">
                  <c:v>35</c:v>
                </c:pt>
                <c:pt idx="6">
                  <c:v>40</c:v>
                </c:pt>
                <c:pt idx="7">
                  <c:v>45</c:v>
                </c:pt>
                <c:pt idx="8">
                  <c:v>50</c:v>
                </c:pt>
                <c:pt idx="9">
                  <c:v>55</c:v>
                </c:pt>
                <c:pt idx="10">
                  <c:v>60</c:v>
                </c:pt>
                <c:pt idx="11">
                  <c:v>65</c:v>
                </c:pt>
                <c:pt idx="12">
                  <c:v>70</c:v>
                </c:pt>
                <c:pt idx="13">
                  <c:v>75</c:v>
                </c:pt>
                <c:pt idx="14">
                  <c:v>80</c:v>
                </c:pt>
                <c:pt idx="15">
                  <c:v>85</c:v>
                </c:pt>
                <c:pt idx="16">
                  <c:v>90</c:v>
                </c:pt>
                <c:pt idx="17">
                  <c:v>95</c:v>
                </c:pt>
                <c:pt idx="18">
                  <c:v>100</c:v>
                </c:pt>
                <c:pt idx="19">
                  <c:v>150</c:v>
                </c:pt>
                <c:pt idx="20">
                  <c:v>200</c:v>
                </c:pt>
                <c:pt idx="21">
                  <c:v>250</c:v>
                </c:pt>
                <c:pt idx="22">
                  <c:v>300</c:v>
                </c:pt>
                <c:pt idx="23">
                  <c:v>350</c:v>
                </c:pt>
                <c:pt idx="24">
                  <c:v>400</c:v>
                </c:pt>
                <c:pt idx="25">
                  <c:v>450</c:v>
                </c:pt>
                <c:pt idx="26">
                  <c:v>500</c:v>
                </c:pt>
                <c:pt idx="27">
                  <c:v>550</c:v>
                </c:pt>
                <c:pt idx="28">
                  <c:v>600</c:v>
                </c:pt>
                <c:pt idx="29">
                  <c:v>650</c:v>
                </c:pt>
                <c:pt idx="30">
                  <c:v>700</c:v>
                </c:pt>
                <c:pt idx="31">
                  <c:v>750</c:v>
                </c:pt>
                <c:pt idx="32">
                  <c:v>800</c:v>
                </c:pt>
                <c:pt idx="33">
                  <c:v>850</c:v>
                </c:pt>
                <c:pt idx="34">
                  <c:v>900</c:v>
                </c:pt>
                <c:pt idx="35">
                  <c:v>950</c:v>
                </c:pt>
                <c:pt idx="36">
                  <c:v>1000</c:v>
                </c:pt>
                <c:pt idx="37">
                  <c:v>1500</c:v>
                </c:pt>
                <c:pt idx="38">
                  <c:v>2000</c:v>
                </c:pt>
                <c:pt idx="39">
                  <c:v>2500</c:v>
                </c:pt>
                <c:pt idx="40">
                  <c:v>3000</c:v>
                </c:pt>
                <c:pt idx="41">
                  <c:v>3500</c:v>
                </c:pt>
                <c:pt idx="42">
                  <c:v>4000</c:v>
                </c:pt>
                <c:pt idx="43">
                  <c:v>4500</c:v>
                </c:pt>
                <c:pt idx="44">
                  <c:v>5000</c:v>
                </c:pt>
                <c:pt idx="45">
                  <c:v>5500</c:v>
                </c:pt>
                <c:pt idx="46">
                  <c:v>6000</c:v>
                </c:pt>
                <c:pt idx="47">
                  <c:v>6500</c:v>
                </c:pt>
                <c:pt idx="48">
                  <c:v>7000</c:v>
                </c:pt>
                <c:pt idx="49">
                  <c:v>7500</c:v>
                </c:pt>
                <c:pt idx="50">
                  <c:v>8000</c:v>
                </c:pt>
                <c:pt idx="51">
                  <c:v>8500</c:v>
                </c:pt>
                <c:pt idx="52">
                  <c:v>9000</c:v>
                </c:pt>
                <c:pt idx="53">
                  <c:v>9500</c:v>
                </c:pt>
                <c:pt idx="54">
                  <c:v>10000</c:v>
                </c:pt>
                <c:pt idx="55">
                  <c:v>15000</c:v>
                </c:pt>
                <c:pt idx="56">
                  <c:v>20000</c:v>
                </c:pt>
                <c:pt idx="57">
                  <c:v>25000</c:v>
                </c:pt>
                <c:pt idx="58">
                  <c:v>30000</c:v>
                </c:pt>
                <c:pt idx="59">
                  <c:v>35000</c:v>
                </c:pt>
                <c:pt idx="60">
                  <c:v>40000</c:v>
                </c:pt>
                <c:pt idx="61">
                  <c:v>45000</c:v>
                </c:pt>
                <c:pt idx="62">
                  <c:v>50000</c:v>
                </c:pt>
                <c:pt idx="63">
                  <c:v>55000</c:v>
                </c:pt>
                <c:pt idx="64">
                  <c:v>60000</c:v>
                </c:pt>
                <c:pt idx="65">
                  <c:v>65000</c:v>
                </c:pt>
                <c:pt idx="66">
                  <c:v>70000</c:v>
                </c:pt>
                <c:pt idx="67">
                  <c:v>75000</c:v>
                </c:pt>
                <c:pt idx="68">
                  <c:v>80000</c:v>
                </c:pt>
                <c:pt idx="69">
                  <c:v>85000</c:v>
                </c:pt>
                <c:pt idx="70">
                  <c:v>90000</c:v>
                </c:pt>
                <c:pt idx="71">
                  <c:v>95000</c:v>
                </c:pt>
                <c:pt idx="72">
                  <c:v>100000</c:v>
                </c:pt>
                <c:pt idx="73">
                  <c:v>150000</c:v>
                </c:pt>
                <c:pt idx="74">
                  <c:v>200000</c:v>
                </c:pt>
                <c:pt idx="75">
                  <c:v>250000</c:v>
                </c:pt>
                <c:pt idx="76">
                  <c:v>300000</c:v>
                </c:pt>
                <c:pt idx="77">
                  <c:v>350000</c:v>
                </c:pt>
                <c:pt idx="78">
                  <c:v>400000</c:v>
                </c:pt>
                <c:pt idx="79">
                  <c:v>450000</c:v>
                </c:pt>
                <c:pt idx="80">
                  <c:v>500000</c:v>
                </c:pt>
                <c:pt idx="81">
                  <c:v>550000</c:v>
                </c:pt>
                <c:pt idx="82">
                  <c:v>600000</c:v>
                </c:pt>
                <c:pt idx="83">
                  <c:v>650000</c:v>
                </c:pt>
                <c:pt idx="84">
                  <c:v>700000</c:v>
                </c:pt>
                <c:pt idx="85">
                  <c:v>750000</c:v>
                </c:pt>
                <c:pt idx="86">
                  <c:v>800000</c:v>
                </c:pt>
                <c:pt idx="87">
                  <c:v>850000</c:v>
                </c:pt>
                <c:pt idx="88">
                  <c:v>900000</c:v>
                </c:pt>
                <c:pt idx="89">
                  <c:v>950000</c:v>
                </c:pt>
                <c:pt idx="90">
                  <c:v>1000000</c:v>
                </c:pt>
              </c:numCache>
            </c:numRef>
          </c:xVal>
          <c:yVal>
            <c:numRef>
              <c:f>loop_gain!$R$113:$R$203</c:f>
              <c:numCache>
                <c:formatCode>0.00</c:formatCode>
                <c:ptCount val="91"/>
                <c:pt idx="0">
                  <c:v>40.36637951025029</c:v>
                </c:pt>
                <c:pt idx="1">
                  <c:v>40.365144764850051</c:v>
                </c:pt>
                <c:pt idx="2">
                  <c:v>40.363416690560868</c:v>
                </c:pt>
                <c:pt idx="3">
                  <c:v>40.361195855892021</c:v>
                </c:pt>
                <c:pt idx="4">
                  <c:v>40.358482990697667</c:v>
                </c:pt>
                <c:pt idx="5">
                  <c:v>40.355278985365594</c:v>
                </c:pt>
                <c:pt idx="6">
                  <c:v>40.351584889829461</c:v>
                </c:pt>
                <c:pt idx="7">
                  <c:v>40.347401912407065</c:v>
                </c:pt>
                <c:pt idx="8">
                  <c:v>40.342731418467096</c:v>
                </c:pt>
                <c:pt idx="9">
                  <c:v>40.337574928927573</c:v>
                </c:pt>
                <c:pt idx="10">
                  <c:v>40.331934118589309</c:v>
                </c:pt>
                <c:pt idx="11">
                  <c:v>40.325810814308454</c:v>
                </c:pt>
                <c:pt idx="12">
                  <c:v>40.319206993011903</c:v>
                </c:pt>
                <c:pt idx="13">
                  <c:v>40.312124779560442</c:v>
                </c:pt>
                <c:pt idx="14">
                  <c:v>40.304566444464072</c:v>
                </c:pt>
                <c:pt idx="15">
                  <c:v>40.29653440145492</c:v>
                </c:pt>
                <c:pt idx="16">
                  <c:v>40.288031204922795</c:v>
                </c:pt>
                <c:pt idx="17">
                  <c:v>40.279059547219326</c:v>
                </c:pt>
                <c:pt idx="18">
                  <c:v>40.269622255836154</c:v>
                </c:pt>
                <c:pt idx="19">
                  <c:v>40.150351956130102</c:v>
                </c:pt>
                <c:pt idx="20">
                  <c:v>39.988506372073857</c:v>
                </c:pt>
                <c:pt idx="21">
                  <c:v>39.788603187760401</c:v>
                </c:pt>
                <c:pt idx="22">
                  <c:v>39.555709914113663</c:v>
                </c:pt>
                <c:pt idx="23">
                  <c:v>39.295081124575532</c:v>
                </c:pt>
                <c:pt idx="24">
                  <c:v>39.011856651929207</c:v>
                </c:pt>
                <c:pt idx="25">
                  <c:v>38.710840756428787</c:v>
                </c:pt>
                <c:pt idx="26">
                  <c:v>38.396363466121869</c:v>
                </c:pt>
                <c:pt idx="27">
                  <c:v>38.072212974842792</c:v>
                </c:pt>
                <c:pt idx="28">
                  <c:v>37.741622390357058</c:v>
                </c:pt>
                <c:pt idx="29">
                  <c:v>37.4072935799921</c:v>
                </c:pt>
                <c:pt idx="30">
                  <c:v>37.071443217520446</c:v>
                </c:pt>
                <c:pt idx="31">
                  <c:v>36.735859619938061</c:v>
                </c:pt>
                <c:pt idx="32">
                  <c:v>36.401962446098004</c:v>
                </c:pt>
                <c:pt idx="33">
                  <c:v>36.070860255680252</c:v>
                </c:pt>
                <c:pt idx="34">
                  <c:v>35.743403130246847</c:v>
                </c:pt>
                <c:pt idx="35">
                  <c:v>35.420229082740804</c:v>
                </c:pt>
                <c:pt idx="36">
                  <c:v>35.101803958562762</c:v>
                </c:pt>
                <c:pt idx="37">
                  <c:v>32.210922521308028</c:v>
                </c:pt>
                <c:pt idx="38">
                  <c:v>29.809857873956219</c:v>
                </c:pt>
                <c:pt idx="39">
                  <c:v>27.781488123325335</c:v>
                </c:pt>
                <c:pt idx="40">
                  <c:v>26.033440932816973</c:v>
                </c:pt>
                <c:pt idx="41">
                  <c:v>24.503976941205924</c:v>
                </c:pt>
                <c:pt idx="42">
                  <c:v>23.150666854944905</c:v>
                </c:pt>
                <c:pt idx="43">
                  <c:v>21.942657226617573</c:v>
                </c:pt>
                <c:pt idx="44">
                  <c:v>20.85637759537579</c:v>
                </c:pt>
                <c:pt idx="45">
                  <c:v>19.873185072801977</c:v>
                </c:pt>
                <c:pt idx="46">
                  <c:v>18.978002246919687</c:v>
                </c:pt>
                <c:pt idx="47">
                  <c:v>18.158463279851151</c:v>
                </c:pt>
                <c:pt idx="48">
                  <c:v>17.404332193382459</c:v>
                </c:pt>
                <c:pt idx="49">
                  <c:v>16.70707892269208</c:v>
                </c:pt>
                <c:pt idx="50">
                  <c:v>16.059555779205674</c:v>
                </c:pt>
                <c:pt idx="51">
                  <c:v>15.455743531110485</c:v>
                </c:pt>
                <c:pt idx="52">
                  <c:v>14.890548923164594</c:v>
                </c:pt>
                <c:pt idx="53">
                  <c:v>14.35964176437051</c:v>
                </c:pt>
                <c:pt idx="54">
                  <c:v>13.859323150840837</c:v>
                </c:pt>
                <c:pt idx="55">
                  <c:v>10.010293274902672</c:v>
                </c:pt>
                <c:pt idx="56">
                  <c:v>7.3678333896170871</c:v>
                </c:pt>
                <c:pt idx="57">
                  <c:v>5.3476920050284305</c:v>
                </c:pt>
                <c:pt idx="58">
                  <c:v>3.7062785813467372</c:v>
                </c:pt>
                <c:pt idx="59">
                  <c:v>2.3195291807547087</c:v>
                </c:pt>
                <c:pt idx="60">
                  <c:v>1.1156519882867171</c:v>
                </c:pt>
                <c:pt idx="61">
                  <c:v>4.9326312735630519E-2</c:v>
                </c:pt>
                <c:pt idx="62">
                  <c:v>-0.90991020265190936</c:v>
                </c:pt>
                <c:pt idx="63">
                  <c:v>-1.7835232540049235</c:v>
                </c:pt>
                <c:pt idx="64">
                  <c:v>-2.5872056271507309</c:v>
                </c:pt>
                <c:pt idx="65">
                  <c:v>-3.3327720605096283</c:v>
                </c:pt>
                <c:pt idx="66">
                  <c:v>-4.0293336785304721</c:v>
                </c:pt>
                <c:pt idx="67">
                  <c:v>-4.6840581230926635</c:v>
                </c:pt>
                <c:pt idx="68">
                  <c:v>-5.3026795984868231</c:v>
                </c:pt>
                <c:pt idx="69">
                  <c:v>-5.8898517102725378</c:v>
                </c:pt>
                <c:pt idx="70">
                  <c:v>-6.449398020865444</c:v>
                </c:pt>
                <c:pt idx="71">
                  <c:v>-6.9844940543480867</c:v>
                </c:pt>
                <c:pt idx="72">
                  <c:v>-7.4978021572516989</c:v>
                </c:pt>
                <c:pt idx="73">
                  <c:v>-11.800711701881953</c:v>
                </c:pt>
                <c:pt idx="74">
                  <c:v>-15.19676364444234</c:v>
                </c:pt>
                <c:pt idx="75">
                  <c:v>-18.070818636247168</c:v>
                </c:pt>
                <c:pt idx="76">
                  <c:v>-20.585131988437805</c:v>
                </c:pt>
                <c:pt idx="77">
                  <c:v>-22.830108544386636</c:v>
                </c:pt>
                <c:pt idx="78">
                  <c:v>-24.865912554540564</c:v>
                </c:pt>
                <c:pt idx="79">
                  <c:v>-26.736530456978908</c:v>
                </c:pt>
                <c:pt idx="80">
                  <c:v>-28.475567472375932</c:v>
                </c:pt>
                <c:pt idx="81">
                  <c:v>-30.109179469556835</c:v>
                </c:pt>
                <c:pt idx="82">
                  <c:v>-31.657844038502606</c:v>
                </c:pt>
                <c:pt idx="83">
                  <c:v>-33.13757689380391</c:v>
                </c:pt>
                <c:pt idx="84">
                  <c:v>-34.56083961739688</c:v>
                </c:pt>
                <c:pt idx="85">
                  <c:v>-35.937252505765514</c:v>
                </c:pt>
                <c:pt idx="86">
                  <c:v>-37.274171239860863</c:v>
                </c:pt>
                <c:pt idx="87">
                  <c:v>-38.577160372590257</c:v>
                </c:pt>
                <c:pt idx="88">
                  <c:v>-39.850383652427439</c:v>
                </c:pt>
                <c:pt idx="89">
                  <c:v>-41.096924505582869</c:v>
                </c:pt>
                <c:pt idx="90">
                  <c:v>-42.319046625615314</c:v>
                </c:pt>
              </c:numCache>
            </c:numRef>
          </c:yVal>
          <c:smooth val="1"/>
          <c:extLst>
            <c:ext xmlns:c16="http://schemas.microsoft.com/office/drawing/2014/chart" uri="{C3380CC4-5D6E-409C-BE32-E72D297353CC}">
              <c16:uniqueId val="{00000000-2AA4-483B-A76F-EBF36B866CAA}"/>
            </c:ext>
          </c:extLst>
        </c:ser>
        <c:dLbls>
          <c:showLegendKey val="0"/>
          <c:showVal val="0"/>
          <c:showCatName val="0"/>
          <c:showSerName val="0"/>
          <c:showPercent val="0"/>
          <c:showBubbleSize val="0"/>
        </c:dLbls>
        <c:axId val="220940544"/>
        <c:axId val="220946816"/>
      </c:scatterChart>
      <c:scatterChart>
        <c:scatterStyle val="smoothMarker"/>
        <c:varyColors val="0"/>
        <c:ser>
          <c:idx val="1"/>
          <c:order val="1"/>
          <c:tx>
            <c:v>Phase</c:v>
          </c:tx>
          <c:spPr>
            <a:ln>
              <a:solidFill>
                <a:schemeClr val="tx1"/>
              </a:solidFill>
              <a:prstDash val="sysDot"/>
            </a:ln>
          </c:spPr>
          <c:marker>
            <c:symbol val="none"/>
          </c:marker>
          <c:xVal>
            <c:numRef>
              <c:f>loop_gain!$A$113:$A$203</c:f>
              <c:numCache>
                <c:formatCode>#,##0.0</c:formatCode>
                <c:ptCount val="91"/>
                <c:pt idx="0">
                  <c:v>10</c:v>
                </c:pt>
                <c:pt idx="1">
                  <c:v>15</c:v>
                </c:pt>
                <c:pt idx="2">
                  <c:v>20</c:v>
                </c:pt>
                <c:pt idx="3">
                  <c:v>25</c:v>
                </c:pt>
                <c:pt idx="4">
                  <c:v>30</c:v>
                </c:pt>
                <c:pt idx="5">
                  <c:v>35</c:v>
                </c:pt>
                <c:pt idx="6">
                  <c:v>40</c:v>
                </c:pt>
                <c:pt idx="7">
                  <c:v>45</c:v>
                </c:pt>
                <c:pt idx="8">
                  <c:v>50</c:v>
                </c:pt>
                <c:pt idx="9">
                  <c:v>55</c:v>
                </c:pt>
                <c:pt idx="10">
                  <c:v>60</c:v>
                </c:pt>
                <c:pt idx="11">
                  <c:v>65</c:v>
                </c:pt>
                <c:pt idx="12">
                  <c:v>70</c:v>
                </c:pt>
                <c:pt idx="13">
                  <c:v>75</c:v>
                </c:pt>
                <c:pt idx="14">
                  <c:v>80</c:v>
                </c:pt>
                <c:pt idx="15">
                  <c:v>85</c:v>
                </c:pt>
                <c:pt idx="16">
                  <c:v>90</c:v>
                </c:pt>
                <c:pt idx="17">
                  <c:v>95</c:v>
                </c:pt>
                <c:pt idx="18">
                  <c:v>100</c:v>
                </c:pt>
                <c:pt idx="19">
                  <c:v>150</c:v>
                </c:pt>
                <c:pt idx="20">
                  <c:v>200</c:v>
                </c:pt>
                <c:pt idx="21">
                  <c:v>250</c:v>
                </c:pt>
                <c:pt idx="22">
                  <c:v>300</c:v>
                </c:pt>
                <c:pt idx="23">
                  <c:v>350</c:v>
                </c:pt>
                <c:pt idx="24">
                  <c:v>400</c:v>
                </c:pt>
                <c:pt idx="25">
                  <c:v>450</c:v>
                </c:pt>
                <c:pt idx="26">
                  <c:v>500</c:v>
                </c:pt>
                <c:pt idx="27">
                  <c:v>550</c:v>
                </c:pt>
                <c:pt idx="28">
                  <c:v>600</c:v>
                </c:pt>
                <c:pt idx="29">
                  <c:v>650</c:v>
                </c:pt>
                <c:pt idx="30">
                  <c:v>700</c:v>
                </c:pt>
                <c:pt idx="31">
                  <c:v>750</c:v>
                </c:pt>
                <c:pt idx="32">
                  <c:v>800</c:v>
                </c:pt>
                <c:pt idx="33">
                  <c:v>850</c:v>
                </c:pt>
                <c:pt idx="34">
                  <c:v>900</c:v>
                </c:pt>
                <c:pt idx="35">
                  <c:v>950</c:v>
                </c:pt>
                <c:pt idx="36">
                  <c:v>1000</c:v>
                </c:pt>
                <c:pt idx="37">
                  <c:v>1500</c:v>
                </c:pt>
                <c:pt idx="38">
                  <c:v>2000</c:v>
                </c:pt>
                <c:pt idx="39">
                  <c:v>2500</c:v>
                </c:pt>
                <c:pt idx="40">
                  <c:v>3000</c:v>
                </c:pt>
                <c:pt idx="41">
                  <c:v>3500</c:v>
                </c:pt>
                <c:pt idx="42">
                  <c:v>4000</c:v>
                </c:pt>
                <c:pt idx="43">
                  <c:v>4500</c:v>
                </c:pt>
                <c:pt idx="44">
                  <c:v>5000</c:v>
                </c:pt>
                <c:pt idx="45">
                  <c:v>5500</c:v>
                </c:pt>
                <c:pt idx="46">
                  <c:v>6000</c:v>
                </c:pt>
                <c:pt idx="47">
                  <c:v>6500</c:v>
                </c:pt>
                <c:pt idx="48">
                  <c:v>7000</c:v>
                </c:pt>
                <c:pt idx="49">
                  <c:v>7500</c:v>
                </c:pt>
                <c:pt idx="50">
                  <c:v>8000</c:v>
                </c:pt>
                <c:pt idx="51">
                  <c:v>8500</c:v>
                </c:pt>
                <c:pt idx="52">
                  <c:v>9000</c:v>
                </c:pt>
                <c:pt idx="53">
                  <c:v>9500</c:v>
                </c:pt>
                <c:pt idx="54">
                  <c:v>10000</c:v>
                </c:pt>
                <c:pt idx="55">
                  <c:v>15000</c:v>
                </c:pt>
                <c:pt idx="56">
                  <c:v>20000</c:v>
                </c:pt>
                <c:pt idx="57">
                  <c:v>25000</c:v>
                </c:pt>
                <c:pt idx="58">
                  <c:v>30000</c:v>
                </c:pt>
                <c:pt idx="59">
                  <c:v>35000</c:v>
                </c:pt>
                <c:pt idx="60">
                  <c:v>40000</c:v>
                </c:pt>
                <c:pt idx="61">
                  <c:v>45000</c:v>
                </c:pt>
                <c:pt idx="62">
                  <c:v>50000</c:v>
                </c:pt>
                <c:pt idx="63">
                  <c:v>55000</c:v>
                </c:pt>
                <c:pt idx="64">
                  <c:v>60000</c:v>
                </c:pt>
                <c:pt idx="65">
                  <c:v>65000</c:v>
                </c:pt>
                <c:pt idx="66">
                  <c:v>70000</c:v>
                </c:pt>
                <c:pt idx="67">
                  <c:v>75000</c:v>
                </c:pt>
                <c:pt idx="68">
                  <c:v>80000</c:v>
                </c:pt>
                <c:pt idx="69">
                  <c:v>85000</c:v>
                </c:pt>
                <c:pt idx="70">
                  <c:v>90000</c:v>
                </c:pt>
                <c:pt idx="71">
                  <c:v>95000</c:v>
                </c:pt>
                <c:pt idx="72">
                  <c:v>100000</c:v>
                </c:pt>
                <c:pt idx="73">
                  <c:v>150000</c:v>
                </c:pt>
                <c:pt idx="74">
                  <c:v>200000</c:v>
                </c:pt>
                <c:pt idx="75">
                  <c:v>250000</c:v>
                </c:pt>
                <c:pt idx="76">
                  <c:v>300000</c:v>
                </c:pt>
                <c:pt idx="77">
                  <c:v>350000</c:v>
                </c:pt>
                <c:pt idx="78">
                  <c:v>400000</c:v>
                </c:pt>
                <c:pt idx="79">
                  <c:v>450000</c:v>
                </c:pt>
                <c:pt idx="80">
                  <c:v>500000</c:v>
                </c:pt>
                <c:pt idx="81">
                  <c:v>550000</c:v>
                </c:pt>
                <c:pt idx="82">
                  <c:v>600000</c:v>
                </c:pt>
                <c:pt idx="83">
                  <c:v>650000</c:v>
                </c:pt>
                <c:pt idx="84">
                  <c:v>700000</c:v>
                </c:pt>
                <c:pt idx="85">
                  <c:v>750000</c:v>
                </c:pt>
                <c:pt idx="86">
                  <c:v>800000</c:v>
                </c:pt>
                <c:pt idx="87">
                  <c:v>850000</c:v>
                </c:pt>
                <c:pt idx="88">
                  <c:v>900000</c:v>
                </c:pt>
                <c:pt idx="89">
                  <c:v>950000</c:v>
                </c:pt>
                <c:pt idx="90">
                  <c:v>1000000</c:v>
                </c:pt>
              </c:numCache>
            </c:numRef>
          </c:xVal>
          <c:yVal>
            <c:numRef>
              <c:f>loop_gain!$AD$113:$AD$203</c:f>
              <c:numCache>
                <c:formatCode>General</c:formatCode>
                <c:ptCount val="91"/>
                <c:pt idx="0">
                  <c:v>-0.91213884904441922</c:v>
                </c:pt>
                <c:pt idx="1">
                  <c:v>-1.3680881955440136</c:v>
                </c:pt>
                <c:pt idx="2">
                  <c:v>-1.8238935381704704</c:v>
                </c:pt>
                <c:pt idx="3">
                  <c:v>-2.2795070250617693</c:v>
                </c:pt>
                <c:pt idx="4">
                  <c:v>-2.7348809321164955</c:v>
                </c:pt>
                <c:pt idx="5">
                  <c:v>-3.189967694533395</c:v>
                </c:pt>
                <c:pt idx="6">
                  <c:v>-3.644719938085704</c:v>
                </c:pt>
                <c:pt idx="7">
                  <c:v>-4.0990905100790265</c:v>
                </c:pt>
                <c:pt idx="8">
                  <c:v>-4.5530325099425051</c:v>
                </c:pt>
                <c:pt idx="9">
                  <c:v>-5.0064993194041856</c:v>
                </c:pt>
                <c:pt idx="10">
                  <c:v>-5.4594446322026897</c:v>
                </c:pt>
                <c:pt idx="11">
                  <c:v>-5.9118224832888231</c:v>
                </c:pt>
                <c:pt idx="12">
                  <c:v>-6.363587277472174</c:v>
                </c:pt>
                <c:pt idx="13">
                  <c:v>-6.8146938174695251</c:v>
                </c:pt>
                <c:pt idx="14">
                  <c:v>-7.2650973313136076</c:v>
                </c:pt>
                <c:pt idx="15">
                  <c:v>-7.7147534990826907</c:v>
                </c:pt>
                <c:pt idx="16">
                  <c:v>-8.1636184789134525</c:v>
                </c:pt>
                <c:pt idx="17">
                  <c:v>-8.6116489322616268</c:v>
                </c:pt>
                <c:pt idx="18">
                  <c:v>-9.0588020483771849</c:v>
                </c:pt>
                <c:pt idx="19">
                  <c:v>-13.473083412097971</c:v>
                </c:pt>
                <c:pt idx="20">
                  <c:v>-17.757253048525154</c:v>
                </c:pt>
                <c:pt idx="21">
                  <c:v>-21.880037467564662</c:v>
                </c:pt>
                <c:pt idx="22">
                  <c:v>-25.818312736205609</c:v>
                </c:pt>
                <c:pt idx="23">
                  <c:v>-29.557026052689242</c:v>
                </c:pt>
                <c:pt idx="24">
                  <c:v>-33.088449748140853</c:v>
                </c:pt>
                <c:pt idx="25">
                  <c:v>-36.411031064761637</c:v>
                </c:pt>
                <c:pt idx="26">
                  <c:v>-39.528082240487471</c:v>
                </c:pt>
                <c:pt idx="27">
                  <c:v>-42.446496106509862</c:v>
                </c:pt>
                <c:pt idx="28">
                  <c:v>-45.175602577701802</c:v>
                </c:pt>
                <c:pt idx="29">
                  <c:v>-47.726220552054485</c:v>
                </c:pt>
                <c:pt idx="30">
                  <c:v>-50.109915950605014</c:v>
                </c:pt>
                <c:pt idx="31">
                  <c:v>-52.338450147555477</c:v>
                </c:pt>
                <c:pt idx="32">
                  <c:v>-54.423390259435536</c:v>
                </c:pt>
                <c:pt idx="33">
                  <c:v>-56.375849178198159</c:v>
                </c:pt>
                <c:pt idx="34">
                  <c:v>-58.206324950911743</c:v>
                </c:pt>
                <c:pt idx="35">
                  <c:v>-59.924613331165162</c:v>
                </c:pt>
                <c:pt idx="36">
                  <c:v>-61.539772302385906</c:v>
                </c:pt>
                <c:pt idx="37">
                  <c:v>-73.530309337817712</c:v>
                </c:pt>
                <c:pt idx="38">
                  <c:v>-80.919395931892353</c:v>
                </c:pt>
                <c:pt idx="39">
                  <c:v>-85.870631018061644</c:v>
                </c:pt>
                <c:pt idx="40">
                  <c:v>-89.340925918204377</c:v>
                </c:pt>
                <c:pt idx="41">
                  <c:v>-91.830240507779578</c:v>
                </c:pt>
                <c:pt idx="42">
                  <c:v>-93.637762132156794</c:v>
                </c:pt>
                <c:pt idx="43">
                  <c:v>-94.959321013124111</c:v>
                </c:pt>
                <c:pt idx="44">
                  <c:v>-95.929953155160717</c:v>
                </c:pt>
                <c:pt idx="45">
                  <c:v>-96.645455517655407</c:v>
                </c:pt>
                <c:pt idx="46">
                  <c:v>-97.174841889016662</c:v>
                </c:pt>
                <c:pt idx="47">
                  <c:v>-97.5682711434916</c:v>
                </c:pt>
                <c:pt idx="48">
                  <c:v>-97.862405123037817</c:v>
                </c:pt>
                <c:pt idx="49">
                  <c:v>-98.084152063406449</c:v>
                </c:pt>
                <c:pt idx="50">
                  <c:v>-98.253328764041711</c:v>
                </c:pt>
                <c:pt idx="51">
                  <c:v>-98.384572239142329</c:v>
                </c:pt>
                <c:pt idx="52">
                  <c:v>-98.488720633045318</c:v>
                </c:pt>
                <c:pt idx="53">
                  <c:v>-98.573815163845978</c:v>
                </c:pt>
                <c:pt idx="54">
                  <c:v>-98.645829951415493</c:v>
                </c:pt>
                <c:pt idx="55">
                  <c:v>-99.231354808071117</c:v>
                </c:pt>
                <c:pt idx="56">
                  <c:v>-100.05213860363091</c:v>
                </c:pt>
                <c:pt idx="57">
                  <c:v>-101.12153903772315</c:v>
                </c:pt>
                <c:pt idx="58">
                  <c:v>-102.35243977928003</c:v>
                </c:pt>
                <c:pt idx="59">
                  <c:v>-103.68531351758651</c:v>
                </c:pt>
                <c:pt idx="60">
                  <c:v>-105.08347341138496</c:v>
                </c:pt>
                <c:pt idx="61">
                  <c:v>-106.52384778856286</c:v>
                </c:pt>
                <c:pt idx="62">
                  <c:v>-107.99132738898231</c:v>
                </c:pt>
                <c:pt idx="63">
                  <c:v>-109.47559580910205</c:v>
                </c:pt>
                <c:pt idx="64">
                  <c:v>-110.96933433236005</c:v>
                </c:pt>
                <c:pt idx="65">
                  <c:v>-112.46717306443252</c:v>
                </c:pt>
                <c:pt idx="66">
                  <c:v>-113.96505641434929</c:v>
                </c:pt>
                <c:pt idx="67">
                  <c:v>-115.45984609367524</c:v>
                </c:pt>
                <c:pt idx="68">
                  <c:v>-116.94906482450435</c:v>
                </c:pt>
                <c:pt idx="69">
                  <c:v>-118.43072603273731</c:v>
                </c:pt>
                <c:pt idx="70">
                  <c:v>-119.90321759725568</c:v>
                </c:pt>
                <c:pt idx="71">
                  <c:v>-121.36522046402146</c:v>
                </c:pt>
                <c:pt idx="72">
                  <c:v>-122.81565027314774</c:v>
                </c:pt>
                <c:pt idx="73">
                  <c:v>-136.55042842240664</c:v>
                </c:pt>
                <c:pt idx="74">
                  <c:v>-148.77562357333144</c:v>
                </c:pt>
                <c:pt idx="75">
                  <c:v>-159.63268403417396</c:v>
                </c:pt>
                <c:pt idx="76">
                  <c:v>-169.38956091417114</c:v>
                </c:pt>
                <c:pt idx="77">
                  <c:v>-178.30320810779008</c:v>
                </c:pt>
                <c:pt idx="78">
                  <c:v>-186.57899205129715</c:v>
                </c:pt>
                <c:pt idx="79">
                  <c:v>-194.3678560817892</c:v>
                </c:pt>
                <c:pt idx="80">
                  <c:v>-201.77532386097369</c:v>
                </c:pt>
                <c:pt idx="81">
                  <c:v>-208.87235319104164</c:v>
                </c:pt>
                <c:pt idx="82">
                  <c:v>-215.70486498641861</c:v>
                </c:pt>
                <c:pt idx="83">
                  <c:v>-222.30129575847846</c:v>
                </c:pt>
                <c:pt idx="84">
                  <c:v>-228.67832119336231</c:v>
                </c:pt>
                <c:pt idx="85">
                  <c:v>-234.84508120057825</c:v>
                </c:pt>
                <c:pt idx="86">
                  <c:v>-240.80622755647727</c:v>
                </c:pt>
                <c:pt idx="87">
                  <c:v>-246.56406184266194</c:v>
                </c:pt>
                <c:pt idx="88">
                  <c:v>-252.119978622302</c:v>
                </c:pt>
                <c:pt idx="89">
                  <c:v>-257.47538606998694</c:v>
                </c:pt>
                <c:pt idx="90">
                  <c:v>-262.63224250881694</c:v>
                </c:pt>
              </c:numCache>
            </c:numRef>
          </c:yVal>
          <c:smooth val="1"/>
          <c:extLst>
            <c:ext xmlns:c16="http://schemas.microsoft.com/office/drawing/2014/chart" uri="{C3380CC4-5D6E-409C-BE32-E72D297353CC}">
              <c16:uniqueId val="{00000001-2AA4-483B-A76F-EBF36B866CAA}"/>
            </c:ext>
          </c:extLst>
        </c:ser>
        <c:dLbls>
          <c:showLegendKey val="0"/>
          <c:showVal val="0"/>
          <c:showCatName val="0"/>
          <c:showSerName val="0"/>
          <c:showPercent val="0"/>
          <c:showBubbleSize val="0"/>
        </c:dLbls>
        <c:axId val="220950912"/>
        <c:axId val="220948736"/>
      </c:scatterChart>
      <c:valAx>
        <c:axId val="220940544"/>
        <c:scaling>
          <c:logBase val="10"/>
          <c:orientation val="minMax"/>
          <c:min val="10"/>
        </c:scaling>
        <c:delete val="0"/>
        <c:axPos val="b"/>
        <c:majorGridlines/>
        <c:minorGridlines/>
        <c:title>
          <c:tx>
            <c:rich>
              <a:bodyPr/>
              <a:lstStyle/>
              <a:p>
                <a:pPr>
                  <a:defRPr/>
                </a:pPr>
                <a:r>
                  <a:rPr lang="en-US"/>
                  <a:t>Frequency (Hz)</a:t>
                </a:r>
              </a:p>
            </c:rich>
          </c:tx>
          <c:overlay val="0"/>
        </c:title>
        <c:numFmt formatCode="#,##0.0" sourceLinked="1"/>
        <c:majorTickMark val="out"/>
        <c:minorTickMark val="none"/>
        <c:tickLblPos val="nextTo"/>
        <c:crossAx val="220946816"/>
        <c:crossesAt val="-80"/>
        <c:crossBetween val="midCat"/>
      </c:valAx>
      <c:valAx>
        <c:axId val="220946816"/>
        <c:scaling>
          <c:orientation val="minMax"/>
          <c:max val="80"/>
          <c:min val="-80"/>
        </c:scaling>
        <c:delete val="0"/>
        <c:axPos val="l"/>
        <c:majorGridlines/>
        <c:title>
          <c:tx>
            <c:rich>
              <a:bodyPr rot="-5400000" vert="horz"/>
              <a:lstStyle/>
              <a:p>
                <a:pPr>
                  <a:defRPr/>
                </a:pPr>
                <a:r>
                  <a:rPr lang="en-US"/>
                  <a:t>Loop Gain (dB)</a:t>
                </a:r>
              </a:p>
            </c:rich>
          </c:tx>
          <c:overlay val="0"/>
        </c:title>
        <c:numFmt formatCode="0.00" sourceLinked="1"/>
        <c:majorTickMark val="out"/>
        <c:minorTickMark val="none"/>
        <c:tickLblPos val="nextTo"/>
        <c:crossAx val="220940544"/>
        <c:crosses val="autoZero"/>
        <c:crossBetween val="midCat"/>
      </c:valAx>
      <c:valAx>
        <c:axId val="220948736"/>
        <c:scaling>
          <c:orientation val="minMax"/>
          <c:max val="180"/>
          <c:min val="-180"/>
        </c:scaling>
        <c:delete val="0"/>
        <c:axPos val="r"/>
        <c:majorGridlines/>
        <c:title>
          <c:tx>
            <c:rich>
              <a:bodyPr rot="-5400000" vert="horz"/>
              <a:lstStyle/>
              <a:p>
                <a:pPr>
                  <a:defRPr/>
                </a:pPr>
                <a:r>
                  <a:rPr lang="en-US"/>
                  <a:t>Loop Phase (°)</a:t>
                </a:r>
              </a:p>
            </c:rich>
          </c:tx>
          <c:overlay val="0"/>
        </c:title>
        <c:numFmt formatCode="General" sourceLinked="1"/>
        <c:majorTickMark val="out"/>
        <c:minorTickMark val="none"/>
        <c:tickLblPos val="nextTo"/>
        <c:crossAx val="220950912"/>
        <c:crosses val="max"/>
        <c:crossBetween val="midCat"/>
        <c:majorUnit val="45"/>
      </c:valAx>
      <c:valAx>
        <c:axId val="220950912"/>
        <c:scaling>
          <c:logBase val="10"/>
          <c:orientation val="minMax"/>
        </c:scaling>
        <c:delete val="1"/>
        <c:axPos val="b"/>
        <c:numFmt formatCode="#,##0.0" sourceLinked="1"/>
        <c:majorTickMark val="out"/>
        <c:minorTickMark val="none"/>
        <c:tickLblPos val="nextTo"/>
        <c:crossAx val="220948736"/>
        <c:crosses val="autoZero"/>
        <c:crossBetween val="midCat"/>
      </c:valAx>
    </c:plotArea>
    <c:legend>
      <c:legendPos val="r"/>
      <c:overlay val="0"/>
    </c:legend>
    <c:plotVisOnly val="1"/>
    <c:dispBlanksAs val="gap"/>
    <c:showDLblsOverMax val="0"/>
  </c:chart>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Loop Gain</c:v>
          </c:tx>
          <c:spPr>
            <a:ln>
              <a:solidFill>
                <a:schemeClr val="tx1"/>
              </a:solidFill>
            </a:ln>
          </c:spPr>
          <c:marker>
            <c:symbol val="none"/>
          </c:marker>
          <c:xVal>
            <c:numRef>
              <c:f>loop_gain!$A$113:$A$203</c:f>
              <c:numCache>
                <c:formatCode>#,##0.0</c:formatCode>
                <c:ptCount val="91"/>
                <c:pt idx="0">
                  <c:v>10</c:v>
                </c:pt>
                <c:pt idx="1">
                  <c:v>15</c:v>
                </c:pt>
                <c:pt idx="2">
                  <c:v>20</c:v>
                </c:pt>
                <c:pt idx="3">
                  <c:v>25</c:v>
                </c:pt>
                <c:pt idx="4">
                  <c:v>30</c:v>
                </c:pt>
                <c:pt idx="5">
                  <c:v>35</c:v>
                </c:pt>
                <c:pt idx="6">
                  <c:v>40</c:v>
                </c:pt>
                <c:pt idx="7">
                  <c:v>45</c:v>
                </c:pt>
                <c:pt idx="8">
                  <c:v>50</c:v>
                </c:pt>
                <c:pt idx="9">
                  <c:v>55</c:v>
                </c:pt>
                <c:pt idx="10">
                  <c:v>60</c:v>
                </c:pt>
                <c:pt idx="11">
                  <c:v>65</c:v>
                </c:pt>
                <c:pt idx="12">
                  <c:v>70</c:v>
                </c:pt>
                <c:pt idx="13">
                  <c:v>75</c:v>
                </c:pt>
                <c:pt idx="14">
                  <c:v>80</c:v>
                </c:pt>
                <c:pt idx="15">
                  <c:v>85</c:v>
                </c:pt>
                <c:pt idx="16">
                  <c:v>90</c:v>
                </c:pt>
                <c:pt idx="17">
                  <c:v>95</c:v>
                </c:pt>
                <c:pt idx="18">
                  <c:v>100</c:v>
                </c:pt>
                <c:pt idx="19">
                  <c:v>150</c:v>
                </c:pt>
                <c:pt idx="20">
                  <c:v>200</c:v>
                </c:pt>
                <c:pt idx="21">
                  <c:v>250</c:v>
                </c:pt>
                <c:pt idx="22">
                  <c:v>300</c:v>
                </c:pt>
                <c:pt idx="23">
                  <c:v>350</c:v>
                </c:pt>
                <c:pt idx="24">
                  <c:v>400</c:v>
                </c:pt>
                <c:pt idx="25">
                  <c:v>450</c:v>
                </c:pt>
                <c:pt idx="26">
                  <c:v>500</c:v>
                </c:pt>
                <c:pt idx="27">
                  <c:v>550</c:v>
                </c:pt>
                <c:pt idx="28">
                  <c:v>600</c:v>
                </c:pt>
                <c:pt idx="29">
                  <c:v>650</c:v>
                </c:pt>
                <c:pt idx="30">
                  <c:v>700</c:v>
                </c:pt>
                <c:pt idx="31">
                  <c:v>750</c:v>
                </c:pt>
                <c:pt idx="32">
                  <c:v>800</c:v>
                </c:pt>
                <c:pt idx="33">
                  <c:v>850</c:v>
                </c:pt>
                <c:pt idx="34">
                  <c:v>900</c:v>
                </c:pt>
                <c:pt idx="35">
                  <c:v>950</c:v>
                </c:pt>
                <c:pt idx="36">
                  <c:v>1000</c:v>
                </c:pt>
                <c:pt idx="37">
                  <c:v>1500</c:v>
                </c:pt>
                <c:pt idx="38">
                  <c:v>2000</c:v>
                </c:pt>
                <c:pt idx="39">
                  <c:v>2500</c:v>
                </c:pt>
                <c:pt idx="40">
                  <c:v>3000</c:v>
                </c:pt>
                <c:pt idx="41">
                  <c:v>3500</c:v>
                </c:pt>
                <c:pt idx="42">
                  <c:v>4000</c:v>
                </c:pt>
                <c:pt idx="43">
                  <c:v>4500</c:v>
                </c:pt>
                <c:pt idx="44">
                  <c:v>5000</c:v>
                </c:pt>
                <c:pt idx="45">
                  <c:v>5500</c:v>
                </c:pt>
                <c:pt idx="46">
                  <c:v>6000</c:v>
                </c:pt>
                <c:pt idx="47">
                  <c:v>6500</c:v>
                </c:pt>
                <c:pt idx="48">
                  <c:v>7000</c:v>
                </c:pt>
                <c:pt idx="49">
                  <c:v>7500</c:v>
                </c:pt>
                <c:pt idx="50">
                  <c:v>8000</c:v>
                </c:pt>
                <c:pt idx="51">
                  <c:v>8500</c:v>
                </c:pt>
                <c:pt idx="52">
                  <c:v>9000</c:v>
                </c:pt>
                <c:pt idx="53">
                  <c:v>9500</c:v>
                </c:pt>
                <c:pt idx="54">
                  <c:v>10000</c:v>
                </c:pt>
                <c:pt idx="55">
                  <c:v>15000</c:v>
                </c:pt>
                <c:pt idx="56">
                  <c:v>20000</c:v>
                </c:pt>
                <c:pt idx="57">
                  <c:v>25000</c:v>
                </c:pt>
                <c:pt idx="58">
                  <c:v>30000</c:v>
                </c:pt>
                <c:pt idx="59">
                  <c:v>35000</c:v>
                </c:pt>
                <c:pt idx="60">
                  <c:v>40000</c:v>
                </c:pt>
                <c:pt idx="61">
                  <c:v>45000</c:v>
                </c:pt>
                <c:pt idx="62">
                  <c:v>50000</c:v>
                </c:pt>
                <c:pt idx="63">
                  <c:v>55000</c:v>
                </c:pt>
                <c:pt idx="64">
                  <c:v>60000</c:v>
                </c:pt>
                <c:pt idx="65">
                  <c:v>65000</c:v>
                </c:pt>
                <c:pt idx="66">
                  <c:v>70000</c:v>
                </c:pt>
                <c:pt idx="67">
                  <c:v>75000</c:v>
                </c:pt>
                <c:pt idx="68">
                  <c:v>80000</c:v>
                </c:pt>
                <c:pt idx="69">
                  <c:v>85000</c:v>
                </c:pt>
                <c:pt idx="70">
                  <c:v>90000</c:v>
                </c:pt>
                <c:pt idx="71">
                  <c:v>95000</c:v>
                </c:pt>
                <c:pt idx="72">
                  <c:v>100000</c:v>
                </c:pt>
                <c:pt idx="73">
                  <c:v>150000</c:v>
                </c:pt>
                <c:pt idx="74">
                  <c:v>200000</c:v>
                </c:pt>
                <c:pt idx="75">
                  <c:v>250000</c:v>
                </c:pt>
                <c:pt idx="76">
                  <c:v>300000</c:v>
                </c:pt>
                <c:pt idx="77">
                  <c:v>350000</c:v>
                </c:pt>
                <c:pt idx="78">
                  <c:v>400000</c:v>
                </c:pt>
                <c:pt idx="79">
                  <c:v>450000</c:v>
                </c:pt>
                <c:pt idx="80">
                  <c:v>500000</c:v>
                </c:pt>
                <c:pt idx="81">
                  <c:v>550000</c:v>
                </c:pt>
                <c:pt idx="82">
                  <c:v>600000</c:v>
                </c:pt>
                <c:pt idx="83">
                  <c:v>650000</c:v>
                </c:pt>
                <c:pt idx="84">
                  <c:v>700000</c:v>
                </c:pt>
                <c:pt idx="85">
                  <c:v>750000</c:v>
                </c:pt>
                <c:pt idx="86">
                  <c:v>800000</c:v>
                </c:pt>
                <c:pt idx="87">
                  <c:v>850000</c:v>
                </c:pt>
                <c:pt idx="88">
                  <c:v>900000</c:v>
                </c:pt>
                <c:pt idx="89">
                  <c:v>950000</c:v>
                </c:pt>
                <c:pt idx="90">
                  <c:v>1000000</c:v>
                </c:pt>
              </c:numCache>
            </c:numRef>
          </c:xVal>
          <c:yVal>
            <c:numRef>
              <c:f>loop_gain!$R$113:$R$203</c:f>
              <c:numCache>
                <c:formatCode>0.00</c:formatCode>
                <c:ptCount val="91"/>
                <c:pt idx="0">
                  <c:v>40.36637951025029</c:v>
                </c:pt>
                <c:pt idx="1">
                  <c:v>40.365144764850051</c:v>
                </c:pt>
                <c:pt idx="2">
                  <c:v>40.363416690560868</c:v>
                </c:pt>
                <c:pt idx="3">
                  <c:v>40.361195855892021</c:v>
                </c:pt>
                <c:pt idx="4">
                  <c:v>40.358482990697667</c:v>
                </c:pt>
                <c:pt idx="5">
                  <c:v>40.355278985365594</c:v>
                </c:pt>
                <c:pt idx="6">
                  <c:v>40.351584889829461</c:v>
                </c:pt>
                <c:pt idx="7">
                  <c:v>40.347401912407065</c:v>
                </c:pt>
                <c:pt idx="8">
                  <c:v>40.342731418467096</c:v>
                </c:pt>
                <c:pt idx="9">
                  <c:v>40.337574928927573</c:v>
                </c:pt>
                <c:pt idx="10">
                  <c:v>40.331934118589309</c:v>
                </c:pt>
                <c:pt idx="11">
                  <c:v>40.325810814308454</c:v>
                </c:pt>
                <c:pt idx="12">
                  <c:v>40.319206993011903</c:v>
                </c:pt>
                <c:pt idx="13">
                  <c:v>40.312124779560442</c:v>
                </c:pt>
                <c:pt idx="14">
                  <c:v>40.304566444464072</c:v>
                </c:pt>
                <c:pt idx="15">
                  <c:v>40.29653440145492</c:v>
                </c:pt>
                <c:pt idx="16">
                  <c:v>40.288031204922795</c:v>
                </c:pt>
                <c:pt idx="17">
                  <c:v>40.279059547219326</c:v>
                </c:pt>
                <c:pt idx="18">
                  <c:v>40.269622255836154</c:v>
                </c:pt>
                <c:pt idx="19">
                  <c:v>40.150351956130102</c:v>
                </c:pt>
                <c:pt idx="20">
                  <c:v>39.988506372073857</c:v>
                </c:pt>
                <c:pt idx="21">
                  <c:v>39.788603187760401</c:v>
                </c:pt>
                <c:pt idx="22">
                  <c:v>39.555709914113663</c:v>
                </c:pt>
                <c:pt idx="23">
                  <c:v>39.295081124575532</c:v>
                </c:pt>
                <c:pt idx="24">
                  <c:v>39.011856651929207</c:v>
                </c:pt>
                <c:pt idx="25">
                  <c:v>38.710840756428787</c:v>
                </c:pt>
                <c:pt idx="26">
                  <c:v>38.396363466121869</c:v>
                </c:pt>
                <c:pt idx="27">
                  <c:v>38.072212974842792</c:v>
                </c:pt>
                <c:pt idx="28">
                  <c:v>37.741622390357058</c:v>
                </c:pt>
                <c:pt idx="29">
                  <c:v>37.4072935799921</c:v>
                </c:pt>
                <c:pt idx="30">
                  <c:v>37.071443217520446</c:v>
                </c:pt>
                <c:pt idx="31">
                  <c:v>36.735859619938061</c:v>
                </c:pt>
                <c:pt idx="32">
                  <c:v>36.401962446098004</c:v>
                </c:pt>
                <c:pt idx="33">
                  <c:v>36.070860255680252</c:v>
                </c:pt>
                <c:pt idx="34">
                  <c:v>35.743403130246847</c:v>
                </c:pt>
                <c:pt idx="35">
                  <c:v>35.420229082740804</c:v>
                </c:pt>
                <c:pt idx="36">
                  <c:v>35.101803958562762</c:v>
                </c:pt>
                <c:pt idx="37">
                  <c:v>32.210922521308028</c:v>
                </c:pt>
                <c:pt idx="38">
                  <c:v>29.809857873956219</c:v>
                </c:pt>
                <c:pt idx="39">
                  <c:v>27.781488123325335</c:v>
                </c:pt>
                <c:pt idx="40">
                  <c:v>26.033440932816973</c:v>
                </c:pt>
                <c:pt idx="41">
                  <c:v>24.503976941205924</c:v>
                </c:pt>
                <c:pt idx="42">
                  <c:v>23.150666854944905</c:v>
                </c:pt>
                <c:pt idx="43">
                  <c:v>21.942657226617573</c:v>
                </c:pt>
                <c:pt idx="44">
                  <c:v>20.85637759537579</c:v>
                </c:pt>
                <c:pt idx="45">
                  <c:v>19.873185072801977</c:v>
                </c:pt>
                <c:pt idx="46">
                  <c:v>18.978002246919687</c:v>
                </c:pt>
                <c:pt idx="47">
                  <c:v>18.158463279851151</c:v>
                </c:pt>
                <c:pt idx="48">
                  <c:v>17.404332193382459</c:v>
                </c:pt>
                <c:pt idx="49">
                  <c:v>16.70707892269208</c:v>
                </c:pt>
                <c:pt idx="50">
                  <c:v>16.059555779205674</c:v>
                </c:pt>
                <c:pt idx="51">
                  <c:v>15.455743531110485</c:v>
                </c:pt>
                <c:pt idx="52">
                  <c:v>14.890548923164594</c:v>
                </c:pt>
                <c:pt idx="53">
                  <c:v>14.35964176437051</c:v>
                </c:pt>
                <c:pt idx="54">
                  <c:v>13.859323150840837</c:v>
                </c:pt>
                <c:pt idx="55">
                  <c:v>10.010293274902672</c:v>
                </c:pt>
                <c:pt idx="56">
                  <c:v>7.3678333896170871</c:v>
                </c:pt>
                <c:pt idx="57">
                  <c:v>5.3476920050284305</c:v>
                </c:pt>
                <c:pt idx="58">
                  <c:v>3.7062785813467372</c:v>
                </c:pt>
                <c:pt idx="59">
                  <c:v>2.3195291807547087</c:v>
                </c:pt>
                <c:pt idx="60">
                  <c:v>1.1156519882867171</c:v>
                </c:pt>
                <c:pt idx="61">
                  <c:v>4.9326312735630519E-2</c:v>
                </c:pt>
                <c:pt idx="62">
                  <c:v>-0.90991020265190936</c:v>
                </c:pt>
                <c:pt idx="63">
                  <c:v>-1.7835232540049235</c:v>
                </c:pt>
                <c:pt idx="64">
                  <c:v>-2.5872056271507309</c:v>
                </c:pt>
                <c:pt idx="65">
                  <c:v>-3.3327720605096283</c:v>
                </c:pt>
                <c:pt idx="66">
                  <c:v>-4.0293336785304721</c:v>
                </c:pt>
                <c:pt idx="67">
                  <c:v>-4.6840581230926635</c:v>
                </c:pt>
                <c:pt idx="68">
                  <c:v>-5.3026795984868231</c:v>
                </c:pt>
                <c:pt idx="69">
                  <c:v>-5.8898517102725378</c:v>
                </c:pt>
                <c:pt idx="70">
                  <c:v>-6.449398020865444</c:v>
                </c:pt>
                <c:pt idx="71">
                  <c:v>-6.9844940543480867</c:v>
                </c:pt>
                <c:pt idx="72">
                  <c:v>-7.4978021572516989</c:v>
                </c:pt>
                <c:pt idx="73">
                  <c:v>-11.800711701881953</c:v>
                </c:pt>
                <c:pt idx="74">
                  <c:v>-15.19676364444234</c:v>
                </c:pt>
                <c:pt idx="75">
                  <c:v>-18.070818636247168</c:v>
                </c:pt>
                <c:pt idx="76">
                  <c:v>-20.585131988437805</c:v>
                </c:pt>
                <c:pt idx="77">
                  <c:v>-22.830108544386636</c:v>
                </c:pt>
                <c:pt idx="78">
                  <c:v>-24.865912554540564</c:v>
                </c:pt>
                <c:pt idx="79">
                  <c:v>-26.736530456978908</c:v>
                </c:pt>
                <c:pt idx="80">
                  <c:v>-28.475567472375932</c:v>
                </c:pt>
                <c:pt idx="81">
                  <c:v>-30.109179469556835</c:v>
                </c:pt>
                <c:pt idx="82">
                  <c:v>-31.657844038502606</c:v>
                </c:pt>
                <c:pt idx="83">
                  <c:v>-33.13757689380391</c:v>
                </c:pt>
                <c:pt idx="84">
                  <c:v>-34.56083961739688</c:v>
                </c:pt>
                <c:pt idx="85">
                  <c:v>-35.937252505765514</c:v>
                </c:pt>
                <c:pt idx="86">
                  <c:v>-37.274171239860863</c:v>
                </c:pt>
                <c:pt idx="87">
                  <c:v>-38.577160372590257</c:v>
                </c:pt>
                <c:pt idx="88">
                  <c:v>-39.850383652427439</c:v>
                </c:pt>
                <c:pt idx="89">
                  <c:v>-41.096924505582869</c:v>
                </c:pt>
                <c:pt idx="90">
                  <c:v>-42.319046625615314</c:v>
                </c:pt>
              </c:numCache>
            </c:numRef>
          </c:yVal>
          <c:smooth val="1"/>
          <c:extLst>
            <c:ext xmlns:c16="http://schemas.microsoft.com/office/drawing/2014/chart" uri="{C3380CC4-5D6E-409C-BE32-E72D297353CC}">
              <c16:uniqueId val="{00000000-7D93-45EA-82E7-0378C6BEAF5C}"/>
            </c:ext>
          </c:extLst>
        </c:ser>
        <c:dLbls>
          <c:showLegendKey val="0"/>
          <c:showVal val="0"/>
          <c:showCatName val="0"/>
          <c:showSerName val="0"/>
          <c:showPercent val="0"/>
          <c:showBubbleSize val="0"/>
        </c:dLbls>
        <c:axId val="221447296"/>
        <c:axId val="221449216"/>
      </c:scatterChart>
      <c:scatterChart>
        <c:scatterStyle val="smoothMarker"/>
        <c:varyColors val="0"/>
        <c:ser>
          <c:idx val="1"/>
          <c:order val="1"/>
          <c:tx>
            <c:v>Phase</c:v>
          </c:tx>
          <c:spPr>
            <a:ln>
              <a:solidFill>
                <a:schemeClr val="tx1"/>
              </a:solidFill>
              <a:prstDash val="sysDot"/>
            </a:ln>
          </c:spPr>
          <c:marker>
            <c:symbol val="none"/>
          </c:marker>
          <c:xVal>
            <c:numRef>
              <c:f>loop_gain!$A$113:$A$203</c:f>
              <c:numCache>
                <c:formatCode>#,##0.0</c:formatCode>
                <c:ptCount val="91"/>
                <c:pt idx="0">
                  <c:v>10</c:v>
                </c:pt>
                <c:pt idx="1">
                  <c:v>15</c:v>
                </c:pt>
                <c:pt idx="2">
                  <c:v>20</c:v>
                </c:pt>
                <c:pt idx="3">
                  <c:v>25</c:v>
                </c:pt>
                <c:pt idx="4">
                  <c:v>30</c:v>
                </c:pt>
                <c:pt idx="5">
                  <c:v>35</c:v>
                </c:pt>
                <c:pt idx="6">
                  <c:v>40</c:v>
                </c:pt>
                <c:pt idx="7">
                  <c:v>45</c:v>
                </c:pt>
                <c:pt idx="8">
                  <c:v>50</c:v>
                </c:pt>
                <c:pt idx="9">
                  <c:v>55</c:v>
                </c:pt>
                <c:pt idx="10">
                  <c:v>60</c:v>
                </c:pt>
                <c:pt idx="11">
                  <c:v>65</c:v>
                </c:pt>
                <c:pt idx="12">
                  <c:v>70</c:v>
                </c:pt>
                <c:pt idx="13">
                  <c:v>75</c:v>
                </c:pt>
                <c:pt idx="14">
                  <c:v>80</c:v>
                </c:pt>
                <c:pt idx="15">
                  <c:v>85</c:v>
                </c:pt>
                <c:pt idx="16">
                  <c:v>90</c:v>
                </c:pt>
                <c:pt idx="17">
                  <c:v>95</c:v>
                </c:pt>
                <c:pt idx="18">
                  <c:v>100</c:v>
                </c:pt>
                <c:pt idx="19">
                  <c:v>150</c:v>
                </c:pt>
                <c:pt idx="20">
                  <c:v>200</c:v>
                </c:pt>
                <c:pt idx="21">
                  <c:v>250</c:v>
                </c:pt>
                <c:pt idx="22">
                  <c:v>300</c:v>
                </c:pt>
                <c:pt idx="23">
                  <c:v>350</c:v>
                </c:pt>
                <c:pt idx="24">
                  <c:v>400</c:v>
                </c:pt>
                <c:pt idx="25">
                  <c:v>450</c:v>
                </c:pt>
                <c:pt idx="26">
                  <c:v>500</c:v>
                </c:pt>
                <c:pt idx="27">
                  <c:v>550</c:v>
                </c:pt>
                <c:pt idx="28">
                  <c:v>600</c:v>
                </c:pt>
                <c:pt idx="29">
                  <c:v>650</c:v>
                </c:pt>
                <c:pt idx="30">
                  <c:v>700</c:v>
                </c:pt>
                <c:pt idx="31">
                  <c:v>750</c:v>
                </c:pt>
                <c:pt idx="32">
                  <c:v>800</c:v>
                </c:pt>
                <c:pt idx="33">
                  <c:v>850</c:v>
                </c:pt>
                <c:pt idx="34">
                  <c:v>900</c:v>
                </c:pt>
                <c:pt idx="35">
                  <c:v>950</c:v>
                </c:pt>
                <c:pt idx="36">
                  <c:v>1000</c:v>
                </c:pt>
                <c:pt idx="37">
                  <c:v>1500</c:v>
                </c:pt>
                <c:pt idx="38">
                  <c:v>2000</c:v>
                </c:pt>
                <c:pt idx="39">
                  <c:v>2500</c:v>
                </c:pt>
                <c:pt idx="40">
                  <c:v>3000</c:v>
                </c:pt>
                <c:pt idx="41">
                  <c:v>3500</c:v>
                </c:pt>
                <c:pt idx="42">
                  <c:v>4000</c:v>
                </c:pt>
                <c:pt idx="43">
                  <c:v>4500</c:v>
                </c:pt>
                <c:pt idx="44">
                  <c:v>5000</c:v>
                </c:pt>
                <c:pt idx="45">
                  <c:v>5500</c:v>
                </c:pt>
                <c:pt idx="46">
                  <c:v>6000</c:v>
                </c:pt>
                <c:pt idx="47">
                  <c:v>6500</c:v>
                </c:pt>
                <c:pt idx="48">
                  <c:v>7000</c:v>
                </c:pt>
                <c:pt idx="49">
                  <c:v>7500</c:v>
                </c:pt>
                <c:pt idx="50">
                  <c:v>8000</c:v>
                </c:pt>
                <c:pt idx="51">
                  <c:v>8500</c:v>
                </c:pt>
                <c:pt idx="52">
                  <c:v>9000</c:v>
                </c:pt>
                <c:pt idx="53">
                  <c:v>9500</c:v>
                </c:pt>
                <c:pt idx="54">
                  <c:v>10000</c:v>
                </c:pt>
                <c:pt idx="55">
                  <c:v>15000</c:v>
                </c:pt>
                <c:pt idx="56">
                  <c:v>20000</c:v>
                </c:pt>
                <c:pt idx="57">
                  <c:v>25000</c:v>
                </c:pt>
                <c:pt idx="58">
                  <c:v>30000</c:v>
                </c:pt>
                <c:pt idx="59">
                  <c:v>35000</c:v>
                </c:pt>
                <c:pt idx="60">
                  <c:v>40000</c:v>
                </c:pt>
                <c:pt idx="61">
                  <c:v>45000</c:v>
                </c:pt>
                <c:pt idx="62">
                  <c:v>50000</c:v>
                </c:pt>
                <c:pt idx="63">
                  <c:v>55000</c:v>
                </c:pt>
                <c:pt idx="64">
                  <c:v>60000</c:v>
                </c:pt>
                <c:pt idx="65">
                  <c:v>65000</c:v>
                </c:pt>
                <c:pt idx="66">
                  <c:v>70000</c:v>
                </c:pt>
                <c:pt idx="67">
                  <c:v>75000</c:v>
                </c:pt>
                <c:pt idx="68">
                  <c:v>80000</c:v>
                </c:pt>
                <c:pt idx="69">
                  <c:v>85000</c:v>
                </c:pt>
                <c:pt idx="70">
                  <c:v>90000</c:v>
                </c:pt>
                <c:pt idx="71">
                  <c:v>95000</c:v>
                </c:pt>
                <c:pt idx="72">
                  <c:v>100000</c:v>
                </c:pt>
                <c:pt idx="73">
                  <c:v>150000</c:v>
                </c:pt>
                <c:pt idx="74">
                  <c:v>200000</c:v>
                </c:pt>
                <c:pt idx="75">
                  <c:v>250000</c:v>
                </c:pt>
                <c:pt idx="76">
                  <c:v>300000</c:v>
                </c:pt>
                <c:pt idx="77">
                  <c:v>350000</c:v>
                </c:pt>
                <c:pt idx="78">
                  <c:v>400000</c:v>
                </c:pt>
                <c:pt idx="79">
                  <c:v>450000</c:v>
                </c:pt>
                <c:pt idx="80">
                  <c:v>500000</c:v>
                </c:pt>
                <c:pt idx="81">
                  <c:v>550000</c:v>
                </c:pt>
                <c:pt idx="82">
                  <c:v>600000</c:v>
                </c:pt>
                <c:pt idx="83">
                  <c:v>650000</c:v>
                </c:pt>
                <c:pt idx="84">
                  <c:v>700000</c:v>
                </c:pt>
                <c:pt idx="85">
                  <c:v>750000</c:v>
                </c:pt>
                <c:pt idx="86">
                  <c:v>800000</c:v>
                </c:pt>
                <c:pt idx="87">
                  <c:v>850000</c:v>
                </c:pt>
                <c:pt idx="88">
                  <c:v>900000</c:v>
                </c:pt>
                <c:pt idx="89">
                  <c:v>950000</c:v>
                </c:pt>
                <c:pt idx="90">
                  <c:v>1000000</c:v>
                </c:pt>
              </c:numCache>
            </c:numRef>
          </c:xVal>
          <c:yVal>
            <c:numRef>
              <c:f>loop_gain!$AD$113:$AD$203</c:f>
              <c:numCache>
                <c:formatCode>General</c:formatCode>
                <c:ptCount val="91"/>
                <c:pt idx="0">
                  <c:v>-0.91213884904441922</c:v>
                </c:pt>
                <c:pt idx="1">
                  <c:v>-1.3680881955440136</c:v>
                </c:pt>
                <c:pt idx="2">
                  <c:v>-1.8238935381704704</c:v>
                </c:pt>
                <c:pt idx="3">
                  <c:v>-2.2795070250617693</c:v>
                </c:pt>
                <c:pt idx="4">
                  <c:v>-2.7348809321164955</c:v>
                </c:pt>
                <c:pt idx="5">
                  <c:v>-3.189967694533395</c:v>
                </c:pt>
                <c:pt idx="6">
                  <c:v>-3.644719938085704</c:v>
                </c:pt>
                <c:pt idx="7">
                  <c:v>-4.0990905100790265</c:v>
                </c:pt>
                <c:pt idx="8">
                  <c:v>-4.5530325099425051</c:v>
                </c:pt>
                <c:pt idx="9">
                  <c:v>-5.0064993194041856</c:v>
                </c:pt>
                <c:pt idx="10">
                  <c:v>-5.4594446322026897</c:v>
                </c:pt>
                <c:pt idx="11">
                  <c:v>-5.9118224832888231</c:v>
                </c:pt>
                <c:pt idx="12">
                  <c:v>-6.363587277472174</c:v>
                </c:pt>
                <c:pt idx="13">
                  <c:v>-6.8146938174695251</c:v>
                </c:pt>
                <c:pt idx="14">
                  <c:v>-7.2650973313136076</c:v>
                </c:pt>
                <c:pt idx="15">
                  <c:v>-7.7147534990826907</c:v>
                </c:pt>
                <c:pt idx="16">
                  <c:v>-8.1636184789134525</c:v>
                </c:pt>
                <c:pt idx="17">
                  <c:v>-8.6116489322616268</c:v>
                </c:pt>
                <c:pt idx="18">
                  <c:v>-9.0588020483771849</c:v>
                </c:pt>
                <c:pt idx="19">
                  <c:v>-13.473083412097971</c:v>
                </c:pt>
                <c:pt idx="20">
                  <c:v>-17.757253048525154</c:v>
                </c:pt>
                <c:pt idx="21">
                  <c:v>-21.880037467564662</c:v>
                </c:pt>
                <c:pt idx="22">
                  <c:v>-25.818312736205609</c:v>
                </c:pt>
                <c:pt idx="23">
                  <c:v>-29.557026052689242</c:v>
                </c:pt>
                <c:pt idx="24">
                  <c:v>-33.088449748140853</c:v>
                </c:pt>
                <c:pt idx="25">
                  <c:v>-36.411031064761637</c:v>
                </c:pt>
                <c:pt idx="26">
                  <c:v>-39.528082240487471</c:v>
                </c:pt>
                <c:pt idx="27">
                  <c:v>-42.446496106509862</c:v>
                </c:pt>
                <c:pt idx="28">
                  <c:v>-45.175602577701802</c:v>
                </c:pt>
                <c:pt idx="29">
                  <c:v>-47.726220552054485</c:v>
                </c:pt>
                <c:pt idx="30">
                  <c:v>-50.109915950605014</c:v>
                </c:pt>
                <c:pt idx="31">
                  <c:v>-52.338450147555477</c:v>
                </c:pt>
                <c:pt idx="32">
                  <c:v>-54.423390259435536</c:v>
                </c:pt>
                <c:pt idx="33">
                  <c:v>-56.375849178198159</c:v>
                </c:pt>
                <c:pt idx="34">
                  <c:v>-58.206324950911743</c:v>
                </c:pt>
                <c:pt idx="35">
                  <c:v>-59.924613331165162</c:v>
                </c:pt>
                <c:pt idx="36">
                  <c:v>-61.539772302385906</c:v>
                </c:pt>
                <c:pt idx="37">
                  <c:v>-73.530309337817712</c:v>
                </c:pt>
                <c:pt idx="38">
                  <c:v>-80.919395931892353</c:v>
                </c:pt>
                <c:pt idx="39">
                  <c:v>-85.870631018061644</c:v>
                </c:pt>
                <c:pt idx="40">
                  <c:v>-89.340925918204377</c:v>
                </c:pt>
                <c:pt idx="41">
                  <c:v>-91.830240507779578</c:v>
                </c:pt>
                <c:pt idx="42">
                  <c:v>-93.637762132156794</c:v>
                </c:pt>
                <c:pt idx="43">
                  <c:v>-94.959321013124111</c:v>
                </c:pt>
                <c:pt idx="44">
                  <c:v>-95.929953155160717</c:v>
                </c:pt>
                <c:pt idx="45">
                  <c:v>-96.645455517655407</c:v>
                </c:pt>
                <c:pt idx="46">
                  <c:v>-97.174841889016662</c:v>
                </c:pt>
                <c:pt idx="47">
                  <c:v>-97.5682711434916</c:v>
                </c:pt>
                <c:pt idx="48">
                  <c:v>-97.862405123037817</c:v>
                </c:pt>
                <c:pt idx="49">
                  <c:v>-98.084152063406449</c:v>
                </c:pt>
                <c:pt idx="50">
                  <c:v>-98.253328764041711</c:v>
                </c:pt>
                <c:pt idx="51">
                  <c:v>-98.384572239142329</c:v>
                </c:pt>
                <c:pt idx="52">
                  <c:v>-98.488720633045318</c:v>
                </c:pt>
                <c:pt idx="53">
                  <c:v>-98.573815163845978</c:v>
                </c:pt>
                <c:pt idx="54">
                  <c:v>-98.645829951415493</c:v>
                </c:pt>
                <c:pt idx="55">
                  <c:v>-99.231354808071117</c:v>
                </c:pt>
                <c:pt idx="56">
                  <c:v>-100.05213860363091</c:v>
                </c:pt>
                <c:pt idx="57">
                  <c:v>-101.12153903772315</c:v>
                </c:pt>
                <c:pt idx="58">
                  <c:v>-102.35243977928003</c:v>
                </c:pt>
                <c:pt idx="59">
                  <c:v>-103.68531351758651</c:v>
                </c:pt>
                <c:pt idx="60">
                  <c:v>-105.08347341138496</c:v>
                </c:pt>
                <c:pt idx="61">
                  <c:v>-106.52384778856286</c:v>
                </c:pt>
                <c:pt idx="62">
                  <c:v>-107.99132738898231</c:v>
                </c:pt>
                <c:pt idx="63">
                  <c:v>-109.47559580910205</c:v>
                </c:pt>
                <c:pt idx="64">
                  <c:v>-110.96933433236005</c:v>
                </c:pt>
                <c:pt idx="65">
                  <c:v>-112.46717306443252</c:v>
                </c:pt>
                <c:pt idx="66">
                  <c:v>-113.96505641434929</c:v>
                </c:pt>
                <c:pt idx="67">
                  <c:v>-115.45984609367524</c:v>
                </c:pt>
                <c:pt idx="68">
                  <c:v>-116.94906482450435</c:v>
                </c:pt>
                <c:pt idx="69">
                  <c:v>-118.43072603273731</c:v>
                </c:pt>
                <c:pt idx="70">
                  <c:v>-119.90321759725568</c:v>
                </c:pt>
                <c:pt idx="71">
                  <c:v>-121.36522046402146</c:v>
                </c:pt>
                <c:pt idx="72">
                  <c:v>-122.81565027314774</c:v>
                </c:pt>
                <c:pt idx="73">
                  <c:v>-136.55042842240664</c:v>
                </c:pt>
                <c:pt idx="74">
                  <c:v>-148.77562357333144</c:v>
                </c:pt>
                <c:pt idx="75">
                  <c:v>-159.63268403417396</c:v>
                </c:pt>
                <c:pt idx="76">
                  <c:v>-169.38956091417114</c:v>
                </c:pt>
                <c:pt idx="77">
                  <c:v>-178.30320810779008</c:v>
                </c:pt>
                <c:pt idx="78">
                  <c:v>-186.57899205129715</c:v>
                </c:pt>
                <c:pt idx="79">
                  <c:v>-194.3678560817892</c:v>
                </c:pt>
                <c:pt idx="80">
                  <c:v>-201.77532386097369</c:v>
                </c:pt>
                <c:pt idx="81">
                  <c:v>-208.87235319104164</c:v>
                </c:pt>
                <c:pt idx="82">
                  <c:v>-215.70486498641861</c:v>
                </c:pt>
                <c:pt idx="83">
                  <c:v>-222.30129575847846</c:v>
                </c:pt>
                <c:pt idx="84">
                  <c:v>-228.67832119336231</c:v>
                </c:pt>
                <c:pt idx="85">
                  <c:v>-234.84508120057825</c:v>
                </c:pt>
                <c:pt idx="86">
                  <c:v>-240.80622755647727</c:v>
                </c:pt>
                <c:pt idx="87">
                  <c:v>-246.56406184266194</c:v>
                </c:pt>
                <c:pt idx="88">
                  <c:v>-252.119978622302</c:v>
                </c:pt>
                <c:pt idx="89">
                  <c:v>-257.47538606998694</c:v>
                </c:pt>
                <c:pt idx="90">
                  <c:v>-262.63224250881694</c:v>
                </c:pt>
              </c:numCache>
            </c:numRef>
          </c:yVal>
          <c:smooth val="1"/>
          <c:extLst>
            <c:ext xmlns:c16="http://schemas.microsoft.com/office/drawing/2014/chart" uri="{C3380CC4-5D6E-409C-BE32-E72D297353CC}">
              <c16:uniqueId val="{00000001-7D93-45EA-82E7-0378C6BEAF5C}"/>
            </c:ext>
          </c:extLst>
        </c:ser>
        <c:dLbls>
          <c:showLegendKey val="0"/>
          <c:showVal val="0"/>
          <c:showCatName val="0"/>
          <c:showSerName val="0"/>
          <c:showPercent val="0"/>
          <c:showBubbleSize val="0"/>
        </c:dLbls>
        <c:axId val="221453312"/>
        <c:axId val="221451392"/>
      </c:scatterChart>
      <c:valAx>
        <c:axId val="221447296"/>
        <c:scaling>
          <c:logBase val="10"/>
          <c:orientation val="minMax"/>
        </c:scaling>
        <c:delete val="0"/>
        <c:axPos val="b"/>
        <c:majorGridlines/>
        <c:minorGridlines/>
        <c:title>
          <c:tx>
            <c:rich>
              <a:bodyPr/>
              <a:lstStyle/>
              <a:p>
                <a:pPr>
                  <a:defRPr/>
                </a:pPr>
                <a:r>
                  <a:rPr lang="en-US"/>
                  <a:t>Frequency (Hz)</a:t>
                </a:r>
              </a:p>
            </c:rich>
          </c:tx>
          <c:overlay val="0"/>
        </c:title>
        <c:numFmt formatCode="#,##0.0" sourceLinked="1"/>
        <c:majorTickMark val="out"/>
        <c:minorTickMark val="none"/>
        <c:tickLblPos val="nextTo"/>
        <c:crossAx val="221449216"/>
        <c:crossesAt val="-80"/>
        <c:crossBetween val="midCat"/>
      </c:valAx>
      <c:valAx>
        <c:axId val="221449216"/>
        <c:scaling>
          <c:orientation val="minMax"/>
          <c:max val="80"/>
          <c:min val="-80"/>
        </c:scaling>
        <c:delete val="0"/>
        <c:axPos val="l"/>
        <c:majorGridlines/>
        <c:title>
          <c:tx>
            <c:rich>
              <a:bodyPr rot="-5400000" vert="horz"/>
              <a:lstStyle/>
              <a:p>
                <a:pPr>
                  <a:defRPr/>
                </a:pPr>
                <a:r>
                  <a:rPr lang="en-US"/>
                  <a:t>Loop Gain (dB)</a:t>
                </a:r>
              </a:p>
            </c:rich>
          </c:tx>
          <c:overlay val="0"/>
        </c:title>
        <c:numFmt formatCode="0.00" sourceLinked="1"/>
        <c:majorTickMark val="out"/>
        <c:minorTickMark val="none"/>
        <c:tickLblPos val="nextTo"/>
        <c:crossAx val="221447296"/>
        <c:crosses val="autoZero"/>
        <c:crossBetween val="midCat"/>
      </c:valAx>
      <c:valAx>
        <c:axId val="221451392"/>
        <c:scaling>
          <c:orientation val="minMax"/>
          <c:max val="180"/>
          <c:min val="-180"/>
        </c:scaling>
        <c:delete val="0"/>
        <c:axPos val="r"/>
        <c:majorGridlines/>
        <c:title>
          <c:tx>
            <c:rich>
              <a:bodyPr rot="-5400000" vert="horz"/>
              <a:lstStyle/>
              <a:p>
                <a:pPr>
                  <a:defRPr/>
                </a:pPr>
                <a:r>
                  <a:rPr lang="en-US"/>
                  <a:t>Loop Phase (°)</a:t>
                </a:r>
              </a:p>
            </c:rich>
          </c:tx>
          <c:overlay val="0"/>
        </c:title>
        <c:numFmt formatCode="General" sourceLinked="1"/>
        <c:majorTickMark val="out"/>
        <c:minorTickMark val="none"/>
        <c:tickLblPos val="nextTo"/>
        <c:crossAx val="221453312"/>
        <c:crosses val="max"/>
        <c:crossBetween val="midCat"/>
        <c:majorUnit val="45"/>
      </c:valAx>
      <c:valAx>
        <c:axId val="221453312"/>
        <c:scaling>
          <c:logBase val="10"/>
          <c:orientation val="minMax"/>
        </c:scaling>
        <c:delete val="1"/>
        <c:axPos val="b"/>
        <c:numFmt formatCode="#,##0.0" sourceLinked="1"/>
        <c:majorTickMark val="out"/>
        <c:minorTickMark val="none"/>
        <c:tickLblPos val="nextTo"/>
        <c:crossAx val="221451392"/>
        <c:crosses val="autoZero"/>
        <c:crossBetween val="midCat"/>
      </c:valAx>
    </c:plotArea>
    <c:legend>
      <c:legendPos val="r"/>
      <c:overlay val="0"/>
    </c:legend>
    <c:plotVisOnly val="1"/>
    <c:dispBlanksAs val="gap"/>
    <c:showDLblsOverMax val="0"/>
  </c:chart>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xVal>
            <c:numRef>
              <c:f>Current_limit!$N$23:$N$641</c:f>
              <c:numCache>
                <c:formatCode>0.000</c:formatCode>
                <c:ptCount val="619"/>
                <c:pt idx="0">
                  <c:v>0.1</c:v>
                </c:pt>
                <c:pt idx="1">
                  <c:v>0.2</c:v>
                </c:pt>
                <c:pt idx="2">
                  <c:v>0.30000000000000004</c:v>
                </c:pt>
                <c:pt idx="3">
                  <c:v>0.4</c:v>
                </c:pt>
                <c:pt idx="4">
                  <c:v>0.5</c:v>
                </c:pt>
                <c:pt idx="5">
                  <c:v>0.6</c:v>
                </c:pt>
                <c:pt idx="6">
                  <c:v>0.7</c:v>
                </c:pt>
                <c:pt idx="7">
                  <c:v>0.79999999999999993</c:v>
                </c:pt>
                <c:pt idx="8">
                  <c:v>0.89999999999999991</c:v>
                </c:pt>
                <c:pt idx="9">
                  <c:v>0.90999999999999992</c:v>
                </c:pt>
                <c:pt idx="10">
                  <c:v>0.91999999999999993</c:v>
                </c:pt>
                <c:pt idx="11">
                  <c:v>0.92999999999999994</c:v>
                </c:pt>
                <c:pt idx="12">
                  <c:v>0.94</c:v>
                </c:pt>
                <c:pt idx="13">
                  <c:v>0.95</c:v>
                </c:pt>
                <c:pt idx="14">
                  <c:v>0.96</c:v>
                </c:pt>
                <c:pt idx="15">
                  <c:v>0.97</c:v>
                </c:pt>
                <c:pt idx="16">
                  <c:v>0.98</c:v>
                </c:pt>
                <c:pt idx="17">
                  <c:v>0.99</c:v>
                </c:pt>
                <c:pt idx="18">
                  <c:v>1</c:v>
                </c:pt>
                <c:pt idx="19">
                  <c:v>1.01</c:v>
                </c:pt>
                <c:pt idx="20">
                  <c:v>1.02</c:v>
                </c:pt>
                <c:pt idx="21">
                  <c:v>1.03</c:v>
                </c:pt>
                <c:pt idx="22">
                  <c:v>1.04</c:v>
                </c:pt>
                <c:pt idx="23">
                  <c:v>1.05</c:v>
                </c:pt>
                <c:pt idx="24">
                  <c:v>1.06</c:v>
                </c:pt>
                <c:pt idx="25">
                  <c:v>1.07</c:v>
                </c:pt>
                <c:pt idx="26">
                  <c:v>1.08</c:v>
                </c:pt>
                <c:pt idx="27">
                  <c:v>1.0900000000000001</c:v>
                </c:pt>
                <c:pt idx="28">
                  <c:v>1.1000000000000001</c:v>
                </c:pt>
                <c:pt idx="29">
                  <c:v>1.1100000000000001</c:v>
                </c:pt>
                <c:pt idx="30">
                  <c:v>1.1200000000000001</c:v>
                </c:pt>
                <c:pt idx="31">
                  <c:v>1.1300000000000001</c:v>
                </c:pt>
                <c:pt idx="32">
                  <c:v>1.1400000000000001</c:v>
                </c:pt>
                <c:pt idx="33">
                  <c:v>1.1500000000000001</c:v>
                </c:pt>
                <c:pt idx="34">
                  <c:v>1.1600000000000001</c:v>
                </c:pt>
                <c:pt idx="35">
                  <c:v>1.1700000000000002</c:v>
                </c:pt>
                <c:pt idx="36">
                  <c:v>1.1800000000000002</c:v>
                </c:pt>
                <c:pt idx="37">
                  <c:v>1.1900000000000002</c:v>
                </c:pt>
                <c:pt idx="38">
                  <c:v>1.2000000000000002</c:v>
                </c:pt>
                <c:pt idx="39">
                  <c:v>1.2100000000000002</c:v>
                </c:pt>
                <c:pt idx="40">
                  <c:v>1.2200000000000002</c:v>
                </c:pt>
                <c:pt idx="41">
                  <c:v>1.2300000000000002</c:v>
                </c:pt>
                <c:pt idx="42">
                  <c:v>1.2400000000000002</c:v>
                </c:pt>
                <c:pt idx="43">
                  <c:v>1.2500000000000002</c:v>
                </c:pt>
                <c:pt idx="44">
                  <c:v>1.2600000000000002</c:v>
                </c:pt>
                <c:pt idx="45">
                  <c:v>1.2700000000000002</c:v>
                </c:pt>
                <c:pt idx="46">
                  <c:v>1.2800000000000002</c:v>
                </c:pt>
                <c:pt idx="47">
                  <c:v>1.2900000000000003</c:v>
                </c:pt>
                <c:pt idx="48">
                  <c:v>1.3000000000000003</c:v>
                </c:pt>
                <c:pt idx="49">
                  <c:v>1.3100000000000003</c:v>
                </c:pt>
                <c:pt idx="50">
                  <c:v>1.3200000000000003</c:v>
                </c:pt>
                <c:pt idx="51">
                  <c:v>1.3300000000000003</c:v>
                </c:pt>
                <c:pt idx="52">
                  <c:v>1.3400000000000003</c:v>
                </c:pt>
                <c:pt idx="53">
                  <c:v>1.3500000000000003</c:v>
                </c:pt>
                <c:pt idx="54">
                  <c:v>1.3600000000000003</c:v>
                </c:pt>
                <c:pt idx="55">
                  <c:v>1.3700000000000003</c:v>
                </c:pt>
                <c:pt idx="56">
                  <c:v>1.3800000000000003</c:v>
                </c:pt>
                <c:pt idx="57">
                  <c:v>1.3900000000000003</c:v>
                </c:pt>
                <c:pt idx="58">
                  <c:v>1.4000000000000004</c:v>
                </c:pt>
                <c:pt idx="59">
                  <c:v>1.4100000000000004</c:v>
                </c:pt>
                <c:pt idx="60">
                  <c:v>1.4200000000000004</c:v>
                </c:pt>
                <c:pt idx="61">
                  <c:v>1.4300000000000004</c:v>
                </c:pt>
                <c:pt idx="62">
                  <c:v>1.4400000000000004</c:v>
                </c:pt>
                <c:pt idx="63">
                  <c:v>1.4500000000000004</c:v>
                </c:pt>
                <c:pt idx="64">
                  <c:v>1.4600000000000004</c:v>
                </c:pt>
                <c:pt idx="65">
                  <c:v>1.4700000000000004</c:v>
                </c:pt>
                <c:pt idx="66">
                  <c:v>1.4800000000000004</c:v>
                </c:pt>
                <c:pt idx="67">
                  <c:v>1.4900000000000004</c:v>
                </c:pt>
                <c:pt idx="68">
                  <c:v>1.5000000000000004</c:v>
                </c:pt>
                <c:pt idx="69">
                  <c:v>1.5100000000000005</c:v>
                </c:pt>
                <c:pt idx="70">
                  <c:v>1.5200000000000005</c:v>
                </c:pt>
                <c:pt idx="71">
                  <c:v>1.5300000000000005</c:v>
                </c:pt>
                <c:pt idx="72">
                  <c:v>1.5400000000000005</c:v>
                </c:pt>
                <c:pt idx="73">
                  <c:v>1.5500000000000005</c:v>
                </c:pt>
                <c:pt idx="74">
                  <c:v>1.5600000000000005</c:v>
                </c:pt>
                <c:pt idx="75">
                  <c:v>1.5700000000000005</c:v>
                </c:pt>
                <c:pt idx="76">
                  <c:v>1.5800000000000005</c:v>
                </c:pt>
                <c:pt idx="77">
                  <c:v>1.5900000000000005</c:v>
                </c:pt>
                <c:pt idx="78">
                  <c:v>1.6000000000000005</c:v>
                </c:pt>
                <c:pt idx="79">
                  <c:v>1.6100000000000005</c:v>
                </c:pt>
                <c:pt idx="80">
                  <c:v>1.6200000000000006</c:v>
                </c:pt>
                <c:pt idx="81">
                  <c:v>1.6300000000000006</c:v>
                </c:pt>
                <c:pt idx="82">
                  <c:v>1.6400000000000006</c:v>
                </c:pt>
                <c:pt idx="83">
                  <c:v>1.6500000000000006</c:v>
                </c:pt>
                <c:pt idx="84">
                  <c:v>1.6600000000000006</c:v>
                </c:pt>
                <c:pt idx="85">
                  <c:v>1.6700000000000006</c:v>
                </c:pt>
                <c:pt idx="86">
                  <c:v>1.6800000000000006</c:v>
                </c:pt>
                <c:pt idx="87">
                  <c:v>1.6900000000000006</c:v>
                </c:pt>
                <c:pt idx="88">
                  <c:v>1.7000000000000006</c:v>
                </c:pt>
                <c:pt idx="89">
                  <c:v>1.7100000000000006</c:v>
                </c:pt>
                <c:pt idx="90">
                  <c:v>1.7200000000000006</c:v>
                </c:pt>
                <c:pt idx="91">
                  <c:v>1.7300000000000006</c:v>
                </c:pt>
                <c:pt idx="92">
                  <c:v>1.7400000000000007</c:v>
                </c:pt>
                <c:pt idx="93">
                  <c:v>1.7500000000000007</c:v>
                </c:pt>
                <c:pt idx="94">
                  <c:v>1.7600000000000007</c:v>
                </c:pt>
                <c:pt idx="95">
                  <c:v>1.7700000000000007</c:v>
                </c:pt>
                <c:pt idx="96">
                  <c:v>1.7800000000000007</c:v>
                </c:pt>
                <c:pt idx="97">
                  <c:v>1.7900000000000007</c:v>
                </c:pt>
                <c:pt idx="98">
                  <c:v>1.8000000000000007</c:v>
                </c:pt>
                <c:pt idx="99">
                  <c:v>1.8100000000000007</c:v>
                </c:pt>
                <c:pt idx="100">
                  <c:v>1.8200000000000007</c:v>
                </c:pt>
                <c:pt idx="101">
                  <c:v>1.8300000000000007</c:v>
                </c:pt>
                <c:pt idx="102">
                  <c:v>1.8400000000000007</c:v>
                </c:pt>
                <c:pt idx="103">
                  <c:v>1.8500000000000008</c:v>
                </c:pt>
                <c:pt idx="104">
                  <c:v>1.8600000000000008</c:v>
                </c:pt>
                <c:pt idx="105">
                  <c:v>1.8700000000000008</c:v>
                </c:pt>
                <c:pt idx="106">
                  <c:v>1.8800000000000008</c:v>
                </c:pt>
                <c:pt idx="107">
                  <c:v>1.8900000000000008</c:v>
                </c:pt>
                <c:pt idx="108">
                  <c:v>1.9000000000000008</c:v>
                </c:pt>
                <c:pt idx="109">
                  <c:v>1.9100000000000008</c:v>
                </c:pt>
                <c:pt idx="110">
                  <c:v>1.9200000000000008</c:v>
                </c:pt>
                <c:pt idx="111">
                  <c:v>1.9300000000000008</c:v>
                </c:pt>
                <c:pt idx="112">
                  <c:v>1.9400000000000008</c:v>
                </c:pt>
                <c:pt idx="113">
                  <c:v>1.9500000000000008</c:v>
                </c:pt>
                <c:pt idx="114">
                  <c:v>1.9600000000000009</c:v>
                </c:pt>
                <c:pt idx="115">
                  <c:v>1.9700000000000009</c:v>
                </c:pt>
                <c:pt idx="116">
                  <c:v>1.9800000000000009</c:v>
                </c:pt>
                <c:pt idx="117">
                  <c:v>1.9900000000000009</c:v>
                </c:pt>
                <c:pt idx="118">
                  <c:v>2.0000000000000009</c:v>
                </c:pt>
                <c:pt idx="119">
                  <c:v>2.0100000000000007</c:v>
                </c:pt>
                <c:pt idx="120">
                  <c:v>2.0200000000000005</c:v>
                </c:pt>
                <c:pt idx="121">
                  <c:v>2.0300000000000002</c:v>
                </c:pt>
                <c:pt idx="122">
                  <c:v>2.04</c:v>
                </c:pt>
                <c:pt idx="123">
                  <c:v>2.0499999999999998</c:v>
                </c:pt>
                <c:pt idx="124">
                  <c:v>2.0599999999999996</c:v>
                </c:pt>
                <c:pt idx="125">
                  <c:v>2.0699999999999994</c:v>
                </c:pt>
                <c:pt idx="126">
                  <c:v>2.0799999999999992</c:v>
                </c:pt>
                <c:pt idx="127">
                  <c:v>2.089999999999999</c:v>
                </c:pt>
                <c:pt idx="128">
                  <c:v>2.0999999999999988</c:v>
                </c:pt>
                <c:pt idx="129">
                  <c:v>2.1099999999999985</c:v>
                </c:pt>
                <c:pt idx="130">
                  <c:v>2.1199999999999983</c:v>
                </c:pt>
                <c:pt idx="131">
                  <c:v>2.1299999999999981</c:v>
                </c:pt>
                <c:pt idx="132">
                  <c:v>2.1399999999999979</c:v>
                </c:pt>
                <c:pt idx="133">
                  <c:v>2.1499999999999977</c:v>
                </c:pt>
                <c:pt idx="134">
                  <c:v>2.1599999999999975</c:v>
                </c:pt>
                <c:pt idx="135">
                  <c:v>2.1699999999999973</c:v>
                </c:pt>
                <c:pt idx="136">
                  <c:v>2.1799999999999971</c:v>
                </c:pt>
                <c:pt idx="137">
                  <c:v>2.1899999999999968</c:v>
                </c:pt>
                <c:pt idx="138">
                  <c:v>2.1999999999999966</c:v>
                </c:pt>
                <c:pt idx="139">
                  <c:v>2.2099999999999964</c:v>
                </c:pt>
                <c:pt idx="140">
                  <c:v>2.2199999999999962</c:v>
                </c:pt>
                <c:pt idx="141">
                  <c:v>2.229999999999996</c:v>
                </c:pt>
                <c:pt idx="142">
                  <c:v>2.2399999999999958</c:v>
                </c:pt>
                <c:pt idx="143">
                  <c:v>2.2499999999999956</c:v>
                </c:pt>
                <c:pt idx="144">
                  <c:v>2.2599999999999953</c:v>
                </c:pt>
                <c:pt idx="145">
                  <c:v>2.2699999999999951</c:v>
                </c:pt>
                <c:pt idx="146">
                  <c:v>2.2799999999999949</c:v>
                </c:pt>
                <c:pt idx="147">
                  <c:v>2.2899999999999947</c:v>
                </c:pt>
                <c:pt idx="148">
                  <c:v>2.2999999999999945</c:v>
                </c:pt>
                <c:pt idx="149">
                  <c:v>2.3099999999999943</c:v>
                </c:pt>
                <c:pt idx="150">
                  <c:v>2.3199999999999941</c:v>
                </c:pt>
                <c:pt idx="151">
                  <c:v>2.3299999999999939</c:v>
                </c:pt>
                <c:pt idx="152">
                  <c:v>2.3399999999999936</c:v>
                </c:pt>
                <c:pt idx="153">
                  <c:v>2.3499999999999934</c:v>
                </c:pt>
                <c:pt idx="154">
                  <c:v>2.3599999999999932</c:v>
                </c:pt>
                <c:pt idx="155">
                  <c:v>2.369999999999993</c:v>
                </c:pt>
                <c:pt idx="156">
                  <c:v>2.3799999999999928</c:v>
                </c:pt>
                <c:pt idx="157">
                  <c:v>2.3899999999999926</c:v>
                </c:pt>
                <c:pt idx="158">
                  <c:v>2.3999999999999924</c:v>
                </c:pt>
                <c:pt idx="159">
                  <c:v>2.4099999999999921</c:v>
                </c:pt>
                <c:pt idx="160">
                  <c:v>2.4199999999999919</c:v>
                </c:pt>
                <c:pt idx="161">
                  <c:v>2.4299999999999917</c:v>
                </c:pt>
                <c:pt idx="162">
                  <c:v>2.4399999999999915</c:v>
                </c:pt>
                <c:pt idx="163">
                  <c:v>2.4499999999999913</c:v>
                </c:pt>
                <c:pt idx="164">
                  <c:v>2.4599999999999911</c:v>
                </c:pt>
                <c:pt idx="165">
                  <c:v>2.4699999999999909</c:v>
                </c:pt>
                <c:pt idx="166">
                  <c:v>2.4799999999999907</c:v>
                </c:pt>
                <c:pt idx="167">
                  <c:v>2.4899999999999904</c:v>
                </c:pt>
                <c:pt idx="168">
                  <c:v>2.4999999999999902</c:v>
                </c:pt>
                <c:pt idx="169">
                  <c:v>2.50999999999999</c:v>
                </c:pt>
                <c:pt idx="170">
                  <c:v>2.5199999999999898</c:v>
                </c:pt>
                <c:pt idx="171">
                  <c:v>2.5299999999999896</c:v>
                </c:pt>
                <c:pt idx="172">
                  <c:v>2.5399999999999894</c:v>
                </c:pt>
                <c:pt idx="173">
                  <c:v>2.5499999999999892</c:v>
                </c:pt>
                <c:pt idx="174">
                  <c:v>2.559999999999989</c:v>
                </c:pt>
                <c:pt idx="175">
                  <c:v>2.5699999999999887</c:v>
                </c:pt>
                <c:pt idx="176">
                  <c:v>2.5799999999999885</c:v>
                </c:pt>
                <c:pt idx="177">
                  <c:v>2.5899999999999883</c:v>
                </c:pt>
                <c:pt idx="178">
                  <c:v>2.5999999999999881</c:v>
                </c:pt>
                <c:pt idx="179">
                  <c:v>2.6099999999999879</c:v>
                </c:pt>
                <c:pt idx="180">
                  <c:v>2.6199999999999877</c:v>
                </c:pt>
                <c:pt idx="181">
                  <c:v>2.6299999999999875</c:v>
                </c:pt>
                <c:pt idx="182">
                  <c:v>2.6399999999999872</c:v>
                </c:pt>
                <c:pt idx="183">
                  <c:v>2.649999999999987</c:v>
                </c:pt>
                <c:pt idx="184">
                  <c:v>2.6599999999999868</c:v>
                </c:pt>
                <c:pt idx="185">
                  <c:v>2.6699999999999866</c:v>
                </c:pt>
                <c:pt idx="186">
                  <c:v>2.6799999999999864</c:v>
                </c:pt>
                <c:pt idx="187">
                  <c:v>2.6899999999999862</c:v>
                </c:pt>
                <c:pt idx="188">
                  <c:v>2.699999999999986</c:v>
                </c:pt>
                <c:pt idx="189">
                  <c:v>2.7099999999999858</c:v>
                </c:pt>
                <c:pt idx="190">
                  <c:v>2.7199999999999855</c:v>
                </c:pt>
                <c:pt idx="191">
                  <c:v>2.7299999999999853</c:v>
                </c:pt>
                <c:pt idx="192">
                  <c:v>2.7399999999999851</c:v>
                </c:pt>
                <c:pt idx="193">
                  <c:v>2.7499999999999849</c:v>
                </c:pt>
                <c:pt idx="194">
                  <c:v>2.7599999999999847</c:v>
                </c:pt>
                <c:pt idx="195">
                  <c:v>2.7699999999999845</c:v>
                </c:pt>
                <c:pt idx="196">
                  <c:v>2.7799999999999843</c:v>
                </c:pt>
                <c:pt idx="197">
                  <c:v>2.789999999999984</c:v>
                </c:pt>
                <c:pt idx="198">
                  <c:v>2.7999999999999838</c:v>
                </c:pt>
                <c:pt idx="199">
                  <c:v>2.8099999999999836</c:v>
                </c:pt>
                <c:pt idx="200">
                  <c:v>2.8199999999999834</c:v>
                </c:pt>
                <c:pt idx="201">
                  <c:v>2.8299999999999832</c:v>
                </c:pt>
                <c:pt idx="202">
                  <c:v>2.839999999999983</c:v>
                </c:pt>
                <c:pt idx="203">
                  <c:v>2.8499999999999828</c:v>
                </c:pt>
                <c:pt idx="204">
                  <c:v>2.8599999999999826</c:v>
                </c:pt>
                <c:pt idx="205">
                  <c:v>2.8699999999999823</c:v>
                </c:pt>
                <c:pt idx="206">
                  <c:v>2.8799999999999821</c:v>
                </c:pt>
                <c:pt idx="207">
                  <c:v>2.8899999999999819</c:v>
                </c:pt>
                <c:pt idx="208">
                  <c:v>2.8999999999999817</c:v>
                </c:pt>
                <c:pt idx="209">
                  <c:v>2.9099999999999815</c:v>
                </c:pt>
                <c:pt idx="210">
                  <c:v>2.9199999999999813</c:v>
                </c:pt>
                <c:pt idx="211">
                  <c:v>2.9299999999999811</c:v>
                </c:pt>
                <c:pt idx="212">
                  <c:v>2.9399999999999809</c:v>
                </c:pt>
                <c:pt idx="213">
                  <c:v>2.9499999999999806</c:v>
                </c:pt>
                <c:pt idx="214">
                  <c:v>2.9599999999999804</c:v>
                </c:pt>
                <c:pt idx="215">
                  <c:v>2.9699999999999802</c:v>
                </c:pt>
                <c:pt idx="216">
                  <c:v>2.97999999999998</c:v>
                </c:pt>
                <c:pt idx="217">
                  <c:v>2.9899999999999798</c:v>
                </c:pt>
                <c:pt idx="218">
                  <c:v>2.9999999999999796</c:v>
                </c:pt>
                <c:pt idx="219">
                  <c:v>3.0099999999999794</c:v>
                </c:pt>
                <c:pt idx="220">
                  <c:v>3.0199999999999791</c:v>
                </c:pt>
                <c:pt idx="221">
                  <c:v>3.0299999999999789</c:v>
                </c:pt>
                <c:pt idx="222">
                  <c:v>3.0399999999999787</c:v>
                </c:pt>
                <c:pt idx="223">
                  <c:v>3.0499999999999785</c:v>
                </c:pt>
                <c:pt idx="224">
                  <c:v>3.0599999999999783</c:v>
                </c:pt>
                <c:pt idx="225">
                  <c:v>3.0699999999999781</c:v>
                </c:pt>
                <c:pt idx="226">
                  <c:v>3.0799999999999779</c:v>
                </c:pt>
                <c:pt idx="227">
                  <c:v>3.0899999999999777</c:v>
                </c:pt>
                <c:pt idx="228">
                  <c:v>3.0999999999999774</c:v>
                </c:pt>
                <c:pt idx="229">
                  <c:v>3.1099999999999772</c:v>
                </c:pt>
                <c:pt idx="230">
                  <c:v>3.119999999999977</c:v>
                </c:pt>
                <c:pt idx="231">
                  <c:v>3.1299999999999768</c:v>
                </c:pt>
                <c:pt idx="232">
                  <c:v>3.1399999999999766</c:v>
                </c:pt>
                <c:pt idx="233">
                  <c:v>3.1499999999999764</c:v>
                </c:pt>
                <c:pt idx="234">
                  <c:v>3.1599999999999762</c:v>
                </c:pt>
                <c:pt idx="235">
                  <c:v>3.1699999999999759</c:v>
                </c:pt>
                <c:pt idx="236">
                  <c:v>3.1799999999999757</c:v>
                </c:pt>
                <c:pt idx="237">
                  <c:v>3.1899999999999755</c:v>
                </c:pt>
                <c:pt idx="238">
                  <c:v>3.1999999999999753</c:v>
                </c:pt>
                <c:pt idx="239">
                  <c:v>3.2099999999999751</c:v>
                </c:pt>
                <c:pt idx="240">
                  <c:v>3.2199999999999749</c:v>
                </c:pt>
                <c:pt idx="241">
                  <c:v>3.2299999999999747</c:v>
                </c:pt>
                <c:pt idx="242">
                  <c:v>3.2399999999999745</c:v>
                </c:pt>
                <c:pt idx="243">
                  <c:v>3.2499999999999742</c:v>
                </c:pt>
                <c:pt idx="244">
                  <c:v>3.259999999999974</c:v>
                </c:pt>
                <c:pt idx="245">
                  <c:v>3.2699999999999738</c:v>
                </c:pt>
                <c:pt idx="246">
                  <c:v>3.2799999999999736</c:v>
                </c:pt>
                <c:pt idx="247">
                  <c:v>3.2899999999999734</c:v>
                </c:pt>
                <c:pt idx="248">
                  <c:v>3.2999999999999732</c:v>
                </c:pt>
                <c:pt idx="249">
                  <c:v>3.309999999999973</c:v>
                </c:pt>
                <c:pt idx="250">
                  <c:v>3.3199999999999728</c:v>
                </c:pt>
                <c:pt idx="251">
                  <c:v>3.3299999999999725</c:v>
                </c:pt>
                <c:pt idx="252">
                  <c:v>3.3399999999999723</c:v>
                </c:pt>
                <c:pt idx="253">
                  <c:v>3.3499999999999721</c:v>
                </c:pt>
                <c:pt idx="254">
                  <c:v>3.3599999999999719</c:v>
                </c:pt>
                <c:pt idx="255">
                  <c:v>3.3699999999999717</c:v>
                </c:pt>
                <c:pt idx="256">
                  <c:v>3.375</c:v>
                </c:pt>
                <c:pt idx="257">
                  <c:v>3.375</c:v>
                </c:pt>
                <c:pt idx="258">
                  <c:v>3.375</c:v>
                </c:pt>
                <c:pt idx="259">
                  <c:v>3.375</c:v>
                </c:pt>
                <c:pt idx="260">
                  <c:v>3.375</c:v>
                </c:pt>
                <c:pt idx="261">
                  <c:v>3.375</c:v>
                </c:pt>
                <c:pt idx="262">
                  <c:v>3.375</c:v>
                </c:pt>
                <c:pt idx="263">
                  <c:v>3.375</c:v>
                </c:pt>
                <c:pt idx="264">
                  <c:v>3.375</c:v>
                </c:pt>
                <c:pt idx="265">
                  <c:v>3.375</c:v>
                </c:pt>
                <c:pt idx="266">
                  <c:v>3.375</c:v>
                </c:pt>
                <c:pt idx="267">
                  <c:v>3.375</c:v>
                </c:pt>
                <c:pt idx="268">
                  <c:v>3.375</c:v>
                </c:pt>
                <c:pt idx="269">
                  <c:v>3.375</c:v>
                </c:pt>
                <c:pt idx="270">
                  <c:v>3.375</c:v>
                </c:pt>
                <c:pt idx="271">
                  <c:v>3.375</c:v>
                </c:pt>
                <c:pt idx="272">
                  <c:v>3.375</c:v>
                </c:pt>
                <c:pt idx="273">
                  <c:v>3.375</c:v>
                </c:pt>
                <c:pt idx="274">
                  <c:v>3.375</c:v>
                </c:pt>
                <c:pt idx="275">
                  <c:v>3.375</c:v>
                </c:pt>
                <c:pt idx="276">
                  <c:v>3.375</c:v>
                </c:pt>
                <c:pt idx="277">
                  <c:v>3.375</c:v>
                </c:pt>
                <c:pt idx="278">
                  <c:v>3.375</c:v>
                </c:pt>
                <c:pt idx="279">
                  <c:v>3.375</c:v>
                </c:pt>
                <c:pt idx="280">
                  <c:v>3.375</c:v>
                </c:pt>
                <c:pt idx="281">
                  <c:v>3.375</c:v>
                </c:pt>
                <c:pt idx="282">
                  <c:v>3.375</c:v>
                </c:pt>
                <c:pt idx="283">
                  <c:v>3.375</c:v>
                </c:pt>
                <c:pt idx="284">
                  <c:v>3.375</c:v>
                </c:pt>
                <c:pt idx="285">
                  <c:v>3.375</c:v>
                </c:pt>
                <c:pt idx="286">
                  <c:v>3.375</c:v>
                </c:pt>
                <c:pt idx="287">
                  <c:v>3.375</c:v>
                </c:pt>
                <c:pt idx="288">
                  <c:v>3.375</c:v>
                </c:pt>
                <c:pt idx="289">
                  <c:v>3.375</c:v>
                </c:pt>
                <c:pt idx="290">
                  <c:v>3.375</c:v>
                </c:pt>
                <c:pt idx="291">
                  <c:v>3.375</c:v>
                </c:pt>
                <c:pt idx="292">
                  <c:v>3.375</c:v>
                </c:pt>
                <c:pt idx="293">
                  <c:v>3.375</c:v>
                </c:pt>
                <c:pt idx="294">
                  <c:v>3.375</c:v>
                </c:pt>
                <c:pt idx="295">
                  <c:v>3.375</c:v>
                </c:pt>
                <c:pt idx="296">
                  <c:v>3.375</c:v>
                </c:pt>
                <c:pt idx="297">
                  <c:v>3.375</c:v>
                </c:pt>
                <c:pt idx="298">
                  <c:v>3.375</c:v>
                </c:pt>
                <c:pt idx="299">
                  <c:v>3.375</c:v>
                </c:pt>
                <c:pt idx="300">
                  <c:v>3.375</c:v>
                </c:pt>
                <c:pt idx="301">
                  <c:v>3.375</c:v>
                </c:pt>
                <c:pt idx="302">
                  <c:v>3.375</c:v>
                </c:pt>
                <c:pt idx="303">
                  <c:v>3.375</c:v>
                </c:pt>
                <c:pt idx="304">
                  <c:v>3.375</c:v>
                </c:pt>
                <c:pt idx="305">
                  <c:v>3.375</c:v>
                </c:pt>
                <c:pt idx="306">
                  <c:v>3.375</c:v>
                </c:pt>
                <c:pt idx="307">
                  <c:v>3.375</c:v>
                </c:pt>
                <c:pt idx="308">
                  <c:v>3.375</c:v>
                </c:pt>
                <c:pt idx="309">
                  <c:v>3.375</c:v>
                </c:pt>
                <c:pt idx="310">
                  <c:v>3.375</c:v>
                </c:pt>
                <c:pt idx="311">
                  <c:v>3.375</c:v>
                </c:pt>
                <c:pt idx="312">
                  <c:v>3.375</c:v>
                </c:pt>
                <c:pt idx="313">
                  <c:v>3.375</c:v>
                </c:pt>
                <c:pt idx="314">
                  <c:v>3.375</c:v>
                </c:pt>
                <c:pt idx="315">
                  <c:v>3.375</c:v>
                </c:pt>
                <c:pt idx="316">
                  <c:v>3.375</c:v>
                </c:pt>
                <c:pt idx="317">
                  <c:v>3.375</c:v>
                </c:pt>
                <c:pt idx="318">
                  <c:v>3.375</c:v>
                </c:pt>
                <c:pt idx="319">
                  <c:v>3.375</c:v>
                </c:pt>
                <c:pt idx="320">
                  <c:v>3.375</c:v>
                </c:pt>
                <c:pt idx="321">
                  <c:v>3.375</c:v>
                </c:pt>
                <c:pt idx="322">
                  <c:v>3.375</c:v>
                </c:pt>
                <c:pt idx="323">
                  <c:v>3.375</c:v>
                </c:pt>
                <c:pt idx="324">
                  <c:v>3.375</c:v>
                </c:pt>
                <c:pt idx="325">
                  <c:v>3.375</c:v>
                </c:pt>
                <c:pt idx="326">
                  <c:v>3.375</c:v>
                </c:pt>
                <c:pt idx="327">
                  <c:v>3.375</c:v>
                </c:pt>
                <c:pt idx="328">
                  <c:v>3.375</c:v>
                </c:pt>
                <c:pt idx="329">
                  <c:v>3.375</c:v>
                </c:pt>
                <c:pt idx="330">
                  <c:v>3.375</c:v>
                </c:pt>
                <c:pt idx="331">
                  <c:v>3.375</c:v>
                </c:pt>
                <c:pt idx="332">
                  <c:v>3.375</c:v>
                </c:pt>
                <c:pt idx="333">
                  <c:v>3.375</c:v>
                </c:pt>
                <c:pt idx="334">
                  <c:v>3.375</c:v>
                </c:pt>
                <c:pt idx="335">
                  <c:v>3.375</c:v>
                </c:pt>
                <c:pt idx="336">
                  <c:v>3.375</c:v>
                </c:pt>
                <c:pt idx="337">
                  <c:v>3.375</c:v>
                </c:pt>
                <c:pt idx="338">
                  <c:v>3.375</c:v>
                </c:pt>
                <c:pt idx="339">
                  <c:v>3.375</c:v>
                </c:pt>
                <c:pt idx="340">
                  <c:v>3.375</c:v>
                </c:pt>
                <c:pt idx="341">
                  <c:v>3.375</c:v>
                </c:pt>
                <c:pt idx="342">
                  <c:v>3.375</c:v>
                </c:pt>
                <c:pt idx="343">
                  <c:v>3.375</c:v>
                </c:pt>
                <c:pt idx="344">
                  <c:v>3.375</c:v>
                </c:pt>
                <c:pt idx="345">
                  <c:v>3.375</c:v>
                </c:pt>
                <c:pt idx="346">
                  <c:v>3.375</c:v>
                </c:pt>
                <c:pt idx="347">
                  <c:v>3.375</c:v>
                </c:pt>
                <c:pt idx="348">
                  <c:v>3.375</c:v>
                </c:pt>
                <c:pt idx="349">
                  <c:v>3.375</c:v>
                </c:pt>
                <c:pt idx="350">
                  <c:v>3.375</c:v>
                </c:pt>
                <c:pt idx="351">
                  <c:v>3.375</c:v>
                </c:pt>
                <c:pt idx="352">
                  <c:v>3.375</c:v>
                </c:pt>
                <c:pt idx="353">
                  <c:v>3.375</c:v>
                </c:pt>
                <c:pt idx="354">
                  <c:v>3.375</c:v>
                </c:pt>
                <c:pt idx="355">
                  <c:v>3.375</c:v>
                </c:pt>
                <c:pt idx="356">
                  <c:v>3.375</c:v>
                </c:pt>
                <c:pt idx="357">
                  <c:v>3.375</c:v>
                </c:pt>
                <c:pt idx="358">
                  <c:v>3.375</c:v>
                </c:pt>
                <c:pt idx="359">
                  <c:v>3.375</c:v>
                </c:pt>
                <c:pt idx="360">
                  <c:v>3.375</c:v>
                </c:pt>
                <c:pt idx="361">
                  <c:v>3.375</c:v>
                </c:pt>
                <c:pt idx="362">
                  <c:v>3.375</c:v>
                </c:pt>
                <c:pt idx="363">
                  <c:v>3.375</c:v>
                </c:pt>
                <c:pt idx="364">
                  <c:v>3.375</c:v>
                </c:pt>
                <c:pt idx="365">
                  <c:v>3.375</c:v>
                </c:pt>
                <c:pt idx="366">
                  <c:v>3.375</c:v>
                </c:pt>
                <c:pt idx="367">
                  <c:v>3.375</c:v>
                </c:pt>
                <c:pt idx="368">
                  <c:v>3.375</c:v>
                </c:pt>
                <c:pt idx="369">
                  <c:v>3.375</c:v>
                </c:pt>
                <c:pt idx="370">
                  <c:v>3.375</c:v>
                </c:pt>
                <c:pt idx="371">
                  <c:v>3.375</c:v>
                </c:pt>
                <c:pt idx="372">
                  <c:v>3.375</c:v>
                </c:pt>
                <c:pt idx="373">
                  <c:v>3.375</c:v>
                </c:pt>
                <c:pt idx="374">
                  <c:v>3.375</c:v>
                </c:pt>
                <c:pt idx="375">
                  <c:v>3.375</c:v>
                </c:pt>
                <c:pt idx="376">
                  <c:v>3.375</c:v>
                </c:pt>
                <c:pt idx="377">
                  <c:v>3.375</c:v>
                </c:pt>
                <c:pt idx="378">
                  <c:v>3.375</c:v>
                </c:pt>
                <c:pt idx="379">
                  <c:v>3.375</c:v>
                </c:pt>
                <c:pt idx="380">
                  <c:v>3.375</c:v>
                </c:pt>
                <c:pt idx="381">
                  <c:v>3.375</c:v>
                </c:pt>
                <c:pt idx="382">
                  <c:v>3.375</c:v>
                </c:pt>
                <c:pt idx="383">
                  <c:v>3.375</c:v>
                </c:pt>
                <c:pt idx="384">
                  <c:v>3.375</c:v>
                </c:pt>
                <c:pt idx="385">
                  <c:v>3.375</c:v>
                </c:pt>
                <c:pt idx="386">
                  <c:v>3.375</c:v>
                </c:pt>
                <c:pt idx="387">
                  <c:v>3.375</c:v>
                </c:pt>
                <c:pt idx="388">
                  <c:v>3.375</c:v>
                </c:pt>
                <c:pt idx="389">
                  <c:v>3.375</c:v>
                </c:pt>
                <c:pt idx="390">
                  <c:v>3.375</c:v>
                </c:pt>
                <c:pt idx="391">
                  <c:v>3.375</c:v>
                </c:pt>
                <c:pt idx="392">
                  <c:v>3.375</c:v>
                </c:pt>
                <c:pt idx="393">
                  <c:v>3.375</c:v>
                </c:pt>
                <c:pt idx="394">
                  <c:v>3.375</c:v>
                </c:pt>
                <c:pt idx="395">
                  <c:v>3.375</c:v>
                </c:pt>
                <c:pt idx="396">
                  <c:v>3.375</c:v>
                </c:pt>
                <c:pt idx="397">
                  <c:v>3.375</c:v>
                </c:pt>
                <c:pt idx="398">
                  <c:v>3.375</c:v>
                </c:pt>
                <c:pt idx="399">
                  <c:v>3.375</c:v>
                </c:pt>
                <c:pt idx="400">
                  <c:v>3.375</c:v>
                </c:pt>
                <c:pt idx="401">
                  <c:v>3.375</c:v>
                </c:pt>
                <c:pt idx="402">
                  <c:v>3.375</c:v>
                </c:pt>
                <c:pt idx="403">
                  <c:v>3.375</c:v>
                </c:pt>
                <c:pt idx="404">
                  <c:v>3.375</c:v>
                </c:pt>
                <c:pt idx="405">
                  <c:v>3.375</c:v>
                </c:pt>
                <c:pt idx="406">
                  <c:v>3.375</c:v>
                </c:pt>
                <c:pt idx="407">
                  <c:v>3.375</c:v>
                </c:pt>
                <c:pt idx="408">
                  <c:v>3.375</c:v>
                </c:pt>
                <c:pt idx="409">
                  <c:v>3.375</c:v>
                </c:pt>
                <c:pt idx="410">
                  <c:v>3.375</c:v>
                </c:pt>
                <c:pt idx="411">
                  <c:v>3.375</c:v>
                </c:pt>
                <c:pt idx="412">
                  <c:v>3.375</c:v>
                </c:pt>
                <c:pt idx="413">
                  <c:v>3.375</c:v>
                </c:pt>
                <c:pt idx="414">
                  <c:v>3.375</c:v>
                </c:pt>
                <c:pt idx="415">
                  <c:v>3.375</c:v>
                </c:pt>
                <c:pt idx="416">
                  <c:v>3.375</c:v>
                </c:pt>
                <c:pt idx="417">
                  <c:v>3.375</c:v>
                </c:pt>
                <c:pt idx="418">
                  <c:v>3.375</c:v>
                </c:pt>
                <c:pt idx="419">
                  <c:v>3.375</c:v>
                </c:pt>
                <c:pt idx="420">
                  <c:v>3.375</c:v>
                </c:pt>
                <c:pt idx="421">
                  <c:v>3.375</c:v>
                </c:pt>
                <c:pt idx="422">
                  <c:v>3.375</c:v>
                </c:pt>
                <c:pt idx="423">
                  <c:v>3.375</c:v>
                </c:pt>
                <c:pt idx="424">
                  <c:v>3.375</c:v>
                </c:pt>
                <c:pt idx="425">
                  <c:v>3.375</c:v>
                </c:pt>
                <c:pt idx="426">
                  <c:v>3.375</c:v>
                </c:pt>
                <c:pt idx="427">
                  <c:v>3.375</c:v>
                </c:pt>
                <c:pt idx="428">
                  <c:v>3.375</c:v>
                </c:pt>
                <c:pt idx="429">
                  <c:v>3.375</c:v>
                </c:pt>
                <c:pt idx="430">
                  <c:v>3.375</c:v>
                </c:pt>
                <c:pt idx="431">
                  <c:v>3.375</c:v>
                </c:pt>
                <c:pt idx="432">
                  <c:v>3.375</c:v>
                </c:pt>
                <c:pt idx="433">
                  <c:v>3.375</c:v>
                </c:pt>
                <c:pt idx="434">
                  <c:v>3.375</c:v>
                </c:pt>
                <c:pt idx="435">
                  <c:v>3.375</c:v>
                </c:pt>
                <c:pt idx="436">
                  <c:v>3.375</c:v>
                </c:pt>
                <c:pt idx="437">
                  <c:v>3.375</c:v>
                </c:pt>
                <c:pt idx="438">
                  <c:v>3.375</c:v>
                </c:pt>
                <c:pt idx="439">
                  <c:v>3.375</c:v>
                </c:pt>
                <c:pt idx="440">
                  <c:v>3.375</c:v>
                </c:pt>
                <c:pt idx="441">
                  <c:v>3.375</c:v>
                </c:pt>
                <c:pt idx="442">
                  <c:v>3.375</c:v>
                </c:pt>
                <c:pt idx="443">
                  <c:v>3.375</c:v>
                </c:pt>
                <c:pt idx="444">
                  <c:v>3.375</c:v>
                </c:pt>
                <c:pt idx="445">
                  <c:v>3.375</c:v>
                </c:pt>
                <c:pt idx="446">
                  <c:v>3.375</c:v>
                </c:pt>
                <c:pt idx="447">
                  <c:v>3.375</c:v>
                </c:pt>
                <c:pt idx="448">
                  <c:v>3.375</c:v>
                </c:pt>
                <c:pt idx="449">
                  <c:v>3.375</c:v>
                </c:pt>
                <c:pt idx="450">
                  <c:v>3.375</c:v>
                </c:pt>
                <c:pt idx="451">
                  <c:v>3.375</c:v>
                </c:pt>
                <c:pt idx="452">
                  <c:v>3.375</c:v>
                </c:pt>
                <c:pt idx="453">
                  <c:v>3.375</c:v>
                </c:pt>
                <c:pt idx="454">
                  <c:v>3.375</c:v>
                </c:pt>
                <c:pt idx="455">
                  <c:v>3.375</c:v>
                </c:pt>
                <c:pt idx="456">
                  <c:v>3.375</c:v>
                </c:pt>
                <c:pt idx="457">
                  <c:v>3.375</c:v>
                </c:pt>
                <c:pt idx="458">
                  <c:v>3.375</c:v>
                </c:pt>
                <c:pt idx="459">
                  <c:v>3.375</c:v>
                </c:pt>
                <c:pt idx="460">
                  <c:v>3.375</c:v>
                </c:pt>
                <c:pt idx="461">
                  <c:v>3.375</c:v>
                </c:pt>
                <c:pt idx="462">
                  <c:v>3.375</c:v>
                </c:pt>
                <c:pt idx="463">
                  <c:v>3.375</c:v>
                </c:pt>
                <c:pt idx="464">
                  <c:v>3.375</c:v>
                </c:pt>
                <c:pt idx="465">
                  <c:v>3.375</c:v>
                </c:pt>
                <c:pt idx="466">
                  <c:v>3.375</c:v>
                </c:pt>
                <c:pt idx="467">
                  <c:v>3.375</c:v>
                </c:pt>
                <c:pt idx="468">
                  <c:v>3.375</c:v>
                </c:pt>
                <c:pt idx="469">
                  <c:v>3.375</c:v>
                </c:pt>
                <c:pt idx="470">
                  <c:v>3.375</c:v>
                </c:pt>
                <c:pt idx="471">
                  <c:v>3.375</c:v>
                </c:pt>
                <c:pt idx="472">
                  <c:v>3.375</c:v>
                </c:pt>
                <c:pt idx="473">
                  <c:v>3.375</c:v>
                </c:pt>
                <c:pt idx="474">
                  <c:v>3.375</c:v>
                </c:pt>
                <c:pt idx="475">
                  <c:v>3.375</c:v>
                </c:pt>
                <c:pt idx="476">
                  <c:v>3.375</c:v>
                </c:pt>
                <c:pt idx="477">
                  <c:v>3.375</c:v>
                </c:pt>
                <c:pt idx="478">
                  <c:v>3.375</c:v>
                </c:pt>
                <c:pt idx="479">
                  <c:v>3.375</c:v>
                </c:pt>
                <c:pt idx="480">
                  <c:v>3.375</c:v>
                </c:pt>
                <c:pt idx="481">
                  <c:v>3.375</c:v>
                </c:pt>
                <c:pt idx="482">
                  <c:v>3.375</c:v>
                </c:pt>
                <c:pt idx="483">
                  <c:v>3.375</c:v>
                </c:pt>
                <c:pt idx="484">
                  <c:v>3.375</c:v>
                </c:pt>
                <c:pt idx="485">
                  <c:v>3.375</c:v>
                </c:pt>
                <c:pt idx="486">
                  <c:v>3.375</c:v>
                </c:pt>
                <c:pt idx="487">
                  <c:v>3.375</c:v>
                </c:pt>
                <c:pt idx="488">
                  <c:v>3.375</c:v>
                </c:pt>
                <c:pt idx="489">
                  <c:v>3.375</c:v>
                </c:pt>
                <c:pt idx="490">
                  <c:v>3.375</c:v>
                </c:pt>
                <c:pt idx="491">
                  <c:v>3.375</c:v>
                </c:pt>
                <c:pt idx="492">
                  <c:v>3.375</c:v>
                </c:pt>
                <c:pt idx="493">
                  <c:v>3.375</c:v>
                </c:pt>
                <c:pt idx="494">
                  <c:v>3.375</c:v>
                </c:pt>
                <c:pt idx="495">
                  <c:v>3.375</c:v>
                </c:pt>
                <c:pt idx="496">
                  <c:v>3.375</c:v>
                </c:pt>
                <c:pt idx="497">
                  <c:v>3.375</c:v>
                </c:pt>
                <c:pt idx="498">
                  <c:v>3.375</c:v>
                </c:pt>
                <c:pt idx="499">
                  <c:v>3.375</c:v>
                </c:pt>
                <c:pt idx="500">
                  <c:v>3.375</c:v>
                </c:pt>
                <c:pt idx="501">
                  <c:v>3.375</c:v>
                </c:pt>
                <c:pt idx="502">
                  <c:v>3.375</c:v>
                </c:pt>
                <c:pt idx="503">
                  <c:v>3.375</c:v>
                </c:pt>
                <c:pt idx="504">
                  <c:v>3.375</c:v>
                </c:pt>
                <c:pt idx="505">
                  <c:v>3.375</c:v>
                </c:pt>
                <c:pt idx="506">
                  <c:v>3.375</c:v>
                </c:pt>
                <c:pt idx="507">
                  <c:v>3.375</c:v>
                </c:pt>
                <c:pt idx="508">
                  <c:v>3.375</c:v>
                </c:pt>
                <c:pt idx="509">
                  <c:v>3.375</c:v>
                </c:pt>
                <c:pt idx="510">
                  <c:v>3.375</c:v>
                </c:pt>
                <c:pt idx="511">
                  <c:v>3.375</c:v>
                </c:pt>
                <c:pt idx="512">
                  <c:v>3.375</c:v>
                </c:pt>
                <c:pt idx="513">
                  <c:v>3.375</c:v>
                </c:pt>
                <c:pt idx="514">
                  <c:v>3.375</c:v>
                </c:pt>
                <c:pt idx="515">
                  <c:v>3.375</c:v>
                </c:pt>
                <c:pt idx="516">
                  <c:v>3.375</c:v>
                </c:pt>
                <c:pt idx="517">
                  <c:v>3.375</c:v>
                </c:pt>
                <c:pt idx="518">
                  <c:v>3.375</c:v>
                </c:pt>
                <c:pt idx="519">
                  <c:v>3.375</c:v>
                </c:pt>
                <c:pt idx="520">
                  <c:v>3.375</c:v>
                </c:pt>
                <c:pt idx="521">
                  <c:v>3.375</c:v>
                </c:pt>
                <c:pt idx="522">
                  <c:v>3.375</c:v>
                </c:pt>
                <c:pt idx="523">
                  <c:v>3.375</c:v>
                </c:pt>
                <c:pt idx="524">
                  <c:v>3.375</c:v>
                </c:pt>
                <c:pt idx="525">
                  <c:v>3.375</c:v>
                </c:pt>
                <c:pt idx="526">
                  <c:v>3.375</c:v>
                </c:pt>
                <c:pt idx="527">
                  <c:v>3.375</c:v>
                </c:pt>
                <c:pt idx="528">
                  <c:v>3.375</c:v>
                </c:pt>
                <c:pt idx="529">
                  <c:v>3.375</c:v>
                </c:pt>
                <c:pt idx="530">
                  <c:v>3.375</c:v>
                </c:pt>
                <c:pt idx="531">
                  <c:v>3.375</c:v>
                </c:pt>
                <c:pt idx="532">
                  <c:v>3.375</c:v>
                </c:pt>
                <c:pt idx="533">
                  <c:v>3.375</c:v>
                </c:pt>
                <c:pt idx="534">
                  <c:v>3.375</c:v>
                </c:pt>
                <c:pt idx="535">
                  <c:v>3.375</c:v>
                </c:pt>
                <c:pt idx="536">
                  <c:v>3.375</c:v>
                </c:pt>
                <c:pt idx="537">
                  <c:v>3.375</c:v>
                </c:pt>
                <c:pt idx="538">
                  <c:v>3.375</c:v>
                </c:pt>
                <c:pt idx="539">
                  <c:v>3.375</c:v>
                </c:pt>
                <c:pt idx="540">
                  <c:v>3.375</c:v>
                </c:pt>
                <c:pt idx="541">
                  <c:v>3.375</c:v>
                </c:pt>
                <c:pt idx="542">
                  <c:v>3.375</c:v>
                </c:pt>
                <c:pt idx="543">
                  <c:v>3.375</c:v>
                </c:pt>
                <c:pt idx="544">
                  <c:v>3.375</c:v>
                </c:pt>
                <c:pt idx="545">
                  <c:v>3.375</c:v>
                </c:pt>
                <c:pt idx="546">
                  <c:v>3.375</c:v>
                </c:pt>
                <c:pt idx="547">
                  <c:v>3.375</c:v>
                </c:pt>
                <c:pt idx="548">
                  <c:v>3.375</c:v>
                </c:pt>
                <c:pt idx="549">
                  <c:v>3.375</c:v>
                </c:pt>
                <c:pt idx="550">
                  <c:v>3.375</c:v>
                </c:pt>
                <c:pt idx="551">
                  <c:v>3.375</c:v>
                </c:pt>
                <c:pt idx="552">
                  <c:v>3.375</c:v>
                </c:pt>
                <c:pt idx="553">
                  <c:v>3.375</c:v>
                </c:pt>
                <c:pt idx="554">
                  <c:v>3.375</c:v>
                </c:pt>
                <c:pt idx="555">
                  <c:v>3.375</c:v>
                </c:pt>
                <c:pt idx="556">
                  <c:v>3.375</c:v>
                </c:pt>
                <c:pt idx="557">
                  <c:v>3.375</c:v>
                </c:pt>
                <c:pt idx="558">
                  <c:v>3.375</c:v>
                </c:pt>
                <c:pt idx="559">
                  <c:v>3.375</c:v>
                </c:pt>
                <c:pt idx="560">
                  <c:v>3.375</c:v>
                </c:pt>
                <c:pt idx="561">
                  <c:v>3.375</c:v>
                </c:pt>
                <c:pt idx="562">
                  <c:v>3.375</c:v>
                </c:pt>
                <c:pt idx="563">
                  <c:v>3.375</c:v>
                </c:pt>
                <c:pt idx="564">
                  <c:v>3.375</c:v>
                </c:pt>
                <c:pt idx="565">
                  <c:v>3.375</c:v>
                </c:pt>
                <c:pt idx="566">
                  <c:v>3.375</c:v>
                </c:pt>
                <c:pt idx="567">
                  <c:v>3.375</c:v>
                </c:pt>
                <c:pt idx="568">
                  <c:v>3.375</c:v>
                </c:pt>
                <c:pt idx="569">
                  <c:v>3.375</c:v>
                </c:pt>
                <c:pt idx="570">
                  <c:v>3.375</c:v>
                </c:pt>
                <c:pt idx="571">
                  <c:v>3.375</c:v>
                </c:pt>
                <c:pt idx="572">
                  <c:v>3.375</c:v>
                </c:pt>
                <c:pt idx="573">
                  <c:v>3.375</c:v>
                </c:pt>
                <c:pt idx="574">
                  <c:v>3.375</c:v>
                </c:pt>
                <c:pt idx="575">
                  <c:v>3.375</c:v>
                </c:pt>
                <c:pt idx="576">
                  <c:v>3.375</c:v>
                </c:pt>
                <c:pt idx="577">
                  <c:v>3.375</c:v>
                </c:pt>
                <c:pt idx="578">
                  <c:v>3.375</c:v>
                </c:pt>
                <c:pt idx="579">
                  <c:v>3.375</c:v>
                </c:pt>
                <c:pt idx="580">
                  <c:v>3.375</c:v>
                </c:pt>
                <c:pt idx="581">
                  <c:v>3.375</c:v>
                </c:pt>
                <c:pt idx="582">
                  <c:v>3.375</c:v>
                </c:pt>
                <c:pt idx="583">
                  <c:v>3.375</c:v>
                </c:pt>
                <c:pt idx="584">
                  <c:v>3.375</c:v>
                </c:pt>
                <c:pt idx="585">
                  <c:v>3.375</c:v>
                </c:pt>
                <c:pt idx="586">
                  <c:v>3.375</c:v>
                </c:pt>
                <c:pt idx="587">
                  <c:v>3.375</c:v>
                </c:pt>
                <c:pt idx="588">
                  <c:v>3.375</c:v>
                </c:pt>
                <c:pt idx="589">
                  <c:v>3.375</c:v>
                </c:pt>
                <c:pt idx="590">
                  <c:v>3.375</c:v>
                </c:pt>
                <c:pt idx="591">
                  <c:v>3.375</c:v>
                </c:pt>
                <c:pt idx="592">
                  <c:v>3.375</c:v>
                </c:pt>
                <c:pt idx="593">
                  <c:v>3.375</c:v>
                </c:pt>
                <c:pt idx="594">
                  <c:v>3.375</c:v>
                </c:pt>
                <c:pt idx="595">
                  <c:v>3.375</c:v>
                </c:pt>
                <c:pt idx="596">
                  <c:v>3.375</c:v>
                </c:pt>
                <c:pt idx="597">
                  <c:v>3.375</c:v>
                </c:pt>
                <c:pt idx="598">
                  <c:v>3.375</c:v>
                </c:pt>
                <c:pt idx="599">
                  <c:v>3.375</c:v>
                </c:pt>
                <c:pt idx="600">
                  <c:v>3.375</c:v>
                </c:pt>
                <c:pt idx="601">
                  <c:v>3.375</c:v>
                </c:pt>
                <c:pt idx="602">
                  <c:v>3.375</c:v>
                </c:pt>
                <c:pt idx="603">
                  <c:v>3.375</c:v>
                </c:pt>
                <c:pt idx="604">
                  <c:v>3.375</c:v>
                </c:pt>
                <c:pt idx="605">
                  <c:v>3.375</c:v>
                </c:pt>
                <c:pt idx="606">
                  <c:v>3.375</c:v>
                </c:pt>
                <c:pt idx="607">
                  <c:v>3.375</c:v>
                </c:pt>
                <c:pt idx="608">
                  <c:v>3.375</c:v>
                </c:pt>
                <c:pt idx="609">
                  <c:v>3.375</c:v>
                </c:pt>
                <c:pt idx="610">
                  <c:v>3.375</c:v>
                </c:pt>
                <c:pt idx="611">
                  <c:v>3.375</c:v>
                </c:pt>
                <c:pt idx="612">
                  <c:v>3.375</c:v>
                </c:pt>
                <c:pt idx="613">
                  <c:v>3.375</c:v>
                </c:pt>
                <c:pt idx="614">
                  <c:v>3.375</c:v>
                </c:pt>
                <c:pt idx="615">
                  <c:v>3.375</c:v>
                </c:pt>
                <c:pt idx="616">
                  <c:v>3.375</c:v>
                </c:pt>
                <c:pt idx="617">
                  <c:v>3.375</c:v>
                </c:pt>
                <c:pt idx="618">
                  <c:v>3.375</c:v>
                </c:pt>
              </c:numCache>
            </c:numRef>
          </c:xVal>
          <c:yVal>
            <c:numRef>
              <c:f>Current_limit!$P$23:$P$641</c:f>
              <c:numCache>
                <c:formatCode>#,##0.0</c:formatCode>
                <c:ptCount val="619"/>
                <c:pt idx="0">
                  <c:v>2100000</c:v>
                </c:pt>
                <c:pt idx="1">
                  <c:v>2100000</c:v>
                </c:pt>
                <c:pt idx="2">
                  <c:v>2100000</c:v>
                </c:pt>
                <c:pt idx="3">
                  <c:v>2100000</c:v>
                </c:pt>
                <c:pt idx="4">
                  <c:v>2100000</c:v>
                </c:pt>
                <c:pt idx="5">
                  <c:v>2100000</c:v>
                </c:pt>
                <c:pt idx="6">
                  <c:v>2100000</c:v>
                </c:pt>
                <c:pt idx="7">
                  <c:v>2100000</c:v>
                </c:pt>
                <c:pt idx="8">
                  <c:v>2100000</c:v>
                </c:pt>
                <c:pt idx="9">
                  <c:v>2100000</c:v>
                </c:pt>
                <c:pt idx="10">
                  <c:v>2100000</c:v>
                </c:pt>
                <c:pt idx="11">
                  <c:v>2100000</c:v>
                </c:pt>
                <c:pt idx="12">
                  <c:v>2100000</c:v>
                </c:pt>
                <c:pt idx="13">
                  <c:v>2100000</c:v>
                </c:pt>
                <c:pt idx="14">
                  <c:v>2100000</c:v>
                </c:pt>
                <c:pt idx="15">
                  <c:v>2100000</c:v>
                </c:pt>
                <c:pt idx="16">
                  <c:v>2100000</c:v>
                </c:pt>
                <c:pt idx="17">
                  <c:v>2100000</c:v>
                </c:pt>
                <c:pt idx="18">
                  <c:v>2100000</c:v>
                </c:pt>
                <c:pt idx="19">
                  <c:v>2100000</c:v>
                </c:pt>
                <c:pt idx="20">
                  <c:v>2100000</c:v>
                </c:pt>
                <c:pt idx="21">
                  <c:v>2100000</c:v>
                </c:pt>
                <c:pt idx="22">
                  <c:v>2100000</c:v>
                </c:pt>
                <c:pt idx="23">
                  <c:v>2100000</c:v>
                </c:pt>
                <c:pt idx="24">
                  <c:v>2100000</c:v>
                </c:pt>
                <c:pt idx="25">
                  <c:v>2100000</c:v>
                </c:pt>
                <c:pt idx="26">
                  <c:v>2100000</c:v>
                </c:pt>
                <c:pt idx="27">
                  <c:v>2100000</c:v>
                </c:pt>
                <c:pt idx="28">
                  <c:v>2100000</c:v>
                </c:pt>
                <c:pt idx="29">
                  <c:v>2100000</c:v>
                </c:pt>
                <c:pt idx="30">
                  <c:v>2100000</c:v>
                </c:pt>
                <c:pt idx="31">
                  <c:v>2100000</c:v>
                </c:pt>
                <c:pt idx="32">
                  <c:v>2100000</c:v>
                </c:pt>
                <c:pt idx="33">
                  <c:v>2100000</c:v>
                </c:pt>
                <c:pt idx="34">
                  <c:v>2100000</c:v>
                </c:pt>
                <c:pt idx="35">
                  <c:v>2100000</c:v>
                </c:pt>
                <c:pt idx="36">
                  <c:v>2100000</c:v>
                </c:pt>
                <c:pt idx="37">
                  <c:v>2100000</c:v>
                </c:pt>
                <c:pt idx="38">
                  <c:v>2100000</c:v>
                </c:pt>
                <c:pt idx="39">
                  <c:v>2100000</c:v>
                </c:pt>
                <c:pt idx="40">
                  <c:v>2100000</c:v>
                </c:pt>
                <c:pt idx="41">
                  <c:v>2100000</c:v>
                </c:pt>
                <c:pt idx="42">
                  <c:v>2100000</c:v>
                </c:pt>
                <c:pt idx="43">
                  <c:v>2100000</c:v>
                </c:pt>
                <c:pt idx="44">
                  <c:v>2100000</c:v>
                </c:pt>
                <c:pt idx="45">
                  <c:v>2100000</c:v>
                </c:pt>
                <c:pt idx="46">
                  <c:v>2100000</c:v>
                </c:pt>
                <c:pt idx="47">
                  <c:v>2100000</c:v>
                </c:pt>
                <c:pt idx="48">
                  <c:v>2100000</c:v>
                </c:pt>
                <c:pt idx="49">
                  <c:v>2100000</c:v>
                </c:pt>
                <c:pt idx="50">
                  <c:v>2100000</c:v>
                </c:pt>
                <c:pt idx="51">
                  <c:v>2100000</c:v>
                </c:pt>
                <c:pt idx="52">
                  <c:v>2100000</c:v>
                </c:pt>
                <c:pt idx="53">
                  <c:v>2100000</c:v>
                </c:pt>
                <c:pt idx="54">
                  <c:v>2100000</c:v>
                </c:pt>
                <c:pt idx="55">
                  <c:v>2100000</c:v>
                </c:pt>
                <c:pt idx="56">
                  <c:v>2100000</c:v>
                </c:pt>
                <c:pt idx="57">
                  <c:v>2100000</c:v>
                </c:pt>
                <c:pt idx="58">
                  <c:v>2100000</c:v>
                </c:pt>
                <c:pt idx="59">
                  <c:v>2100000</c:v>
                </c:pt>
                <c:pt idx="60">
                  <c:v>2100000</c:v>
                </c:pt>
                <c:pt idx="61">
                  <c:v>2100000</c:v>
                </c:pt>
                <c:pt idx="62">
                  <c:v>2100000</c:v>
                </c:pt>
                <c:pt idx="63">
                  <c:v>2100000</c:v>
                </c:pt>
                <c:pt idx="64">
                  <c:v>2100000</c:v>
                </c:pt>
                <c:pt idx="65">
                  <c:v>2100000</c:v>
                </c:pt>
                <c:pt idx="66">
                  <c:v>2100000</c:v>
                </c:pt>
                <c:pt idx="67">
                  <c:v>2100000</c:v>
                </c:pt>
                <c:pt idx="68">
                  <c:v>2100000</c:v>
                </c:pt>
                <c:pt idx="69">
                  <c:v>2100000</c:v>
                </c:pt>
                <c:pt idx="70">
                  <c:v>2100000</c:v>
                </c:pt>
                <c:pt idx="71">
                  <c:v>2100000</c:v>
                </c:pt>
                <c:pt idx="72">
                  <c:v>2100000</c:v>
                </c:pt>
                <c:pt idx="73">
                  <c:v>2100000</c:v>
                </c:pt>
                <c:pt idx="74">
                  <c:v>2100000</c:v>
                </c:pt>
                <c:pt idx="75">
                  <c:v>2100000</c:v>
                </c:pt>
                <c:pt idx="76">
                  <c:v>2100000</c:v>
                </c:pt>
                <c:pt idx="77">
                  <c:v>2100000</c:v>
                </c:pt>
                <c:pt idx="78">
                  <c:v>2100000</c:v>
                </c:pt>
                <c:pt idx="79">
                  <c:v>2100000</c:v>
                </c:pt>
                <c:pt idx="80">
                  <c:v>2100000</c:v>
                </c:pt>
                <c:pt idx="81">
                  <c:v>2100000</c:v>
                </c:pt>
                <c:pt idx="82">
                  <c:v>2100000</c:v>
                </c:pt>
                <c:pt idx="83">
                  <c:v>2100000</c:v>
                </c:pt>
                <c:pt idx="84">
                  <c:v>2100000</c:v>
                </c:pt>
                <c:pt idx="85">
                  <c:v>2100000</c:v>
                </c:pt>
                <c:pt idx="86">
                  <c:v>2100000</c:v>
                </c:pt>
                <c:pt idx="87">
                  <c:v>2100000</c:v>
                </c:pt>
                <c:pt idx="88">
                  <c:v>2100000</c:v>
                </c:pt>
                <c:pt idx="89">
                  <c:v>2100000</c:v>
                </c:pt>
                <c:pt idx="90">
                  <c:v>2100000</c:v>
                </c:pt>
                <c:pt idx="91">
                  <c:v>2100000</c:v>
                </c:pt>
                <c:pt idx="92">
                  <c:v>2100000</c:v>
                </c:pt>
                <c:pt idx="93">
                  <c:v>2100000</c:v>
                </c:pt>
                <c:pt idx="94">
                  <c:v>2100000</c:v>
                </c:pt>
                <c:pt idx="95">
                  <c:v>2100000</c:v>
                </c:pt>
                <c:pt idx="96">
                  <c:v>2100000</c:v>
                </c:pt>
                <c:pt idx="97">
                  <c:v>2100000</c:v>
                </c:pt>
                <c:pt idx="98">
                  <c:v>2100000</c:v>
                </c:pt>
                <c:pt idx="99">
                  <c:v>2100000</c:v>
                </c:pt>
                <c:pt idx="100">
                  <c:v>2100000</c:v>
                </c:pt>
                <c:pt idx="101">
                  <c:v>2100000</c:v>
                </c:pt>
                <c:pt idx="102">
                  <c:v>2100000</c:v>
                </c:pt>
                <c:pt idx="103">
                  <c:v>2100000</c:v>
                </c:pt>
                <c:pt idx="104">
                  <c:v>2100000</c:v>
                </c:pt>
                <c:pt idx="105">
                  <c:v>2100000</c:v>
                </c:pt>
                <c:pt idx="106">
                  <c:v>2100000</c:v>
                </c:pt>
                <c:pt idx="107">
                  <c:v>2100000</c:v>
                </c:pt>
                <c:pt idx="108">
                  <c:v>2100000</c:v>
                </c:pt>
                <c:pt idx="109">
                  <c:v>2100000</c:v>
                </c:pt>
                <c:pt idx="110">
                  <c:v>2100000</c:v>
                </c:pt>
                <c:pt idx="111">
                  <c:v>2100000</c:v>
                </c:pt>
                <c:pt idx="112">
                  <c:v>2100000</c:v>
                </c:pt>
                <c:pt idx="113">
                  <c:v>2100000</c:v>
                </c:pt>
                <c:pt idx="114">
                  <c:v>2100000</c:v>
                </c:pt>
                <c:pt idx="115">
                  <c:v>2100000</c:v>
                </c:pt>
                <c:pt idx="116">
                  <c:v>2100000</c:v>
                </c:pt>
                <c:pt idx="117">
                  <c:v>2100000</c:v>
                </c:pt>
                <c:pt idx="118">
                  <c:v>2100000</c:v>
                </c:pt>
                <c:pt idx="119">
                  <c:v>2100000</c:v>
                </c:pt>
                <c:pt idx="120">
                  <c:v>2100000</c:v>
                </c:pt>
                <c:pt idx="121">
                  <c:v>2100000</c:v>
                </c:pt>
                <c:pt idx="122">
                  <c:v>2100000</c:v>
                </c:pt>
                <c:pt idx="123">
                  <c:v>2100000</c:v>
                </c:pt>
                <c:pt idx="124">
                  <c:v>2100000</c:v>
                </c:pt>
                <c:pt idx="125">
                  <c:v>2100000</c:v>
                </c:pt>
                <c:pt idx="126">
                  <c:v>2100000</c:v>
                </c:pt>
                <c:pt idx="127">
                  <c:v>2100000</c:v>
                </c:pt>
                <c:pt idx="128">
                  <c:v>2100000</c:v>
                </c:pt>
                <c:pt idx="129">
                  <c:v>2100000</c:v>
                </c:pt>
                <c:pt idx="130">
                  <c:v>2100000</c:v>
                </c:pt>
                <c:pt idx="131">
                  <c:v>2100000</c:v>
                </c:pt>
                <c:pt idx="132">
                  <c:v>2100000</c:v>
                </c:pt>
                <c:pt idx="133">
                  <c:v>2100000</c:v>
                </c:pt>
                <c:pt idx="134">
                  <c:v>2100000</c:v>
                </c:pt>
                <c:pt idx="135">
                  <c:v>2100000</c:v>
                </c:pt>
                <c:pt idx="136">
                  <c:v>2100000</c:v>
                </c:pt>
                <c:pt idx="137">
                  <c:v>2100000</c:v>
                </c:pt>
                <c:pt idx="138">
                  <c:v>2100000</c:v>
                </c:pt>
                <c:pt idx="139">
                  <c:v>2100000</c:v>
                </c:pt>
                <c:pt idx="140">
                  <c:v>2100000</c:v>
                </c:pt>
                <c:pt idx="141">
                  <c:v>2100000</c:v>
                </c:pt>
                <c:pt idx="142">
                  <c:v>2100000</c:v>
                </c:pt>
                <c:pt idx="143">
                  <c:v>2100000</c:v>
                </c:pt>
                <c:pt idx="144">
                  <c:v>2100000</c:v>
                </c:pt>
                <c:pt idx="145">
                  <c:v>2100000</c:v>
                </c:pt>
                <c:pt idx="146">
                  <c:v>2100000</c:v>
                </c:pt>
                <c:pt idx="147">
                  <c:v>2100000</c:v>
                </c:pt>
                <c:pt idx="148">
                  <c:v>2100000</c:v>
                </c:pt>
                <c:pt idx="149">
                  <c:v>2100000</c:v>
                </c:pt>
                <c:pt idx="150">
                  <c:v>2100000</c:v>
                </c:pt>
                <c:pt idx="151">
                  <c:v>2100000</c:v>
                </c:pt>
                <c:pt idx="152">
                  <c:v>2100000</c:v>
                </c:pt>
                <c:pt idx="153">
                  <c:v>2100000</c:v>
                </c:pt>
                <c:pt idx="154">
                  <c:v>2100000</c:v>
                </c:pt>
                <c:pt idx="155">
                  <c:v>2100000</c:v>
                </c:pt>
                <c:pt idx="156">
                  <c:v>2100000</c:v>
                </c:pt>
                <c:pt idx="157">
                  <c:v>2100000</c:v>
                </c:pt>
                <c:pt idx="158">
                  <c:v>2100000</c:v>
                </c:pt>
                <c:pt idx="159">
                  <c:v>2100000</c:v>
                </c:pt>
                <c:pt idx="160">
                  <c:v>2100000</c:v>
                </c:pt>
                <c:pt idx="161">
                  <c:v>2100000</c:v>
                </c:pt>
                <c:pt idx="162">
                  <c:v>2100000</c:v>
                </c:pt>
                <c:pt idx="163">
                  <c:v>2100000</c:v>
                </c:pt>
                <c:pt idx="164">
                  <c:v>2100000</c:v>
                </c:pt>
                <c:pt idx="165">
                  <c:v>2100000</c:v>
                </c:pt>
                <c:pt idx="166">
                  <c:v>2100000</c:v>
                </c:pt>
                <c:pt idx="167">
                  <c:v>2100000</c:v>
                </c:pt>
                <c:pt idx="168">
                  <c:v>2100000</c:v>
                </c:pt>
                <c:pt idx="169">
                  <c:v>2100000</c:v>
                </c:pt>
                <c:pt idx="170">
                  <c:v>2100000</c:v>
                </c:pt>
                <c:pt idx="171">
                  <c:v>2100000</c:v>
                </c:pt>
                <c:pt idx="172">
                  <c:v>2100000</c:v>
                </c:pt>
                <c:pt idx="173">
                  <c:v>2100000</c:v>
                </c:pt>
                <c:pt idx="174">
                  <c:v>2100000</c:v>
                </c:pt>
                <c:pt idx="175">
                  <c:v>2100000</c:v>
                </c:pt>
                <c:pt idx="176">
                  <c:v>2100000</c:v>
                </c:pt>
                <c:pt idx="177">
                  <c:v>2100000</c:v>
                </c:pt>
                <c:pt idx="178">
                  <c:v>2100000</c:v>
                </c:pt>
                <c:pt idx="179">
                  <c:v>2100000</c:v>
                </c:pt>
                <c:pt idx="180">
                  <c:v>2100000</c:v>
                </c:pt>
                <c:pt idx="181">
                  <c:v>2100000</c:v>
                </c:pt>
                <c:pt idx="182">
                  <c:v>2100000</c:v>
                </c:pt>
                <c:pt idx="183">
                  <c:v>2100000</c:v>
                </c:pt>
                <c:pt idx="184">
                  <c:v>2100000</c:v>
                </c:pt>
                <c:pt idx="185">
                  <c:v>2100000</c:v>
                </c:pt>
                <c:pt idx="186">
                  <c:v>2100000</c:v>
                </c:pt>
                <c:pt idx="187">
                  <c:v>2100000</c:v>
                </c:pt>
                <c:pt idx="188">
                  <c:v>2100000</c:v>
                </c:pt>
                <c:pt idx="189">
                  <c:v>2100000</c:v>
                </c:pt>
                <c:pt idx="190">
                  <c:v>2100000</c:v>
                </c:pt>
                <c:pt idx="191">
                  <c:v>2100000</c:v>
                </c:pt>
                <c:pt idx="192">
                  <c:v>2100000</c:v>
                </c:pt>
                <c:pt idx="193">
                  <c:v>2100000</c:v>
                </c:pt>
                <c:pt idx="194">
                  <c:v>2100000</c:v>
                </c:pt>
                <c:pt idx="195">
                  <c:v>2100000</c:v>
                </c:pt>
                <c:pt idx="196">
                  <c:v>2100000</c:v>
                </c:pt>
                <c:pt idx="197">
                  <c:v>2100000</c:v>
                </c:pt>
                <c:pt idx="198">
                  <c:v>2100000</c:v>
                </c:pt>
                <c:pt idx="199">
                  <c:v>2100000</c:v>
                </c:pt>
                <c:pt idx="200">
                  <c:v>2100000</c:v>
                </c:pt>
                <c:pt idx="201">
                  <c:v>2100000</c:v>
                </c:pt>
                <c:pt idx="202">
                  <c:v>2100000</c:v>
                </c:pt>
                <c:pt idx="203">
                  <c:v>2100000</c:v>
                </c:pt>
                <c:pt idx="204">
                  <c:v>2100000</c:v>
                </c:pt>
                <c:pt idx="205">
                  <c:v>2100000</c:v>
                </c:pt>
                <c:pt idx="206">
                  <c:v>2100000</c:v>
                </c:pt>
                <c:pt idx="207">
                  <c:v>2100000</c:v>
                </c:pt>
                <c:pt idx="208">
                  <c:v>2100000</c:v>
                </c:pt>
                <c:pt idx="209">
                  <c:v>2100000</c:v>
                </c:pt>
                <c:pt idx="210">
                  <c:v>2100000</c:v>
                </c:pt>
                <c:pt idx="211">
                  <c:v>2100000</c:v>
                </c:pt>
                <c:pt idx="212">
                  <c:v>2100000</c:v>
                </c:pt>
                <c:pt idx="213">
                  <c:v>2100000</c:v>
                </c:pt>
                <c:pt idx="214">
                  <c:v>2100000</c:v>
                </c:pt>
                <c:pt idx="215">
                  <c:v>2100000</c:v>
                </c:pt>
                <c:pt idx="216">
                  <c:v>2100000</c:v>
                </c:pt>
                <c:pt idx="217">
                  <c:v>2100000</c:v>
                </c:pt>
                <c:pt idx="218">
                  <c:v>2100000</c:v>
                </c:pt>
                <c:pt idx="219">
                  <c:v>2100000</c:v>
                </c:pt>
                <c:pt idx="220">
                  <c:v>2100000</c:v>
                </c:pt>
                <c:pt idx="221">
                  <c:v>2100000</c:v>
                </c:pt>
                <c:pt idx="222">
                  <c:v>2100000</c:v>
                </c:pt>
                <c:pt idx="223">
                  <c:v>2100000</c:v>
                </c:pt>
                <c:pt idx="224">
                  <c:v>2100000</c:v>
                </c:pt>
                <c:pt idx="225">
                  <c:v>2100000</c:v>
                </c:pt>
                <c:pt idx="226">
                  <c:v>2100000</c:v>
                </c:pt>
                <c:pt idx="227">
                  <c:v>2100000</c:v>
                </c:pt>
                <c:pt idx="228">
                  <c:v>2100000</c:v>
                </c:pt>
                <c:pt idx="229">
                  <c:v>2100000</c:v>
                </c:pt>
                <c:pt idx="230">
                  <c:v>2100000</c:v>
                </c:pt>
                <c:pt idx="231">
                  <c:v>2100000</c:v>
                </c:pt>
                <c:pt idx="232">
                  <c:v>2100000</c:v>
                </c:pt>
                <c:pt idx="233">
                  <c:v>2100000</c:v>
                </c:pt>
                <c:pt idx="234">
                  <c:v>2100000</c:v>
                </c:pt>
                <c:pt idx="235">
                  <c:v>2100000</c:v>
                </c:pt>
                <c:pt idx="236">
                  <c:v>2100000</c:v>
                </c:pt>
                <c:pt idx="237">
                  <c:v>2100000</c:v>
                </c:pt>
                <c:pt idx="238">
                  <c:v>2100000</c:v>
                </c:pt>
                <c:pt idx="239">
                  <c:v>2100000</c:v>
                </c:pt>
                <c:pt idx="240">
                  <c:v>2100000</c:v>
                </c:pt>
                <c:pt idx="241">
                  <c:v>2100000</c:v>
                </c:pt>
                <c:pt idx="242">
                  <c:v>2100000</c:v>
                </c:pt>
                <c:pt idx="243">
                  <c:v>2100000</c:v>
                </c:pt>
                <c:pt idx="244">
                  <c:v>2100000</c:v>
                </c:pt>
                <c:pt idx="245">
                  <c:v>2100000</c:v>
                </c:pt>
                <c:pt idx="246">
                  <c:v>2100000</c:v>
                </c:pt>
                <c:pt idx="247">
                  <c:v>2100000</c:v>
                </c:pt>
                <c:pt idx="248">
                  <c:v>2100000</c:v>
                </c:pt>
                <c:pt idx="249">
                  <c:v>2100000</c:v>
                </c:pt>
                <c:pt idx="250">
                  <c:v>2100000</c:v>
                </c:pt>
                <c:pt idx="251">
                  <c:v>2100000</c:v>
                </c:pt>
                <c:pt idx="252">
                  <c:v>2100000</c:v>
                </c:pt>
                <c:pt idx="253">
                  <c:v>2100000</c:v>
                </c:pt>
                <c:pt idx="254">
                  <c:v>2100000</c:v>
                </c:pt>
                <c:pt idx="255">
                  <c:v>2068557.9196218736</c:v>
                </c:pt>
                <c:pt idx="256">
                  <c:v>2045915.3446271096</c:v>
                </c:pt>
                <c:pt idx="257">
                  <c:v>2044167.4120299623</c:v>
                </c:pt>
                <c:pt idx="258">
                  <c:v>2042404.6166454246</c:v>
                </c:pt>
                <c:pt idx="259">
                  <c:v>2040627.3097971887</c:v>
                </c:pt>
                <c:pt idx="260">
                  <c:v>2038835.8361277205</c:v>
                </c:pt>
                <c:pt idx="261">
                  <c:v>2037030.5337330406</c:v>
                </c:pt>
                <c:pt idx="262">
                  <c:v>2035211.7342945028</c:v>
                </c:pt>
                <c:pt idx="263">
                  <c:v>2033379.7632076466</c:v>
                </c:pt>
                <c:pt idx="264">
                  <c:v>2031534.9397081921</c:v>
                </c:pt>
                <c:pt idx="265">
                  <c:v>2029677.5769952552</c:v>
                </c:pt>
                <c:pt idx="266">
                  <c:v>2027807.9823518421</c:v>
                </c:pt>
                <c:pt idx="267">
                  <c:v>2025926.4572626932</c:v>
                </c:pt>
                <c:pt idx="268">
                  <c:v>2024033.2975295437</c:v>
                </c:pt>
                <c:pt idx="269">
                  <c:v>2022128.7933838596</c:v>
                </c:pt>
                <c:pt idx="270">
                  <c:v>2020213.2295971133</c:v>
                </c:pt>
                <c:pt idx="271">
                  <c:v>2018286.8855886536</c:v>
                </c:pt>
                <c:pt idx="272">
                  <c:v>2016350.0355312356</c:v>
                </c:pt>
                <c:pt idx="273">
                  <c:v>2014402.9484542604</c:v>
                </c:pt>
                <c:pt idx="274">
                  <c:v>2012445.8883447791</c:v>
                </c:pt>
                <c:pt idx="275">
                  <c:v>2010479.1142463242</c:v>
                </c:pt>
                <c:pt idx="276">
                  <c:v>2008502.8803556031</c:v>
                </c:pt>
                <c:pt idx="277">
                  <c:v>2006517.4361171261</c:v>
                </c:pt>
                <c:pt idx="278">
                  <c:v>2004523.026315796</c:v>
                </c:pt>
                <c:pt idx="279">
                  <c:v>2002519.8911675243</c:v>
                </c:pt>
                <c:pt idx="280">
                  <c:v>2000508.2664079147</c:v>
                </c:pt>
                <c:pt idx="281">
                  <c:v>1998488.3833790538</c:v>
                </c:pt>
                <c:pt idx="282">
                  <c:v>1996460.4691144666</c:v>
                </c:pt>
                <c:pt idx="283">
                  <c:v>1994424.7464222643</c:v>
                </c:pt>
                <c:pt idx="284">
                  <c:v>1992381.4339665407</c:v>
                </c:pt>
                <c:pt idx="285">
                  <c:v>1990330.7463470493</c:v>
                </c:pt>
                <c:pt idx="286">
                  <c:v>1988272.8941772033</c:v>
                </c:pt>
                <c:pt idx="287">
                  <c:v>1986208.084160438</c:v>
                </c:pt>
                <c:pt idx="288">
                  <c:v>1984136.5191649755</c:v>
                </c:pt>
                <c:pt idx="289">
                  <c:v>1982058.3982970263</c:v>
                </c:pt>
                <c:pt idx="290">
                  <c:v>1979973.9169724591</c:v>
                </c:pt>
                <c:pt idx="291">
                  <c:v>1977883.2669869876</c:v>
                </c:pt>
                <c:pt idx="292">
                  <c:v>1975786.6365848924</c:v>
                </c:pt>
                <c:pt idx="293">
                  <c:v>1973684.2105263234</c:v>
                </c:pt>
                <c:pt idx="294">
                  <c:v>1971576.1701532085</c:v>
                </c:pt>
                <c:pt idx="295">
                  <c:v>1969462.6934538046</c:v>
                </c:pt>
                <c:pt idx="296">
                  <c:v>1967343.9551259174</c:v>
                </c:pt>
                <c:pt idx="297">
                  <c:v>1965220.1266388246</c:v>
                </c:pt>
                <c:pt idx="298">
                  <c:v>1963091.3762939281</c:v>
                </c:pt>
                <c:pt idx="299">
                  <c:v>1960957.8692841674</c:v>
                </c:pt>
                <c:pt idx="300">
                  <c:v>1958819.767752219</c:v>
                </c:pt>
                <c:pt idx="301">
                  <c:v>1956677.2308475117</c:v>
                </c:pt>
                <c:pt idx="302">
                  <c:v>1954530.4147820803</c:v>
                </c:pt>
                <c:pt idx="303">
                  <c:v>1952379.4728852909</c:v>
                </c:pt>
                <c:pt idx="304">
                  <c:v>1950224.5556574543</c:v>
                </c:pt>
                <c:pt idx="305">
                  <c:v>1948065.8108223591</c:v>
                </c:pt>
                <c:pt idx="306">
                  <c:v>1945903.3833787444</c:v>
                </c:pt>
                <c:pt idx="307">
                  <c:v>1943737.4156507389</c:v>
                </c:pt>
                <c:pt idx="308">
                  <c:v>1941568.0473372864</c:v>
                </c:pt>
                <c:pt idx="309">
                  <c:v>1939395.4155605801</c:v>
                </c:pt>
                <c:pt idx="310">
                  <c:v>1937219.6549135314</c:v>
                </c:pt>
                <c:pt idx="311">
                  <c:v>1935040.897506288</c:v>
                </c:pt>
                <c:pt idx="312">
                  <c:v>1932859.2730118302</c:v>
                </c:pt>
                <c:pt idx="313">
                  <c:v>1930674.9087106574</c:v>
                </c:pt>
                <c:pt idx="314">
                  <c:v>1928487.9295345889</c:v>
                </c:pt>
                <c:pt idx="315">
                  <c:v>1926298.4581097013</c:v>
                </c:pt>
                <c:pt idx="316">
                  <c:v>1924106.6147984124</c:v>
                </c:pt>
                <c:pt idx="317">
                  <c:v>1921912.51774074</c:v>
                </c:pt>
                <c:pt idx="318">
                  <c:v>1919716.2828947457</c:v>
                </c:pt>
                <c:pt idx="319">
                  <c:v>1917518.0240761884</c:v>
                </c:pt>
                <c:pt idx="320">
                  <c:v>1915317.8529973943</c:v>
                </c:pt>
                <c:pt idx="321">
                  <c:v>1913115.8793053757</c:v>
                </c:pt>
                <c:pt idx="322">
                  <c:v>1910912.2106191951</c:v>
                </c:pt>
                <c:pt idx="323">
                  <c:v>1908706.9525666109</c:v>
                </c:pt>
                <c:pt idx="324">
                  <c:v>1906500.2088200038</c:v>
                </c:pt>
                <c:pt idx="325">
                  <c:v>1904292.0811316092</c:v>
                </c:pt>
                <c:pt idx="326">
                  <c:v>1902082.6693680664</c:v>
                </c:pt>
                <c:pt idx="327">
                  <c:v>1899872.071544297</c:v>
                </c:pt>
                <c:pt idx="328">
                  <c:v>1897660.3838567364</c:v>
                </c:pt>
                <c:pt idx="329">
                  <c:v>1895447.7007159155</c:v>
                </c:pt>
                <c:pt idx="330">
                  <c:v>1893234.1147784251</c:v>
                </c:pt>
                <c:pt idx="331">
                  <c:v>1891019.7169782596</c:v>
                </c:pt>
                <c:pt idx="332">
                  <c:v>1888804.5965575664</c:v>
                </c:pt>
                <c:pt idx="333">
                  <c:v>1886588.8410968001</c:v>
                </c:pt>
                <c:pt idx="334">
                  <c:v>1884372.5365443106</c:v>
                </c:pt>
                <c:pt idx="335">
                  <c:v>1882155.7672453579</c:v>
                </c:pt>
                <c:pt idx="336">
                  <c:v>1879938.6159705813</c:v>
                </c:pt>
                <c:pt idx="337">
                  <c:v>1877721.1639439261</c:v>
                </c:pt>
                <c:pt idx="338">
                  <c:v>1875503.490870042</c:v>
                </c:pt>
                <c:pt idx="339">
                  <c:v>1873285.6749611613</c:v>
                </c:pt>
                <c:pt idx="340">
                  <c:v>1871067.7929634727</c:v>
                </c:pt>
                <c:pt idx="341">
                  <c:v>1868849.9201829934</c:v>
                </c:pt>
                <c:pt idx="342">
                  <c:v>1866632.1305109619</c:v>
                </c:pt>
                <c:pt idx="343">
                  <c:v>1864414.4964487446</c:v>
                </c:pt>
                <c:pt idx="344">
                  <c:v>1862197.0891322833</c:v>
                </c:pt>
                <c:pt idx="345">
                  <c:v>1859979.9783560822</c:v>
                </c:pt>
                <c:pt idx="346">
                  <c:v>1857763.2325967439</c:v>
                </c:pt>
                <c:pt idx="347">
                  <c:v>1855546.9190360717</c:v>
                </c:pt>
                <c:pt idx="348">
                  <c:v>1853331.1035837398</c:v>
                </c:pt>
                <c:pt idx="349">
                  <c:v>1851115.8508995392</c:v>
                </c:pt>
                <c:pt idx="350">
                  <c:v>1848901.2244152152</c:v>
                </c:pt>
                <c:pt idx="351">
                  <c:v>1846687.2863558978</c:v>
                </c:pt>
                <c:pt idx="352">
                  <c:v>1844474.0977611372</c:v>
                </c:pt>
                <c:pt idx="353">
                  <c:v>1842261.7185055492</c:v>
                </c:pt>
                <c:pt idx="354">
                  <c:v>1840050.2073190829</c:v>
                </c:pt>
                <c:pt idx="355">
                  <c:v>1837839.6218069121</c:v>
                </c:pt>
                <c:pt idx="356">
                  <c:v>1835630.0184689641</c:v>
                </c:pt>
                <c:pt idx="357">
                  <c:v>1833421.4527190905</c:v>
                </c:pt>
                <c:pt idx="358">
                  <c:v>1831213.9789038822</c:v>
                </c:pt>
                <c:pt idx="359">
                  <c:v>1829007.650321149</c:v>
                </c:pt>
                <c:pt idx="360">
                  <c:v>1826802.5192380541</c:v>
                </c:pt>
                <c:pt idx="361">
                  <c:v>1824598.6369089219</c:v>
                </c:pt>
                <c:pt idx="362">
                  <c:v>1822396.0535927217</c:v>
                </c:pt>
                <c:pt idx="363">
                  <c:v>1820194.8185702341</c:v>
                </c:pt>
                <c:pt idx="364">
                  <c:v>1817994.9801609046</c:v>
                </c:pt>
                <c:pt idx="365">
                  <c:v>1815796.5857393921</c:v>
                </c:pt>
                <c:pt idx="366">
                  <c:v>1813599.6817518238</c:v>
                </c:pt>
                <c:pt idx="367">
                  <c:v>1811404.3137317465</c:v>
                </c:pt>
                <c:pt idx="368">
                  <c:v>1809210.5263158008</c:v>
                </c:pt>
                <c:pt idx="369">
                  <c:v>1807018.3632591064</c:v>
                </c:pt>
                <c:pt idx="370">
                  <c:v>1804827.8674503744</c:v>
                </c:pt>
                <c:pt idx="371">
                  <c:v>1802639.0809267485</c:v>
                </c:pt>
                <c:pt idx="372">
                  <c:v>1800452.0448883779</c:v>
                </c:pt>
                <c:pt idx="373">
                  <c:v>1798266.7997127336</c:v>
                </c:pt>
                <c:pt idx="374">
                  <c:v>1796083.3849686659</c:v>
                </c:pt>
                <c:pt idx="375">
                  <c:v>1793901.839430212</c:v>
                </c:pt>
                <c:pt idx="376">
                  <c:v>1791722.2010901589</c:v>
                </c:pt>
                <c:pt idx="377">
                  <c:v>1789544.5071733657</c:v>
                </c:pt>
                <c:pt idx="378">
                  <c:v>1787368.7941498472</c:v>
                </c:pt>
                <c:pt idx="379">
                  <c:v>1785195.0977476276</c:v>
                </c:pt>
                <c:pt idx="380">
                  <c:v>1783023.4529653646</c:v>
                </c:pt>
                <c:pt idx="381">
                  <c:v>1780853.8940847563</c:v>
                </c:pt>
                <c:pt idx="382">
                  <c:v>1778686.4546827201</c:v>
                </c:pt>
                <c:pt idx="383">
                  <c:v>1776521.1676433659</c:v>
                </c:pt>
                <c:pt idx="384">
                  <c:v>1774358.0651697516</c:v>
                </c:pt>
                <c:pt idx="385">
                  <c:v>1772197.1787954383</c:v>
                </c:pt>
                <c:pt idx="386">
                  <c:v>1770038.5393958387</c:v>
                </c:pt>
                <c:pt idx="387">
                  <c:v>1767882.1771993672</c:v>
                </c:pt>
                <c:pt idx="388">
                  <c:v>1765728.1217983968</c:v>
                </c:pt>
                <c:pt idx="389">
                  <c:v>1763576.4021600226</c:v>
                </c:pt>
                <c:pt idx="390">
                  <c:v>1761427.0466366406</c:v>
                </c:pt>
                <c:pt idx="391">
                  <c:v>1759280.0829763385</c:v>
                </c:pt>
                <c:pt idx="392">
                  <c:v>1757135.5383331066</c:v>
                </c:pt>
                <c:pt idx="393">
                  <c:v>1754993.4392768745</c:v>
                </c:pt>
                <c:pt idx="394">
                  <c:v>1752853.8118033712</c:v>
                </c:pt>
                <c:pt idx="395">
                  <c:v>1750716.6813438132</c:v>
                </c:pt>
                <c:pt idx="396">
                  <c:v>1748582.0727744275</c:v>
                </c:pt>
                <c:pt idx="397">
                  <c:v>1746450.0104258091</c:v>
                </c:pt>
                <c:pt idx="398">
                  <c:v>1744320.5180921177</c:v>
                </c:pt>
                <c:pt idx="399">
                  <c:v>1742193.6190401136</c:v>
                </c:pt>
                <c:pt idx="400">
                  <c:v>1740069.3360180415</c:v>
                </c:pt>
                <c:pt idx="401">
                  <c:v>1737947.69126436</c:v>
                </c:pt>
                <c:pt idx="402">
                  <c:v>1735828.7065163201</c:v>
                </c:pt>
                <c:pt idx="403">
                  <c:v>1733712.4030183991</c:v>
                </c:pt>
                <c:pt idx="404">
                  <c:v>1731598.801530588</c:v>
                </c:pt>
                <c:pt idx="405">
                  <c:v>1729487.922336539</c:v>
                </c:pt>
                <c:pt idx="406">
                  <c:v>1727379.785251572</c:v>
                </c:pt>
                <c:pt idx="407">
                  <c:v>1725274.4096305477</c:v>
                </c:pt>
                <c:pt idx="408">
                  <c:v>1723171.8143756017</c:v>
                </c:pt>
                <c:pt idx="409">
                  <c:v>1721072.0179437522</c:v>
                </c:pt>
                <c:pt idx="410">
                  <c:v>1718975.0383543756</c:v>
                </c:pt>
                <c:pt idx="411">
                  <c:v>1716880.8931965546</c:v>
                </c:pt>
                <c:pt idx="412">
                  <c:v>1714789.5996363044</c:v>
                </c:pt>
                <c:pt idx="413">
                  <c:v>1712701.1744236751</c:v>
                </c:pt>
                <c:pt idx="414">
                  <c:v>1710615.6338997334</c:v>
                </c:pt>
                <c:pt idx="415">
                  <c:v>1708532.9940034277</c:v>
                </c:pt>
                <c:pt idx="416">
                  <c:v>1706453.270278336</c:v>
                </c:pt>
                <c:pt idx="417">
                  <c:v>1704376.4778793023</c:v>
                </c:pt>
                <c:pt idx="418">
                  <c:v>1702302.6315789602</c:v>
                </c:pt>
                <c:pt idx="419">
                  <c:v>1700231.7457741438</c:v>
                </c:pt>
                <c:pt idx="420">
                  <c:v>1698163.8344921973</c:v>
                </c:pt>
                <c:pt idx="421">
                  <c:v>1696098.9113971738</c:v>
                </c:pt>
                <c:pt idx="422">
                  <c:v>1694036.9897959314</c:v>
                </c:pt>
                <c:pt idx="423">
                  <c:v>1691978.0826441294</c:v>
                </c:pt>
                <c:pt idx="424">
                  <c:v>1689922.2025521211</c:v>
                </c:pt>
                <c:pt idx="425">
                  <c:v>1687869.3617907509</c:v>
                </c:pt>
                <c:pt idx="426">
                  <c:v>1685819.5722970522</c:v>
                </c:pt>
                <c:pt idx="427">
                  <c:v>1683772.845679854</c:v>
                </c:pt>
                <c:pt idx="428">
                  <c:v>1681729.1932252909</c:v>
                </c:pt>
                <c:pt idx="429">
                  <c:v>1679688.6259022215</c:v>
                </c:pt>
                <c:pt idx="430">
                  <c:v>1677651.1543675603</c:v>
                </c:pt>
                <c:pt idx="431">
                  <c:v>1675616.7889715184</c:v>
                </c:pt>
                <c:pt idx="432">
                  <c:v>1673585.5397627573</c:v>
                </c:pt>
                <c:pt idx="433">
                  <c:v>1671557.416493457</c:v>
                </c:pt>
                <c:pt idx="434">
                  <c:v>1669532.4286243052</c:v>
                </c:pt>
                <c:pt idx="435">
                  <c:v>1667510.5853293957</c:v>
                </c:pt>
                <c:pt idx="436">
                  <c:v>1665491.8955010534</c:v>
                </c:pt>
                <c:pt idx="437">
                  <c:v>1663476.3677545763</c:v>
                </c:pt>
                <c:pt idx="438">
                  <c:v>1661464.0104329004</c:v>
                </c:pt>
                <c:pt idx="439">
                  <c:v>1659454.8316111865</c:v>
                </c:pt>
                <c:pt idx="440">
                  <c:v>1657448.8391013339</c:v>
                </c:pt>
                <c:pt idx="441">
                  <c:v>1655446.0404564184</c:v>
                </c:pt>
                <c:pt idx="442">
                  <c:v>1653446.4429750575</c:v>
                </c:pt>
                <c:pt idx="443">
                  <c:v>1651450.0537057063</c:v>
                </c:pt>
                <c:pt idx="444">
                  <c:v>1649456.8794508777</c:v>
                </c:pt>
                <c:pt idx="445">
                  <c:v>1647466.9267713018</c:v>
                </c:pt>
                <c:pt idx="446">
                  <c:v>1645480.2019900091</c:v>
                </c:pt>
                <c:pt idx="447">
                  <c:v>1643496.7111963527</c:v>
                </c:pt>
                <c:pt idx="448">
                  <c:v>1641516.4602499618</c:v>
                </c:pt>
                <c:pt idx="449">
                  <c:v>1639539.4547846341</c:v>
                </c:pt>
                <c:pt idx="450">
                  <c:v>1637565.7002121585</c:v>
                </c:pt>
                <c:pt idx="451">
                  <c:v>1635595.201726085</c:v>
                </c:pt>
                <c:pt idx="452">
                  <c:v>1633627.9643054246</c:v>
                </c:pt>
                <c:pt idx="453">
                  <c:v>1631663.9927182929</c:v>
                </c:pt>
                <c:pt idx="454">
                  <c:v>1629703.2915254971</c:v>
                </c:pt>
                <c:pt idx="455">
                  <c:v>1627745.8650840591</c:v>
                </c:pt>
                <c:pt idx="456">
                  <c:v>1625791.7175506863</c:v>
                </c:pt>
                <c:pt idx="457">
                  <c:v>1623840.8528851841</c:v>
                </c:pt>
                <c:pt idx="458">
                  <c:v>1621893.2748538149</c:v>
                </c:pt>
                <c:pt idx="459">
                  <c:v>1619948.9870325993</c:v>
                </c:pt>
                <c:pt idx="460">
                  <c:v>1618007.9928105692</c:v>
                </c:pt>
                <c:pt idx="461">
                  <c:v>1616070.2953929636</c:v>
                </c:pt>
                <c:pt idx="462">
                  <c:v>1614135.8978043753</c:v>
                </c:pt>
                <c:pt idx="463">
                  <c:v>1612204.8028918493</c:v>
                </c:pt>
                <c:pt idx="464">
                  <c:v>1610277.0133279234</c:v>
                </c:pt>
                <c:pt idx="465">
                  <c:v>1608352.5316136314</c:v>
                </c:pt>
                <c:pt idx="466">
                  <c:v>1606431.3600814471</c:v>
                </c:pt>
                <c:pt idx="467">
                  <c:v>1604513.500898188</c:v>
                </c:pt>
                <c:pt idx="468">
                  <c:v>1602598.9560678694</c:v>
                </c:pt>
                <c:pt idx="469">
                  <c:v>1600687.7274345155</c:v>
                </c:pt>
                <c:pt idx="470">
                  <c:v>1598779.8166849206</c:v>
                </c:pt>
                <c:pt idx="471">
                  <c:v>1596875.2253513727</c:v>
                </c:pt>
                <c:pt idx="472">
                  <c:v>1594973.9548143263</c:v>
                </c:pt>
                <c:pt idx="473">
                  <c:v>1593076.0063050387</c:v>
                </c:pt>
                <c:pt idx="474">
                  <c:v>1591181.3809081614</c:v>
                </c:pt>
                <c:pt idx="475">
                  <c:v>1589290.0795642894</c:v>
                </c:pt>
                <c:pt idx="476">
                  <c:v>1587402.1030724715</c:v>
                </c:pt>
                <c:pt idx="477">
                  <c:v>1585517.4520926801</c:v>
                </c:pt>
                <c:pt idx="478">
                  <c:v>1583636.1271482417</c:v>
                </c:pt>
                <c:pt idx="479">
                  <c:v>1581758.1286282276</c:v>
                </c:pt>
                <c:pt idx="480">
                  <c:v>1579883.4567898086</c:v>
                </c:pt>
                <c:pt idx="481">
                  <c:v>1578012.11176057</c:v>
                </c:pt>
                <c:pt idx="482">
                  <c:v>1576144.0935407921</c:v>
                </c:pt>
                <c:pt idx="483">
                  <c:v>1574279.4020056941</c:v>
                </c:pt>
                <c:pt idx="484">
                  <c:v>1572418.0369076387</c:v>
                </c:pt>
                <c:pt idx="485">
                  <c:v>1570559.9978783075</c:v>
                </c:pt>
                <c:pt idx="486">
                  <c:v>1568705.2844308394</c:v>
                </c:pt>
                <c:pt idx="487">
                  <c:v>1566853.8959619312</c:v>
                </c:pt>
                <c:pt idx="488">
                  <c:v>1565005.831753914</c:v>
                </c:pt>
                <c:pt idx="489">
                  <c:v>1563161.0909767868</c:v>
                </c:pt>
                <c:pt idx="490">
                  <c:v>1561319.6726902244</c:v>
                </c:pt>
                <c:pt idx="491">
                  <c:v>1559481.5758455517</c:v>
                </c:pt>
                <c:pt idx="492">
                  <c:v>1557646.7992876866</c:v>
                </c:pt>
                <c:pt idx="493">
                  <c:v>1555815.3417570533</c:v>
                </c:pt>
                <c:pt idx="494">
                  <c:v>1553987.2018914616</c:v>
                </c:pt>
                <c:pt idx="495">
                  <c:v>1552162.3782279624</c:v>
                </c:pt>
                <c:pt idx="496">
                  <c:v>1550340.8692046704</c:v>
                </c:pt>
                <c:pt idx="497">
                  <c:v>1548522.6731625577</c:v>
                </c:pt>
                <c:pt idx="498">
                  <c:v>1546707.78834722</c:v>
                </c:pt>
                <c:pt idx="499">
                  <c:v>1544896.2129106163</c:v>
                </c:pt>
                <c:pt idx="500">
                  <c:v>1543087.9449127801</c:v>
                </c:pt>
                <c:pt idx="501">
                  <c:v>1541282.9823235003</c:v>
                </c:pt>
                <c:pt idx="502">
                  <c:v>1539481.3230239844</c:v>
                </c:pt>
                <c:pt idx="503">
                  <c:v>1537682.9648084852</c:v>
                </c:pt>
                <c:pt idx="504">
                  <c:v>1535887.9053859091</c:v>
                </c:pt>
                <c:pt idx="505">
                  <c:v>1534096.1423813968</c:v>
                </c:pt>
                <c:pt idx="506">
                  <c:v>1532307.673337878</c:v>
                </c:pt>
                <c:pt idx="507">
                  <c:v>1530522.4957176046</c:v>
                </c:pt>
                <c:pt idx="508">
                  <c:v>1528740.6069036566</c:v>
                </c:pt>
                <c:pt idx="509">
                  <c:v>1526962.0042014271</c:v>
                </c:pt>
                <c:pt idx="510">
                  <c:v>1525186.6848400822</c:v>
                </c:pt>
                <c:pt idx="511">
                  <c:v>1523414.6459739977</c:v>
                </c:pt>
                <c:pt idx="512">
                  <c:v>1521645.8846841769</c:v>
                </c:pt>
                <c:pt idx="513">
                  <c:v>1519880.3979796399</c:v>
                </c:pt>
                <c:pt idx="514">
                  <c:v>1518118.182798798</c:v>
                </c:pt>
                <c:pt idx="515">
                  <c:v>1516359.2360108008</c:v>
                </c:pt>
                <c:pt idx="516">
                  <c:v>1514603.5544168674</c:v>
                </c:pt>
                <c:pt idx="517">
                  <c:v>1512851.1347515902</c:v>
                </c:pt>
                <c:pt idx="518">
                  <c:v>1511101.973684225</c:v>
                </c:pt>
                <c:pt idx="519">
                  <c:v>1509356.0678199586</c:v>
                </c:pt>
                <c:pt idx="520">
                  <c:v>1507613.4137011529</c:v>
                </c:pt>
                <c:pt idx="521">
                  <c:v>1505874.0078085759</c:v>
                </c:pt>
                <c:pt idx="522">
                  <c:v>1504137.8465626074</c:v>
                </c:pt>
                <c:pt idx="523">
                  <c:v>1502404.9263244316</c:v>
                </c:pt>
                <c:pt idx="524">
                  <c:v>1500675.2433972047</c:v>
                </c:pt>
                <c:pt idx="525">
                  <c:v>1498948.7940272104</c:v>
                </c:pt>
                <c:pt idx="526">
                  <c:v>1497225.5744049936</c:v>
                </c:pt>
                <c:pt idx="527">
                  <c:v>1495505.5806664762</c:v>
                </c:pt>
                <c:pt idx="528">
                  <c:v>1493788.8088940585</c:v>
                </c:pt>
                <c:pt idx="529">
                  <c:v>1492075.2551177002</c:v>
                </c:pt>
                <c:pt idx="530">
                  <c:v>1490364.9153159864</c:v>
                </c:pt>
                <c:pt idx="531">
                  <c:v>1488657.7854171754</c:v>
                </c:pt>
                <c:pt idx="532">
                  <c:v>1486953.8613002324</c:v>
                </c:pt>
                <c:pt idx="533">
                  <c:v>1485253.138795844</c:v>
                </c:pt>
                <c:pt idx="534">
                  <c:v>1483555.613687421</c:v>
                </c:pt>
                <c:pt idx="535">
                  <c:v>1481861.2817120792</c:v>
                </c:pt>
                <c:pt idx="536">
                  <c:v>1480170.1385616132</c:v>
                </c:pt>
                <c:pt idx="537">
                  <c:v>1478482.1798834468</c:v>
                </c:pt>
                <c:pt idx="538">
                  <c:v>1476797.4012815745</c:v>
                </c:pt>
                <c:pt idx="539">
                  <c:v>1475115.7983174848</c:v>
                </c:pt>
                <c:pt idx="540">
                  <c:v>1473437.3665110702</c:v>
                </c:pt>
                <c:pt idx="541">
                  <c:v>1471762.1013415249</c:v>
                </c:pt>
                <c:pt idx="542">
                  <c:v>1470089.9982482241</c:v>
                </c:pt>
                <c:pt idx="543">
                  <c:v>1468421.0526315938</c:v>
                </c:pt>
                <c:pt idx="544">
                  <c:v>1466755.2598539642</c:v>
                </c:pt>
                <c:pt idx="545">
                  <c:v>1465092.6152404118</c:v>
                </c:pt>
                <c:pt idx="546">
                  <c:v>1463433.1140795869</c:v>
                </c:pt>
                <c:pt idx="547">
                  <c:v>1461776.7516245269</c:v>
                </c:pt>
                <c:pt idx="548">
                  <c:v>1460123.5230934629</c:v>
                </c:pt>
                <c:pt idx="549">
                  <c:v>1458473.4236706037</c:v>
                </c:pt>
                <c:pt idx="550">
                  <c:v>1456826.4485069176</c:v>
                </c:pt>
                <c:pt idx="551">
                  <c:v>1455182.5927208951</c:v>
                </c:pt>
                <c:pt idx="552">
                  <c:v>1453541.8513993039</c:v>
                </c:pt>
                <c:pt idx="553">
                  <c:v>1451904.2195979275</c:v>
                </c:pt>
                <c:pt idx="554">
                  <c:v>1450269.6923422983</c:v>
                </c:pt>
                <c:pt idx="555">
                  <c:v>1448638.2646284115</c:v>
                </c:pt>
                <c:pt idx="556">
                  <c:v>1447009.931423438</c:v>
                </c:pt>
                <c:pt idx="557">
                  <c:v>1445384.6876664136</c:v>
                </c:pt>
                <c:pt idx="558">
                  <c:v>1443762.5282689293</c:v>
                </c:pt>
                <c:pt idx="559">
                  <c:v>1442143.4481158028</c:v>
                </c:pt>
                <c:pt idx="560">
                  <c:v>1440527.4420657433</c:v>
                </c:pt>
                <c:pt idx="561">
                  <c:v>1438914.5049520035</c:v>
                </c:pt>
                <c:pt idx="562">
                  <c:v>1437304.6315830234</c:v>
                </c:pt>
                <c:pt idx="563">
                  <c:v>1435697.8167430623</c:v>
                </c:pt>
                <c:pt idx="564">
                  <c:v>1434094.0551928235</c:v>
                </c:pt>
                <c:pt idx="565">
                  <c:v>1432493.341670065</c:v>
                </c:pt>
                <c:pt idx="566">
                  <c:v>1430895.6708902034</c:v>
                </c:pt>
                <c:pt idx="567">
                  <c:v>1429301.0375469094</c:v>
                </c:pt>
                <c:pt idx="568">
                  <c:v>1427709.4363126901</c:v>
                </c:pt>
                <c:pt idx="569">
                  <c:v>1426120.8618394658</c:v>
                </c:pt>
                <c:pt idx="570">
                  <c:v>1424535.3087591345</c:v>
                </c:pt>
                <c:pt idx="571">
                  <c:v>1422952.7716841321</c:v>
                </c:pt>
                <c:pt idx="572">
                  <c:v>1421373.2452079763</c:v>
                </c:pt>
                <c:pt idx="573">
                  <c:v>1419796.7239058111</c:v>
                </c:pt>
                <c:pt idx="574">
                  <c:v>1418223.2023349348</c:v>
                </c:pt>
                <c:pt idx="575">
                  <c:v>1416652.6750353232</c:v>
                </c:pt>
                <c:pt idx="576">
                  <c:v>1415085.1365301458</c:v>
                </c:pt>
                <c:pt idx="577">
                  <c:v>1413520.58132627</c:v>
                </c:pt>
                <c:pt idx="578">
                  <c:v>1411959.0039147609</c:v>
                </c:pt>
                <c:pt idx="579">
                  <c:v>1410400.3987713694</c:v>
                </c:pt>
                <c:pt idx="580">
                  <c:v>1408844.760357019</c:v>
                </c:pt>
                <c:pt idx="581">
                  <c:v>1407292.0831182753</c:v>
                </c:pt>
                <c:pt idx="582">
                  <c:v>1405742.361487818</c:v>
                </c:pt>
                <c:pt idx="583">
                  <c:v>1404195.5898848972</c:v>
                </c:pt>
                <c:pt idx="584">
                  <c:v>1402651.7627157888</c:v>
                </c:pt>
                <c:pt idx="585">
                  <c:v>1401110.8743742381</c:v>
                </c:pt>
                <c:pt idx="586">
                  <c:v>1399572.9192418968</c:v>
                </c:pt>
                <c:pt idx="587">
                  <c:v>1398037.8916887576</c:v>
                </c:pt>
                <c:pt idx="588">
                  <c:v>1396505.786073575</c:v>
                </c:pt>
                <c:pt idx="589">
                  <c:v>1394976.596744285</c:v>
                </c:pt>
                <c:pt idx="590">
                  <c:v>1393450.3180384147</c:v>
                </c:pt>
                <c:pt idx="591">
                  <c:v>1391926.9442834863</c:v>
                </c:pt>
                <c:pt idx="592">
                  <c:v>1390406.4697974161</c:v>
                </c:pt>
                <c:pt idx="593">
                  <c:v>1388888.8888889041</c:v>
                </c:pt>
                <c:pt idx="594">
                  <c:v>1387374.1958578189</c:v>
                </c:pt>
                <c:pt idx="595">
                  <c:v>1385862.3849955783</c:v>
                </c:pt>
                <c:pt idx="596">
                  <c:v>1384353.4505855201</c:v>
                </c:pt>
                <c:pt idx="597">
                  <c:v>1382847.386903269</c:v>
                </c:pt>
                <c:pt idx="598">
                  <c:v>1381344.1882170977</c:v>
                </c:pt>
                <c:pt idx="599">
                  <c:v>1379843.8487882805</c:v>
                </c:pt>
                <c:pt idx="600">
                  <c:v>1378346.3628714436</c:v>
                </c:pt>
                <c:pt idx="601">
                  <c:v>1376851.7247149092</c:v>
                </c:pt>
                <c:pt idx="602">
                  <c:v>1375359.92856103</c:v>
                </c:pt>
                <c:pt idx="603">
                  <c:v>1373870.9686465235</c:v>
                </c:pt>
                <c:pt idx="604">
                  <c:v>1372384.8392027998</c:v>
                </c:pt>
                <c:pt idx="605">
                  <c:v>1370901.534456281</c:v>
                </c:pt>
                <c:pt idx="606">
                  <c:v>1369421.0486287191</c:v>
                </c:pt>
                <c:pt idx="607">
                  <c:v>1367943.3759375047</c:v>
                </c:pt>
                <c:pt idx="608">
                  <c:v>1366468.5105959759</c:v>
                </c:pt>
                <c:pt idx="609">
                  <c:v>1364996.4468137156</c:v>
                </c:pt>
                <c:pt idx="610">
                  <c:v>1363527.1787968518</c:v>
                </c:pt>
                <c:pt idx="611">
                  <c:v>1362060.7007483437</c:v>
                </c:pt>
                <c:pt idx="612">
                  <c:v>1360597.0068682726</c:v>
                </c:pt>
                <c:pt idx="613">
                  <c:v>1359136.0913541184</c:v>
                </c:pt>
                <c:pt idx="614">
                  <c:v>1357677.9484010416</c:v>
                </c:pt>
                <c:pt idx="615">
                  <c:v>1356222.5722021509</c:v>
                </c:pt>
                <c:pt idx="616">
                  <c:v>1354769.9569487742</c:v>
                </c:pt>
                <c:pt idx="617">
                  <c:v>1353320.0968307194</c:v>
                </c:pt>
                <c:pt idx="618">
                  <c:v>1351872.9860365349</c:v>
                </c:pt>
              </c:numCache>
            </c:numRef>
          </c:yVal>
          <c:smooth val="0"/>
          <c:extLst>
            <c:ext xmlns:c16="http://schemas.microsoft.com/office/drawing/2014/chart" uri="{C3380CC4-5D6E-409C-BE32-E72D297353CC}">
              <c16:uniqueId val="{00000000-34F6-4AA6-936A-913A5F2A65CB}"/>
            </c:ext>
          </c:extLst>
        </c:ser>
        <c:dLbls>
          <c:showLegendKey val="0"/>
          <c:showVal val="0"/>
          <c:showCatName val="0"/>
          <c:showSerName val="0"/>
          <c:showPercent val="0"/>
          <c:showBubbleSize val="0"/>
        </c:dLbls>
        <c:axId val="235525632"/>
        <c:axId val="235527168"/>
      </c:scatterChart>
      <c:scatterChart>
        <c:scatterStyle val="lineMarker"/>
        <c:varyColors val="0"/>
        <c:ser>
          <c:idx val="0"/>
          <c:order val="0"/>
          <c:xVal>
            <c:numRef>
              <c:f>Current_limit!$N$23:$N$641</c:f>
              <c:numCache>
                <c:formatCode>0.000</c:formatCode>
                <c:ptCount val="619"/>
                <c:pt idx="0">
                  <c:v>0.1</c:v>
                </c:pt>
                <c:pt idx="1">
                  <c:v>0.2</c:v>
                </c:pt>
                <c:pt idx="2">
                  <c:v>0.30000000000000004</c:v>
                </c:pt>
                <c:pt idx="3">
                  <c:v>0.4</c:v>
                </c:pt>
                <c:pt idx="4">
                  <c:v>0.5</c:v>
                </c:pt>
                <c:pt idx="5">
                  <c:v>0.6</c:v>
                </c:pt>
                <c:pt idx="6">
                  <c:v>0.7</c:v>
                </c:pt>
                <c:pt idx="7">
                  <c:v>0.79999999999999993</c:v>
                </c:pt>
                <c:pt idx="8">
                  <c:v>0.89999999999999991</c:v>
                </c:pt>
                <c:pt idx="9">
                  <c:v>0.90999999999999992</c:v>
                </c:pt>
                <c:pt idx="10">
                  <c:v>0.91999999999999993</c:v>
                </c:pt>
                <c:pt idx="11">
                  <c:v>0.92999999999999994</c:v>
                </c:pt>
                <c:pt idx="12">
                  <c:v>0.94</c:v>
                </c:pt>
                <c:pt idx="13">
                  <c:v>0.95</c:v>
                </c:pt>
                <c:pt idx="14">
                  <c:v>0.96</c:v>
                </c:pt>
                <c:pt idx="15">
                  <c:v>0.97</c:v>
                </c:pt>
                <c:pt idx="16">
                  <c:v>0.98</c:v>
                </c:pt>
                <c:pt idx="17">
                  <c:v>0.99</c:v>
                </c:pt>
                <c:pt idx="18">
                  <c:v>1</c:v>
                </c:pt>
                <c:pt idx="19">
                  <c:v>1.01</c:v>
                </c:pt>
                <c:pt idx="20">
                  <c:v>1.02</c:v>
                </c:pt>
                <c:pt idx="21">
                  <c:v>1.03</c:v>
                </c:pt>
                <c:pt idx="22">
                  <c:v>1.04</c:v>
                </c:pt>
                <c:pt idx="23">
                  <c:v>1.05</c:v>
                </c:pt>
                <c:pt idx="24">
                  <c:v>1.06</c:v>
                </c:pt>
                <c:pt idx="25">
                  <c:v>1.07</c:v>
                </c:pt>
                <c:pt idx="26">
                  <c:v>1.08</c:v>
                </c:pt>
                <c:pt idx="27">
                  <c:v>1.0900000000000001</c:v>
                </c:pt>
                <c:pt idx="28">
                  <c:v>1.1000000000000001</c:v>
                </c:pt>
                <c:pt idx="29">
                  <c:v>1.1100000000000001</c:v>
                </c:pt>
                <c:pt idx="30">
                  <c:v>1.1200000000000001</c:v>
                </c:pt>
                <c:pt idx="31">
                  <c:v>1.1300000000000001</c:v>
                </c:pt>
                <c:pt idx="32">
                  <c:v>1.1400000000000001</c:v>
                </c:pt>
                <c:pt idx="33">
                  <c:v>1.1500000000000001</c:v>
                </c:pt>
                <c:pt idx="34">
                  <c:v>1.1600000000000001</c:v>
                </c:pt>
                <c:pt idx="35">
                  <c:v>1.1700000000000002</c:v>
                </c:pt>
                <c:pt idx="36">
                  <c:v>1.1800000000000002</c:v>
                </c:pt>
                <c:pt idx="37">
                  <c:v>1.1900000000000002</c:v>
                </c:pt>
                <c:pt idx="38">
                  <c:v>1.2000000000000002</c:v>
                </c:pt>
                <c:pt idx="39">
                  <c:v>1.2100000000000002</c:v>
                </c:pt>
                <c:pt idx="40">
                  <c:v>1.2200000000000002</c:v>
                </c:pt>
                <c:pt idx="41">
                  <c:v>1.2300000000000002</c:v>
                </c:pt>
                <c:pt idx="42">
                  <c:v>1.2400000000000002</c:v>
                </c:pt>
                <c:pt idx="43">
                  <c:v>1.2500000000000002</c:v>
                </c:pt>
                <c:pt idx="44">
                  <c:v>1.2600000000000002</c:v>
                </c:pt>
                <c:pt idx="45">
                  <c:v>1.2700000000000002</c:v>
                </c:pt>
                <c:pt idx="46">
                  <c:v>1.2800000000000002</c:v>
                </c:pt>
                <c:pt idx="47">
                  <c:v>1.2900000000000003</c:v>
                </c:pt>
                <c:pt idx="48">
                  <c:v>1.3000000000000003</c:v>
                </c:pt>
                <c:pt idx="49">
                  <c:v>1.3100000000000003</c:v>
                </c:pt>
                <c:pt idx="50">
                  <c:v>1.3200000000000003</c:v>
                </c:pt>
                <c:pt idx="51">
                  <c:v>1.3300000000000003</c:v>
                </c:pt>
                <c:pt idx="52">
                  <c:v>1.3400000000000003</c:v>
                </c:pt>
                <c:pt idx="53">
                  <c:v>1.3500000000000003</c:v>
                </c:pt>
                <c:pt idx="54">
                  <c:v>1.3600000000000003</c:v>
                </c:pt>
                <c:pt idx="55">
                  <c:v>1.3700000000000003</c:v>
                </c:pt>
                <c:pt idx="56">
                  <c:v>1.3800000000000003</c:v>
                </c:pt>
                <c:pt idx="57">
                  <c:v>1.3900000000000003</c:v>
                </c:pt>
                <c:pt idx="58">
                  <c:v>1.4000000000000004</c:v>
                </c:pt>
                <c:pt idx="59">
                  <c:v>1.4100000000000004</c:v>
                </c:pt>
                <c:pt idx="60">
                  <c:v>1.4200000000000004</c:v>
                </c:pt>
                <c:pt idx="61">
                  <c:v>1.4300000000000004</c:v>
                </c:pt>
                <c:pt idx="62">
                  <c:v>1.4400000000000004</c:v>
                </c:pt>
                <c:pt idx="63">
                  <c:v>1.4500000000000004</c:v>
                </c:pt>
                <c:pt idx="64">
                  <c:v>1.4600000000000004</c:v>
                </c:pt>
                <c:pt idx="65">
                  <c:v>1.4700000000000004</c:v>
                </c:pt>
                <c:pt idx="66">
                  <c:v>1.4800000000000004</c:v>
                </c:pt>
                <c:pt idx="67">
                  <c:v>1.4900000000000004</c:v>
                </c:pt>
                <c:pt idx="68">
                  <c:v>1.5000000000000004</c:v>
                </c:pt>
                <c:pt idx="69">
                  <c:v>1.5100000000000005</c:v>
                </c:pt>
                <c:pt idx="70">
                  <c:v>1.5200000000000005</c:v>
                </c:pt>
                <c:pt idx="71">
                  <c:v>1.5300000000000005</c:v>
                </c:pt>
                <c:pt idx="72">
                  <c:v>1.5400000000000005</c:v>
                </c:pt>
                <c:pt idx="73">
                  <c:v>1.5500000000000005</c:v>
                </c:pt>
                <c:pt idx="74">
                  <c:v>1.5600000000000005</c:v>
                </c:pt>
                <c:pt idx="75">
                  <c:v>1.5700000000000005</c:v>
                </c:pt>
                <c:pt idx="76">
                  <c:v>1.5800000000000005</c:v>
                </c:pt>
                <c:pt idx="77">
                  <c:v>1.5900000000000005</c:v>
                </c:pt>
                <c:pt idx="78">
                  <c:v>1.6000000000000005</c:v>
                </c:pt>
                <c:pt idx="79">
                  <c:v>1.6100000000000005</c:v>
                </c:pt>
                <c:pt idx="80">
                  <c:v>1.6200000000000006</c:v>
                </c:pt>
                <c:pt idx="81">
                  <c:v>1.6300000000000006</c:v>
                </c:pt>
                <c:pt idx="82">
                  <c:v>1.6400000000000006</c:v>
                </c:pt>
                <c:pt idx="83">
                  <c:v>1.6500000000000006</c:v>
                </c:pt>
                <c:pt idx="84">
                  <c:v>1.6600000000000006</c:v>
                </c:pt>
                <c:pt idx="85">
                  <c:v>1.6700000000000006</c:v>
                </c:pt>
                <c:pt idx="86">
                  <c:v>1.6800000000000006</c:v>
                </c:pt>
                <c:pt idx="87">
                  <c:v>1.6900000000000006</c:v>
                </c:pt>
                <c:pt idx="88">
                  <c:v>1.7000000000000006</c:v>
                </c:pt>
                <c:pt idx="89">
                  <c:v>1.7100000000000006</c:v>
                </c:pt>
                <c:pt idx="90">
                  <c:v>1.7200000000000006</c:v>
                </c:pt>
                <c:pt idx="91">
                  <c:v>1.7300000000000006</c:v>
                </c:pt>
                <c:pt idx="92">
                  <c:v>1.7400000000000007</c:v>
                </c:pt>
                <c:pt idx="93">
                  <c:v>1.7500000000000007</c:v>
                </c:pt>
                <c:pt idx="94">
                  <c:v>1.7600000000000007</c:v>
                </c:pt>
                <c:pt idx="95">
                  <c:v>1.7700000000000007</c:v>
                </c:pt>
                <c:pt idx="96">
                  <c:v>1.7800000000000007</c:v>
                </c:pt>
                <c:pt idx="97">
                  <c:v>1.7900000000000007</c:v>
                </c:pt>
                <c:pt idx="98">
                  <c:v>1.8000000000000007</c:v>
                </c:pt>
                <c:pt idx="99">
                  <c:v>1.8100000000000007</c:v>
                </c:pt>
                <c:pt idx="100">
                  <c:v>1.8200000000000007</c:v>
                </c:pt>
                <c:pt idx="101">
                  <c:v>1.8300000000000007</c:v>
                </c:pt>
                <c:pt idx="102">
                  <c:v>1.8400000000000007</c:v>
                </c:pt>
                <c:pt idx="103">
                  <c:v>1.8500000000000008</c:v>
                </c:pt>
                <c:pt idx="104">
                  <c:v>1.8600000000000008</c:v>
                </c:pt>
                <c:pt idx="105">
                  <c:v>1.8700000000000008</c:v>
                </c:pt>
                <c:pt idx="106">
                  <c:v>1.8800000000000008</c:v>
                </c:pt>
                <c:pt idx="107">
                  <c:v>1.8900000000000008</c:v>
                </c:pt>
                <c:pt idx="108">
                  <c:v>1.9000000000000008</c:v>
                </c:pt>
                <c:pt idx="109">
                  <c:v>1.9100000000000008</c:v>
                </c:pt>
                <c:pt idx="110">
                  <c:v>1.9200000000000008</c:v>
                </c:pt>
                <c:pt idx="111">
                  <c:v>1.9300000000000008</c:v>
                </c:pt>
                <c:pt idx="112">
                  <c:v>1.9400000000000008</c:v>
                </c:pt>
                <c:pt idx="113">
                  <c:v>1.9500000000000008</c:v>
                </c:pt>
                <c:pt idx="114">
                  <c:v>1.9600000000000009</c:v>
                </c:pt>
                <c:pt idx="115">
                  <c:v>1.9700000000000009</c:v>
                </c:pt>
                <c:pt idx="116">
                  <c:v>1.9800000000000009</c:v>
                </c:pt>
                <c:pt idx="117">
                  <c:v>1.9900000000000009</c:v>
                </c:pt>
                <c:pt idx="118">
                  <c:v>2.0000000000000009</c:v>
                </c:pt>
                <c:pt idx="119">
                  <c:v>2.0100000000000007</c:v>
                </c:pt>
                <c:pt idx="120">
                  <c:v>2.0200000000000005</c:v>
                </c:pt>
                <c:pt idx="121">
                  <c:v>2.0300000000000002</c:v>
                </c:pt>
                <c:pt idx="122">
                  <c:v>2.04</c:v>
                </c:pt>
                <c:pt idx="123">
                  <c:v>2.0499999999999998</c:v>
                </c:pt>
                <c:pt idx="124">
                  <c:v>2.0599999999999996</c:v>
                </c:pt>
                <c:pt idx="125">
                  <c:v>2.0699999999999994</c:v>
                </c:pt>
                <c:pt idx="126">
                  <c:v>2.0799999999999992</c:v>
                </c:pt>
                <c:pt idx="127">
                  <c:v>2.089999999999999</c:v>
                </c:pt>
                <c:pt idx="128">
                  <c:v>2.0999999999999988</c:v>
                </c:pt>
                <c:pt idx="129">
                  <c:v>2.1099999999999985</c:v>
                </c:pt>
                <c:pt idx="130">
                  <c:v>2.1199999999999983</c:v>
                </c:pt>
                <c:pt idx="131">
                  <c:v>2.1299999999999981</c:v>
                </c:pt>
                <c:pt idx="132">
                  <c:v>2.1399999999999979</c:v>
                </c:pt>
                <c:pt idx="133">
                  <c:v>2.1499999999999977</c:v>
                </c:pt>
                <c:pt idx="134">
                  <c:v>2.1599999999999975</c:v>
                </c:pt>
                <c:pt idx="135">
                  <c:v>2.1699999999999973</c:v>
                </c:pt>
                <c:pt idx="136">
                  <c:v>2.1799999999999971</c:v>
                </c:pt>
                <c:pt idx="137">
                  <c:v>2.1899999999999968</c:v>
                </c:pt>
                <c:pt idx="138">
                  <c:v>2.1999999999999966</c:v>
                </c:pt>
                <c:pt idx="139">
                  <c:v>2.2099999999999964</c:v>
                </c:pt>
                <c:pt idx="140">
                  <c:v>2.2199999999999962</c:v>
                </c:pt>
                <c:pt idx="141">
                  <c:v>2.229999999999996</c:v>
                </c:pt>
                <c:pt idx="142">
                  <c:v>2.2399999999999958</c:v>
                </c:pt>
                <c:pt idx="143">
                  <c:v>2.2499999999999956</c:v>
                </c:pt>
                <c:pt idx="144">
                  <c:v>2.2599999999999953</c:v>
                </c:pt>
                <c:pt idx="145">
                  <c:v>2.2699999999999951</c:v>
                </c:pt>
                <c:pt idx="146">
                  <c:v>2.2799999999999949</c:v>
                </c:pt>
                <c:pt idx="147">
                  <c:v>2.2899999999999947</c:v>
                </c:pt>
                <c:pt idx="148">
                  <c:v>2.2999999999999945</c:v>
                </c:pt>
                <c:pt idx="149">
                  <c:v>2.3099999999999943</c:v>
                </c:pt>
                <c:pt idx="150">
                  <c:v>2.3199999999999941</c:v>
                </c:pt>
                <c:pt idx="151">
                  <c:v>2.3299999999999939</c:v>
                </c:pt>
                <c:pt idx="152">
                  <c:v>2.3399999999999936</c:v>
                </c:pt>
                <c:pt idx="153">
                  <c:v>2.3499999999999934</c:v>
                </c:pt>
                <c:pt idx="154">
                  <c:v>2.3599999999999932</c:v>
                </c:pt>
                <c:pt idx="155">
                  <c:v>2.369999999999993</c:v>
                </c:pt>
                <c:pt idx="156">
                  <c:v>2.3799999999999928</c:v>
                </c:pt>
                <c:pt idx="157">
                  <c:v>2.3899999999999926</c:v>
                </c:pt>
                <c:pt idx="158">
                  <c:v>2.3999999999999924</c:v>
                </c:pt>
                <c:pt idx="159">
                  <c:v>2.4099999999999921</c:v>
                </c:pt>
                <c:pt idx="160">
                  <c:v>2.4199999999999919</c:v>
                </c:pt>
                <c:pt idx="161">
                  <c:v>2.4299999999999917</c:v>
                </c:pt>
                <c:pt idx="162">
                  <c:v>2.4399999999999915</c:v>
                </c:pt>
                <c:pt idx="163">
                  <c:v>2.4499999999999913</c:v>
                </c:pt>
                <c:pt idx="164">
                  <c:v>2.4599999999999911</c:v>
                </c:pt>
                <c:pt idx="165">
                  <c:v>2.4699999999999909</c:v>
                </c:pt>
                <c:pt idx="166">
                  <c:v>2.4799999999999907</c:v>
                </c:pt>
                <c:pt idx="167">
                  <c:v>2.4899999999999904</c:v>
                </c:pt>
                <c:pt idx="168">
                  <c:v>2.4999999999999902</c:v>
                </c:pt>
                <c:pt idx="169">
                  <c:v>2.50999999999999</c:v>
                </c:pt>
                <c:pt idx="170">
                  <c:v>2.5199999999999898</c:v>
                </c:pt>
                <c:pt idx="171">
                  <c:v>2.5299999999999896</c:v>
                </c:pt>
                <c:pt idx="172">
                  <c:v>2.5399999999999894</c:v>
                </c:pt>
                <c:pt idx="173">
                  <c:v>2.5499999999999892</c:v>
                </c:pt>
                <c:pt idx="174">
                  <c:v>2.559999999999989</c:v>
                </c:pt>
                <c:pt idx="175">
                  <c:v>2.5699999999999887</c:v>
                </c:pt>
                <c:pt idx="176">
                  <c:v>2.5799999999999885</c:v>
                </c:pt>
                <c:pt idx="177">
                  <c:v>2.5899999999999883</c:v>
                </c:pt>
                <c:pt idx="178">
                  <c:v>2.5999999999999881</c:v>
                </c:pt>
                <c:pt idx="179">
                  <c:v>2.6099999999999879</c:v>
                </c:pt>
                <c:pt idx="180">
                  <c:v>2.6199999999999877</c:v>
                </c:pt>
                <c:pt idx="181">
                  <c:v>2.6299999999999875</c:v>
                </c:pt>
                <c:pt idx="182">
                  <c:v>2.6399999999999872</c:v>
                </c:pt>
                <c:pt idx="183">
                  <c:v>2.649999999999987</c:v>
                </c:pt>
                <c:pt idx="184">
                  <c:v>2.6599999999999868</c:v>
                </c:pt>
                <c:pt idx="185">
                  <c:v>2.6699999999999866</c:v>
                </c:pt>
                <c:pt idx="186">
                  <c:v>2.6799999999999864</c:v>
                </c:pt>
                <c:pt idx="187">
                  <c:v>2.6899999999999862</c:v>
                </c:pt>
                <c:pt idx="188">
                  <c:v>2.699999999999986</c:v>
                </c:pt>
                <c:pt idx="189">
                  <c:v>2.7099999999999858</c:v>
                </c:pt>
                <c:pt idx="190">
                  <c:v>2.7199999999999855</c:v>
                </c:pt>
                <c:pt idx="191">
                  <c:v>2.7299999999999853</c:v>
                </c:pt>
                <c:pt idx="192">
                  <c:v>2.7399999999999851</c:v>
                </c:pt>
                <c:pt idx="193">
                  <c:v>2.7499999999999849</c:v>
                </c:pt>
                <c:pt idx="194">
                  <c:v>2.7599999999999847</c:v>
                </c:pt>
                <c:pt idx="195">
                  <c:v>2.7699999999999845</c:v>
                </c:pt>
                <c:pt idx="196">
                  <c:v>2.7799999999999843</c:v>
                </c:pt>
                <c:pt idx="197">
                  <c:v>2.789999999999984</c:v>
                </c:pt>
                <c:pt idx="198">
                  <c:v>2.7999999999999838</c:v>
                </c:pt>
                <c:pt idx="199">
                  <c:v>2.8099999999999836</c:v>
                </c:pt>
                <c:pt idx="200">
                  <c:v>2.8199999999999834</c:v>
                </c:pt>
                <c:pt idx="201">
                  <c:v>2.8299999999999832</c:v>
                </c:pt>
                <c:pt idx="202">
                  <c:v>2.839999999999983</c:v>
                </c:pt>
                <c:pt idx="203">
                  <c:v>2.8499999999999828</c:v>
                </c:pt>
                <c:pt idx="204">
                  <c:v>2.8599999999999826</c:v>
                </c:pt>
                <c:pt idx="205">
                  <c:v>2.8699999999999823</c:v>
                </c:pt>
                <c:pt idx="206">
                  <c:v>2.8799999999999821</c:v>
                </c:pt>
                <c:pt idx="207">
                  <c:v>2.8899999999999819</c:v>
                </c:pt>
                <c:pt idx="208">
                  <c:v>2.8999999999999817</c:v>
                </c:pt>
                <c:pt idx="209">
                  <c:v>2.9099999999999815</c:v>
                </c:pt>
                <c:pt idx="210">
                  <c:v>2.9199999999999813</c:v>
                </c:pt>
                <c:pt idx="211">
                  <c:v>2.9299999999999811</c:v>
                </c:pt>
                <c:pt idx="212">
                  <c:v>2.9399999999999809</c:v>
                </c:pt>
                <c:pt idx="213">
                  <c:v>2.9499999999999806</c:v>
                </c:pt>
                <c:pt idx="214">
                  <c:v>2.9599999999999804</c:v>
                </c:pt>
                <c:pt idx="215">
                  <c:v>2.9699999999999802</c:v>
                </c:pt>
                <c:pt idx="216">
                  <c:v>2.97999999999998</c:v>
                </c:pt>
                <c:pt idx="217">
                  <c:v>2.9899999999999798</c:v>
                </c:pt>
                <c:pt idx="218">
                  <c:v>2.9999999999999796</c:v>
                </c:pt>
                <c:pt idx="219">
                  <c:v>3.0099999999999794</c:v>
                </c:pt>
                <c:pt idx="220">
                  <c:v>3.0199999999999791</c:v>
                </c:pt>
                <c:pt idx="221">
                  <c:v>3.0299999999999789</c:v>
                </c:pt>
                <c:pt idx="222">
                  <c:v>3.0399999999999787</c:v>
                </c:pt>
                <c:pt idx="223">
                  <c:v>3.0499999999999785</c:v>
                </c:pt>
                <c:pt idx="224">
                  <c:v>3.0599999999999783</c:v>
                </c:pt>
                <c:pt idx="225">
                  <c:v>3.0699999999999781</c:v>
                </c:pt>
                <c:pt idx="226">
                  <c:v>3.0799999999999779</c:v>
                </c:pt>
                <c:pt idx="227">
                  <c:v>3.0899999999999777</c:v>
                </c:pt>
                <c:pt idx="228">
                  <c:v>3.0999999999999774</c:v>
                </c:pt>
                <c:pt idx="229">
                  <c:v>3.1099999999999772</c:v>
                </c:pt>
                <c:pt idx="230">
                  <c:v>3.119999999999977</c:v>
                </c:pt>
                <c:pt idx="231">
                  <c:v>3.1299999999999768</c:v>
                </c:pt>
                <c:pt idx="232">
                  <c:v>3.1399999999999766</c:v>
                </c:pt>
                <c:pt idx="233">
                  <c:v>3.1499999999999764</c:v>
                </c:pt>
                <c:pt idx="234">
                  <c:v>3.1599999999999762</c:v>
                </c:pt>
                <c:pt idx="235">
                  <c:v>3.1699999999999759</c:v>
                </c:pt>
                <c:pt idx="236">
                  <c:v>3.1799999999999757</c:v>
                </c:pt>
                <c:pt idx="237">
                  <c:v>3.1899999999999755</c:v>
                </c:pt>
                <c:pt idx="238">
                  <c:v>3.1999999999999753</c:v>
                </c:pt>
                <c:pt idx="239">
                  <c:v>3.2099999999999751</c:v>
                </c:pt>
                <c:pt idx="240">
                  <c:v>3.2199999999999749</c:v>
                </c:pt>
                <c:pt idx="241">
                  <c:v>3.2299999999999747</c:v>
                </c:pt>
                <c:pt idx="242">
                  <c:v>3.2399999999999745</c:v>
                </c:pt>
                <c:pt idx="243">
                  <c:v>3.2499999999999742</c:v>
                </c:pt>
                <c:pt idx="244">
                  <c:v>3.259999999999974</c:v>
                </c:pt>
                <c:pt idx="245">
                  <c:v>3.2699999999999738</c:v>
                </c:pt>
                <c:pt idx="246">
                  <c:v>3.2799999999999736</c:v>
                </c:pt>
                <c:pt idx="247">
                  <c:v>3.2899999999999734</c:v>
                </c:pt>
                <c:pt idx="248">
                  <c:v>3.2999999999999732</c:v>
                </c:pt>
                <c:pt idx="249">
                  <c:v>3.309999999999973</c:v>
                </c:pt>
                <c:pt idx="250">
                  <c:v>3.3199999999999728</c:v>
                </c:pt>
                <c:pt idx="251">
                  <c:v>3.3299999999999725</c:v>
                </c:pt>
                <c:pt idx="252">
                  <c:v>3.3399999999999723</c:v>
                </c:pt>
                <c:pt idx="253">
                  <c:v>3.3499999999999721</c:v>
                </c:pt>
                <c:pt idx="254">
                  <c:v>3.3599999999999719</c:v>
                </c:pt>
                <c:pt idx="255">
                  <c:v>3.3699999999999717</c:v>
                </c:pt>
                <c:pt idx="256">
                  <c:v>3.375</c:v>
                </c:pt>
                <c:pt idx="257">
                  <c:v>3.375</c:v>
                </c:pt>
                <c:pt idx="258">
                  <c:v>3.375</c:v>
                </c:pt>
                <c:pt idx="259">
                  <c:v>3.375</c:v>
                </c:pt>
                <c:pt idx="260">
                  <c:v>3.375</c:v>
                </c:pt>
                <c:pt idx="261">
                  <c:v>3.375</c:v>
                </c:pt>
                <c:pt idx="262">
                  <c:v>3.375</c:v>
                </c:pt>
                <c:pt idx="263">
                  <c:v>3.375</c:v>
                </c:pt>
                <c:pt idx="264">
                  <c:v>3.375</c:v>
                </c:pt>
                <c:pt idx="265">
                  <c:v>3.375</c:v>
                </c:pt>
                <c:pt idx="266">
                  <c:v>3.375</c:v>
                </c:pt>
                <c:pt idx="267">
                  <c:v>3.375</c:v>
                </c:pt>
                <c:pt idx="268">
                  <c:v>3.375</c:v>
                </c:pt>
                <c:pt idx="269">
                  <c:v>3.375</c:v>
                </c:pt>
                <c:pt idx="270">
                  <c:v>3.375</c:v>
                </c:pt>
                <c:pt idx="271">
                  <c:v>3.375</c:v>
                </c:pt>
                <c:pt idx="272">
                  <c:v>3.375</c:v>
                </c:pt>
                <c:pt idx="273">
                  <c:v>3.375</c:v>
                </c:pt>
                <c:pt idx="274">
                  <c:v>3.375</c:v>
                </c:pt>
                <c:pt idx="275">
                  <c:v>3.375</c:v>
                </c:pt>
                <c:pt idx="276">
                  <c:v>3.375</c:v>
                </c:pt>
                <c:pt idx="277">
                  <c:v>3.375</c:v>
                </c:pt>
                <c:pt idx="278">
                  <c:v>3.375</c:v>
                </c:pt>
                <c:pt idx="279">
                  <c:v>3.375</c:v>
                </c:pt>
                <c:pt idx="280">
                  <c:v>3.375</c:v>
                </c:pt>
                <c:pt idx="281">
                  <c:v>3.375</c:v>
                </c:pt>
                <c:pt idx="282">
                  <c:v>3.375</c:v>
                </c:pt>
                <c:pt idx="283">
                  <c:v>3.375</c:v>
                </c:pt>
                <c:pt idx="284">
                  <c:v>3.375</c:v>
                </c:pt>
                <c:pt idx="285">
                  <c:v>3.375</c:v>
                </c:pt>
                <c:pt idx="286">
                  <c:v>3.375</c:v>
                </c:pt>
                <c:pt idx="287">
                  <c:v>3.375</c:v>
                </c:pt>
                <c:pt idx="288">
                  <c:v>3.375</c:v>
                </c:pt>
                <c:pt idx="289">
                  <c:v>3.375</c:v>
                </c:pt>
                <c:pt idx="290">
                  <c:v>3.375</c:v>
                </c:pt>
                <c:pt idx="291">
                  <c:v>3.375</c:v>
                </c:pt>
                <c:pt idx="292">
                  <c:v>3.375</c:v>
                </c:pt>
                <c:pt idx="293">
                  <c:v>3.375</c:v>
                </c:pt>
                <c:pt idx="294">
                  <c:v>3.375</c:v>
                </c:pt>
                <c:pt idx="295">
                  <c:v>3.375</c:v>
                </c:pt>
                <c:pt idx="296">
                  <c:v>3.375</c:v>
                </c:pt>
                <c:pt idx="297">
                  <c:v>3.375</c:v>
                </c:pt>
                <c:pt idx="298">
                  <c:v>3.375</c:v>
                </c:pt>
                <c:pt idx="299">
                  <c:v>3.375</c:v>
                </c:pt>
                <c:pt idx="300">
                  <c:v>3.375</c:v>
                </c:pt>
                <c:pt idx="301">
                  <c:v>3.375</c:v>
                </c:pt>
                <c:pt idx="302">
                  <c:v>3.375</c:v>
                </c:pt>
                <c:pt idx="303">
                  <c:v>3.375</c:v>
                </c:pt>
                <c:pt idx="304">
                  <c:v>3.375</c:v>
                </c:pt>
                <c:pt idx="305">
                  <c:v>3.375</c:v>
                </c:pt>
                <c:pt idx="306">
                  <c:v>3.375</c:v>
                </c:pt>
                <c:pt idx="307">
                  <c:v>3.375</c:v>
                </c:pt>
                <c:pt idx="308">
                  <c:v>3.375</c:v>
                </c:pt>
                <c:pt idx="309">
                  <c:v>3.375</c:v>
                </c:pt>
                <c:pt idx="310">
                  <c:v>3.375</c:v>
                </c:pt>
                <c:pt idx="311">
                  <c:v>3.375</c:v>
                </c:pt>
                <c:pt idx="312">
                  <c:v>3.375</c:v>
                </c:pt>
                <c:pt idx="313">
                  <c:v>3.375</c:v>
                </c:pt>
                <c:pt idx="314">
                  <c:v>3.375</c:v>
                </c:pt>
                <c:pt idx="315">
                  <c:v>3.375</c:v>
                </c:pt>
                <c:pt idx="316">
                  <c:v>3.375</c:v>
                </c:pt>
                <c:pt idx="317">
                  <c:v>3.375</c:v>
                </c:pt>
                <c:pt idx="318">
                  <c:v>3.375</c:v>
                </c:pt>
                <c:pt idx="319">
                  <c:v>3.375</c:v>
                </c:pt>
                <c:pt idx="320">
                  <c:v>3.375</c:v>
                </c:pt>
                <c:pt idx="321">
                  <c:v>3.375</c:v>
                </c:pt>
                <c:pt idx="322">
                  <c:v>3.375</c:v>
                </c:pt>
                <c:pt idx="323">
                  <c:v>3.375</c:v>
                </c:pt>
                <c:pt idx="324">
                  <c:v>3.375</c:v>
                </c:pt>
                <c:pt idx="325">
                  <c:v>3.375</c:v>
                </c:pt>
                <c:pt idx="326">
                  <c:v>3.375</c:v>
                </c:pt>
                <c:pt idx="327">
                  <c:v>3.375</c:v>
                </c:pt>
                <c:pt idx="328">
                  <c:v>3.375</c:v>
                </c:pt>
                <c:pt idx="329">
                  <c:v>3.375</c:v>
                </c:pt>
                <c:pt idx="330">
                  <c:v>3.375</c:v>
                </c:pt>
                <c:pt idx="331">
                  <c:v>3.375</c:v>
                </c:pt>
                <c:pt idx="332">
                  <c:v>3.375</c:v>
                </c:pt>
                <c:pt idx="333">
                  <c:v>3.375</c:v>
                </c:pt>
                <c:pt idx="334">
                  <c:v>3.375</c:v>
                </c:pt>
                <c:pt idx="335">
                  <c:v>3.375</c:v>
                </c:pt>
                <c:pt idx="336">
                  <c:v>3.375</c:v>
                </c:pt>
                <c:pt idx="337">
                  <c:v>3.375</c:v>
                </c:pt>
                <c:pt idx="338">
                  <c:v>3.375</c:v>
                </c:pt>
                <c:pt idx="339">
                  <c:v>3.375</c:v>
                </c:pt>
                <c:pt idx="340">
                  <c:v>3.375</c:v>
                </c:pt>
                <c:pt idx="341">
                  <c:v>3.375</c:v>
                </c:pt>
                <c:pt idx="342">
                  <c:v>3.375</c:v>
                </c:pt>
                <c:pt idx="343">
                  <c:v>3.375</c:v>
                </c:pt>
                <c:pt idx="344">
                  <c:v>3.375</c:v>
                </c:pt>
                <c:pt idx="345">
                  <c:v>3.375</c:v>
                </c:pt>
                <c:pt idx="346">
                  <c:v>3.375</c:v>
                </c:pt>
                <c:pt idx="347">
                  <c:v>3.375</c:v>
                </c:pt>
                <c:pt idx="348">
                  <c:v>3.375</c:v>
                </c:pt>
                <c:pt idx="349">
                  <c:v>3.375</c:v>
                </c:pt>
                <c:pt idx="350">
                  <c:v>3.375</c:v>
                </c:pt>
                <c:pt idx="351">
                  <c:v>3.375</c:v>
                </c:pt>
                <c:pt idx="352">
                  <c:v>3.375</c:v>
                </c:pt>
                <c:pt idx="353">
                  <c:v>3.375</c:v>
                </c:pt>
                <c:pt idx="354">
                  <c:v>3.375</c:v>
                </c:pt>
                <c:pt idx="355">
                  <c:v>3.375</c:v>
                </c:pt>
                <c:pt idx="356">
                  <c:v>3.375</c:v>
                </c:pt>
                <c:pt idx="357">
                  <c:v>3.375</c:v>
                </c:pt>
                <c:pt idx="358">
                  <c:v>3.375</c:v>
                </c:pt>
                <c:pt idx="359">
                  <c:v>3.375</c:v>
                </c:pt>
                <c:pt idx="360">
                  <c:v>3.375</c:v>
                </c:pt>
                <c:pt idx="361">
                  <c:v>3.375</c:v>
                </c:pt>
                <c:pt idx="362">
                  <c:v>3.375</c:v>
                </c:pt>
                <c:pt idx="363">
                  <c:v>3.375</c:v>
                </c:pt>
                <c:pt idx="364">
                  <c:v>3.375</c:v>
                </c:pt>
                <c:pt idx="365">
                  <c:v>3.375</c:v>
                </c:pt>
                <c:pt idx="366">
                  <c:v>3.375</c:v>
                </c:pt>
                <c:pt idx="367">
                  <c:v>3.375</c:v>
                </c:pt>
                <c:pt idx="368">
                  <c:v>3.375</c:v>
                </c:pt>
                <c:pt idx="369">
                  <c:v>3.375</c:v>
                </c:pt>
                <c:pt idx="370">
                  <c:v>3.375</c:v>
                </c:pt>
                <c:pt idx="371">
                  <c:v>3.375</c:v>
                </c:pt>
                <c:pt idx="372">
                  <c:v>3.375</c:v>
                </c:pt>
                <c:pt idx="373">
                  <c:v>3.375</c:v>
                </c:pt>
                <c:pt idx="374">
                  <c:v>3.375</c:v>
                </c:pt>
                <c:pt idx="375">
                  <c:v>3.375</c:v>
                </c:pt>
                <c:pt idx="376">
                  <c:v>3.375</c:v>
                </c:pt>
                <c:pt idx="377">
                  <c:v>3.375</c:v>
                </c:pt>
                <c:pt idx="378">
                  <c:v>3.375</c:v>
                </c:pt>
                <c:pt idx="379">
                  <c:v>3.375</c:v>
                </c:pt>
                <c:pt idx="380">
                  <c:v>3.375</c:v>
                </c:pt>
                <c:pt idx="381">
                  <c:v>3.375</c:v>
                </c:pt>
                <c:pt idx="382">
                  <c:v>3.375</c:v>
                </c:pt>
                <c:pt idx="383">
                  <c:v>3.375</c:v>
                </c:pt>
                <c:pt idx="384">
                  <c:v>3.375</c:v>
                </c:pt>
                <c:pt idx="385">
                  <c:v>3.375</c:v>
                </c:pt>
                <c:pt idx="386">
                  <c:v>3.375</c:v>
                </c:pt>
                <c:pt idx="387">
                  <c:v>3.375</c:v>
                </c:pt>
                <c:pt idx="388">
                  <c:v>3.375</c:v>
                </c:pt>
                <c:pt idx="389">
                  <c:v>3.375</c:v>
                </c:pt>
                <c:pt idx="390">
                  <c:v>3.375</c:v>
                </c:pt>
                <c:pt idx="391">
                  <c:v>3.375</c:v>
                </c:pt>
                <c:pt idx="392">
                  <c:v>3.375</c:v>
                </c:pt>
                <c:pt idx="393">
                  <c:v>3.375</c:v>
                </c:pt>
                <c:pt idx="394">
                  <c:v>3.375</c:v>
                </c:pt>
                <c:pt idx="395">
                  <c:v>3.375</c:v>
                </c:pt>
                <c:pt idx="396">
                  <c:v>3.375</c:v>
                </c:pt>
                <c:pt idx="397">
                  <c:v>3.375</c:v>
                </c:pt>
                <c:pt idx="398">
                  <c:v>3.375</c:v>
                </c:pt>
                <c:pt idx="399">
                  <c:v>3.375</c:v>
                </c:pt>
                <c:pt idx="400">
                  <c:v>3.375</c:v>
                </c:pt>
                <c:pt idx="401">
                  <c:v>3.375</c:v>
                </c:pt>
                <c:pt idx="402">
                  <c:v>3.375</c:v>
                </c:pt>
                <c:pt idx="403">
                  <c:v>3.375</c:v>
                </c:pt>
                <c:pt idx="404">
                  <c:v>3.375</c:v>
                </c:pt>
                <c:pt idx="405">
                  <c:v>3.375</c:v>
                </c:pt>
                <c:pt idx="406">
                  <c:v>3.375</c:v>
                </c:pt>
                <c:pt idx="407">
                  <c:v>3.375</c:v>
                </c:pt>
                <c:pt idx="408">
                  <c:v>3.375</c:v>
                </c:pt>
                <c:pt idx="409">
                  <c:v>3.375</c:v>
                </c:pt>
                <c:pt idx="410">
                  <c:v>3.375</c:v>
                </c:pt>
                <c:pt idx="411">
                  <c:v>3.375</c:v>
                </c:pt>
                <c:pt idx="412">
                  <c:v>3.375</c:v>
                </c:pt>
                <c:pt idx="413">
                  <c:v>3.375</c:v>
                </c:pt>
                <c:pt idx="414">
                  <c:v>3.375</c:v>
                </c:pt>
                <c:pt idx="415">
                  <c:v>3.375</c:v>
                </c:pt>
                <c:pt idx="416">
                  <c:v>3.375</c:v>
                </c:pt>
                <c:pt idx="417">
                  <c:v>3.375</c:v>
                </c:pt>
                <c:pt idx="418">
                  <c:v>3.375</c:v>
                </c:pt>
                <c:pt idx="419">
                  <c:v>3.375</c:v>
                </c:pt>
                <c:pt idx="420">
                  <c:v>3.375</c:v>
                </c:pt>
                <c:pt idx="421">
                  <c:v>3.375</c:v>
                </c:pt>
                <c:pt idx="422">
                  <c:v>3.375</c:v>
                </c:pt>
                <c:pt idx="423">
                  <c:v>3.375</c:v>
                </c:pt>
                <c:pt idx="424">
                  <c:v>3.375</c:v>
                </c:pt>
                <c:pt idx="425">
                  <c:v>3.375</c:v>
                </c:pt>
                <c:pt idx="426">
                  <c:v>3.375</c:v>
                </c:pt>
                <c:pt idx="427">
                  <c:v>3.375</c:v>
                </c:pt>
                <c:pt idx="428">
                  <c:v>3.375</c:v>
                </c:pt>
                <c:pt idx="429">
                  <c:v>3.375</c:v>
                </c:pt>
                <c:pt idx="430">
                  <c:v>3.375</c:v>
                </c:pt>
                <c:pt idx="431">
                  <c:v>3.375</c:v>
                </c:pt>
                <c:pt idx="432">
                  <c:v>3.375</c:v>
                </c:pt>
                <c:pt idx="433">
                  <c:v>3.375</c:v>
                </c:pt>
                <c:pt idx="434">
                  <c:v>3.375</c:v>
                </c:pt>
                <c:pt idx="435">
                  <c:v>3.375</c:v>
                </c:pt>
                <c:pt idx="436">
                  <c:v>3.375</c:v>
                </c:pt>
                <c:pt idx="437">
                  <c:v>3.375</c:v>
                </c:pt>
                <c:pt idx="438">
                  <c:v>3.375</c:v>
                </c:pt>
                <c:pt idx="439">
                  <c:v>3.375</c:v>
                </c:pt>
                <c:pt idx="440">
                  <c:v>3.375</c:v>
                </c:pt>
                <c:pt idx="441">
                  <c:v>3.375</c:v>
                </c:pt>
                <c:pt idx="442">
                  <c:v>3.375</c:v>
                </c:pt>
                <c:pt idx="443">
                  <c:v>3.375</c:v>
                </c:pt>
                <c:pt idx="444">
                  <c:v>3.375</c:v>
                </c:pt>
                <c:pt idx="445">
                  <c:v>3.375</c:v>
                </c:pt>
                <c:pt idx="446">
                  <c:v>3.375</c:v>
                </c:pt>
                <c:pt idx="447">
                  <c:v>3.375</c:v>
                </c:pt>
                <c:pt idx="448">
                  <c:v>3.375</c:v>
                </c:pt>
                <c:pt idx="449">
                  <c:v>3.375</c:v>
                </c:pt>
                <c:pt idx="450">
                  <c:v>3.375</c:v>
                </c:pt>
                <c:pt idx="451">
                  <c:v>3.375</c:v>
                </c:pt>
                <c:pt idx="452">
                  <c:v>3.375</c:v>
                </c:pt>
                <c:pt idx="453">
                  <c:v>3.375</c:v>
                </c:pt>
                <c:pt idx="454">
                  <c:v>3.375</c:v>
                </c:pt>
                <c:pt idx="455">
                  <c:v>3.375</c:v>
                </c:pt>
                <c:pt idx="456">
                  <c:v>3.375</c:v>
                </c:pt>
                <c:pt idx="457">
                  <c:v>3.375</c:v>
                </c:pt>
                <c:pt idx="458">
                  <c:v>3.375</c:v>
                </c:pt>
                <c:pt idx="459">
                  <c:v>3.375</c:v>
                </c:pt>
                <c:pt idx="460">
                  <c:v>3.375</c:v>
                </c:pt>
                <c:pt idx="461">
                  <c:v>3.375</c:v>
                </c:pt>
                <c:pt idx="462">
                  <c:v>3.375</c:v>
                </c:pt>
                <c:pt idx="463">
                  <c:v>3.375</c:v>
                </c:pt>
                <c:pt idx="464">
                  <c:v>3.375</c:v>
                </c:pt>
                <c:pt idx="465">
                  <c:v>3.375</c:v>
                </c:pt>
                <c:pt idx="466">
                  <c:v>3.375</c:v>
                </c:pt>
                <c:pt idx="467">
                  <c:v>3.375</c:v>
                </c:pt>
                <c:pt idx="468">
                  <c:v>3.375</c:v>
                </c:pt>
                <c:pt idx="469">
                  <c:v>3.375</c:v>
                </c:pt>
                <c:pt idx="470">
                  <c:v>3.375</c:v>
                </c:pt>
                <c:pt idx="471">
                  <c:v>3.375</c:v>
                </c:pt>
                <c:pt idx="472">
                  <c:v>3.375</c:v>
                </c:pt>
                <c:pt idx="473">
                  <c:v>3.375</c:v>
                </c:pt>
                <c:pt idx="474">
                  <c:v>3.375</c:v>
                </c:pt>
                <c:pt idx="475">
                  <c:v>3.375</c:v>
                </c:pt>
                <c:pt idx="476">
                  <c:v>3.375</c:v>
                </c:pt>
                <c:pt idx="477">
                  <c:v>3.375</c:v>
                </c:pt>
                <c:pt idx="478">
                  <c:v>3.375</c:v>
                </c:pt>
                <c:pt idx="479">
                  <c:v>3.375</c:v>
                </c:pt>
                <c:pt idx="480">
                  <c:v>3.375</c:v>
                </c:pt>
                <c:pt idx="481">
                  <c:v>3.375</c:v>
                </c:pt>
                <c:pt idx="482">
                  <c:v>3.375</c:v>
                </c:pt>
                <c:pt idx="483">
                  <c:v>3.375</c:v>
                </c:pt>
                <c:pt idx="484">
                  <c:v>3.375</c:v>
                </c:pt>
                <c:pt idx="485">
                  <c:v>3.375</c:v>
                </c:pt>
                <c:pt idx="486">
                  <c:v>3.375</c:v>
                </c:pt>
                <c:pt idx="487">
                  <c:v>3.375</c:v>
                </c:pt>
                <c:pt idx="488">
                  <c:v>3.375</c:v>
                </c:pt>
                <c:pt idx="489">
                  <c:v>3.375</c:v>
                </c:pt>
                <c:pt idx="490">
                  <c:v>3.375</c:v>
                </c:pt>
                <c:pt idx="491">
                  <c:v>3.375</c:v>
                </c:pt>
                <c:pt idx="492">
                  <c:v>3.375</c:v>
                </c:pt>
                <c:pt idx="493">
                  <c:v>3.375</c:v>
                </c:pt>
                <c:pt idx="494">
                  <c:v>3.375</c:v>
                </c:pt>
                <c:pt idx="495">
                  <c:v>3.375</c:v>
                </c:pt>
                <c:pt idx="496">
                  <c:v>3.375</c:v>
                </c:pt>
                <c:pt idx="497">
                  <c:v>3.375</c:v>
                </c:pt>
                <c:pt idx="498">
                  <c:v>3.375</c:v>
                </c:pt>
                <c:pt idx="499">
                  <c:v>3.375</c:v>
                </c:pt>
                <c:pt idx="500">
                  <c:v>3.375</c:v>
                </c:pt>
                <c:pt idx="501">
                  <c:v>3.375</c:v>
                </c:pt>
                <c:pt idx="502">
                  <c:v>3.375</c:v>
                </c:pt>
                <c:pt idx="503">
                  <c:v>3.375</c:v>
                </c:pt>
                <c:pt idx="504">
                  <c:v>3.375</c:v>
                </c:pt>
                <c:pt idx="505">
                  <c:v>3.375</c:v>
                </c:pt>
                <c:pt idx="506">
                  <c:v>3.375</c:v>
                </c:pt>
                <c:pt idx="507">
                  <c:v>3.375</c:v>
                </c:pt>
                <c:pt idx="508">
                  <c:v>3.375</c:v>
                </c:pt>
                <c:pt idx="509">
                  <c:v>3.375</c:v>
                </c:pt>
                <c:pt idx="510">
                  <c:v>3.375</c:v>
                </c:pt>
                <c:pt idx="511">
                  <c:v>3.375</c:v>
                </c:pt>
                <c:pt idx="512">
                  <c:v>3.375</c:v>
                </c:pt>
                <c:pt idx="513">
                  <c:v>3.375</c:v>
                </c:pt>
                <c:pt idx="514">
                  <c:v>3.375</c:v>
                </c:pt>
                <c:pt idx="515">
                  <c:v>3.375</c:v>
                </c:pt>
                <c:pt idx="516">
                  <c:v>3.375</c:v>
                </c:pt>
                <c:pt idx="517">
                  <c:v>3.375</c:v>
                </c:pt>
                <c:pt idx="518">
                  <c:v>3.375</c:v>
                </c:pt>
                <c:pt idx="519">
                  <c:v>3.375</c:v>
                </c:pt>
                <c:pt idx="520">
                  <c:v>3.375</c:v>
                </c:pt>
                <c:pt idx="521">
                  <c:v>3.375</c:v>
                </c:pt>
                <c:pt idx="522">
                  <c:v>3.375</c:v>
                </c:pt>
                <c:pt idx="523">
                  <c:v>3.375</c:v>
                </c:pt>
                <c:pt idx="524">
                  <c:v>3.375</c:v>
                </c:pt>
                <c:pt idx="525">
                  <c:v>3.375</c:v>
                </c:pt>
                <c:pt idx="526">
                  <c:v>3.375</c:v>
                </c:pt>
                <c:pt idx="527">
                  <c:v>3.375</c:v>
                </c:pt>
                <c:pt idx="528">
                  <c:v>3.375</c:v>
                </c:pt>
                <c:pt idx="529">
                  <c:v>3.375</c:v>
                </c:pt>
                <c:pt idx="530">
                  <c:v>3.375</c:v>
                </c:pt>
                <c:pt idx="531">
                  <c:v>3.375</c:v>
                </c:pt>
                <c:pt idx="532">
                  <c:v>3.375</c:v>
                </c:pt>
                <c:pt idx="533">
                  <c:v>3.375</c:v>
                </c:pt>
                <c:pt idx="534">
                  <c:v>3.375</c:v>
                </c:pt>
                <c:pt idx="535">
                  <c:v>3.375</c:v>
                </c:pt>
                <c:pt idx="536">
                  <c:v>3.375</c:v>
                </c:pt>
                <c:pt idx="537">
                  <c:v>3.375</c:v>
                </c:pt>
                <c:pt idx="538">
                  <c:v>3.375</c:v>
                </c:pt>
                <c:pt idx="539">
                  <c:v>3.375</c:v>
                </c:pt>
                <c:pt idx="540">
                  <c:v>3.375</c:v>
                </c:pt>
                <c:pt idx="541">
                  <c:v>3.375</c:v>
                </c:pt>
                <c:pt idx="542">
                  <c:v>3.375</c:v>
                </c:pt>
                <c:pt idx="543">
                  <c:v>3.375</c:v>
                </c:pt>
                <c:pt idx="544">
                  <c:v>3.375</c:v>
                </c:pt>
                <c:pt idx="545">
                  <c:v>3.375</c:v>
                </c:pt>
                <c:pt idx="546">
                  <c:v>3.375</c:v>
                </c:pt>
                <c:pt idx="547">
                  <c:v>3.375</c:v>
                </c:pt>
                <c:pt idx="548">
                  <c:v>3.375</c:v>
                </c:pt>
                <c:pt idx="549">
                  <c:v>3.375</c:v>
                </c:pt>
                <c:pt idx="550">
                  <c:v>3.375</c:v>
                </c:pt>
                <c:pt idx="551">
                  <c:v>3.375</c:v>
                </c:pt>
                <c:pt idx="552">
                  <c:v>3.375</c:v>
                </c:pt>
                <c:pt idx="553">
                  <c:v>3.375</c:v>
                </c:pt>
                <c:pt idx="554">
                  <c:v>3.375</c:v>
                </c:pt>
                <c:pt idx="555">
                  <c:v>3.375</c:v>
                </c:pt>
                <c:pt idx="556">
                  <c:v>3.375</c:v>
                </c:pt>
                <c:pt idx="557">
                  <c:v>3.375</c:v>
                </c:pt>
                <c:pt idx="558">
                  <c:v>3.375</c:v>
                </c:pt>
                <c:pt idx="559">
                  <c:v>3.375</c:v>
                </c:pt>
                <c:pt idx="560">
                  <c:v>3.375</c:v>
                </c:pt>
                <c:pt idx="561">
                  <c:v>3.375</c:v>
                </c:pt>
                <c:pt idx="562">
                  <c:v>3.375</c:v>
                </c:pt>
                <c:pt idx="563">
                  <c:v>3.375</c:v>
                </c:pt>
                <c:pt idx="564">
                  <c:v>3.375</c:v>
                </c:pt>
                <c:pt idx="565">
                  <c:v>3.375</c:v>
                </c:pt>
                <c:pt idx="566">
                  <c:v>3.375</c:v>
                </c:pt>
                <c:pt idx="567">
                  <c:v>3.375</c:v>
                </c:pt>
                <c:pt idx="568">
                  <c:v>3.375</c:v>
                </c:pt>
                <c:pt idx="569">
                  <c:v>3.375</c:v>
                </c:pt>
                <c:pt idx="570">
                  <c:v>3.375</c:v>
                </c:pt>
                <c:pt idx="571">
                  <c:v>3.375</c:v>
                </c:pt>
                <c:pt idx="572">
                  <c:v>3.375</c:v>
                </c:pt>
                <c:pt idx="573">
                  <c:v>3.375</c:v>
                </c:pt>
                <c:pt idx="574">
                  <c:v>3.375</c:v>
                </c:pt>
                <c:pt idx="575">
                  <c:v>3.375</c:v>
                </c:pt>
                <c:pt idx="576">
                  <c:v>3.375</c:v>
                </c:pt>
                <c:pt idx="577">
                  <c:v>3.375</c:v>
                </c:pt>
                <c:pt idx="578">
                  <c:v>3.375</c:v>
                </c:pt>
                <c:pt idx="579">
                  <c:v>3.375</c:v>
                </c:pt>
                <c:pt idx="580">
                  <c:v>3.375</c:v>
                </c:pt>
                <c:pt idx="581">
                  <c:v>3.375</c:v>
                </c:pt>
                <c:pt idx="582">
                  <c:v>3.375</c:v>
                </c:pt>
                <c:pt idx="583">
                  <c:v>3.375</c:v>
                </c:pt>
                <c:pt idx="584">
                  <c:v>3.375</c:v>
                </c:pt>
                <c:pt idx="585">
                  <c:v>3.375</c:v>
                </c:pt>
                <c:pt idx="586">
                  <c:v>3.375</c:v>
                </c:pt>
                <c:pt idx="587">
                  <c:v>3.375</c:v>
                </c:pt>
                <c:pt idx="588">
                  <c:v>3.375</c:v>
                </c:pt>
                <c:pt idx="589">
                  <c:v>3.375</c:v>
                </c:pt>
                <c:pt idx="590">
                  <c:v>3.375</c:v>
                </c:pt>
                <c:pt idx="591">
                  <c:v>3.375</c:v>
                </c:pt>
                <c:pt idx="592">
                  <c:v>3.375</c:v>
                </c:pt>
                <c:pt idx="593">
                  <c:v>3.375</c:v>
                </c:pt>
                <c:pt idx="594">
                  <c:v>3.375</c:v>
                </c:pt>
                <c:pt idx="595">
                  <c:v>3.375</c:v>
                </c:pt>
                <c:pt idx="596">
                  <c:v>3.375</c:v>
                </c:pt>
                <c:pt idx="597">
                  <c:v>3.375</c:v>
                </c:pt>
                <c:pt idx="598">
                  <c:v>3.375</c:v>
                </c:pt>
                <c:pt idx="599">
                  <c:v>3.375</c:v>
                </c:pt>
                <c:pt idx="600">
                  <c:v>3.375</c:v>
                </c:pt>
                <c:pt idx="601">
                  <c:v>3.375</c:v>
                </c:pt>
                <c:pt idx="602">
                  <c:v>3.375</c:v>
                </c:pt>
                <c:pt idx="603">
                  <c:v>3.375</c:v>
                </c:pt>
                <c:pt idx="604">
                  <c:v>3.375</c:v>
                </c:pt>
                <c:pt idx="605">
                  <c:v>3.375</c:v>
                </c:pt>
                <c:pt idx="606">
                  <c:v>3.375</c:v>
                </c:pt>
                <c:pt idx="607">
                  <c:v>3.375</c:v>
                </c:pt>
                <c:pt idx="608">
                  <c:v>3.375</c:v>
                </c:pt>
                <c:pt idx="609">
                  <c:v>3.375</c:v>
                </c:pt>
                <c:pt idx="610">
                  <c:v>3.375</c:v>
                </c:pt>
                <c:pt idx="611">
                  <c:v>3.375</c:v>
                </c:pt>
                <c:pt idx="612">
                  <c:v>3.375</c:v>
                </c:pt>
                <c:pt idx="613">
                  <c:v>3.375</c:v>
                </c:pt>
                <c:pt idx="614">
                  <c:v>3.375</c:v>
                </c:pt>
                <c:pt idx="615">
                  <c:v>3.375</c:v>
                </c:pt>
                <c:pt idx="616">
                  <c:v>3.375</c:v>
                </c:pt>
                <c:pt idx="617">
                  <c:v>3.375</c:v>
                </c:pt>
                <c:pt idx="618">
                  <c:v>3.375</c:v>
                </c:pt>
              </c:numCache>
            </c:numRef>
          </c:xVal>
          <c:yVal>
            <c:numRef>
              <c:f>Current_limit!$O$23:$O$641</c:f>
              <c:numCache>
                <c:formatCode>0.000</c:formatCode>
                <c:ptCount val="619"/>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5.0000000000000009</c:v>
                </c:pt>
                <c:pt idx="27">
                  <c:v>5</c:v>
                </c:pt>
                <c:pt idx="28">
                  <c:v>5</c:v>
                </c:pt>
                <c:pt idx="29">
                  <c:v>5</c:v>
                </c:pt>
                <c:pt idx="30">
                  <c:v>5</c:v>
                </c:pt>
                <c:pt idx="31">
                  <c:v>5</c:v>
                </c:pt>
                <c:pt idx="32">
                  <c:v>5</c:v>
                </c:pt>
                <c:pt idx="33">
                  <c:v>5</c:v>
                </c:pt>
                <c:pt idx="34">
                  <c:v>5</c:v>
                </c:pt>
                <c:pt idx="35">
                  <c:v>4.9999999999999991</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4.9999999999999991</c:v>
                </c:pt>
                <c:pt idx="141">
                  <c:v>5.0000000000000009</c:v>
                </c:pt>
                <c:pt idx="142">
                  <c:v>5</c:v>
                </c:pt>
                <c:pt idx="143">
                  <c:v>5</c:v>
                </c:pt>
                <c:pt idx="144">
                  <c:v>5.0000000000000009</c:v>
                </c:pt>
                <c:pt idx="145">
                  <c:v>5</c:v>
                </c:pt>
                <c:pt idx="146">
                  <c:v>5</c:v>
                </c:pt>
                <c:pt idx="147">
                  <c:v>5</c:v>
                </c:pt>
                <c:pt idx="148">
                  <c:v>5</c:v>
                </c:pt>
                <c:pt idx="149">
                  <c:v>5</c:v>
                </c:pt>
                <c:pt idx="150">
                  <c:v>5</c:v>
                </c:pt>
                <c:pt idx="151">
                  <c:v>5</c:v>
                </c:pt>
                <c:pt idx="152">
                  <c:v>5</c:v>
                </c:pt>
                <c:pt idx="153">
                  <c:v>4.9999999999999991</c:v>
                </c:pt>
                <c:pt idx="154">
                  <c:v>4.9999999999999991</c:v>
                </c:pt>
                <c:pt idx="155">
                  <c:v>5</c:v>
                </c:pt>
                <c:pt idx="156">
                  <c:v>5</c:v>
                </c:pt>
                <c:pt idx="157">
                  <c:v>5</c:v>
                </c:pt>
                <c:pt idx="158">
                  <c:v>5</c:v>
                </c:pt>
                <c:pt idx="159">
                  <c:v>5</c:v>
                </c:pt>
                <c:pt idx="160">
                  <c:v>5</c:v>
                </c:pt>
                <c:pt idx="161">
                  <c:v>5</c:v>
                </c:pt>
                <c:pt idx="162">
                  <c:v>4.9999999999999991</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4.9926035502959003</c:v>
                </c:pt>
                <c:pt idx="257">
                  <c:v>4.9778761061947323</c:v>
                </c:pt>
                <c:pt idx="258">
                  <c:v>4.9632352941176894</c:v>
                </c:pt>
                <c:pt idx="259">
                  <c:v>4.9486803519062006</c:v>
                </c:pt>
                <c:pt idx="260">
                  <c:v>4.9342105263158311</c:v>
                </c:pt>
                <c:pt idx="261">
                  <c:v>4.91982507288634</c:v>
                </c:pt>
                <c:pt idx="262">
                  <c:v>4.9055232558139963</c:v>
                </c:pt>
                <c:pt idx="263">
                  <c:v>4.8913043478261296</c:v>
                </c:pt>
                <c:pt idx="264">
                  <c:v>4.8771676300578459</c:v>
                </c:pt>
                <c:pt idx="265">
                  <c:v>4.8631123919308781</c:v>
                </c:pt>
                <c:pt idx="266">
                  <c:v>4.8491379310345248</c:v>
                </c:pt>
                <c:pt idx="267">
                  <c:v>4.8352435530086391</c:v>
                </c:pt>
                <c:pt idx="268">
                  <c:v>4.8214285714286138</c:v>
                </c:pt>
                <c:pt idx="269">
                  <c:v>4.8076923076923501</c:v>
                </c:pt>
                <c:pt idx="270">
                  <c:v>4.7940340909091335</c:v>
                </c:pt>
                <c:pt idx="271">
                  <c:v>4.7804532577904117</c:v>
                </c:pt>
                <c:pt idx="272">
                  <c:v>4.7669491525424155</c:v>
                </c:pt>
                <c:pt idx="273">
                  <c:v>4.7535211267606066</c:v>
                </c:pt>
                <c:pt idx="274">
                  <c:v>4.7401685393258859</c:v>
                </c:pt>
                <c:pt idx="275">
                  <c:v>4.7268907563025646</c:v>
                </c:pt>
                <c:pt idx="276">
                  <c:v>4.713687150838032</c:v>
                </c:pt>
                <c:pt idx="277">
                  <c:v>4.70055710306411</c:v>
                </c:pt>
                <c:pt idx="278">
                  <c:v>4.6875000000000435</c:v>
                </c:pt>
                <c:pt idx="279">
                  <c:v>4.6745152354571067</c:v>
                </c:pt>
                <c:pt idx="280">
                  <c:v>4.6616022099447951</c:v>
                </c:pt>
                <c:pt idx="281">
                  <c:v>4.6487603305785559</c:v>
                </c:pt>
                <c:pt idx="282">
                  <c:v>4.6359890109890545</c:v>
                </c:pt>
                <c:pt idx="283">
                  <c:v>4.6232876712329203</c:v>
                </c:pt>
                <c:pt idx="284">
                  <c:v>4.6106557377049615</c:v>
                </c:pt>
                <c:pt idx="285">
                  <c:v>4.5980926430518139</c:v>
                </c:pt>
                <c:pt idx="286">
                  <c:v>4.5855978260870005</c:v>
                </c:pt>
                <c:pt idx="287">
                  <c:v>4.5731707317073607</c:v>
                </c:pt>
                <c:pt idx="288">
                  <c:v>4.560810810810854</c:v>
                </c:pt>
                <c:pt idx="289">
                  <c:v>4.5485175202156771</c:v>
                </c:pt>
                <c:pt idx="290">
                  <c:v>4.5362903225806894</c:v>
                </c:pt>
                <c:pt idx="291">
                  <c:v>4.5241286863271215</c:v>
                </c:pt>
                <c:pt idx="292">
                  <c:v>4.5120320855615406</c:v>
                </c:pt>
                <c:pt idx="293">
                  <c:v>4.5000000000000444</c:v>
                </c:pt>
                <c:pt idx="294">
                  <c:v>4.4880319148936607</c:v>
                </c:pt>
                <c:pt idx="295">
                  <c:v>4.4761273209549506</c:v>
                </c:pt>
                <c:pt idx="296">
                  <c:v>4.4642857142857579</c:v>
                </c:pt>
                <c:pt idx="297">
                  <c:v>4.4525065963061126</c:v>
                </c:pt>
                <c:pt idx="298">
                  <c:v>4.4407894736842541</c:v>
                </c:pt>
                <c:pt idx="299">
                  <c:v>4.4291338582677602</c:v>
                </c:pt>
                <c:pt idx="300">
                  <c:v>4.4175392670157505</c:v>
                </c:pt>
                <c:pt idx="301">
                  <c:v>4.4060052219321584</c:v>
                </c:pt>
                <c:pt idx="302">
                  <c:v>4.3945312500000444</c:v>
                </c:pt>
                <c:pt idx="303">
                  <c:v>4.3831168831169274</c:v>
                </c:pt>
                <c:pt idx="304">
                  <c:v>4.371761658031132</c:v>
                </c:pt>
                <c:pt idx="305">
                  <c:v>4.3604651162791139</c:v>
                </c:pt>
                <c:pt idx="306">
                  <c:v>4.349226804123755</c:v>
                </c:pt>
                <c:pt idx="307">
                  <c:v>4.3380462724936173</c:v>
                </c:pt>
                <c:pt idx="308">
                  <c:v>4.3269230769231211</c:v>
                </c:pt>
                <c:pt idx="309">
                  <c:v>4.31585677749365</c:v>
                </c:pt>
                <c:pt idx="310">
                  <c:v>4.3048469387755546</c:v>
                </c:pt>
                <c:pt idx="311">
                  <c:v>4.2938931297710363</c:v>
                </c:pt>
                <c:pt idx="312">
                  <c:v>4.2829949238579124</c:v>
                </c:pt>
                <c:pt idx="313">
                  <c:v>4.2721518987342213</c:v>
                </c:pt>
                <c:pt idx="314">
                  <c:v>4.2613636363636802</c:v>
                </c:pt>
                <c:pt idx="315">
                  <c:v>4.2506297229219578</c:v>
                </c:pt>
                <c:pt idx="316">
                  <c:v>4.2399497487437623</c:v>
                </c:pt>
                <c:pt idx="317">
                  <c:v>4.2293233082707209</c:v>
                </c:pt>
                <c:pt idx="318">
                  <c:v>4.2187500000000444</c:v>
                </c:pt>
                <c:pt idx="319">
                  <c:v>4.2082294264339595</c:v>
                </c:pt>
                <c:pt idx="320">
                  <c:v>4.1977611940298942</c:v>
                </c:pt>
                <c:pt idx="321">
                  <c:v>4.1873449131514091</c:v>
                </c:pt>
                <c:pt idx="322">
                  <c:v>4.1769801980198462</c:v>
                </c:pt>
                <c:pt idx="323">
                  <c:v>4.1666666666667105</c:v>
                </c:pt>
                <c:pt idx="324">
                  <c:v>4.1564039408867437</c:v>
                </c:pt>
                <c:pt idx="325">
                  <c:v>4.1461916461916903</c:v>
                </c:pt>
                <c:pt idx="326">
                  <c:v>4.13602941176475</c:v>
                </c:pt>
                <c:pt idx="327">
                  <c:v>4.1259168704156917</c:v>
                </c:pt>
                <c:pt idx="328">
                  <c:v>4.1158536585366292</c:v>
                </c:pt>
                <c:pt idx="329">
                  <c:v>4.1058394160584379</c:v>
                </c:pt>
                <c:pt idx="330">
                  <c:v>4.095873786407811</c:v>
                </c:pt>
                <c:pt idx="331">
                  <c:v>4.0859564164649349</c:v>
                </c:pt>
                <c:pt idx="332">
                  <c:v>4.0760869565217837</c:v>
                </c:pt>
                <c:pt idx="333">
                  <c:v>4.0662650602410073</c:v>
                </c:pt>
                <c:pt idx="334">
                  <c:v>4.0564903846154285</c:v>
                </c:pt>
                <c:pt idx="335">
                  <c:v>4.0467625899281012</c:v>
                </c:pt>
                <c:pt idx="336">
                  <c:v>4.0370813397129632</c:v>
                </c:pt>
                <c:pt idx="337">
                  <c:v>4.0274463007160346</c:v>
                </c:pt>
                <c:pt idx="338">
                  <c:v>4.0178571428571868</c:v>
                </c:pt>
                <c:pt idx="339">
                  <c:v>4.0083135391924429</c:v>
                </c:pt>
                <c:pt idx="340">
                  <c:v>3.9988151658768216</c:v>
                </c:pt>
                <c:pt idx="341">
                  <c:v>3.9893617021277037</c:v>
                </c:pt>
                <c:pt idx="342">
                  <c:v>3.979952830188723</c:v>
                </c:pt>
                <c:pt idx="343">
                  <c:v>3.9705882352941622</c:v>
                </c:pt>
                <c:pt idx="344">
                  <c:v>3.9612676056338465</c:v>
                </c:pt>
                <c:pt idx="345">
                  <c:v>3.9519906323185454</c:v>
                </c:pt>
                <c:pt idx="346">
                  <c:v>3.9427570093458386</c:v>
                </c:pt>
                <c:pt idx="347">
                  <c:v>3.9335664335664773</c:v>
                </c:pt>
                <c:pt idx="348">
                  <c:v>3.9244186046512066</c:v>
                </c:pt>
                <c:pt idx="349">
                  <c:v>3.9153132250580489</c:v>
                </c:pt>
                <c:pt idx="350">
                  <c:v>3.9062500000000435</c:v>
                </c:pt>
                <c:pt idx="351">
                  <c:v>3.8972286374134391</c:v>
                </c:pt>
                <c:pt idx="352">
                  <c:v>3.8882488479263113</c:v>
                </c:pt>
                <c:pt idx="353">
                  <c:v>3.8793103448276303</c:v>
                </c:pt>
                <c:pt idx="354">
                  <c:v>3.8704128440367414</c:v>
                </c:pt>
                <c:pt idx="355">
                  <c:v>3.8615560640732705</c:v>
                </c:pt>
                <c:pt idx="356">
                  <c:v>3.852739726027441</c:v>
                </c:pt>
                <c:pt idx="357">
                  <c:v>3.8439635535307959</c:v>
                </c:pt>
                <c:pt idx="358">
                  <c:v>3.8352272727273164</c:v>
                </c:pt>
                <c:pt idx="359">
                  <c:v>3.8265306122449414</c:v>
                </c:pt>
                <c:pt idx="360">
                  <c:v>3.817873303167465</c:v>
                </c:pt>
                <c:pt idx="361">
                  <c:v>3.8092550790068156</c:v>
                </c:pt>
                <c:pt idx="362">
                  <c:v>3.8006756756757194</c:v>
                </c:pt>
                <c:pt idx="363">
                  <c:v>3.7921348314607179</c:v>
                </c:pt>
                <c:pt idx="364">
                  <c:v>3.7836322869955596</c:v>
                </c:pt>
                <c:pt idx="365">
                  <c:v>3.775167785234943</c:v>
                </c:pt>
                <c:pt idx="366">
                  <c:v>3.7667410714286151</c:v>
                </c:pt>
                <c:pt idx="367">
                  <c:v>3.7583518930958117</c:v>
                </c:pt>
                <c:pt idx="368">
                  <c:v>3.7500000000000435</c:v>
                </c:pt>
                <c:pt idx="369">
                  <c:v>3.741685144124212</c:v>
                </c:pt>
                <c:pt idx="370">
                  <c:v>3.733407079646061</c:v>
                </c:pt>
                <c:pt idx="371">
                  <c:v>3.7251655629139511</c:v>
                </c:pt>
                <c:pt idx="372">
                  <c:v>3.7169603524229515</c:v>
                </c:pt>
                <c:pt idx="373">
                  <c:v>3.7087912087912525</c:v>
                </c:pt>
                <c:pt idx="374">
                  <c:v>3.700657894736886</c:v>
                </c:pt>
                <c:pt idx="375">
                  <c:v>3.6925601750547483</c:v>
                </c:pt>
                <c:pt idx="376">
                  <c:v>3.6844978165939302</c:v>
                </c:pt>
                <c:pt idx="377">
                  <c:v>3.6764705882353375</c:v>
                </c:pt>
                <c:pt idx="378">
                  <c:v>3.6684782608696085</c:v>
                </c:pt>
                <c:pt idx="379">
                  <c:v>3.6605206073753149</c:v>
                </c:pt>
                <c:pt idx="380">
                  <c:v>3.6525974025974461</c:v>
                </c:pt>
                <c:pt idx="381">
                  <c:v>3.6447084233261773</c:v>
                </c:pt>
                <c:pt idx="382">
                  <c:v>3.6368534482759052</c:v>
                </c:pt>
                <c:pt idx="383">
                  <c:v>3.6290322580645595</c:v>
                </c:pt>
                <c:pt idx="384">
                  <c:v>3.6212446351931762</c:v>
                </c:pt>
                <c:pt idx="385">
                  <c:v>3.613490364025739</c:v>
                </c:pt>
                <c:pt idx="386">
                  <c:v>3.6057692307692744</c:v>
                </c:pt>
                <c:pt idx="387">
                  <c:v>3.5980810234542013</c:v>
                </c:pt>
                <c:pt idx="388">
                  <c:v>3.5904255319149372</c:v>
                </c:pt>
                <c:pt idx="389">
                  <c:v>3.5828025477707439</c:v>
                </c:pt>
                <c:pt idx="390">
                  <c:v>3.5752118644068225</c:v>
                </c:pt>
                <c:pt idx="391">
                  <c:v>3.5676532769556459</c:v>
                </c:pt>
                <c:pt idx="392">
                  <c:v>3.5601265822785244</c:v>
                </c:pt>
                <c:pt idx="393">
                  <c:v>3.5526315789474117</c:v>
                </c:pt>
                <c:pt idx="394">
                  <c:v>3.5451680672269337</c:v>
                </c:pt>
                <c:pt idx="395">
                  <c:v>3.5377358490566468</c:v>
                </c:pt>
                <c:pt idx="396">
                  <c:v>3.530334728033516</c:v>
                </c:pt>
                <c:pt idx="397">
                  <c:v>3.5229645093946149</c:v>
                </c:pt>
                <c:pt idx="398">
                  <c:v>3.5156250000000431</c:v>
                </c:pt>
                <c:pt idx="399">
                  <c:v>3.5083160083160512</c:v>
                </c:pt>
                <c:pt idx="400">
                  <c:v>3.5010373443983833</c:v>
                </c:pt>
                <c:pt idx="401">
                  <c:v>3.4937888198758191</c:v>
                </c:pt>
                <c:pt idx="402">
                  <c:v>3.4865702479339276</c:v>
                </c:pt>
                <c:pt idx="403">
                  <c:v>3.4793814432990122</c:v>
                </c:pt>
                <c:pt idx="404">
                  <c:v>3.472222222222265</c:v>
                </c:pt>
                <c:pt idx="405">
                  <c:v>3.465092402464109</c:v>
                </c:pt>
                <c:pt idx="406">
                  <c:v>3.4579918032787318</c:v>
                </c:pt>
                <c:pt idx="407">
                  <c:v>3.4509202453988159</c:v>
                </c:pt>
                <c:pt idx="408">
                  <c:v>3.4438775510204511</c:v>
                </c:pt>
                <c:pt idx="409">
                  <c:v>3.4368635437882298</c:v>
                </c:pt>
                <c:pt idx="410">
                  <c:v>3.4298780487805307</c:v>
                </c:pt>
                <c:pt idx="411">
                  <c:v>3.4229208924949717</c:v>
                </c:pt>
                <c:pt idx="412">
                  <c:v>3.4159919028340506</c:v>
                </c:pt>
                <c:pt idx="413">
                  <c:v>3.4090909090909518</c:v>
                </c:pt>
                <c:pt idx="414">
                  <c:v>3.4022177419355266</c:v>
                </c:pt>
                <c:pt idx="415">
                  <c:v>3.3953722334004448</c:v>
                </c:pt>
                <c:pt idx="416">
                  <c:v>3.3885542168675129</c:v>
                </c:pt>
                <c:pt idx="417">
                  <c:v>3.3817635270541504</c:v>
                </c:pt>
                <c:pt idx="418">
                  <c:v>3.3750000000000426</c:v>
                </c:pt>
                <c:pt idx="419">
                  <c:v>3.3682634730539349</c:v>
                </c:pt>
                <c:pt idx="420">
                  <c:v>3.3615537848606003</c:v>
                </c:pt>
                <c:pt idx="421">
                  <c:v>3.3548707753479552</c:v>
                </c:pt>
                <c:pt idx="422">
                  <c:v>3.3482142857143282</c:v>
                </c:pt>
                <c:pt idx="423">
                  <c:v>3.3415841584158841</c:v>
                </c:pt>
                <c:pt idx="424">
                  <c:v>3.3349802371541926</c:v>
                </c:pt>
                <c:pt idx="425">
                  <c:v>3.3284023668639477</c:v>
                </c:pt>
                <c:pt idx="426">
                  <c:v>3.3218503937008297</c:v>
                </c:pt>
                <c:pt idx="427">
                  <c:v>3.3153241650295118</c:v>
                </c:pt>
                <c:pt idx="428">
                  <c:v>3.3088235294118071</c:v>
                </c:pt>
                <c:pt idx="429">
                  <c:v>3.302348336594954</c:v>
                </c:pt>
                <c:pt idx="430">
                  <c:v>3.2958984375000422</c:v>
                </c:pt>
                <c:pt idx="431">
                  <c:v>3.2894736842105683</c:v>
                </c:pt>
                <c:pt idx="432">
                  <c:v>3.283073929961132</c:v>
                </c:pt>
                <c:pt idx="433">
                  <c:v>3.2766990291262554</c:v>
                </c:pt>
                <c:pt idx="434">
                  <c:v>3.2703488372093443</c:v>
                </c:pt>
                <c:pt idx="435">
                  <c:v>3.2640232108317635</c:v>
                </c:pt>
                <c:pt idx="436">
                  <c:v>3.2577220077220499</c:v>
                </c:pt>
                <c:pt idx="437">
                  <c:v>3.2514450867052442</c:v>
                </c:pt>
                <c:pt idx="438">
                  <c:v>3.2451923076923497</c:v>
                </c:pt>
                <c:pt idx="439">
                  <c:v>3.2389635316699077</c:v>
                </c:pt>
                <c:pt idx="440">
                  <c:v>3.232758620689697</c:v>
                </c:pt>
                <c:pt idx="441">
                  <c:v>3.2265774378585506</c:v>
                </c:pt>
                <c:pt idx="442">
                  <c:v>3.2204198473282863</c:v>
                </c:pt>
                <c:pt idx="443">
                  <c:v>3.2142857142857562</c:v>
                </c:pt>
                <c:pt idx="444">
                  <c:v>3.2081749049430073</c:v>
                </c:pt>
                <c:pt idx="445">
                  <c:v>3.202087286527556</c:v>
                </c:pt>
                <c:pt idx="446">
                  <c:v>3.1960227272727688</c:v>
                </c:pt>
                <c:pt idx="447">
                  <c:v>3.1899810964083595</c:v>
                </c:pt>
                <c:pt idx="448">
                  <c:v>3.1839622641509848</c:v>
                </c:pt>
                <c:pt idx="449">
                  <c:v>3.177966101694957</c:v>
                </c:pt>
                <c:pt idx="450">
                  <c:v>3.1719924812030493</c:v>
                </c:pt>
                <c:pt idx="451">
                  <c:v>3.166041275797415</c:v>
                </c:pt>
                <c:pt idx="452">
                  <c:v>3.1601123595506033</c:v>
                </c:pt>
                <c:pt idx="453">
                  <c:v>3.1542056074766771</c:v>
                </c:pt>
                <c:pt idx="454">
                  <c:v>3.1483208955224296</c:v>
                </c:pt>
                <c:pt idx="455">
                  <c:v>3.1424581005587009</c:v>
                </c:pt>
                <c:pt idx="456">
                  <c:v>3.1366171003717889</c:v>
                </c:pt>
                <c:pt idx="457">
                  <c:v>3.1307977736549581</c:v>
                </c:pt>
                <c:pt idx="458">
                  <c:v>3.1250000000000417</c:v>
                </c:pt>
                <c:pt idx="459">
                  <c:v>3.1192236598891356</c:v>
                </c:pt>
                <c:pt idx="460">
                  <c:v>3.1134686346863885</c:v>
                </c:pt>
                <c:pt idx="461">
                  <c:v>3.1077348066298756</c:v>
                </c:pt>
                <c:pt idx="462">
                  <c:v>3.1020220588235707</c:v>
                </c:pt>
                <c:pt idx="463">
                  <c:v>3.0963302752293993</c:v>
                </c:pt>
                <c:pt idx="464">
                  <c:v>3.0906593406593816</c:v>
                </c:pt>
                <c:pt idx="465">
                  <c:v>3.0850091407678657</c:v>
                </c:pt>
                <c:pt idx="466">
                  <c:v>3.0793795620438367</c:v>
                </c:pt>
                <c:pt idx="467">
                  <c:v>3.07377049180332</c:v>
                </c:pt>
                <c:pt idx="468">
                  <c:v>3.0681818181818592</c:v>
                </c:pt>
                <c:pt idx="469">
                  <c:v>3.0626134301270826</c:v>
                </c:pt>
                <c:pt idx="470">
                  <c:v>3.0570652173913451</c:v>
                </c:pt>
                <c:pt idx="471">
                  <c:v>3.0515370705244531</c:v>
                </c:pt>
                <c:pt idx="472">
                  <c:v>3.0460288808664671</c:v>
                </c:pt>
                <c:pt idx="473">
                  <c:v>3.0405405405405812</c:v>
                </c:pt>
                <c:pt idx="474">
                  <c:v>3.0350719424460841</c:v>
                </c:pt>
                <c:pt idx="475">
                  <c:v>3.0296229802513874</c:v>
                </c:pt>
                <c:pt idx="476">
                  <c:v>3.0241935483871378</c:v>
                </c:pt>
                <c:pt idx="477">
                  <c:v>3.0187835420393969</c:v>
                </c:pt>
                <c:pt idx="478">
                  <c:v>3.0133928571428981</c:v>
                </c:pt>
                <c:pt idx="479">
                  <c:v>3.0080213903743722</c:v>
                </c:pt>
                <c:pt idx="480">
                  <c:v>3.0026690391459483</c:v>
                </c:pt>
                <c:pt idx="481">
                  <c:v>2.9973357015986197</c:v>
                </c:pt>
                <c:pt idx="482">
                  <c:v>2.9920212765957852</c:v>
                </c:pt>
                <c:pt idx="483">
                  <c:v>2.9867256637168547</c:v>
                </c:pt>
                <c:pt idx="484">
                  <c:v>2.9814487632509241</c:v>
                </c:pt>
                <c:pt idx="485">
                  <c:v>2.9761904761905167</c:v>
                </c:pt>
                <c:pt idx="486">
                  <c:v>2.9709507042253929</c:v>
                </c:pt>
                <c:pt idx="487">
                  <c:v>2.9657293497364199</c:v>
                </c:pt>
                <c:pt idx="488">
                  <c:v>2.9605263157895143</c:v>
                </c:pt>
                <c:pt idx="489">
                  <c:v>2.955341506129638</c:v>
                </c:pt>
                <c:pt idx="490">
                  <c:v>2.9501748251748658</c:v>
                </c:pt>
                <c:pt idx="491">
                  <c:v>2.9450261780105116</c:v>
                </c:pt>
                <c:pt idx="492">
                  <c:v>2.9398954703833153</c:v>
                </c:pt>
                <c:pt idx="493">
                  <c:v>2.9347826086956927</c:v>
                </c:pt>
                <c:pt idx="494">
                  <c:v>2.92968750000004</c:v>
                </c:pt>
                <c:pt idx="495">
                  <c:v>2.9246100519931075</c:v>
                </c:pt>
                <c:pt idx="496">
                  <c:v>2.9195501730104207</c:v>
                </c:pt>
                <c:pt idx="497">
                  <c:v>2.9145077720207655</c:v>
                </c:pt>
                <c:pt idx="498">
                  <c:v>2.9094827586207299</c:v>
                </c:pt>
                <c:pt idx="499">
                  <c:v>2.9044750430292998</c:v>
                </c:pt>
                <c:pt idx="500">
                  <c:v>2.8994845360825146</c:v>
                </c:pt>
                <c:pt idx="501">
                  <c:v>2.8945111492281703</c:v>
                </c:pt>
                <c:pt idx="502">
                  <c:v>2.8895547945205879</c:v>
                </c:pt>
                <c:pt idx="503">
                  <c:v>2.8846153846154245</c:v>
                </c:pt>
                <c:pt idx="504">
                  <c:v>2.8796928327645448</c:v>
                </c:pt>
                <c:pt idx="505">
                  <c:v>2.8747870528109432</c:v>
                </c:pt>
                <c:pt idx="506">
                  <c:v>2.8698979591837133</c:v>
                </c:pt>
                <c:pt idx="507">
                  <c:v>2.865025466893079</c:v>
                </c:pt>
                <c:pt idx="508">
                  <c:v>2.8601694915254638</c:v>
                </c:pt>
                <c:pt idx="509">
                  <c:v>2.8553299492386186</c:v>
                </c:pt>
                <c:pt idx="510">
                  <c:v>2.8505067567567965</c:v>
                </c:pt>
                <c:pt idx="511">
                  <c:v>2.8456998313659754</c:v>
                </c:pt>
                <c:pt idx="512">
                  <c:v>2.8409090909091308</c:v>
                </c:pt>
                <c:pt idx="513">
                  <c:v>2.8361344537815523</c:v>
                </c:pt>
                <c:pt idx="514">
                  <c:v>2.8313758389262143</c:v>
                </c:pt>
                <c:pt idx="515">
                  <c:v>2.8266331658291852</c:v>
                </c:pt>
                <c:pt idx="516">
                  <c:v>2.82190635451509</c:v>
                </c:pt>
                <c:pt idx="517">
                  <c:v>2.8171953255426105</c:v>
                </c:pt>
                <c:pt idx="518">
                  <c:v>2.8125000000000395</c:v>
                </c:pt>
                <c:pt idx="519">
                  <c:v>2.8078202995008716</c:v>
                </c:pt>
                <c:pt idx="520">
                  <c:v>2.8031561461794414</c:v>
                </c:pt>
                <c:pt idx="521">
                  <c:v>2.7985074626866067</c:v>
                </c:pt>
                <c:pt idx="522">
                  <c:v>2.7938741721854696</c:v>
                </c:pt>
                <c:pt idx="523">
                  <c:v>2.7892561983471467</c:v>
                </c:pt>
                <c:pt idx="524">
                  <c:v>2.7846534653465738</c:v>
                </c:pt>
                <c:pt idx="525">
                  <c:v>2.7800658978583588</c:v>
                </c:pt>
                <c:pt idx="526">
                  <c:v>2.7754934210526709</c:v>
                </c:pt>
                <c:pt idx="527">
                  <c:v>2.7709359605911725</c:v>
                </c:pt>
                <c:pt idx="528">
                  <c:v>2.7663934426229901</c:v>
                </c:pt>
                <c:pt idx="529">
                  <c:v>2.7618657937807267</c:v>
                </c:pt>
                <c:pt idx="530">
                  <c:v>2.7573529411765101</c:v>
                </c:pt>
                <c:pt idx="531">
                  <c:v>2.7528548123980814</c:v>
                </c:pt>
                <c:pt idx="532">
                  <c:v>2.7483713355049249</c:v>
                </c:pt>
                <c:pt idx="533">
                  <c:v>2.7439024390244291</c:v>
                </c:pt>
                <c:pt idx="534">
                  <c:v>2.739448051948091</c:v>
                </c:pt>
                <c:pt idx="535">
                  <c:v>2.7350081037277536</c:v>
                </c:pt>
                <c:pt idx="536">
                  <c:v>2.7305825242718837</c:v>
                </c:pt>
                <c:pt idx="537">
                  <c:v>2.7261712439418804</c:v>
                </c:pt>
                <c:pt idx="538">
                  <c:v>2.7217741935484261</c:v>
                </c:pt>
                <c:pt idx="539">
                  <c:v>2.7173913043478652</c:v>
                </c:pt>
                <c:pt idx="540">
                  <c:v>2.7130225080386241</c:v>
                </c:pt>
                <c:pt idx="541">
                  <c:v>2.708667736757663</c:v>
                </c:pt>
                <c:pt idx="542">
                  <c:v>2.704326923076962</c:v>
                </c:pt>
                <c:pt idx="543">
                  <c:v>2.7000000000000388</c:v>
                </c:pt>
                <c:pt idx="544">
                  <c:v>2.6956869009585054</c:v>
                </c:pt>
                <c:pt idx="545">
                  <c:v>2.6913875598086512</c:v>
                </c:pt>
                <c:pt idx="546">
                  <c:v>2.6871019108280643</c:v>
                </c:pt>
                <c:pt idx="547">
                  <c:v>2.6828298887122801</c:v>
                </c:pt>
                <c:pt idx="548">
                  <c:v>2.678571428571467</c:v>
                </c:pt>
                <c:pt idx="549">
                  <c:v>2.6743264659271384</c:v>
                </c:pt>
                <c:pt idx="550">
                  <c:v>2.6700949367088995</c:v>
                </c:pt>
                <c:pt idx="551">
                  <c:v>2.6658767772512233</c:v>
                </c:pt>
                <c:pt idx="552">
                  <c:v>2.6616719242902596</c:v>
                </c:pt>
                <c:pt idx="553">
                  <c:v>2.6574803149606683</c:v>
                </c:pt>
                <c:pt idx="554">
                  <c:v>2.6533018867924913</c:v>
                </c:pt>
                <c:pt idx="555">
                  <c:v>2.6491365777080444</c:v>
                </c:pt>
                <c:pt idx="556">
                  <c:v>2.644984326018847</c:v>
                </c:pt>
                <c:pt idx="557">
                  <c:v>2.6408450704225737</c:v>
                </c:pt>
                <c:pt idx="558">
                  <c:v>2.6367187500000382</c:v>
                </c:pt>
                <c:pt idx="559">
                  <c:v>2.6326053042122068</c:v>
                </c:pt>
                <c:pt idx="560">
                  <c:v>2.6285046728972343</c:v>
                </c:pt>
                <c:pt idx="561">
                  <c:v>2.6244167962675342</c:v>
                </c:pt>
                <c:pt idx="562">
                  <c:v>2.6203416149068706</c:v>
                </c:pt>
                <c:pt idx="563">
                  <c:v>2.6162790697674798</c:v>
                </c:pt>
                <c:pt idx="564">
                  <c:v>2.6122291021672206</c:v>
                </c:pt>
                <c:pt idx="565">
                  <c:v>2.6081916537867458</c:v>
                </c:pt>
                <c:pt idx="566">
                  <c:v>2.6041666666667047</c:v>
                </c:pt>
                <c:pt idx="567">
                  <c:v>2.6001540832049685</c:v>
                </c:pt>
                <c:pt idx="568">
                  <c:v>2.596153846153884</c:v>
                </c:pt>
                <c:pt idx="569">
                  <c:v>2.5921658986175498</c:v>
                </c:pt>
                <c:pt idx="570">
                  <c:v>2.5881901840491177</c:v>
                </c:pt>
                <c:pt idx="571">
                  <c:v>2.5842266462481236</c:v>
                </c:pt>
                <c:pt idx="572">
                  <c:v>2.5802752293578362</c:v>
                </c:pt>
                <c:pt idx="573">
                  <c:v>2.5763358778626331</c:v>
                </c:pt>
                <c:pt idx="574">
                  <c:v>2.5724085365854039</c:v>
                </c:pt>
                <c:pt idx="575">
                  <c:v>2.5684931506849691</c:v>
                </c:pt>
                <c:pt idx="576">
                  <c:v>2.564589665653533</c:v>
                </c:pt>
                <c:pt idx="577">
                  <c:v>2.56069802731415</c:v>
                </c:pt>
                <c:pt idx="578">
                  <c:v>2.5568181818182198</c:v>
                </c:pt>
                <c:pt idx="579">
                  <c:v>2.552950075643003</c:v>
                </c:pt>
                <c:pt idx="580">
                  <c:v>2.5490936555891617</c:v>
                </c:pt>
                <c:pt idx="581">
                  <c:v>2.5452488687783181</c:v>
                </c:pt>
                <c:pt idx="582">
                  <c:v>2.5414156626506399</c:v>
                </c:pt>
                <c:pt idx="583">
                  <c:v>2.5375939849624434</c:v>
                </c:pt>
                <c:pt idx="584">
                  <c:v>2.5337837837838211</c:v>
                </c:pt>
                <c:pt idx="585">
                  <c:v>2.5299850074962893</c:v>
                </c:pt>
                <c:pt idx="586">
                  <c:v>2.5261976047904566</c:v>
                </c:pt>
                <c:pt idx="587">
                  <c:v>2.5224215246637147</c:v>
                </c:pt>
                <c:pt idx="588">
                  <c:v>2.5186567164179476</c:v>
                </c:pt>
                <c:pt idx="589">
                  <c:v>2.5149031296572653</c:v>
                </c:pt>
                <c:pt idx="590">
                  <c:v>2.5111607142857513</c:v>
                </c:pt>
                <c:pt idx="591">
                  <c:v>2.5074294205052379</c:v>
                </c:pt>
                <c:pt idx="592">
                  <c:v>2.5037091988130937</c:v>
                </c:pt>
                <c:pt idx="593">
                  <c:v>2.5000000000000373</c:v>
                </c:pt>
                <c:pt idx="594">
                  <c:v>2.4963017751479661</c:v>
                </c:pt>
                <c:pt idx="595">
                  <c:v>2.4926144756278066</c:v>
                </c:pt>
                <c:pt idx="596">
                  <c:v>2.4889380530973821</c:v>
                </c:pt>
                <c:pt idx="597">
                  <c:v>2.4852724594993005</c:v>
                </c:pt>
                <c:pt idx="598">
                  <c:v>2.4816176470588602</c:v>
                </c:pt>
                <c:pt idx="599">
                  <c:v>2.4779735682819752</c:v>
                </c:pt>
                <c:pt idx="600">
                  <c:v>2.4743401759531158</c:v>
                </c:pt>
                <c:pt idx="601">
                  <c:v>2.4707174231332725</c:v>
                </c:pt>
                <c:pt idx="602">
                  <c:v>2.4671052631579315</c:v>
                </c:pt>
                <c:pt idx="603">
                  <c:v>2.4635036496350731</c:v>
                </c:pt>
                <c:pt idx="604">
                  <c:v>2.4599125364431855</c:v>
                </c:pt>
                <c:pt idx="605">
                  <c:v>2.4563318777292942</c:v>
                </c:pt>
                <c:pt idx="606">
                  <c:v>2.4527616279070132</c:v>
                </c:pt>
                <c:pt idx="607">
                  <c:v>2.4492017416546084</c:v>
                </c:pt>
                <c:pt idx="608">
                  <c:v>2.4456521739130803</c:v>
                </c:pt>
                <c:pt idx="609">
                  <c:v>2.4421128798842622</c:v>
                </c:pt>
                <c:pt idx="610">
                  <c:v>2.4385838150289385</c:v>
                </c:pt>
                <c:pt idx="611">
                  <c:v>2.4350649350649713</c:v>
                </c:pt>
                <c:pt idx="612">
                  <c:v>2.4315561959654546</c:v>
                </c:pt>
                <c:pt idx="613">
                  <c:v>2.428057553956871</c:v>
                </c:pt>
                <c:pt idx="614">
                  <c:v>2.424568965517278</c:v>
                </c:pt>
                <c:pt idx="615">
                  <c:v>2.4210903873744987</c:v>
                </c:pt>
                <c:pt idx="616">
                  <c:v>2.4176217765043342</c:v>
                </c:pt>
                <c:pt idx="617">
                  <c:v>2.4141630901287918</c:v>
                </c:pt>
                <c:pt idx="618">
                  <c:v>2.410714285714322</c:v>
                </c:pt>
              </c:numCache>
            </c:numRef>
          </c:yVal>
          <c:smooth val="0"/>
          <c:extLst>
            <c:ext xmlns:c16="http://schemas.microsoft.com/office/drawing/2014/chart" uri="{C3380CC4-5D6E-409C-BE32-E72D297353CC}">
              <c16:uniqueId val="{00000001-34F6-4AA6-936A-913A5F2A65CB}"/>
            </c:ext>
          </c:extLst>
        </c:ser>
        <c:dLbls>
          <c:showLegendKey val="0"/>
          <c:showVal val="0"/>
          <c:showCatName val="0"/>
          <c:showSerName val="0"/>
          <c:showPercent val="0"/>
          <c:showBubbleSize val="0"/>
        </c:dLbls>
        <c:axId val="268310784"/>
        <c:axId val="268309248"/>
      </c:scatterChart>
      <c:valAx>
        <c:axId val="235525632"/>
        <c:scaling>
          <c:orientation val="minMax"/>
        </c:scaling>
        <c:delete val="0"/>
        <c:axPos val="b"/>
        <c:numFmt formatCode="0.000" sourceLinked="1"/>
        <c:majorTickMark val="out"/>
        <c:minorTickMark val="none"/>
        <c:tickLblPos val="nextTo"/>
        <c:crossAx val="235527168"/>
        <c:crosses val="autoZero"/>
        <c:crossBetween val="midCat"/>
      </c:valAx>
      <c:valAx>
        <c:axId val="235527168"/>
        <c:scaling>
          <c:orientation val="minMax"/>
        </c:scaling>
        <c:delete val="0"/>
        <c:axPos val="l"/>
        <c:majorGridlines/>
        <c:numFmt formatCode="#,##0.0" sourceLinked="1"/>
        <c:majorTickMark val="out"/>
        <c:minorTickMark val="none"/>
        <c:tickLblPos val="nextTo"/>
        <c:crossAx val="235525632"/>
        <c:crosses val="autoZero"/>
        <c:crossBetween val="midCat"/>
      </c:valAx>
      <c:valAx>
        <c:axId val="268309248"/>
        <c:scaling>
          <c:orientation val="minMax"/>
        </c:scaling>
        <c:delete val="0"/>
        <c:axPos val="r"/>
        <c:numFmt formatCode="0.000" sourceLinked="1"/>
        <c:majorTickMark val="out"/>
        <c:minorTickMark val="none"/>
        <c:tickLblPos val="nextTo"/>
        <c:crossAx val="268310784"/>
        <c:crosses val="max"/>
        <c:crossBetween val="midCat"/>
      </c:valAx>
      <c:valAx>
        <c:axId val="268310784"/>
        <c:scaling>
          <c:orientation val="minMax"/>
        </c:scaling>
        <c:delete val="1"/>
        <c:axPos val="b"/>
        <c:numFmt formatCode="0.000" sourceLinked="1"/>
        <c:majorTickMark val="out"/>
        <c:minorTickMark val="none"/>
        <c:tickLblPos val="nextTo"/>
        <c:crossAx val="2683092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oneCellAnchor>
    <xdr:from>
      <xdr:col>0</xdr:col>
      <xdr:colOff>304799</xdr:colOff>
      <xdr:row>2</xdr:row>
      <xdr:rowOff>38100</xdr:rowOff>
    </xdr:from>
    <xdr:ext cx="6715125" cy="2536079"/>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04799" y="438150"/>
          <a:ext cx="6715125" cy="2536079"/>
        </a:xfrm>
        <a:prstGeom prst="rect">
          <a:avLst/>
        </a:prstGeom>
        <a:solidFill>
          <a:schemeClr val="bg1"/>
        </a:solidFill>
        <a:ln w="254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u="sng">
              <a:solidFill>
                <a:srgbClr val="FF0000"/>
              </a:solidFill>
              <a:effectLst/>
              <a:latin typeface="Arial" panose="020B0604020202020204" pitchFamily="34" charset="0"/>
              <a:ea typeface="+mn-ea"/>
              <a:cs typeface="Arial" panose="020B0604020202020204" pitchFamily="34" charset="0"/>
            </a:rPr>
            <a:t>Texas Instruments:</a:t>
          </a:r>
          <a:endParaRPr lang="en-US" sz="1200" b="1">
            <a:solidFill>
              <a:srgbClr val="FF0000"/>
            </a:solidFill>
            <a:effectLst/>
            <a:latin typeface="Arial" panose="020B0604020202020204" pitchFamily="34" charset="0"/>
            <a:ea typeface="+mn-ea"/>
            <a:cs typeface="Arial" panose="020B0604020202020204" pitchFamily="34" charset="0"/>
          </a:endParaRPr>
        </a:p>
        <a:p>
          <a:r>
            <a:rPr lang="en-US" sz="1100" b="1">
              <a:solidFill>
                <a:schemeClr val="tx1"/>
              </a:solidFill>
              <a:effectLst/>
              <a:latin typeface="+mn-lt"/>
              <a:ea typeface="+mn-ea"/>
              <a:cs typeface="+mn-cs"/>
            </a:rPr>
            <a:t> </a:t>
          </a:r>
          <a:endParaRPr lang="en-US" sz="1100">
            <a:solidFill>
              <a:schemeClr val="tx1"/>
            </a:solidFill>
            <a:effectLst/>
            <a:latin typeface="+mn-lt"/>
            <a:ea typeface="+mn-ea"/>
            <a:cs typeface="+mn-cs"/>
          </a:endParaRPr>
        </a:p>
        <a:p>
          <a:r>
            <a:rPr lang="en-US" sz="1200" b="1">
              <a:solidFill>
                <a:schemeClr val="tx1"/>
              </a:solidFill>
              <a:effectLst/>
              <a:latin typeface="Arial" panose="020B0604020202020204" pitchFamily="34" charset="0"/>
              <a:ea typeface="+mn-ea"/>
              <a:cs typeface="Arial" panose="020B0604020202020204" pitchFamily="34" charset="0"/>
            </a:rPr>
            <a:t>Limited use policy</a:t>
          </a:r>
          <a:endParaRPr lang="en-US" sz="1200">
            <a:solidFill>
              <a:schemeClr val="tx1"/>
            </a:solidFill>
            <a:effectLst/>
            <a:latin typeface="Arial" panose="020B0604020202020204" pitchFamily="34" charset="0"/>
            <a:ea typeface="+mn-ea"/>
            <a:cs typeface="Arial" panose="020B0604020202020204" pitchFamily="34" charset="0"/>
          </a:endParaRPr>
        </a:p>
        <a:p>
          <a:r>
            <a:rPr lang="en-US" sz="1000">
              <a:solidFill>
                <a:schemeClr val="tx1"/>
              </a:solidFill>
              <a:effectLst/>
              <a:latin typeface="Arial" panose="020B0604020202020204" pitchFamily="34" charset="0"/>
              <a:ea typeface="+mn-ea"/>
              <a:cs typeface="Arial" panose="020B0604020202020204" pitchFamily="34" charset="0"/>
            </a:rPr>
            <a:t>You must treat this software and documentation like any other copyrighted material.</a:t>
          </a:r>
        </a:p>
        <a:p>
          <a:r>
            <a:rPr lang="en-US" sz="1100">
              <a:solidFill>
                <a:schemeClr val="tx1"/>
              </a:solidFill>
              <a:effectLst/>
              <a:latin typeface="Arial" panose="020B0604020202020204" pitchFamily="34" charset="0"/>
              <a:ea typeface="+mn-ea"/>
              <a:cs typeface="Arial" panose="020B0604020202020204" pitchFamily="34" charset="0"/>
            </a:rPr>
            <a:t> </a:t>
          </a:r>
        </a:p>
        <a:p>
          <a:r>
            <a:rPr lang="en-US" sz="1200" b="1">
              <a:solidFill>
                <a:schemeClr val="tx1"/>
              </a:solidFill>
              <a:effectLst/>
              <a:latin typeface="Arial" panose="020B0604020202020204" pitchFamily="34" charset="0"/>
              <a:ea typeface="+mn-ea"/>
              <a:cs typeface="Arial" panose="020B0604020202020204" pitchFamily="34" charset="0"/>
            </a:rPr>
            <a:t>You may not:</a:t>
          </a:r>
          <a:endParaRPr lang="en-US" sz="1200">
            <a:solidFill>
              <a:schemeClr val="tx1"/>
            </a:solidFill>
            <a:effectLst/>
            <a:latin typeface="Arial" panose="020B0604020202020204" pitchFamily="34" charset="0"/>
            <a:ea typeface="+mn-ea"/>
            <a:cs typeface="Arial" panose="020B0604020202020204" pitchFamily="34" charset="0"/>
          </a:endParaRPr>
        </a:p>
        <a:p>
          <a:r>
            <a:rPr lang="en-US" sz="1000">
              <a:solidFill>
                <a:schemeClr val="tx1"/>
              </a:solidFill>
              <a:effectLst/>
              <a:latin typeface="Arial" panose="020B0604020202020204" pitchFamily="34" charset="0"/>
              <a:ea typeface="+mn-ea"/>
              <a:cs typeface="Arial" panose="020B0604020202020204" pitchFamily="34" charset="0"/>
            </a:rPr>
            <a:t>-Copy documentation of the software.</a:t>
          </a:r>
        </a:p>
        <a:p>
          <a:r>
            <a:rPr lang="en-US" sz="1000">
              <a:solidFill>
                <a:schemeClr val="tx1"/>
              </a:solidFill>
              <a:effectLst/>
              <a:latin typeface="Arial" panose="020B0604020202020204" pitchFamily="34" charset="0"/>
              <a:ea typeface="+mn-ea"/>
              <a:cs typeface="Arial" panose="020B0604020202020204" pitchFamily="34" charset="0"/>
            </a:rPr>
            <a:t>-Copy this software except to make archival or backup copies.</a:t>
          </a:r>
        </a:p>
        <a:p>
          <a:r>
            <a:rPr lang="en-US" sz="1000">
              <a:solidFill>
                <a:schemeClr val="tx1"/>
              </a:solidFill>
              <a:effectLst/>
              <a:latin typeface="Arial" panose="020B0604020202020204" pitchFamily="34" charset="0"/>
              <a:ea typeface="+mn-ea"/>
              <a:cs typeface="Arial" panose="020B0604020202020204" pitchFamily="34" charset="0"/>
            </a:rPr>
            <a:t>-Reverse engineer, decompile, disassemble, or make any attempt to discover the source code of the software.</a:t>
          </a:r>
        </a:p>
        <a:p>
          <a:r>
            <a:rPr lang="en-US" sz="1000">
              <a:solidFill>
                <a:schemeClr val="tx1"/>
              </a:solidFill>
              <a:effectLst/>
              <a:latin typeface="Arial" panose="020B0604020202020204" pitchFamily="34" charset="0"/>
              <a:ea typeface="+mn-ea"/>
              <a:cs typeface="Arial" panose="020B0604020202020204" pitchFamily="34" charset="0"/>
            </a:rPr>
            <a:t>-Place the software onto a server so that it is accessible via a public network suck as the internet.</a:t>
          </a:r>
        </a:p>
        <a:p>
          <a:r>
            <a:rPr lang="en-US" sz="1000">
              <a:solidFill>
                <a:schemeClr val="tx1"/>
              </a:solidFill>
              <a:effectLst/>
              <a:latin typeface="Arial" panose="020B0604020202020204" pitchFamily="34" charset="0"/>
              <a:ea typeface="+mn-ea"/>
              <a:cs typeface="Arial" panose="020B0604020202020204" pitchFamily="34" charset="0"/>
            </a:rPr>
            <a:t>-Sublicense, rent, lease, or lend any portion of the software or documentation.</a:t>
          </a:r>
        </a:p>
        <a:p>
          <a:r>
            <a:rPr lang="en-US" sz="1100">
              <a:solidFill>
                <a:schemeClr val="tx1"/>
              </a:solidFill>
              <a:effectLst/>
              <a:latin typeface="Arial" panose="020B0604020202020204" pitchFamily="34" charset="0"/>
              <a:ea typeface="+mn-ea"/>
              <a:cs typeface="Arial" panose="020B0604020202020204" pitchFamily="34" charset="0"/>
            </a:rPr>
            <a:t> </a:t>
          </a:r>
        </a:p>
        <a:p>
          <a:r>
            <a:rPr lang="en-US" sz="1200">
              <a:solidFill>
                <a:schemeClr val="tx1"/>
              </a:solidFill>
              <a:effectLst/>
              <a:latin typeface="Arial" panose="020B0604020202020204" pitchFamily="34" charset="0"/>
              <a:ea typeface="+mn-ea"/>
              <a:cs typeface="Arial" panose="020B0604020202020204" pitchFamily="34" charset="0"/>
            </a:rPr>
            <a:t>Texas instruments is not responsible for the validity of any design created with this software and urges all designs to be fully tested and carefully verified.  Refer to the LMR336x0 data sheet and EVM user's guide for more details.</a:t>
          </a:r>
        </a:p>
      </xdr:txBody>
    </xdr:sp>
    <xdr:clientData/>
  </xdr:oneCellAnchor>
  <xdr:oneCellAnchor>
    <xdr:from>
      <xdr:col>0</xdr:col>
      <xdr:colOff>314325</xdr:colOff>
      <xdr:row>16</xdr:row>
      <xdr:rowOff>19049</xdr:rowOff>
    </xdr:from>
    <xdr:ext cx="13830300" cy="10658476"/>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14325" y="3219449"/>
          <a:ext cx="13830300" cy="10658476"/>
        </a:xfrm>
        <a:prstGeom prst="rect">
          <a:avLst/>
        </a:prstGeom>
        <a:solidFill>
          <a:schemeClr val="bg1"/>
        </a:solidFill>
        <a:ln w="254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rgbClr val="FF0000"/>
              </a:solidFill>
              <a:latin typeface="Arial" panose="020B0604020202020204" pitchFamily="34" charset="0"/>
              <a:cs typeface="Arial" panose="020B0604020202020204" pitchFamily="34" charset="0"/>
            </a:rPr>
            <a:t>LMR336x0 Quick Start Design Tool</a:t>
          </a:r>
        </a:p>
        <a:p>
          <a:endParaRPr lang="en-US" sz="1100"/>
        </a:p>
        <a:p>
          <a:r>
            <a:rPr lang="en-US" sz="1200">
              <a:latin typeface="Arial" panose="020B0604020202020204" pitchFamily="34" charset="0"/>
              <a:cs typeface="Arial" panose="020B0604020202020204" pitchFamily="34" charset="0"/>
            </a:rPr>
            <a:t>This</a:t>
          </a:r>
          <a:r>
            <a:rPr lang="en-US" sz="1200" baseline="0">
              <a:latin typeface="Arial" panose="020B0604020202020204" pitchFamily="34" charset="0"/>
              <a:cs typeface="Arial" panose="020B0604020202020204" pitchFamily="34" charset="0"/>
            </a:rPr>
            <a:t> calculator can be used to select typical component values for the LMR336x0 family of DC/DC buck converters (note: for LMR33610, use the LMR33620 in the pull-down menu).  The user is encouraged to check the results over the full input voltage and load current range of the application.   The results given are only typical.  As always</a:t>
          </a:r>
          <a:r>
            <a:rPr lang="en-US" sz="1200" b="1" baseline="0">
              <a:latin typeface="Arial" panose="020B0604020202020204" pitchFamily="34" charset="0"/>
              <a:cs typeface="Arial" panose="020B0604020202020204" pitchFamily="34" charset="0"/>
            </a:rPr>
            <a:t>, </a:t>
          </a:r>
          <a:r>
            <a:rPr lang="en-US" sz="1200" baseline="0">
              <a:latin typeface="Arial" panose="020B0604020202020204" pitchFamily="34" charset="0"/>
              <a:cs typeface="Arial" panose="020B0604020202020204" pitchFamily="34" charset="0"/>
            </a:rPr>
            <a:t>the final design should be tested on the bench before committing to production.  For more details about achieving  a successful design, see the LMR336x0 data sheets. </a:t>
          </a:r>
        </a:p>
        <a:p>
          <a:endParaRPr lang="en-US" sz="1200" baseline="0">
            <a:latin typeface="Arial" panose="020B0604020202020204" pitchFamily="34" charset="0"/>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r>
            <a:rPr lang="en-US" sz="1200" b="1">
              <a:solidFill>
                <a:srgbClr val="0070C0"/>
              </a:solidFill>
              <a:latin typeface="Arial" panose="020B0604020202020204" pitchFamily="34" charset="0"/>
              <a:cs typeface="Arial" panose="020B0604020202020204" pitchFamily="34" charset="0"/>
            </a:rPr>
            <a:t>Input Specifications</a:t>
          </a:r>
        </a:p>
        <a:p>
          <a:r>
            <a:rPr lang="en-US" sz="1200">
              <a:latin typeface="Arial" panose="020B0604020202020204" pitchFamily="34" charset="0"/>
              <a:cs typeface="Arial" panose="020B0604020202020204" pitchFamily="34" charset="0"/>
            </a:rPr>
            <a:t>Select</a:t>
          </a:r>
          <a:r>
            <a:rPr lang="en-US" sz="1200" baseline="0">
              <a:latin typeface="Arial" panose="020B0604020202020204" pitchFamily="34" charset="0"/>
              <a:cs typeface="Arial" panose="020B0604020202020204" pitchFamily="34" charset="0"/>
            </a:rPr>
            <a:t> the device and package type from the pull-down menu and then enter values for  input voltage, output voltage, load current and switching frequency.  The switching frequency is restricted to the fixed values found in the pull down menu.  The inductor current ripple factor is multiplied by the device current rating to give the inductor ripple current magnitude.  This factor should be in the range of 0.2 to 0.4; 0.3 being the typical value.</a:t>
          </a:r>
        </a:p>
        <a:p>
          <a:endParaRPr lang="en-US" sz="1200" baseline="0">
            <a:latin typeface="Arial" panose="020B0604020202020204" pitchFamily="34" charset="0"/>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r>
            <a:rPr lang="en-US" sz="1200" b="1">
              <a:solidFill>
                <a:srgbClr val="0070C0"/>
              </a:solidFill>
              <a:latin typeface="Arial" panose="020B0604020202020204" pitchFamily="34" charset="0"/>
              <a:cs typeface="Arial" panose="020B0604020202020204" pitchFamily="34" charset="0"/>
            </a:rPr>
            <a:t>Inductor Calculations</a:t>
          </a:r>
        </a:p>
        <a:p>
          <a:r>
            <a:rPr lang="en-US" sz="1200">
              <a:latin typeface="Arial" panose="020B0604020202020204" pitchFamily="34" charset="0"/>
              <a:cs typeface="Arial" panose="020B0604020202020204" pitchFamily="34" charset="0"/>
            </a:rPr>
            <a:t>Typical</a:t>
          </a:r>
          <a:r>
            <a:rPr lang="en-US" sz="1200" baseline="0">
              <a:latin typeface="Arial" panose="020B0604020202020204" pitchFamily="34" charset="0"/>
              <a:cs typeface="Arial" panose="020B0604020202020204" pitchFamily="34" charset="0"/>
            </a:rPr>
            <a:t> and minimum values of power inductor are calculated.  The user must select the next standard value  and enter where shown.  The inductor must be selected to withstand the current limit of the device.</a:t>
          </a:r>
        </a:p>
        <a:p>
          <a:endParaRPr lang="en-US" sz="1200" baseline="0">
            <a:latin typeface="Arial" panose="020B0604020202020204" pitchFamily="34" charset="0"/>
            <a:cs typeface="Arial" panose="020B0604020202020204" pitchFamily="34" charset="0"/>
          </a:endParaRPr>
        </a:p>
        <a:p>
          <a:r>
            <a:rPr lang="en-US" sz="1200" b="1">
              <a:solidFill>
                <a:srgbClr val="0070C0"/>
              </a:solidFill>
              <a:latin typeface="Arial" panose="020B0604020202020204" pitchFamily="34" charset="0"/>
              <a:cs typeface="Arial" panose="020B0604020202020204" pitchFamily="34" charset="0"/>
            </a:rPr>
            <a:t>Output Capacitor Calculations</a:t>
          </a:r>
        </a:p>
        <a:p>
          <a:r>
            <a:rPr lang="en-US" sz="1200">
              <a:latin typeface="Arial" panose="020B0604020202020204" pitchFamily="34" charset="0"/>
              <a:cs typeface="Arial" panose="020B0604020202020204" pitchFamily="34" charset="0"/>
            </a:rPr>
            <a:t>Typical and minimum</a:t>
          </a:r>
          <a:r>
            <a:rPr lang="en-US" sz="1200" baseline="0">
              <a:latin typeface="Arial" panose="020B0604020202020204" pitchFamily="34" charset="0"/>
              <a:cs typeface="Arial" panose="020B0604020202020204" pitchFamily="34" charset="0"/>
            </a:rPr>
            <a:t> values of output capacitance are calculated.  The user then enters in the actual capacitance where shown.  The output capacitor(s) should be ceramic, with at least an  X7R dielectric or better.  The user must select a capacitor bank to give the calculated capacitance under all conditions of DC bias, temperature, and tolerance.   Aluminium electrolytic capacitors can also be used to build up to the required capacitance, if needed.</a:t>
          </a:r>
        </a:p>
        <a:p>
          <a:endParaRPr lang="en-US" sz="1200" baseline="0">
            <a:latin typeface="Arial" panose="020B0604020202020204" pitchFamily="34" charset="0"/>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r>
            <a:rPr lang="en-US" sz="1200" b="1">
              <a:solidFill>
                <a:srgbClr val="0070C0"/>
              </a:solidFill>
              <a:latin typeface="Arial" panose="020B0604020202020204" pitchFamily="34" charset="0"/>
              <a:cs typeface="Arial" panose="020B0604020202020204" pitchFamily="34" charset="0"/>
            </a:rPr>
            <a:t>Feed-back Divider Resistors</a:t>
          </a:r>
        </a:p>
        <a:p>
          <a:r>
            <a:rPr lang="en-US" sz="1200">
              <a:latin typeface="Arial" panose="020B0604020202020204" pitchFamily="34" charset="0"/>
              <a:cs typeface="Arial" panose="020B0604020202020204" pitchFamily="34" charset="0"/>
            </a:rPr>
            <a:t>A feed-back voltage</a:t>
          </a:r>
          <a:r>
            <a:rPr lang="en-US" sz="1200" baseline="0">
              <a:latin typeface="Arial" panose="020B0604020202020204" pitchFamily="34" charset="0"/>
              <a:cs typeface="Arial" panose="020B0604020202020204" pitchFamily="34" charset="0"/>
            </a:rPr>
            <a:t> divider is required for this family of devices (fixed output voltage options are not supported).  Select the desired value of top feed-back resistor and the bottom resistor will be calculated.  </a:t>
          </a:r>
        </a:p>
        <a:p>
          <a:endParaRPr lang="en-US" sz="1200" baseline="0">
            <a:latin typeface="Arial" panose="020B0604020202020204" pitchFamily="34" charset="0"/>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r>
            <a:rPr lang="en-US" sz="1200" b="1">
              <a:solidFill>
                <a:srgbClr val="0070C0"/>
              </a:solidFill>
              <a:latin typeface="Arial" panose="020B0604020202020204" pitchFamily="34" charset="0"/>
              <a:cs typeface="Arial" panose="020B0604020202020204" pitchFamily="34" charset="0"/>
            </a:rPr>
            <a:t>Feed-forward Capacitor Calculations</a:t>
          </a:r>
        </a:p>
        <a:p>
          <a:r>
            <a:rPr lang="en-US" sz="1200" baseline="0">
              <a:latin typeface="Arial" panose="020B0604020202020204" pitchFamily="34" charset="0"/>
              <a:cs typeface="Arial" panose="020B0604020202020204" pitchFamily="34" charset="0"/>
            </a:rPr>
            <a:t>A starting point value for the feed-forward capacitor is calculated.  The user can enter this value where shown.  The value of this capacitor can be adjusted to give the desired loop performance.  The use of this capacitor is optional, but it is recommended to leave space on the PCB if it should become necessary.</a:t>
          </a:r>
        </a:p>
        <a:p>
          <a:endParaRPr lang="en-US" sz="1200" baseline="0">
            <a:latin typeface="Arial" panose="020B0604020202020204" pitchFamily="34" charset="0"/>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r>
            <a:rPr lang="en-US" sz="1200" b="1">
              <a:solidFill>
                <a:srgbClr val="0070C0"/>
              </a:solidFill>
              <a:latin typeface="Arial" panose="020B0604020202020204" pitchFamily="34" charset="0"/>
              <a:cs typeface="Arial" panose="020B0604020202020204" pitchFamily="34" charset="0"/>
            </a:rPr>
            <a:t>Input Voltage Range</a:t>
          </a:r>
        </a:p>
        <a:p>
          <a:r>
            <a:rPr lang="en-US" sz="1200">
              <a:latin typeface="Arial" panose="020B0604020202020204" pitchFamily="34" charset="0"/>
              <a:cs typeface="Arial" panose="020B0604020202020204" pitchFamily="34" charset="0"/>
            </a:rPr>
            <a:t>This sections calculates</a:t>
          </a:r>
          <a:r>
            <a:rPr lang="en-US" sz="1200" baseline="0">
              <a:latin typeface="Arial" panose="020B0604020202020204" pitchFamily="34" charset="0"/>
              <a:cs typeface="Arial" panose="020B0604020202020204" pitchFamily="34" charset="0"/>
            </a:rPr>
            <a:t> the </a:t>
          </a:r>
          <a:r>
            <a:rPr lang="en-US" sz="1200" i="1" baseline="0">
              <a:latin typeface="Arial" panose="020B0604020202020204" pitchFamily="34" charset="0"/>
              <a:cs typeface="Arial" panose="020B0604020202020204" pitchFamily="34" charset="0"/>
            </a:rPr>
            <a:t>approximate</a:t>
          </a:r>
          <a:r>
            <a:rPr lang="en-US" sz="1200" baseline="0">
              <a:latin typeface="Arial" panose="020B0604020202020204" pitchFamily="34" charset="0"/>
              <a:cs typeface="Arial" panose="020B0604020202020204" pitchFamily="34" charset="0"/>
            </a:rPr>
            <a:t> input voltage range for full frequency operation and/or drop-out.  The D.C. resistance of the inductor must be entered where shown.</a:t>
          </a:r>
        </a:p>
        <a:p>
          <a:endParaRPr lang="en-US" sz="1200" baseline="0">
            <a:latin typeface="Arial" panose="020B0604020202020204" pitchFamily="34" charset="0"/>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r>
            <a:rPr lang="en-US" sz="1200" b="1">
              <a:solidFill>
                <a:srgbClr val="0070C0"/>
              </a:solidFill>
              <a:latin typeface="Arial" panose="020B0604020202020204" pitchFamily="34" charset="0"/>
              <a:cs typeface="Arial" panose="020B0604020202020204" pitchFamily="34" charset="0"/>
            </a:rPr>
            <a:t>Auxiliary Components and Connections</a:t>
          </a:r>
        </a:p>
        <a:p>
          <a:r>
            <a:rPr lang="en-US" sz="1200">
              <a:latin typeface="Arial" panose="020B0604020202020204" pitchFamily="34" charset="0"/>
              <a:cs typeface="Arial" panose="020B0604020202020204" pitchFamily="34" charset="0"/>
            </a:rPr>
            <a:t>This section</a:t>
          </a:r>
          <a:r>
            <a:rPr lang="en-US" sz="1200" baseline="0">
              <a:latin typeface="Arial" panose="020B0604020202020204" pitchFamily="34" charset="0"/>
              <a:cs typeface="Arial" panose="020B0604020202020204" pitchFamily="34" charset="0"/>
            </a:rPr>
            <a:t> details the rest of the external components and connections required.  All capacitors should be ceramic.  The input capacitors must be rated for at least twice the maximum input voltage.  CIN-HF must be placed within 1mm of the device VIN and PGND pins.</a:t>
          </a:r>
        </a:p>
        <a:p>
          <a:endParaRPr lang="en-US" sz="1200" baseline="0">
            <a:latin typeface="Arial" panose="020B0604020202020204" pitchFamily="34" charset="0"/>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rgbClr val="0070C0"/>
              </a:solidFill>
              <a:effectLst/>
              <a:uLnTx/>
              <a:uFillTx/>
              <a:latin typeface="Arial" panose="020B0604020202020204" pitchFamily="34" charset="0"/>
              <a:ea typeface="+mn-ea"/>
              <a:cs typeface="Arial" panose="020B0604020202020204" pitchFamily="34" charset="0"/>
            </a:rPr>
            <a:t>Inductor Current Calculations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This section calculates the peak, valley and ripple current in the inductor.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rgbClr val="0070C0"/>
              </a:solidFill>
              <a:effectLst/>
              <a:uLnTx/>
              <a:uFillTx/>
              <a:latin typeface="Arial" panose="020B0604020202020204" pitchFamily="34" charset="0"/>
              <a:ea typeface="+mn-ea"/>
              <a:cs typeface="Arial" panose="020B0604020202020204" pitchFamily="34" charset="0"/>
            </a:rPr>
            <a:t>Current Limit Calculations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This device incorporates peak and valley current limit as well as "hiccup" mode.  When the load current exceeds the "Fold-back Current Limit" value, the switching frequency will drop, while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output voltage remains in regulation.  When the load current exceeds the "Current Limit" value, the switching frequency will drop, and the output voltage will drop out of regulation.  In this mode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maximum output current is limited to the value "Maximum Output Current".  When the output voltage falls below about 40% of the regulated value, hiccup mode is entered.  In this mode the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output current is limited to about 20% of the value Maximum Output Current".  Hiccup mode is not modeled in this spreadsheet.  The user is notified if the current limit is reached.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r>
            <a:rPr lang="en-US" sz="1200" b="1">
              <a:solidFill>
                <a:srgbClr val="0070C0"/>
              </a:solidFill>
              <a:latin typeface="Arial" panose="020B0604020202020204" pitchFamily="34" charset="0"/>
              <a:cs typeface="Arial" panose="020B0604020202020204" pitchFamily="34" charset="0"/>
            </a:rPr>
            <a:t>Estimated Loop Performance</a:t>
          </a:r>
        </a:p>
        <a:p>
          <a:r>
            <a:rPr lang="en-US" sz="1200">
              <a:latin typeface="Arial" panose="020B0604020202020204" pitchFamily="34" charset="0"/>
              <a:cs typeface="Arial" panose="020B0604020202020204" pitchFamily="34" charset="0"/>
            </a:rPr>
            <a:t>This section gives the estimated</a:t>
          </a:r>
          <a:r>
            <a:rPr lang="en-US" sz="1200" baseline="0">
              <a:latin typeface="Arial" panose="020B0604020202020204" pitchFamily="34" charset="0"/>
              <a:cs typeface="Arial" panose="020B0604020202020204" pitchFamily="34" charset="0"/>
            </a:rPr>
            <a:t> loop cross-over frequency and phase margin for the design.  By adjusting the output capacitor, load, and feed-forward capacitor (if applicable) the user can see the results on the Bode plot.  Please note that the graph indicates the actual loop phase, and not the phase margin, as some frequency response analyzers give.</a:t>
          </a:r>
          <a:endParaRPr lang="en-US" sz="1200">
            <a:latin typeface="Arial" panose="020B0604020202020204" pitchFamily="34" charset="0"/>
            <a:cs typeface="Arial" panose="020B06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342900</xdr:colOff>
      <xdr:row>85</xdr:row>
      <xdr:rowOff>279400</xdr:rowOff>
    </xdr:from>
    <xdr:to>
      <xdr:col>4</xdr:col>
      <xdr:colOff>501569</xdr:colOff>
      <xdr:row>116</xdr:row>
      <xdr:rowOff>173546</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209549</xdr:colOff>
      <xdr:row>3</xdr:row>
      <xdr:rowOff>171450</xdr:rowOff>
    </xdr:from>
    <xdr:to>
      <xdr:col>1</xdr:col>
      <xdr:colOff>609599</xdr:colOff>
      <xdr:row>7</xdr:row>
      <xdr:rowOff>142875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09549" y="771525"/>
          <a:ext cx="4048125" cy="771525"/>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latin typeface="+mn-lt"/>
            </a:rPr>
            <a:t>LMR336x0 Component Calculator</a:t>
          </a:r>
        </a:p>
        <a:p>
          <a:r>
            <a:rPr lang="en-US" sz="2000" b="1">
              <a:solidFill>
                <a:srgbClr val="0070C0"/>
              </a:solidFill>
              <a:latin typeface="+mn-lt"/>
            </a:rPr>
            <a:t>Rev A0</a:t>
          </a:r>
        </a:p>
      </xdr:txBody>
    </xdr:sp>
    <xdr:clientData/>
  </xdr:twoCellAnchor>
  <xdr:twoCellAnchor editAs="oneCell">
    <xdr:from>
      <xdr:col>2</xdr:col>
      <xdr:colOff>2095499</xdr:colOff>
      <xdr:row>6</xdr:row>
      <xdr:rowOff>85725</xdr:rowOff>
    </xdr:from>
    <xdr:to>
      <xdr:col>12</xdr:col>
      <xdr:colOff>39738</xdr:colOff>
      <xdr:row>24</xdr:row>
      <xdr:rowOff>95250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72374" y="1285875"/>
          <a:ext cx="8269339" cy="4191000"/>
        </a:xfrm>
        <a:prstGeom prst="rect">
          <a:avLst/>
        </a:prstGeom>
        <a:ln w="25400">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39</xdr:col>
      <xdr:colOff>639749</xdr:colOff>
      <xdr:row>161</xdr:row>
      <xdr:rowOff>164872</xdr:rowOff>
    </xdr:from>
    <xdr:to>
      <xdr:col>55</xdr:col>
      <xdr:colOff>649754</xdr:colOff>
      <xdr:row>194</xdr:row>
      <xdr:rowOff>144182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1409700</xdr:colOff>
          <xdr:row>6</xdr:row>
          <xdr:rowOff>22860</xdr:rowOff>
        </xdr:from>
        <xdr:to>
          <xdr:col>7</xdr:col>
          <xdr:colOff>68580</xdr:colOff>
          <xdr:row>31</xdr:row>
          <xdr:rowOff>160020</xdr:rowOff>
        </xdr:to>
        <xdr:sp macro="" textlink="">
          <xdr:nvSpPr>
            <xdr:cNvPr id="4100" name="Object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solidFill>
              <a:srgbClr val="FFFFFF" mc:Ignorable="a14" a14:legacySpreadsheetColorIndex="65"/>
            </a:solidFill>
          </xdr:spPr>
        </xdr:sp>
        <xdr:clientData/>
      </xdr:twoCellAnchor>
    </mc:Choice>
    <mc:Fallback/>
  </mc:AlternateContent>
  <xdr:twoCellAnchor editAs="oneCell">
    <xdr:from>
      <xdr:col>0</xdr:col>
      <xdr:colOff>485775</xdr:colOff>
      <xdr:row>4</xdr:row>
      <xdr:rowOff>180974</xdr:rowOff>
    </xdr:from>
    <xdr:to>
      <xdr:col>2</xdr:col>
      <xdr:colOff>1007163</xdr:colOff>
      <xdr:row>30</xdr:row>
      <xdr:rowOff>95249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5" y="981074"/>
          <a:ext cx="5817288" cy="5114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12</xdr:row>
          <xdr:rowOff>0</xdr:rowOff>
        </xdr:from>
        <xdr:to>
          <xdr:col>6</xdr:col>
          <xdr:colOff>228600</xdr:colOff>
          <xdr:row>15</xdr:row>
          <xdr:rowOff>83820</xdr:rowOff>
        </xdr:to>
        <xdr:sp macro="" textlink="">
          <xdr:nvSpPr>
            <xdr:cNvPr id="9218" name="Object 2" hidden="1">
              <a:extLst>
                <a:ext uri="{63B3BB69-23CF-44E3-9099-C40C66FF867C}">
                  <a14:compatExt spid="_x0000_s9218"/>
                </a:ext>
                <a:ext uri="{FF2B5EF4-FFF2-40B4-BE49-F238E27FC236}">
                  <a16:creationId xmlns:a16="http://schemas.microsoft.com/office/drawing/2014/main" id="{00000000-0008-0000-0500-0000022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590549</xdr:colOff>
      <xdr:row>1</xdr:row>
      <xdr:rowOff>38100</xdr:rowOff>
    </xdr:from>
    <xdr:to>
      <xdr:col>3</xdr:col>
      <xdr:colOff>213508</xdr:colOff>
      <xdr:row>11</xdr:row>
      <xdr:rowOff>95250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0549" y="238125"/>
          <a:ext cx="3471059" cy="2057400"/>
        </a:xfrm>
        <a:prstGeom prst="rect">
          <a:avLst/>
        </a:prstGeom>
      </xdr:spPr>
    </xdr:pic>
    <xdr:clientData/>
  </xdr:twoCellAnchor>
  <mc:AlternateContent xmlns:mc="http://schemas.openxmlformats.org/markup-compatibility/2006">
    <mc:Choice xmlns:a14="http://schemas.microsoft.com/office/drawing/2010/main" Requires="a14">
      <xdr:twoCellAnchor>
        <xdr:from>
          <xdr:col>4</xdr:col>
          <xdr:colOff>594360</xdr:colOff>
          <xdr:row>2</xdr:row>
          <xdr:rowOff>7620</xdr:rowOff>
        </xdr:from>
        <xdr:to>
          <xdr:col>9</xdr:col>
          <xdr:colOff>182880</xdr:colOff>
          <xdr:row>25</xdr:row>
          <xdr:rowOff>45720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solidFill>
              <a:srgbClr val="FFFFFF" mc:Ignorable="a14" a14:legacySpreadsheetColorIndex="65"/>
            </a:solidFill>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oneCellAnchor>
    <xdr:from>
      <xdr:col>2</xdr:col>
      <xdr:colOff>679173</xdr:colOff>
      <xdr:row>7</xdr:row>
      <xdr:rowOff>33131</xdr:rowOff>
    </xdr:from>
    <xdr:ext cx="2551044" cy="1188146"/>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2784198" y="1433306"/>
          <a:ext cx="2551044" cy="118814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MODE</a:t>
          </a:r>
        </a:p>
        <a:p>
          <a:r>
            <a:rPr lang="en-US" sz="1400" b="1"/>
            <a:t>0</a:t>
          </a:r>
          <a:r>
            <a:rPr lang="en-US" sz="1400" b="1" baseline="0"/>
            <a:t> = no limit</a:t>
          </a:r>
        </a:p>
        <a:p>
          <a:r>
            <a:rPr lang="en-US" sz="1400" b="1" baseline="0"/>
            <a:t>1 = LS limit</a:t>
          </a:r>
        </a:p>
        <a:p>
          <a:r>
            <a:rPr lang="en-US" sz="1400" b="1" baseline="0"/>
            <a:t>2 = HS and LS limit</a:t>
          </a:r>
        </a:p>
        <a:p>
          <a:r>
            <a:rPr lang="en-US" sz="1400" b="1" baseline="0"/>
            <a:t>3 = HS limit</a:t>
          </a:r>
          <a:endParaRPr lang="en-US" sz="1400" b="1"/>
        </a:p>
      </xdr:txBody>
    </xdr:sp>
    <xdr:clientData/>
  </xdr:oneCellAnchor>
  <xdr:twoCellAnchor>
    <xdr:from>
      <xdr:col>16</xdr:col>
      <xdr:colOff>157369</xdr:colOff>
      <xdr:row>610</xdr:row>
      <xdr:rowOff>94422</xdr:rowOff>
    </xdr:from>
    <xdr:to>
      <xdr:col>25</xdr:col>
      <xdr:colOff>463826</xdr:colOff>
      <xdr:row>631</xdr:row>
      <xdr:rowOff>182217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381000</xdr:colOff>
      <xdr:row>7</xdr:row>
      <xdr:rowOff>57979</xdr:rowOff>
    </xdr:from>
    <xdr:ext cx="4754218" cy="1344599"/>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922065" y="1449457"/>
          <a:ext cx="4754218" cy="1344599"/>
        </a:xfrm>
        <a:prstGeom prst="rect">
          <a:avLst/>
        </a:prstGeom>
        <a:solidFill>
          <a:schemeClr val="bg1"/>
        </a:solidFill>
        <a:ln w="254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t>This device use the "averager".  Therefore</a:t>
          </a:r>
          <a:r>
            <a:rPr lang="en-US" sz="1600" baseline="0"/>
            <a:t> the effect of the corrective ramp on the high-side current limit is removed.  The high-side current limit will remain constant with changes in duty cycle, once the "averager" has settled to stead-state.</a:t>
          </a:r>
          <a:endParaRPr lang="en-US" sz="16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image" Target="../media/image2.w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5.xml"/><Relationship Id="rId4" Type="http://schemas.openxmlformats.org/officeDocument/2006/relationships/image" Target="../media/image4.emf"/></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5.wmf"/><Relationship Id="rId4" Type="http://schemas.openxmlformats.org/officeDocument/2006/relationships/oleObject" Target="../embeddings/oleObject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Q7" sqref="Q7"/>
    </sheetView>
  </sheetViews>
  <sheetFormatPr baseColWidth="10" defaultColWidth="8.796875" defaultRowHeight="15.6" x14ac:dyDescent="0.3"/>
  <cols>
    <col min="3" max="3" width="14.69921875" customWidth="1"/>
  </cols>
  <sheetData/>
  <sheetProtection password="DCA3" sheet="1" objects="1" scenarios="1" selectLockedCell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7:Q643"/>
  <sheetViews>
    <sheetView zoomScale="115" zoomScaleNormal="115" workbookViewId="0">
      <selection activeCell="Q17" sqref="Q17"/>
    </sheetView>
  </sheetViews>
  <sheetFormatPr baseColWidth="10" defaultColWidth="8.796875" defaultRowHeight="15.6" x14ac:dyDescent="0.3"/>
  <cols>
    <col min="1" max="1" width="20.19921875" customWidth="1"/>
    <col min="2" max="2" width="13.69921875" customWidth="1"/>
    <col min="3" max="3" width="2.5" customWidth="1"/>
    <col min="4" max="4" width="7.19921875" customWidth="1"/>
    <col min="5" max="5" width="10.19921875" customWidth="1"/>
    <col min="6" max="6" width="9.69921875" customWidth="1"/>
    <col min="7" max="9" width="8.8984375" customWidth="1"/>
    <col min="10" max="10" width="2.5" customWidth="1"/>
    <col min="11" max="11" width="3.3984375" customWidth="1"/>
    <col min="12" max="12" width="4.69921875" customWidth="1"/>
    <col min="13" max="13" width="9.3984375" customWidth="1"/>
    <col min="14" max="14" width="10.19921875" customWidth="1"/>
    <col min="15" max="15" width="11.09765625" customWidth="1"/>
    <col min="16" max="16" width="12" customWidth="1"/>
    <col min="17" max="17" width="12.19921875" customWidth="1"/>
  </cols>
  <sheetData>
    <row r="7" spans="1:2" x14ac:dyDescent="0.3">
      <c r="A7" s="128">
        <v>43980</v>
      </c>
    </row>
    <row r="11" spans="1:2" x14ac:dyDescent="0.3">
      <c r="A11" t="s">
        <v>206</v>
      </c>
      <c r="B11" s="129">
        <f>((Main!B19-Main!B20)*Main!B20/Main!B19)/(loop_gain!B17*loop_gain!B18)</f>
        <v>0.92592592592592593</v>
      </c>
    </row>
    <row r="12" spans="1:2" x14ac:dyDescent="0.3">
      <c r="A12" t="s">
        <v>207</v>
      </c>
      <c r="B12" s="37">
        <f>B11*loop_gain!B18</f>
        <v>1944444.4444444445</v>
      </c>
    </row>
    <row r="13" spans="1:2" x14ac:dyDescent="0.3">
      <c r="A13" t="s">
        <v>208</v>
      </c>
      <c r="B13" s="129">
        <f>Helper_calcs!B27+0.5*Current_limit!B11</f>
        <v>3.3629629629629627</v>
      </c>
    </row>
    <row r="14" spans="1:2" x14ac:dyDescent="0.3">
      <c r="A14" t="s">
        <v>209</v>
      </c>
      <c r="B14" s="129">
        <f>(Helper_calcs!B26+Helper_calcs!B27)/2</f>
        <v>3.375</v>
      </c>
    </row>
    <row r="15" spans="1:2" x14ac:dyDescent="0.3">
      <c r="A15" t="s">
        <v>210</v>
      </c>
      <c r="B15" s="129">
        <f>Helper_calcs!B26-0.5*Current_limit!B11</f>
        <v>3.3870370370370373</v>
      </c>
    </row>
    <row r="16" spans="1:2" x14ac:dyDescent="0.3">
      <c r="A16" t="s">
        <v>211</v>
      </c>
      <c r="B16" s="130" t="str">
        <f>IF(B15&lt;B13,"Y","N")</f>
        <v>N</v>
      </c>
    </row>
    <row r="18" spans="1:17" x14ac:dyDescent="0.3">
      <c r="A18" t="s">
        <v>212</v>
      </c>
      <c r="B18" s="37">
        <f>M643</f>
        <v>0</v>
      </c>
    </row>
    <row r="22" spans="1:17" x14ac:dyDescent="0.3">
      <c r="A22" s="121" t="s">
        <v>213</v>
      </c>
      <c r="B22" s="121" t="s">
        <v>214</v>
      </c>
      <c r="D22" s="131" t="s">
        <v>215</v>
      </c>
      <c r="E22" s="131" t="s">
        <v>216</v>
      </c>
      <c r="F22" s="131" t="s">
        <v>217</v>
      </c>
      <c r="G22" s="131" t="s">
        <v>218</v>
      </c>
      <c r="H22" s="131" t="s">
        <v>219</v>
      </c>
      <c r="I22" s="131" t="s">
        <v>220</v>
      </c>
      <c r="J22" s="131"/>
      <c r="K22" s="121"/>
      <c r="L22" s="121"/>
      <c r="M22" s="121" t="s">
        <v>221</v>
      </c>
      <c r="N22" s="121" t="s">
        <v>222</v>
      </c>
      <c r="O22" s="121" t="s">
        <v>223</v>
      </c>
      <c r="P22" s="121" t="s">
        <v>224</v>
      </c>
      <c r="Q22" s="121"/>
    </row>
    <row r="23" spans="1:17" x14ac:dyDescent="0.3">
      <c r="A23">
        <v>0.1</v>
      </c>
      <c r="B23">
        <f>Main!$B$20/A23</f>
        <v>50</v>
      </c>
      <c r="D23" s="132">
        <f t="shared" ref="D23:D86" si="0">B23</f>
        <v>50</v>
      </c>
      <c r="E23" s="132">
        <f>-B23*Main!$B$19-2*Main!$B$19*loop_gain!$B$17*loop_gain!$B$18</f>
        <v>-675.6</v>
      </c>
      <c r="F23" s="132">
        <f>2*Main!$B$19*loop_gain!$B$17*loop_gain!$B$18*Helper_calcs!$B$26*Current_limit!B23</f>
        <v>14553.000000000004</v>
      </c>
      <c r="G23" s="132" t="e">
        <f>(-E23-SQRT(E23^2-4*D23*F23))/(2*D23)</f>
        <v>#NUM!</v>
      </c>
      <c r="H23" s="132" t="e">
        <f>(Main!$B$19-Current_limit!G23)*Current_limit!G23/(Main!$B$19*loop_gain!$B$17*loop_gain!$B$18)</f>
        <v>#NUM!</v>
      </c>
      <c r="I23" s="132" t="e">
        <f>(G23/B23)-0.5*H23</f>
        <v>#NUM!</v>
      </c>
      <c r="J23" s="132"/>
      <c r="K23" s="133">
        <f>IF(A23&gt;$B$15,IF(I23&gt;Helper_calcs!$B$27,23,3),0)</f>
        <v>0</v>
      </c>
      <c r="L23">
        <f t="shared" ref="L23:L86" si="1">IF(A23&gt;$B$13,IF(A23&gt;$B$14,2,1),0)</f>
        <v>0</v>
      </c>
      <c r="M23">
        <f>IF($B$16="N",L23,K23)</f>
        <v>0</v>
      </c>
      <c r="N23" s="132">
        <f>IF(OR(M23=0,M23=1),A23,IF(OR(M23=2,M23=23),$B$14,G23/B23))</f>
        <v>0.1</v>
      </c>
      <c r="O23" s="132">
        <f>N23*B23</f>
        <v>5</v>
      </c>
      <c r="P23" s="134">
        <f>IF(OR(M23=0,M23=3),loop_gain!$B$18,IF(Current_limit!M23=1,Current_limit!$B$12/(2*(Current_limit!N23-Helper_calcs!$B$27)),IF(OR(M23=2,M23=23),(Main!$B$19-Current_limit!O23)*Current_limit!O23/(Main!$B$19*loop_gain!$B$17*(Helper_calcs!$B$26-Helper_calcs!$B$27)),x)))</f>
        <v>2100000</v>
      </c>
      <c r="Q23" s="132"/>
    </row>
    <row r="24" spans="1:17" x14ac:dyDescent="0.3">
      <c r="A24">
        <f>A23+0.1</f>
        <v>0.2</v>
      </c>
      <c r="B24">
        <f>Main!$B$20/A24</f>
        <v>25</v>
      </c>
      <c r="D24" s="132">
        <f t="shared" si="0"/>
        <v>25</v>
      </c>
      <c r="E24" s="132">
        <f>-B24*Main!$B$19-2*Main!$B$19*loop_gain!$B$17*loop_gain!$B$18</f>
        <v>-375.6</v>
      </c>
      <c r="F24" s="132">
        <f>2*Main!$B$19*loop_gain!$B$17*loop_gain!$B$18*Helper_calcs!$B$26*Current_limit!B24</f>
        <v>7276.5000000000018</v>
      </c>
      <c r="G24" s="132" t="e">
        <f t="shared" ref="G24:G87" si="2">(-E24-SQRT(E24^2-4*D24*F24))/(2*D24)</f>
        <v>#NUM!</v>
      </c>
      <c r="H24" s="132" t="e">
        <f>(Main!$B$19-Current_limit!G24)*Current_limit!G24/(Main!$B$19*loop_gain!$B$17*loop_gain!$B$18)</f>
        <v>#NUM!</v>
      </c>
      <c r="I24" s="132" t="e">
        <f t="shared" ref="I24:I87" si="3">(G24/B24)-0.5*H24</f>
        <v>#NUM!</v>
      </c>
      <c r="J24" s="132"/>
      <c r="K24" s="133">
        <f>IF(A24&gt;$B$15,IF(I24&gt;Helper_calcs!$B$27,23,3),0)</f>
        <v>0</v>
      </c>
      <c r="L24">
        <f t="shared" si="1"/>
        <v>0</v>
      </c>
      <c r="M24">
        <f t="shared" ref="M24:M87" si="4">IF($B$16="N",L24,K24)</f>
        <v>0</v>
      </c>
      <c r="N24" s="132">
        <f t="shared" ref="N24:N87" si="5">IF(OR(M24=0,M24=1),A24,IF(OR(M24=2,M24=23),$B$14,G24/B24))</f>
        <v>0.2</v>
      </c>
      <c r="O24" s="132">
        <f t="shared" ref="O24:O87" si="6">N24*B24</f>
        <v>5</v>
      </c>
      <c r="P24" s="134">
        <f>IF(OR(M24=0,M24=3),loop_gain!$B$18,IF(Current_limit!M24=1,Current_limit!$B$12/(2*(Current_limit!N24-Helper_calcs!$B$27)),IF(OR(M24=2,M24=23),(Main!$B$19-Current_limit!O24)*Current_limit!O24/(Main!$B$19*loop_gain!$B$17*(Helper_calcs!$B$26-Helper_calcs!$B$27)),x)))</f>
        <v>2100000</v>
      </c>
      <c r="Q24" s="132"/>
    </row>
    <row r="25" spans="1:17" x14ac:dyDescent="0.3">
      <c r="A25">
        <f t="shared" ref="A25:A31" si="7">A24+0.1</f>
        <v>0.30000000000000004</v>
      </c>
      <c r="B25">
        <f>Main!$B$20/A25</f>
        <v>16.666666666666664</v>
      </c>
      <c r="D25" s="132">
        <f t="shared" si="0"/>
        <v>16.666666666666664</v>
      </c>
      <c r="E25" s="132">
        <f>-B25*Main!$B$19-2*Main!$B$19*loop_gain!$B$17*loop_gain!$B$18</f>
        <v>-275.59999999999997</v>
      </c>
      <c r="F25" s="132">
        <f>2*Main!$B$19*loop_gain!$B$17*loop_gain!$B$18*Helper_calcs!$B$26*Current_limit!B25</f>
        <v>4851</v>
      </c>
      <c r="G25" s="132" t="e">
        <f t="shared" si="2"/>
        <v>#NUM!</v>
      </c>
      <c r="H25" s="132" t="e">
        <f>(Main!$B$19-Current_limit!G25)*Current_limit!G25/(Main!$B$19*loop_gain!$B$17*loop_gain!$B$18)</f>
        <v>#NUM!</v>
      </c>
      <c r="I25" s="132" t="e">
        <f t="shared" si="3"/>
        <v>#NUM!</v>
      </c>
      <c r="J25" s="132"/>
      <c r="K25" s="133">
        <f>IF(A25&gt;$B$15,IF(I25&gt;Helper_calcs!$B$27,23,3),0)</f>
        <v>0</v>
      </c>
      <c r="L25">
        <f t="shared" si="1"/>
        <v>0</v>
      </c>
      <c r="M25">
        <f t="shared" si="4"/>
        <v>0</v>
      </c>
      <c r="N25" s="132">
        <f t="shared" si="5"/>
        <v>0.30000000000000004</v>
      </c>
      <c r="O25" s="132">
        <f t="shared" si="6"/>
        <v>5</v>
      </c>
      <c r="P25" s="134">
        <f>IF(OR(M25=0,M25=3),loop_gain!$B$18,IF(Current_limit!M25=1,Current_limit!$B$12/(2*(Current_limit!N25-Helper_calcs!$B$27)),IF(OR(M25=2,M25=23),(Main!$B$19-Current_limit!O25)*Current_limit!O25/(Main!$B$19*loop_gain!$B$17*(Helper_calcs!$B$26-Helper_calcs!$B$27)),x)))</f>
        <v>2100000</v>
      </c>
      <c r="Q25" s="132"/>
    </row>
    <row r="26" spans="1:17" x14ac:dyDescent="0.3">
      <c r="A26">
        <f t="shared" si="7"/>
        <v>0.4</v>
      </c>
      <c r="B26">
        <f>Main!$B$20/A26</f>
        <v>12.5</v>
      </c>
      <c r="D26" s="132">
        <f t="shared" si="0"/>
        <v>12.5</v>
      </c>
      <c r="E26" s="132">
        <f>-B26*Main!$B$19-2*Main!$B$19*loop_gain!$B$17*loop_gain!$B$18</f>
        <v>-225.60000000000002</v>
      </c>
      <c r="F26" s="132">
        <f>2*Main!$B$19*loop_gain!$B$17*loop_gain!$B$18*Helper_calcs!$B$26*Current_limit!B26</f>
        <v>3638.2500000000009</v>
      </c>
      <c r="G26" s="132" t="e">
        <f t="shared" si="2"/>
        <v>#NUM!</v>
      </c>
      <c r="H26" s="132" t="e">
        <f>(Main!$B$19-Current_limit!G26)*Current_limit!G26/(Main!$B$19*loop_gain!$B$17*loop_gain!$B$18)</f>
        <v>#NUM!</v>
      </c>
      <c r="I26" s="132" t="e">
        <f t="shared" si="3"/>
        <v>#NUM!</v>
      </c>
      <c r="J26" s="132"/>
      <c r="K26" s="133">
        <f>IF(A26&gt;$B$15,IF(I26&gt;Helper_calcs!$B$27,23,3),0)</f>
        <v>0</v>
      </c>
      <c r="L26">
        <f t="shared" si="1"/>
        <v>0</v>
      </c>
      <c r="M26">
        <f t="shared" si="4"/>
        <v>0</v>
      </c>
      <c r="N26" s="132">
        <f t="shared" si="5"/>
        <v>0.4</v>
      </c>
      <c r="O26" s="132">
        <f t="shared" si="6"/>
        <v>5</v>
      </c>
      <c r="P26" s="134">
        <f>IF(OR(M26=0,M26=3),loop_gain!$B$18,IF(Current_limit!M26=1,Current_limit!$B$12/(2*(Current_limit!N26-Helper_calcs!$B$27)),IF(OR(M26=2,M26=23),(Main!$B$19-Current_limit!O26)*Current_limit!O26/(Main!$B$19*loop_gain!$B$17*(Helper_calcs!$B$26-Helper_calcs!$B$27)),x)))</f>
        <v>2100000</v>
      </c>
      <c r="Q26" s="132"/>
    </row>
    <row r="27" spans="1:17" x14ac:dyDescent="0.3">
      <c r="A27">
        <f t="shared" si="7"/>
        <v>0.5</v>
      </c>
      <c r="B27">
        <f>Main!$B$20/A27</f>
        <v>10</v>
      </c>
      <c r="D27" s="132">
        <f t="shared" si="0"/>
        <v>10</v>
      </c>
      <c r="E27" s="132">
        <f>-B27*Main!$B$19-2*Main!$B$19*loop_gain!$B$17*loop_gain!$B$18</f>
        <v>-195.60000000000002</v>
      </c>
      <c r="F27" s="132">
        <f>2*Main!$B$19*loop_gain!$B$17*loop_gain!$B$18*Helper_calcs!$B$26*Current_limit!B27</f>
        <v>2910.6000000000004</v>
      </c>
      <c r="G27" s="132" t="e">
        <f t="shared" si="2"/>
        <v>#NUM!</v>
      </c>
      <c r="H27" s="132" t="e">
        <f>(Main!$B$19-Current_limit!G27)*Current_limit!G27/(Main!$B$19*loop_gain!$B$17*loop_gain!$B$18)</f>
        <v>#NUM!</v>
      </c>
      <c r="I27" s="132" t="e">
        <f t="shared" si="3"/>
        <v>#NUM!</v>
      </c>
      <c r="J27" s="132"/>
      <c r="K27" s="133">
        <f>IF(A27&gt;$B$15,IF(I27&gt;Helper_calcs!$B$27,23,3),0)</f>
        <v>0</v>
      </c>
      <c r="L27">
        <f t="shared" si="1"/>
        <v>0</v>
      </c>
      <c r="M27">
        <f t="shared" si="4"/>
        <v>0</v>
      </c>
      <c r="N27" s="132">
        <f t="shared" si="5"/>
        <v>0.5</v>
      </c>
      <c r="O27" s="132">
        <f t="shared" si="6"/>
        <v>5</v>
      </c>
      <c r="P27" s="134">
        <f>IF(OR(M27=0,M27=3),loop_gain!$B$18,IF(Current_limit!M27=1,Current_limit!$B$12/(2*(Current_limit!N27-Helper_calcs!$B$27)),IF(OR(M27=2,M27=23),(Main!$B$19-Current_limit!O27)*Current_limit!O27/(Main!$B$19*loop_gain!$B$17*(Helper_calcs!$B$26-Helper_calcs!$B$27)),x)))</f>
        <v>2100000</v>
      </c>
      <c r="Q27" s="132"/>
    </row>
    <row r="28" spans="1:17" x14ac:dyDescent="0.3">
      <c r="A28">
        <f t="shared" si="7"/>
        <v>0.6</v>
      </c>
      <c r="B28">
        <f>Main!$B$20/A28</f>
        <v>8.3333333333333339</v>
      </c>
      <c r="D28" s="132">
        <f t="shared" si="0"/>
        <v>8.3333333333333339</v>
      </c>
      <c r="E28" s="132">
        <f>-B28*Main!$B$19-2*Main!$B$19*loop_gain!$B$17*loop_gain!$B$18</f>
        <v>-175.60000000000002</v>
      </c>
      <c r="F28" s="132">
        <f>2*Main!$B$19*loop_gain!$B$17*loop_gain!$B$18*Helper_calcs!$B$26*Current_limit!B28</f>
        <v>2425.5000000000005</v>
      </c>
      <c r="G28" s="132" t="e">
        <f t="shared" si="2"/>
        <v>#NUM!</v>
      </c>
      <c r="H28" s="132" t="e">
        <f>(Main!$B$19-Current_limit!G28)*Current_limit!G28/(Main!$B$19*loop_gain!$B$17*loop_gain!$B$18)</f>
        <v>#NUM!</v>
      </c>
      <c r="I28" s="132" t="e">
        <f t="shared" si="3"/>
        <v>#NUM!</v>
      </c>
      <c r="J28" s="132"/>
      <c r="K28" s="133">
        <f>IF(A28&gt;$B$15,IF(I28&gt;Helper_calcs!$B$27,23,3),0)</f>
        <v>0</v>
      </c>
      <c r="L28">
        <f t="shared" si="1"/>
        <v>0</v>
      </c>
      <c r="M28">
        <f t="shared" si="4"/>
        <v>0</v>
      </c>
      <c r="N28" s="132">
        <f t="shared" si="5"/>
        <v>0.6</v>
      </c>
      <c r="O28" s="132">
        <f t="shared" si="6"/>
        <v>5</v>
      </c>
      <c r="P28" s="134">
        <f>IF(OR(M28=0,M28=3),loop_gain!$B$18,IF(Current_limit!M28=1,Current_limit!$B$12/(2*(Current_limit!N28-Helper_calcs!$B$27)),IF(OR(M28=2,M28=23),(Main!$B$19-Current_limit!O28)*Current_limit!O28/(Main!$B$19*loop_gain!$B$17*(Helper_calcs!$B$26-Helper_calcs!$B$27)),x)))</f>
        <v>2100000</v>
      </c>
      <c r="Q28" s="132"/>
    </row>
    <row r="29" spans="1:17" x14ac:dyDescent="0.3">
      <c r="A29">
        <f t="shared" si="7"/>
        <v>0.7</v>
      </c>
      <c r="B29">
        <f>Main!$B$20/A29</f>
        <v>7.1428571428571432</v>
      </c>
      <c r="D29" s="132">
        <f t="shared" si="0"/>
        <v>7.1428571428571432</v>
      </c>
      <c r="E29" s="132">
        <f>-B29*Main!$B$19-2*Main!$B$19*loop_gain!$B$17*loop_gain!$B$18</f>
        <v>-161.31428571428575</v>
      </c>
      <c r="F29" s="132">
        <f>2*Main!$B$19*loop_gain!$B$17*loop_gain!$B$18*Helper_calcs!$B$26*Current_limit!B29</f>
        <v>2079.0000000000005</v>
      </c>
      <c r="G29" s="132" t="e">
        <f t="shared" si="2"/>
        <v>#NUM!</v>
      </c>
      <c r="H29" s="132" t="e">
        <f>(Main!$B$19-Current_limit!G29)*Current_limit!G29/(Main!$B$19*loop_gain!$B$17*loop_gain!$B$18)</f>
        <v>#NUM!</v>
      </c>
      <c r="I29" s="132" t="e">
        <f t="shared" si="3"/>
        <v>#NUM!</v>
      </c>
      <c r="J29" s="132"/>
      <c r="K29" s="133">
        <f>IF(A29&gt;$B$15,IF(I29&gt;Helper_calcs!$B$27,23,3),0)</f>
        <v>0</v>
      </c>
      <c r="L29">
        <f t="shared" si="1"/>
        <v>0</v>
      </c>
      <c r="M29">
        <f t="shared" si="4"/>
        <v>0</v>
      </c>
      <c r="N29" s="132">
        <f t="shared" si="5"/>
        <v>0.7</v>
      </c>
      <c r="O29" s="132">
        <f t="shared" si="6"/>
        <v>5</v>
      </c>
      <c r="P29" s="134">
        <f>IF(OR(M29=0,M29=3),loop_gain!$B$18,IF(Current_limit!M29=1,Current_limit!$B$12/(2*(Current_limit!N29-Helper_calcs!$B$27)),IF(OR(M29=2,M29=23),(Main!$B$19-Current_limit!O29)*Current_limit!O29/(Main!$B$19*loop_gain!$B$17*(Helper_calcs!$B$26-Helper_calcs!$B$27)),x)))</f>
        <v>2100000</v>
      </c>
      <c r="Q29" s="132"/>
    </row>
    <row r="30" spans="1:17" x14ac:dyDescent="0.3">
      <c r="A30">
        <f t="shared" si="7"/>
        <v>0.79999999999999993</v>
      </c>
      <c r="B30">
        <f>Main!$B$20/A30</f>
        <v>6.2500000000000009</v>
      </c>
      <c r="D30" s="132">
        <f t="shared" si="0"/>
        <v>6.2500000000000009</v>
      </c>
      <c r="E30" s="132">
        <f>-B30*Main!$B$19-2*Main!$B$19*loop_gain!$B$17*loop_gain!$B$18</f>
        <v>-150.60000000000002</v>
      </c>
      <c r="F30" s="132">
        <f>2*Main!$B$19*loop_gain!$B$17*loop_gain!$B$18*Helper_calcs!$B$26*Current_limit!B30</f>
        <v>1819.1250000000007</v>
      </c>
      <c r="G30" s="132" t="e">
        <f t="shared" si="2"/>
        <v>#NUM!</v>
      </c>
      <c r="H30" s="132" t="e">
        <f>(Main!$B$19-Current_limit!G30)*Current_limit!G30/(Main!$B$19*loop_gain!$B$17*loop_gain!$B$18)</f>
        <v>#NUM!</v>
      </c>
      <c r="I30" s="132" t="e">
        <f t="shared" si="3"/>
        <v>#NUM!</v>
      </c>
      <c r="J30" s="132"/>
      <c r="K30" s="133">
        <f>IF(A30&gt;$B$15,IF(I30&gt;Helper_calcs!$B$27,23,3),0)</f>
        <v>0</v>
      </c>
      <c r="L30">
        <f t="shared" si="1"/>
        <v>0</v>
      </c>
      <c r="M30">
        <f t="shared" si="4"/>
        <v>0</v>
      </c>
      <c r="N30" s="132">
        <f t="shared" si="5"/>
        <v>0.79999999999999993</v>
      </c>
      <c r="O30" s="132">
        <f t="shared" si="6"/>
        <v>5</v>
      </c>
      <c r="P30" s="134">
        <f>IF(OR(M30=0,M30=3),loop_gain!$B$18,IF(Current_limit!M30=1,Current_limit!$B$12/(2*(Current_limit!N30-Helper_calcs!$B$27)),IF(OR(M30=2,M30=23),(Main!$B$19-Current_limit!O30)*Current_limit!O30/(Main!$B$19*loop_gain!$B$17*(Helper_calcs!$B$26-Helper_calcs!$B$27)),x)))</f>
        <v>2100000</v>
      </c>
      <c r="Q30" s="132"/>
    </row>
    <row r="31" spans="1:17" x14ac:dyDescent="0.3">
      <c r="A31">
        <f t="shared" si="7"/>
        <v>0.89999999999999991</v>
      </c>
      <c r="B31">
        <f>Main!$B$20/A31</f>
        <v>5.5555555555555562</v>
      </c>
      <c r="D31" s="132">
        <f t="shared" si="0"/>
        <v>5.5555555555555562</v>
      </c>
      <c r="E31" s="132">
        <f>-B31*Main!$B$19-2*Main!$B$19*loop_gain!$B$17*loop_gain!$B$18</f>
        <v>-142.26666666666668</v>
      </c>
      <c r="F31" s="132">
        <f>2*Main!$B$19*loop_gain!$B$17*loop_gain!$B$18*Helper_calcs!$B$26*Current_limit!B31</f>
        <v>1617.0000000000005</v>
      </c>
      <c r="G31" s="132" t="e">
        <f t="shared" si="2"/>
        <v>#NUM!</v>
      </c>
      <c r="H31" s="132" t="e">
        <f>(Main!$B$19-Current_limit!G31)*Current_limit!G31/(Main!$B$19*loop_gain!$B$17*loop_gain!$B$18)</f>
        <v>#NUM!</v>
      </c>
      <c r="I31" s="132" t="e">
        <f t="shared" si="3"/>
        <v>#NUM!</v>
      </c>
      <c r="J31" s="132"/>
      <c r="K31" s="133">
        <f>IF(A31&gt;$B$15,IF(I31&gt;Helper_calcs!$B$27,23,3),0)</f>
        <v>0</v>
      </c>
      <c r="L31">
        <f t="shared" si="1"/>
        <v>0</v>
      </c>
      <c r="M31">
        <f t="shared" si="4"/>
        <v>0</v>
      </c>
      <c r="N31" s="132">
        <f t="shared" si="5"/>
        <v>0.89999999999999991</v>
      </c>
      <c r="O31" s="132">
        <f t="shared" si="6"/>
        <v>5</v>
      </c>
      <c r="P31" s="134">
        <f>IF(OR(M31=0,M31=3),loop_gain!$B$18,IF(Current_limit!M31=1,Current_limit!$B$12/(2*(Current_limit!N31-Helper_calcs!$B$27)),IF(OR(M31=2,M31=23),(Main!$B$19-Current_limit!O31)*Current_limit!O31/(Main!$B$19*loop_gain!$B$17*(Helper_calcs!$B$26-Helper_calcs!$B$27)),x)))</f>
        <v>2100000</v>
      </c>
      <c r="Q31" s="132"/>
    </row>
    <row r="32" spans="1:17" x14ac:dyDescent="0.3">
      <c r="A32">
        <f>A31+0.01</f>
        <v>0.90999999999999992</v>
      </c>
      <c r="B32">
        <f>Main!$B$20/A32</f>
        <v>5.4945054945054954</v>
      </c>
      <c r="D32" s="132">
        <f t="shared" si="0"/>
        <v>5.4945054945054954</v>
      </c>
      <c r="E32" s="132">
        <f>-B32*Main!$B$19-2*Main!$B$19*loop_gain!$B$17*loop_gain!$B$18</f>
        <v>-141.53406593406595</v>
      </c>
      <c r="F32" s="132">
        <f>2*Main!$B$19*loop_gain!$B$17*loop_gain!$B$18*Helper_calcs!$B$26*Current_limit!B32</f>
        <v>1599.2307692307697</v>
      </c>
      <c r="G32" s="132" t="e">
        <f t="shared" si="2"/>
        <v>#NUM!</v>
      </c>
      <c r="H32" s="132" t="e">
        <f>(Main!$B$19-Current_limit!G32)*Current_limit!G32/(Main!$B$19*loop_gain!$B$17*loop_gain!$B$18)</f>
        <v>#NUM!</v>
      </c>
      <c r="I32" s="132" t="e">
        <f t="shared" si="3"/>
        <v>#NUM!</v>
      </c>
      <c r="J32" s="132"/>
      <c r="K32" s="133">
        <f>IF(A32&gt;$B$15,IF(I32&gt;Helper_calcs!$B$27,23,3),0)</f>
        <v>0</v>
      </c>
      <c r="L32">
        <f t="shared" si="1"/>
        <v>0</v>
      </c>
      <c r="M32">
        <f t="shared" si="4"/>
        <v>0</v>
      </c>
      <c r="N32" s="132">
        <f t="shared" si="5"/>
        <v>0.90999999999999992</v>
      </c>
      <c r="O32" s="132">
        <f t="shared" si="6"/>
        <v>5</v>
      </c>
      <c r="P32" s="134">
        <f>IF(OR(M32=0,M32=3),loop_gain!$B$18,IF(Current_limit!M32=1,Current_limit!$B$12/(2*(Current_limit!N32-Helper_calcs!$B$27)),IF(OR(M32=2,M32=23),(Main!$B$19-Current_limit!O32)*Current_limit!O32/(Main!$B$19*loop_gain!$B$17*(Helper_calcs!$B$26-Helper_calcs!$B$27)),x)))</f>
        <v>2100000</v>
      </c>
      <c r="Q32" s="132"/>
    </row>
    <row r="33" spans="1:17" x14ac:dyDescent="0.3">
      <c r="A33">
        <f t="shared" ref="A33:A96" si="8">A32+0.01</f>
        <v>0.91999999999999993</v>
      </c>
      <c r="B33">
        <f>Main!$B$20/A33</f>
        <v>5.4347826086956523</v>
      </c>
      <c r="D33" s="132">
        <f t="shared" si="0"/>
        <v>5.4347826086956523</v>
      </c>
      <c r="E33" s="132">
        <f>-B33*Main!$B$19-2*Main!$B$19*loop_gain!$B$17*loop_gain!$B$18</f>
        <v>-140.81739130434784</v>
      </c>
      <c r="F33" s="132">
        <f>2*Main!$B$19*loop_gain!$B$17*loop_gain!$B$18*Helper_calcs!$B$26*Current_limit!B33</f>
        <v>1581.847826086957</v>
      </c>
      <c r="G33" s="132" t="e">
        <f t="shared" si="2"/>
        <v>#NUM!</v>
      </c>
      <c r="H33" s="132" t="e">
        <f>(Main!$B$19-Current_limit!G33)*Current_limit!G33/(Main!$B$19*loop_gain!$B$17*loop_gain!$B$18)</f>
        <v>#NUM!</v>
      </c>
      <c r="I33" s="132" t="e">
        <f t="shared" si="3"/>
        <v>#NUM!</v>
      </c>
      <c r="J33" s="132"/>
      <c r="K33" s="133">
        <f>IF(A33&gt;$B$15,IF(I33&gt;Helper_calcs!$B$27,23,3),0)</f>
        <v>0</v>
      </c>
      <c r="L33">
        <f t="shared" si="1"/>
        <v>0</v>
      </c>
      <c r="M33">
        <f t="shared" si="4"/>
        <v>0</v>
      </c>
      <c r="N33" s="132">
        <f t="shared" si="5"/>
        <v>0.91999999999999993</v>
      </c>
      <c r="O33" s="132">
        <f t="shared" si="6"/>
        <v>5</v>
      </c>
      <c r="P33" s="134">
        <f>IF(OR(M33=0,M33=3),loop_gain!$B$18,IF(Current_limit!M33=1,Current_limit!$B$12/(2*(Current_limit!N33-Helper_calcs!$B$27)),IF(OR(M33=2,M33=23),(Main!$B$19-Current_limit!O33)*Current_limit!O33/(Main!$B$19*loop_gain!$B$17*(Helper_calcs!$B$26-Helper_calcs!$B$27)),x)))</f>
        <v>2100000</v>
      </c>
      <c r="Q33" s="132"/>
    </row>
    <row r="34" spans="1:17" x14ac:dyDescent="0.3">
      <c r="A34">
        <f t="shared" si="8"/>
        <v>0.92999999999999994</v>
      </c>
      <c r="B34">
        <f>Main!$B$20/A34</f>
        <v>5.3763440860215059</v>
      </c>
      <c r="D34" s="132">
        <f t="shared" si="0"/>
        <v>5.3763440860215059</v>
      </c>
      <c r="E34" s="132">
        <f>-B34*Main!$B$19-2*Main!$B$19*loop_gain!$B$17*loop_gain!$B$18</f>
        <v>-140.11612903225807</v>
      </c>
      <c r="F34" s="132">
        <f>2*Main!$B$19*loop_gain!$B$17*loop_gain!$B$18*Helper_calcs!$B$26*Current_limit!B34</f>
        <v>1564.8387096774197</v>
      </c>
      <c r="G34" s="132" t="e">
        <f t="shared" si="2"/>
        <v>#NUM!</v>
      </c>
      <c r="H34" s="132" t="e">
        <f>(Main!$B$19-Current_limit!G34)*Current_limit!G34/(Main!$B$19*loop_gain!$B$17*loop_gain!$B$18)</f>
        <v>#NUM!</v>
      </c>
      <c r="I34" s="132" t="e">
        <f t="shared" si="3"/>
        <v>#NUM!</v>
      </c>
      <c r="J34" s="132"/>
      <c r="K34" s="133">
        <f>IF(A34&gt;$B$15,IF(I34&gt;Helper_calcs!$B$27,23,3),0)</f>
        <v>0</v>
      </c>
      <c r="L34">
        <f t="shared" si="1"/>
        <v>0</v>
      </c>
      <c r="M34">
        <f t="shared" si="4"/>
        <v>0</v>
      </c>
      <c r="N34" s="132">
        <f t="shared" si="5"/>
        <v>0.92999999999999994</v>
      </c>
      <c r="O34" s="132">
        <f t="shared" si="6"/>
        <v>5</v>
      </c>
      <c r="P34" s="134">
        <f>IF(OR(M34=0,M34=3),loop_gain!$B$18,IF(Current_limit!M34=1,Current_limit!$B$12/(2*(Current_limit!N34-Helper_calcs!$B$27)),IF(OR(M34=2,M34=23),(Main!$B$19-Current_limit!O34)*Current_limit!O34/(Main!$B$19*loop_gain!$B$17*(Helper_calcs!$B$26-Helper_calcs!$B$27)),x)))</f>
        <v>2100000</v>
      </c>
      <c r="Q34" s="132"/>
    </row>
    <row r="35" spans="1:17" x14ac:dyDescent="0.3">
      <c r="A35">
        <f t="shared" si="8"/>
        <v>0.94</v>
      </c>
      <c r="B35">
        <f>Main!$B$20/A35</f>
        <v>5.3191489361702127</v>
      </c>
      <c r="D35" s="132">
        <f t="shared" si="0"/>
        <v>5.3191489361702127</v>
      </c>
      <c r="E35" s="132">
        <f>-B35*Main!$B$19-2*Main!$B$19*loop_gain!$B$17*loop_gain!$B$18</f>
        <v>-139.42978723404258</v>
      </c>
      <c r="F35" s="132">
        <f>2*Main!$B$19*loop_gain!$B$17*loop_gain!$B$18*Helper_calcs!$B$26*Current_limit!B35</f>
        <v>1548.1914893617025</v>
      </c>
      <c r="G35" s="132" t="e">
        <f t="shared" si="2"/>
        <v>#NUM!</v>
      </c>
      <c r="H35" s="132" t="e">
        <f>(Main!$B$19-Current_limit!G35)*Current_limit!G35/(Main!$B$19*loop_gain!$B$17*loop_gain!$B$18)</f>
        <v>#NUM!</v>
      </c>
      <c r="I35" s="132" t="e">
        <f t="shared" si="3"/>
        <v>#NUM!</v>
      </c>
      <c r="J35" s="132"/>
      <c r="K35" s="133">
        <f>IF(A35&gt;$B$15,IF(I35&gt;Helper_calcs!$B$27,23,3),0)</f>
        <v>0</v>
      </c>
      <c r="L35">
        <f t="shared" si="1"/>
        <v>0</v>
      </c>
      <c r="M35">
        <f t="shared" si="4"/>
        <v>0</v>
      </c>
      <c r="N35" s="132">
        <f t="shared" si="5"/>
        <v>0.94</v>
      </c>
      <c r="O35" s="132">
        <f t="shared" si="6"/>
        <v>5</v>
      </c>
      <c r="P35" s="134">
        <f>IF(OR(M35=0,M35=3),loop_gain!$B$18,IF(Current_limit!M35=1,Current_limit!$B$12/(2*(Current_limit!N35-Helper_calcs!$B$27)),IF(OR(M35=2,M35=23),(Main!$B$19-Current_limit!O35)*Current_limit!O35/(Main!$B$19*loop_gain!$B$17*(Helper_calcs!$B$26-Helper_calcs!$B$27)),x)))</f>
        <v>2100000</v>
      </c>
      <c r="Q35" s="132"/>
    </row>
    <row r="36" spans="1:17" x14ac:dyDescent="0.3">
      <c r="A36">
        <f t="shared" si="8"/>
        <v>0.95</v>
      </c>
      <c r="B36">
        <f>Main!$B$20/A36</f>
        <v>5.2631578947368425</v>
      </c>
      <c r="D36" s="132">
        <f t="shared" si="0"/>
        <v>5.2631578947368425</v>
      </c>
      <c r="E36" s="132">
        <f>-B36*Main!$B$19-2*Main!$B$19*loop_gain!$B$17*loop_gain!$B$18</f>
        <v>-138.7578947368421</v>
      </c>
      <c r="F36" s="132">
        <f>2*Main!$B$19*loop_gain!$B$17*loop_gain!$B$18*Helper_calcs!$B$26*Current_limit!B36</f>
        <v>1531.8947368421057</v>
      </c>
      <c r="G36" s="132" t="e">
        <f t="shared" si="2"/>
        <v>#NUM!</v>
      </c>
      <c r="H36" s="132" t="e">
        <f>(Main!$B$19-Current_limit!G36)*Current_limit!G36/(Main!$B$19*loop_gain!$B$17*loop_gain!$B$18)</f>
        <v>#NUM!</v>
      </c>
      <c r="I36" s="132" t="e">
        <f t="shared" si="3"/>
        <v>#NUM!</v>
      </c>
      <c r="J36" s="132"/>
      <c r="K36" s="133">
        <f>IF(A36&gt;$B$15,IF(I36&gt;Helper_calcs!$B$27,23,3),0)</f>
        <v>0</v>
      </c>
      <c r="L36">
        <f t="shared" si="1"/>
        <v>0</v>
      </c>
      <c r="M36">
        <f t="shared" si="4"/>
        <v>0</v>
      </c>
      <c r="N36" s="132">
        <f t="shared" si="5"/>
        <v>0.95</v>
      </c>
      <c r="O36" s="132">
        <f t="shared" si="6"/>
        <v>5</v>
      </c>
      <c r="P36" s="134">
        <f>IF(OR(M36=0,M36=3),loop_gain!$B$18,IF(Current_limit!M36=1,Current_limit!$B$12/(2*(Current_limit!N36-Helper_calcs!$B$27)),IF(OR(M36=2,M36=23),(Main!$B$19-Current_limit!O36)*Current_limit!O36/(Main!$B$19*loop_gain!$B$17*(Helper_calcs!$B$26-Helper_calcs!$B$27)),x)))</f>
        <v>2100000</v>
      </c>
      <c r="Q36" s="132"/>
    </row>
    <row r="37" spans="1:17" x14ac:dyDescent="0.3">
      <c r="A37">
        <f t="shared" si="8"/>
        <v>0.96</v>
      </c>
      <c r="B37">
        <f>Main!$B$20/A37</f>
        <v>5.2083333333333339</v>
      </c>
      <c r="D37" s="132">
        <f t="shared" si="0"/>
        <v>5.2083333333333339</v>
      </c>
      <c r="E37" s="132">
        <f>-B37*Main!$B$19-2*Main!$B$19*loop_gain!$B$17*loop_gain!$B$18</f>
        <v>-138.10000000000002</v>
      </c>
      <c r="F37" s="132">
        <f>2*Main!$B$19*loop_gain!$B$17*loop_gain!$B$18*Helper_calcs!$B$26*Current_limit!B37</f>
        <v>1515.9375000000005</v>
      </c>
      <c r="G37" s="132" t="e">
        <f t="shared" si="2"/>
        <v>#NUM!</v>
      </c>
      <c r="H37" s="132" t="e">
        <f>(Main!$B$19-Current_limit!G37)*Current_limit!G37/(Main!$B$19*loop_gain!$B$17*loop_gain!$B$18)</f>
        <v>#NUM!</v>
      </c>
      <c r="I37" s="132" t="e">
        <f t="shared" si="3"/>
        <v>#NUM!</v>
      </c>
      <c r="J37" s="132"/>
      <c r="K37" s="133">
        <f>IF(A37&gt;$B$15,IF(I37&gt;Helper_calcs!$B$27,23,3),0)</f>
        <v>0</v>
      </c>
      <c r="L37">
        <f t="shared" si="1"/>
        <v>0</v>
      </c>
      <c r="M37">
        <f t="shared" si="4"/>
        <v>0</v>
      </c>
      <c r="N37" s="132">
        <f t="shared" si="5"/>
        <v>0.96</v>
      </c>
      <c r="O37" s="132">
        <f t="shared" si="6"/>
        <v>5</v>
      </c>
      <c r="P37" s="134">
        <f>IF(OR(M37=0,M37=3),loop_gain!$B$18,IF(Current_limit!M37=1,Current_limit!$B$12/(2*(Current_limit!N37-Helper_calcs!$B$27)),IF(OR(M37=2,M37=23),(Main!$B$19-Current_limit!O37)*Current_limit!O37/(Main!$B$19*loop_gain!$B$17*(Helper_calcs!$B$26-Helper_calcs!$B$27)),x)))</f>
        <v>2100000</v>
      </c>
      <c r="Q37" s="132"/>
    </row>
    <row r="38" spans="1:17" x14ac:dyDescent="0.3">
      <c r="A38">
        <f t="shared" si="8"/>
        <v>0.97</v>
      </c>
      <c r="B38">
        <f>Main!$B$20/A38</f>
        <v>5.1546391752577323</v>
      </c>
      <c r="D38" s="132">
        <f t="shared" si="0"/>
        <v>5.1546391752577323</v>
      </c>
      <c r="E38" s="132">
        <f>-B38*Main!$B$19-2*Main!$B$19*loop_gain!$B$17*loop_gain!$B$18</f>
        <v>-137.45567010309281</v>
      </c>
      <c r="F38" s="132">
        <f>2*Main!$B$19*loop_gain!$B$17*loop_gain!$B$18*Helper_calcs!$B$26*Current_limit!B38</f>
        <v>1500.3092783505158</v>
      </c>
      <c r="G38" s="132" t="e">
        <f t="shared" si="2"/>
        <v>#NUM!</v>
      </c>
      <c r="H38" s="132" t="e">
        <f>(Main!$B$19-Current_limit!G38)*Current_limit!G38/(Main!$B$19*loop_gain!$B$17*loop_gain!$B$18)</f>
        <v>#NUM!</v>
      </c>
      <c r="I38" s="132" t="e">
        <f t="shared" si="3"/>
        <v>#NUM!</v>
      </c>
      <c r="J38" s="132"/>
      <c r="K38" s="133">
        <f>IF(A38&gt;$B$15,IF(I38&gt;Helper_calcs!$B$27,23,3),0)</f>
        <v>0</v>
      </c>
      <c r="L38">
        <f t="shared" si="1"/>
        <v>0</v>
      </c>
      <c r="M38">
        <f t="shared" si="4"/>
        <v>0</v>
      </c>
      <c r="N38" s="132">
        <f t="shared" si="5"/>
        <v>0.97</v>
      </c>
      <c r="O38" s="132">
        <f t="shared" si="6"/>
        <v>5</v>
      </c>
      <c r="P38" s="134">
        <f>IF(OR(M38=0,M38=3),loop_gain!$B$18,IF(Current_limit!M38=1,Current_limit!$B$12/(2*(Current_limit!N38-Helper_calcs!$B$27)),IF(OR(M38=2,M38=23),(Main!$B$19-Current_limit!O38)*Current_limit!O38/(Main!$B$19*loop_gain!$B$17*(Helper_calcs!$B$26-Helper_calcs!$B$27)),x)))</f>
        <v>2100000</v>
      </c>
      <c r="Q38" s="132"/>
    </row>
    <row r="39" spans="1:17" x14ac:dyDescent="0.3">
      <c r="A39">
        <f t="shared" si="8"/>
        <v>0.98</v>
      </c>
      <c r="B39">
        <f>Main!$B$20/A39</f>
        <v>5.1020408163265305</v>
      </c>
      <c r="D39" s="132">
        <f t="shared" si="0"/>
        <v>5.1020408163265305</v>
      </c>
      <c r="E39" s="132">
        <f>-B39*Main!$B$19-2*Main!$B$19*loop_gain!$B$17*loop_gain!$B$18</f>
        <v>-136.82448979591837</v>
      </c>
      <c r="F39" s="132">
        <f>2*Main!$B$19*loop_gain!$B$17*loop_gain!$B$18*Helper_calcs!$B$26*Current_limit!B39</f>
        <v>1485.0000000000002</v>
      </c>
      <c r="G39" s="132" t="e">
        <f t="shared" si="2"/>
        <v>#NUM!</v>
      </c>
      <c r="H39" s="132" t="e">
        <f>(Main!$B$19-Current_limit!G39)*Current_limit!G39/(Main!$B$19*loop_gain!$B$17*loop_gain!$B$18)</f>
        <v>#NUM!</v>
      </c>
      <c r="I39" s="132" t="e">
        <f t="shared" si="3"/>
        <v>#NUM!</v>
      </c>
      <c r="J39" s="132"/>
      <c r="K39" s="133">
        <f>IF(A39&gt;$B$15,IF(I39&gt;Helper_calcs!$B$27,23,3),0)</f>
        <v>0</v>
      </c>
      <c r="L39">
        <f t="shared" si="1"/>
        <v>0</v>
      </c>
      <c r="M39">
        <f t="shared" si="4"/>
        <v>0</v>
      </c>
      <c r="N39" s="132">
        <f t="shared" si="5"/>
        <v>0.98</v>
      </c>
      <c r="O39" s="132">
        <f t="shared" si="6"/>
        <v>5</v>
      </c>
      <c r="P39" s="134">
        <f>IF(OR(M39=0,M39=3),loop_gain!$B$18,IF(Current_limit!M39=1,Current_limit!$B$12/(2*(Current_limit!N39-Helper_calcs!$B$27)),IF(OR(M39=2,M39=23),(Main!$B$19-Current_limit!O39)*Current_limit!O39/(Main!$B$19*loop_gain!$B$17*(Helper_calcs!$B$26-Helper_calcs!$B$27)),x)))</f>
        <v>2100000</v>
      </c>
      <c r="Q39" s="132"/>
    </row>
    <row r="40" spans="1:17" x14ac:dyDescent="0.3">
      <c r="A40">
        <f t="shared" si="8"/>
        <v>0.99</v>
      </c>
      <c r="B40">
        <f>Main!$B$20/A40</f>
        <v>5.0505050505050502</v>
      </c>
      <c r="D40" s="132">
        <f t="shared" si="0"/>
        <v>5.0505050505050502</v>
      </c>
      <c r="E40" s="132">
        <f>-B40*Main!$B$19-2*Main!$B$19*loop_gain!$B$17*loop_gain!$B$18</f>
        <v>-136.20606060606062</v>
      </c>
      <c r="F40" s="132">
        <f>2*Main!$B$19*loop_gain!$B$17*loop_gain!$B$18*Helper_calcs!$B$26*Current_limit!B40</f>
        <v>1470.0000000000002</v>
      </c>
      <c r="G40" s="132" t="e">
        <f t="shared" si="2"/>
        <v>#NUM!</v>
      </c>
      <c r="H40" s="132" t="e">
        <f>(Main!$B$19-Current_limit!G40)*Current_limit!G40/(Main!$B$19*loop_gain!$B$17*loop_gain!$B$18)</f>
        <v>#NUM!</v>
      </c>
      <c r="I40" s="132" t="e">
        <f t="shared" si="3"/>
        <v>#NUM!</v>
      </c>
      <c r="J40" s="132"/>
      <c r="K40" s="133">
        <f>IF(A40&gt;$B$15,IF(I40&gt;Helper_calcs!$B$27,23,3),0)</f>
        <v>0</v>
      </c>
      <c r="L40">
        <f t="shared" si="1"/>
        <v>0</v>
      </c>
      <c r="M40">
        <f t="shared" si="4"/>
        <v>0</v>
      </c>
      <c r="N40" s="132">
        <f t="shared" si="5"/>
        <v>0.99</v>
      </c>
      <c r="O40" s="132">
        <f t="shared" si="6"/>
        <v>5</v>
      </c>
      <c r="P40" s="134">
        <f>IF(OR(M40=0,M40=3),loop_gain!$B$18,IF(Current_limit!M40=1,Current_limit!$B$12/(2*(Current_limit!N40-Helper_calcs!$B$27)),IF(OR(M40=2,M40=23),(Main!$B$19-Current_limit!O40)*Current_limit!O40/(Main!$B$19*loop_gain!$B$17*(Helper_calcs!$B$26-Helper_calcs!$B$27)),x)))</f>
        <v>2100000</v>
      </c>
      <c r="Q40" s="132"/>
    </row>
    <row r="41" spans="1:17" x14ac:dyDescent="0.3">
      <c r="A41">
        <f t="shared" si="8"/>
        <v>1</v>
      </c>
      <c r="B41">
        <f>Main!$B$20/A41</f>
        <v>5</v>
      </c>
      <c r="D41" s="132">
        <f t="shared" si="0"/>
        <v>5</v>
      </c>
      <c r="E41" s="132">
        <f>-B41*Main!$B$19-2*Main!$B$19*loop_gain!$B$17*loop_gain!$B$18</f>
        <v>-135.60000000000002</v>
      </c>
      <c r="F41" s="132">
        <f>2*Main!$B$19*loop_gain!$B$17*loop_gain!$B$18*Helper_calcs!$B$26*Current_limit!B41</f>
        <v>1455.3000000000002</v>
      </c>
      <c r="G41" s="132" t="e">
        <f t="shared" si="2"/>
        <v>#NUM!</v>
      </c>
      <c r="H41" s="132" t="e">
        <f>(Main!$B$19-Current_limit!G41)*Current_limit!G41/(Main!$B$19*loop_gain!$B$17*loop_gain!$B$18)</f>
        <v>#NUM!</v>
      </c>
      <c r="I41" s="132" t="e">
        <f t="shared" si="3"/>
        <v>#NUM!</v>
      </c>
      <c r="J41" s="132"/>
      <c r="K41" s="133">
        <f>IF(A41&gt;$B$15,IF(I41&gt;Helper_calcs!$B$27,23,3),0)</f>
        <v>0</v>
      </c>
      <c r="L41">
        <f t="shared" si="1"/>
        <v>0</v>
      </c>
      <c r="M41">
        <f t="shared" si="4"/>
        <v>0</v>
      </c>
      <c r="N41" s="132">
        <f t="shared" si="5"/>
        <v>1</v>
      </c>
      <c r="O41" s="132">
        <f t="shared" si="6"/>
        <v>5</v>
      </c>
      <c r="P41" s="134">
        <f>IF(OR(M41=0,M41=3),loop_gain!$B$18,IF(Current_limit!M41=1,Current_limit!$B$12/(2*(Current_limit!N41-Helper_calcs!$B$27)),IF(OR(M41=2,M41=23),(Main!$B$19-Current_limit!O41)*Current_limit!O41/(Main!$B$19*loop_gain!$B$17*(Helper_calcs!$B$26-Helper_calcs!$B$27)),x)))</f>
        <v>2100000</v>
      </c>
      <c r="Q41" s="132"/>
    </row>
    <row r="42" spans="1:17" x14ac:dyDescent="0.3">
      <c r="A42">
        <f t="shared" si="8"/>
        <v>1.01</v>
      </c>
      <c r="B42">
        <f>Main!$B$20/A42</f>
        <v>4.9504950495049505</v>
      </c>
      <c r="D42" s="132">
        <f t="shared" si="0"/>
        <v>4.9504950495049505</v>
      </c>
      <c r="E42" s="132">
        <f>-B42*Main!$B$19-2*Main!$B$19*loop_gain!$B$17*loop_gain!$B$18</f>
        <v>-135.00594059405941</v>
      </c>
      <c r="F42" s="132">
        <f>2*Main!$B$19*loop_gain!$B$17*loop_gain!$B$18*Helper_calcs!$B$26*Current_limit!B42</f>
        <v>1440.8910891089113</v>
      </c>
      <c r="G42" s="132" t="e">
        <f t="shared" si="2"/>
        <v>#NUM!</v>
      </c>
      <c r="H42" s="132" t="e">
        <f>(Main!$B$19-Current_limit!G42)*Current_limit!G42/(Main!$B$19*loop_gain!$B$17*loop_gain!$B$18)</f>
        <v>#NUM!</v>
      </c>
      <c r="I42" s="132" t="e">
        <f t="shared" si="3"/>
        <v>#NUM!</v>
      </c>
      <c r="J42" s="132"/>
      <c r="K42" s="133">
        <f>IF(A42&gt;$B$15,IF(I42&gt;Helper_calcs!$B$27,23,3),0)</f>
        <v>0</v>
      </c>
      <c r="L42">
        <f t="shared" si="1"/>
        <v>0</v>
      </c>
      <c r="M42">
        <f t="shared" si="4"/>
        <v>0</v>
      </c>
      <c r="N42" s="132">
        <f t="shared" si="5"/>
        <v>1.01</v>
      </c>
      <c r="O42" s="132">
        <f t="shared" si="6"/>
        <v>5</v>
      </c>
      <c r="P42" s="134">
        <f>IF(OR(M42=0,M42=3),loop_gain!$B$18,IF(Current_limit!M42=1,Current_limit!$B$12/(2*(Current_limit!N42-Helper_calcs!$B$27)),IF(OR(M42=2,M42=23),(Main!$B$19-Current_limit!O42)*Current_limit!O42/(Main!$B$19*loop_gain!$B$17*(Helper_calcs!$B$26-Helper_calcs!$B$27)),x)))</f>
        <v>2100000</v>
      </c>
      <c r="Q42" s="132"/>
    </row>
    <row r="43" spans="1:17" x14ac:dyDescent="0.3">
      <c r="A43">
        <f t="shared" si="8"/>
        <v>1.02</v>
      </c>
      <c r="B43">
        <f>Main!$B$20/A43</f>
        <v>4.9019607843137258</v>
      </c>
      <c r="D43" s="132">
        <f t="shared" si="0"/>
        <v>4.9019607843137258</v>
      </c>
      <c r="E43" s="132">
        <f>-B43*Main!$B$19-2*Main!$B$19*loop_gain!$B$17*loop_gain!$B$18</f>
        <v>-134.42352941176472</v>
      </c>
      <c r="F43" s="132">
        <f>2*Main!$B$19*loop_gain!$B$17*loop_gain!$B$18*Helper_calcs!$B$26*Current_limit!B43</f>
        <v>1426.7647058823534</v>
      </c>
      <c r="G43" s="132" t="e">
        <f t="shared" si="2"/>
        <v>#NUM!</v>
      </c>
      <c r="H43" s="132" t="e">
        <f>(Main!$B$19-Current_limit!G43)*Current_limit!G43/(Main!$B$19*loop_gain!$B$17*loop_gain!$B$18)</f>
        <v>#NUM!</v>
      </c>
      <c r="I43" s="132" t="e">
        <f t="shared" si="3"/>
        <v>#NUM!</v>
      </c>
      <c r="J43" s="132"/>
      <c r="K43" s="133">
        <f>IF(A43&gt;$B$15,IF(I43&gt;Helper_calcs!$B$27,23,3),0)</f>
        <v>0</v>
      </c>
      <c r="L43">
        <f t="shared" si="1"/>
        <v>0</v>
      </c>
      <c r="M43">
        <f t="shared" si="4"/>
        <v>0</v>
      </c>
      <c r="N43" s="132">
        <f t="shared" si="5"/>
        <v>1.02</v>
      </c>
      <c r="O43" s="132">
        <f t="shared" si="6"/>
        <v>5</v>
      </c>
      <c r="P43" s="134">
        <f>IF(OR(M43=0,M43=3),loop_gain!$B$18,IF(Current_limit!M43=1,Current_limit!$B$12/(2*(Current_limit!N43-Helper_calcs!$B$27)),IF(OR(M43=2,M43=23),(Main!$B$19-Current_limit!O43)*Current_limit!O43/(Main!$B$19*loop_gain!$B$17*(Helper_calcs!$B$26-Helper_calcs!$B$27)),x)))</f>
        <v>2100000</v>
      </c>
      <c r="Q43" s="132"/>
    </row>
    <row r="44" spans="1:17" x14ac:dyDescent="0.3">
      <c r="A44">
        <f t="shared" si="8"/>
        <v>1.03</v>
      </c>
      <c r="B44">
        <f>Main!$B$20/A44</f>
        <v>4.8543689320388346</v>
      </c>
      <c r="D44" s="132">
        <f t="shared" si="0"/>
        <v>4.8543689320388346</v>
      </c>
      <c r="E44" s="132">
        <f>-B44*Main!$B$19-2*Main!$B$19*loop_gain!$B$17*loop_gain!$B$18</f>
        <v>-133.85242718446602</v>
      </c>
      <c r="F44" s="132">
        <f>2*Main!$B$19*loop_gain!$B$17*loop_gain!$B$18*Helper_calcs!$B$26*Current_limit!B44</f>
        <v>1412.9126213592235</v>
      </c>
      <c r="G44" s="132" t="e">
        <f t="shared" si="2"/>
        <v>#NUM!</v>
      </c>
      <c r="H44" s="132" t="e">
        <f>(Main!$B$19-Current_limit!G44)*Current_limit!G44/(Main!$B$19*loop_gain!$B$17*loop_gain!$B$18)</f>
        <v>#NUM!</v>
      </c>
      <c r="I44" s="132" t="e">
        <f t="shared" si="3"/>
        <v>#NUM!</v>
      </c>
      <c r="J44" s="132"/>
      <c r="K44" s="133">
        <f>IF(A44&gt;$B$15,IF(I44&gt;Helper_calcs!$B$27,23,3),0)</f>
        <v>0</v>
      </c>
      <c r="L44">
        <f t="shared" si="1"/>
        <v>0</v>
      </c>
      <c r="M44">
        <f t="shared" si="4"/>
        <v>0</v>
      </c>
      <c r="N44" s="132">
        <f t="shared" si="5"/>
        <v>1.03</v>
      </c>
      <c r="O44" s="132">
        <f t="shared" si="6"/>
        <v>5</v>
      </c>
      <c r="P44" s="134">
        <f>IF(OR(M44=0,M44=3),loop_gain!$B$18,IF(Current_limit!M44=1,Current_limit!$B$12/(2*(Current_limit!N44-Helper_calcs!$B$27)),IF(OR(M44=2,M44=23),(Main!$B$19-Current_limit!O44)*Current_limit!O44/(Main!$B$19*loop_gain!$B$17*(Helper_calcs!$B$26-Helper_calcs!$B$27)),x)))</f>
        <v>2100000</v>
      </c>
      <c r="Q44" s="132"/>
    </row>
    <row r="45" spans="1:17" x14ac:dyDescent="0.3">
      <c r="A45">
        <f t="shared" si="8"/>
        <v>1.04</v>
      </c>
      <c r="B45">
        <f>Main!$B$20/A45</f>
        <v>4.8076923076923075</v>
      </c>
      <c r="D45" s="132">
        <f t="shared" si="0"/>
        <v>4.8076923076923075</v>
      </c>
      <c r="E45" s="132">
        <f>-B45*Main!$B$19-2*Main!$B$19*loop_gain!$B$17*loop_gain!$B$18</f>
        <v>-133.2923076923077</v>
      </c>
      <c r="F45" s="132">
        <f>2*Main!$B$19*loop_gain!$B$17*loop_gain!$B$18*Helper_calcs!$B$26*Current_limit!B45</f>
        <v>1399.3269230769233</v>
      </c>
      <c r="G45" s="132" t="e">
        <f t="shared" si="2"/>
        <v>#NUM!</v>
      </c>
      <c r="H45" s="132" t="e">
        <f>(Main!$B$19-Current_limit!G45)*Current_limit!G45/(Main!$B$19*loop_gain!$B$17*loop_gain!$B$18)</f>
        <v>#NUM!</v>
      </c>
      <c r="I45" s="132" t="e">
        <f t="shared" si="3"/>
        <v>#NUM!</v>
      </c>
      <c r="J45" s="132"/>
      <c r="K45" s="133">
        <f>IF(A45&gt;$B$15,IF(I45&gt;Helper_calcs!$B$27,23,3),0)</f>
        <v>0</v>
      </c>
      <c r="L45">
        <f t="shared" si="1"/>
        <v>0</v>
      </c>
      <c r="M45">
        <f t="shared" si="4"/>
        <v>0</v>
      </c>
      <c r="N45" s="132">
        <f t="shared" si="5"/>
        <v>1.04</v>
      </c>
      <c r="O45" s="132">
        <f t="shared" si="6"/>
        <v>5</v>
      </c>
      <c r="P45" s="134">
        <f>IF(OR(M45=0,M45=3),loop_gain!$B$18,IF(Current_limit!M45=1,Current_limit!$B$12/(2*(Current_limit!N45-Helper_calcs!$B$27)),IF(OR(M45=2,M45=23),(Main!$B$19-Current_limit!O45)*Current_limit!O45/(Main!$B$19*loop_gain!$B$17*(Helper_calcs!$B$26-Helper_calcs!$B$27)),x)))</f>
        <v>2100000</v>
      </c>
      <c r="Q45" s="132"/>
    </row>
    <row r="46" spans="1:17" x14ac:dyDescent="0.3">
      <c r="A46">
        <f t="shared" si="8"/>
        <v>1.05</v>
      </c>
      <c r="B46">
        <f>Main!$B$20/A46</f>
        <v>4.7619047619047619</v>
      </c>
      <c r="D46" s="132">
        <f t="shared" si="0"/>
        <v>4.7619047619047619</v>
      </c>
      <c r="E46" s="132">
        <f>-B46*Main!$B$19-2*Main!$B$19*loop_gain!$B$17*loop_gain!$B$18</f>
        <v>-132.74285714285713</v>
      </c>
      <c r="F46" s="132">
        <f>2*Main!$B$19*loop_gain!$B$17*loop_gain!$B$18*Helper_calcs!$B$26*Current_limit!B46</f>
        <v>1386.0000000000002</v>
      </c>
      <c r="G46" s="132" t="e">
        <f t="shared" si="2"/>
        <v>#NUM!</v>
      </c>
      <c r="H46" s="132" t="e">
        <f>(Main!$B$19-Current_limit!G46)*Current_limit!G46/(Main!$B$19*loop_gain!$B$17*loop_gain!$B$18)</f>
        <v>#NUM!</v>
      </c>
      <c r="I46" s="132" t="e">
        <f t="shared" si="3"/>
        <v>#NUM!</v>
      </c>
      <c r="J46" s="132"/>
      <c r="K46" s="133">
        <f>IF(A46&gt;$B$15,IF(I46&gt;Helper_calcs!$B$27,23,3),0)</f>
        <v>0</v>
      </c>
      <c r="L46">
        <f t="shared" si="1"/>
        <v>0</v>
      </c>
      <c r="M46">
        <f t="shared" si="4"/>
        <v>0</v>
      </c>
      <c r="N46" s="132">
        <f t="shared" si="5"/>
        <v>1.05</v>
      </c>
      <c r="O46" s="132">
        <f t="shared" si="6"/>
        <v>5</v>
      </c>
      <c r="P46" s="134">
        <f>IF(OR(M46=0,M46=3),loop_gain!$B$18,IF(Current_limit!M46=1,Current_limit!$B$12/(2*(Current_limit!N46-Helper_calcs!$B$27)),IF(OR(M46=2,M46=23),(Main!$B$19-Current_limit!O46)*Current_limit!O46/(Main!$B$19*loop_gain!$B$17*(Helper_calcs!$B$26-Helper_calcs!$B$27)),x)))</f>
        <v>2100000</v>
      </c>
      <c r="Q46" s="132"/>
    </row>
    <row r="47" spans="1:17" x14ac:dyDescent="0.3">
      <c r="A47">
        <f t="shared" si="8"/>
        <v>1.06</v>
      </c>
      <c r="B47">
        <f>Main!$B$20/A47</f>
        <v>4.7169811320754711</v>
      </c>
      <c r="D47" s="132">
        <f t="shared" si="0"/>
        <v>4.7169811320754711</v>
      </c>
      <c r="E47" s="132">
        <f>-B47*Main!$B$19-2*Main!$B$19*loop_gain!$B$17*loop_gain!$B$18</f>
        <v>-132.20377358490566</v>
      </c>
      <c r="F47" s="132">
        <f>2*Main!$B$19*loop_gain!$B$17*loop_gain!$B$18*Helper_calcs!$B$26*Current_limit!B47</f>
        <v>1372.924528301887</v>
      </c>
      <c r="G47" s="132" t="e">
        <f t="shared" si="2"/>
        <v>#NUM!</v>
      </c>
      <c r="H47" s="132" t="e">
        <f>(Main!$B$19-Current_limit!G47)*Current_limit!G47/(Main!$B$19*loop_gain!$B$17*loop_gain!$B$18)</f>
        <v>#NUM!</v>
      </c>
      <c r="I47" s="132" t="e">
        <f t="shared" si="3"/>
        <v>#NUM!</v>
      </c>
      <c r="J47" s="132"/>
      <c r="K47" s="133">
        <f>IF(A47&gt;$B$15,IF(I47&gt;Helper_calcs!$B$27,23,3),0)</f>
        <v>0</v>
      </c>
      <c r="L47">
        <f t="shared" si="1"/>
        <v>0</v>
      </c>
      <c r="M47">
        <f t="shared" si="4"/>
        <v>0</v>
      </c>
      <c r="N47" s="132">
        <f t="shared" si="5"/>
        <v>1.06</v>
      </c>
      <c r="O47" s="132">
        <f t="shared" si="6"/>
        <v>5</v>
      </c>
      <c r="P47" s="134">
        <f>IF(OR(M47=0,M47=3),loop_gain!$B$18,IF(Current_limit!M47=1,Current_limit!$B$12/(2*(Current_limit!N47-Helper_calcs!$B$27)),IF(OR(M47=2,M47=23),(Main!$B$19-Current_limit!O47)*Current_limit!O47/(Main!$B$19*loop_gain!$B$17*(Helper_calcs!$B$26-Helper_calcs!$B$27)),x)))</f>
        <v>2100000</v>
      </c>
      <c r="Q47" s="132"/>
    </row>
    <row r="48" spans="1:17" x14ac:dyDescent="0.3">
      <c r="A48">
        <f t="shared" si="8"/>
        <v>1.07</v>
      </c>
      <c r="B48">
        <f>Main!$B$20/A48</f>
        <v>4.6728971962616823</v>
      </c>
      <c r="D48" s="132">
        <f t="shared" si="0"/>
        <v>4.6728971962616823</v>
      </c>
      <c r="E48" s="132">
        <f>-B48*Main!$B$19-2*Main!$B$19*loop_gain!$B$17*loop_gain!$B$18</f>
        <v>-131.67476635514021</v>
      </c>
      <c r="F48" s="132">
        <f>2*Main!$B$19*loop_gain!$B$17*loop_gain!$B$18*Helper_calcs!$B$26*Current_limit!B48</f>
        <v>1360.0934579439256</v>
      </c>
      <c r="G48" s="132" t="e">
        <f t="shared" si="2"/>
        <v>#NUM!</v>
      </c>
      <c r="H48" s="132" t="e">
        <f>(Main!$B$19-Current_limit!G48)*Current_limit!G48/(Main!$B$19*loop_gain!$B$17*loop_gain!$B$18)</f>
        <v>#NUM!</v>
      </c>
      <c r="I48" s="132" t="e">
        <f t="shared" si="3"/>
        <v>#NUM!</v>
      </c>
      <c r="J48" s="132"/>
      <c r="K48" s="133">
        <f>IF(A48&gt;$B$15,IF(I48&gt;Helper_calcs!$B$27,23,3),0)</f>
        <v>0</v>
      </c>
      <c r="L48">
        <f t="shared" si="1"/>
        <v>0</v>
      </c>
      <c r="M48">
        <f t="shared" si="4"/>
        <v>0</v>
      </c>
      <c r="N48" s="132">
        <f t="shared" si="5"/>
        <v>1.07</v>
      </c>
      <c r="O48" s="132">
        <f t="shared" si="6"/>
        <v>5</v>
      </c>
      <c r="P48" s="134">
        <f>IF(OR(M48=0,M48=3),loop_gain!$B$18,IF(Current_limit!M48=1,Current_limit!$B$12/(2*(Current_limit!N48-Helper_calcs!$B$27)),IF(OR(M48=2,M48=23),(Main!$B$19-Current_limit!O48)*Current_limit!O48/(Main!$B$19*loop_gain!$B$17*(Helper_calcs!$B$26-Helper_calcs!$B$27)),x)))</f>
        <v>2100000</v>
      </c>
      <c r="Q48" s="132"/>
    </row>
    <row r="49" spans="1:17" x14ac:dyDescent="0.3">
      <c r="A49">
        <f t="shared" si="8"/>
        <v>1.08</v>
      </c>
      <c r="B49">
        <f>Main!$B$20/A49</f>
        <v>4.6296296296296298</v>
      </c>
      <c r="D49" s="132">
        <f t="shared" si="0"/>
        <v>4.6296296296296298</v>
      </c>
      <c r="E49" s="132">
        <f>-B49*Main!$B$19-2*Main!$B$19*loop_gain!$B$17*loop_gain!$B$18</f>
        <v>-131.15555555555557</v>
      </c>
      <c r="F49" s="132">
        <f>2*Main!$B$19*loop_gain!$B$17*loop_gain!$B$18*Helper_calcs!$B$26*Current_limit!B49</f>
        <v>1347.5000000000002</v>
      </c>
      <c r="G49" s="132" t="e">
        <f t="shared" si="2"/>
        <v>#NUM!</v>
      </c>
      <c r="H49" s="132" t="e">
        <f>(Main!$B$19-Current_limit!G49)*Current_limit!G49/(Main!$B$19*loop_gain!$B$17*loop_gain!$B$18)</f>
        <v>#NUM!</v>
      </c>
      <c r="I49" s="132" t="e">
        <f t="shared" si="3"/>
        <v>#NUM!</v>
      </c>
      <c r="J49" s="132"/>
      <c r="K49" s="133">
        <f>IF(A49&gt;$B$15,IF(I49&gt;Helper_calcs!$B$27,23,3),0)</f>
        <v>0</v>
      </c>
      <c r="L49">
        <f t="shared" si="1"/>
        <v>0</v>
      </c>
      <c r="M49">
        <f t="shared" si="4"/>
        <v>0</v>
      </c>
      <c r="N49" s="132">
        <f t="shared" si="5"/>
        <v>1.08</v>
      </c>
      <c r="O49" s="132">
        <f t="shared" si="6"/>
        <v>5.0000000000000009</v>
      </c>
      <c r="P49" s="134">
        <f>IF(OR(M49=0,M49=3),loop_gain!$B$18,IF(Current_limit!M49=1,Current_limit!$B$12/(2*(Current_limit!N49-Helper_calcs!$B$27)),IF(OR(M49=2,M49=23),(Main!$B$19-Current_limit!O49)*Current_limit!O49/(Main!$B$19*loop_gain!$B$17*(Helper_calcs!$B$26-Helper_calcs!$B$27)),x)))</f>
        <v>2100000</v>
      </c>
      <c r="Q49" s="132"/>
    </row>
    <row r="50" spans="1:17" x14ac:dyDescent="0.3">
      <c r="A50">
        <f t="shared" si="8"/>
        <v>1.0900000000000001</v>
      </c>
      <c r="B50">
        <f>Main!$B$20/A50</f>
        <v>4.5871559633027523</v>
      </c>
      <c r="D50" s="132">
        <f t="shared" si="0"/>
        <v>4.5871559633027523</v>
      </c>
      <c r="E50" s="132">
        <f>-B50*Main!$B$19-2*Main!$B$19*loop_gain!$B$17*loop_gain!$B$18</f>
        <v>-130.64587155963304</v>
      </c>
      <c r="F50" s="132">
        <f>2*Main!$B$19*loop_gain!$B$17*loop_gain!$B$18*Helper_calcs!$B$26*Current_limit!B50</f>
        <v>1335.1376146788994</v>
      </c>
      <c r="G50" s="132" t="e">
        <f t="shared" si="2"/>
        <v>#NUM!</v>
      </c>
      <c r="H50" s="132" t="e">
        <f>(Main!$B$19-Current_limit!G50)*Current_limit!G50/(Main!$B$19*loop_gain!$B$17*loop_gain!$B$18)</f>
        <v>#NUM!</v>
      </c>
      <c r="I50" s="132" t="e">
        <f t="shared" si="3"/>
        <v>#NUM!</v>
      </c>
      <c r="J50" s="132"/>
      <c r="K50" s="133">
        <f>IF(A50&gt;$B$15,IF(I50&gt;Helper_calcs!$B$27,23,3),0)</f>
        <v>0</v>
      </c>
      <c r="L50">
        <f t="shared" si="1"/>
        <v>0</v>
      </c>
      <c r="M50">
        <f t="shared" si="4"/>
        <v>0</v>
      </c>
      <c r="N50" s="132">
        <f t="shared" si="5"/>
        <v>1.0900000000000001</v>
      </c>
      <c r="O50" s="132">
        <f t="shared" si="6"/>
        <v>5</v>
      </c>
      <c r="P50" s="134">
        <f>IF(OR(M50=0,M50=3),loop_gain!$B$18,IF(Current_limit!M50=1,Current_limit!$B$12/(2*(Current_limit!N50-Helper_calcs!$B$27)),IF(OR(M50=2,M50=23),(Main!$B$19-Current_limit!O50)*Current_limit!O50/(Main!$B$19*loop_gain!$B$17*(Helper_calcs!$B$26-Helper_calcs!$B$27)),x)))</f>
        <v>2100000</v>
      </c>
      <c r="Q50" s="132"/>
    </row>
    <row r="51" spans="1:17" x14ac:dyDescent="0.3">
      <c r="A51">
        <f t="shared" si="8"/>
        <v>1.1000000000000001</v>
      </c>
      <c r="B51">
        <f>Main!$B$20/A51</f>
        <v>4.545454545454545</v>
      </c>
      <c r="D51" s="132">
        <f t="shared" si="0"/>
        <v>4.545454545454545</v>
      </c>
      <c r="E51" s="132">
        <f>-B51*Main!$B$19-2*Main!$B$19*loop_gain!$B$17*loop_gain!$B$18</f>
        <v>-130.14545454545456</v>
      </c>
      <c r="F51" s="132">
        <f>2*Main!$B$19*loop_gain!$B$17*loop_gain!$B$18*Helper_calcs!$B$26*Current_limit!B51</f>
        <v>1323.0000000000002</v>
      </c>
      <c r="G51" s="132" t="e">
        <f t="shared" si="2"/>
        <v>#NUM!</v>
      </c>
      <c r="H51" s="132" t="e">
        <f>(Main!$B$19-Current_limit!G51)*Current_limit!G51/(Main!$B$19*loop_gain!$B$17*loop_gain!$B$18)</f>
        <v>#NUM!</v>
      </c>
      <c r="I51" s="132" t="e">
        <f t="shared" si="3"/>
        <v>#NUM!</v>
      </c>
      <c r="J51" s="132"/>
      <c r="K51" s="133">
        <f>IF(A51&gt;$B$15,IF(I51&gt;Helper_calcs!$B$27,23,3),0)</f>
        <v>0</v>
      </c>
      <c r="L51">
        <f t="shared" si="1"/>
        <v>0</v>
      </c>
      <c r="M51">
        <f t="shared" si="4"/>
        <v>0</v>
      </c>
      <c r="N51" s="132">
        <f t="shared" si="5"/>
        <v>1.1000000000000001</v>
      </c>
      <c r="O51" s="132">
        <f t="shared" si="6"/>
        <v>5</v>
      </c>
      <c r="P51" s="134">
        <f>IF(OR(M51=0,M51=3),loop_gain!$B$18,IF(Current_limit!M51=1,Current_limit!$B$12/(2*(Current_limit!N51-Helper_calcs!$B$27)),IF(OR(M51=2,M51=23),(Main!$B$19-Current_limit!O51)*Current_limit!O51/(Main!$B$19*loop_gain!$B$17*(Helper_calcs!$B$26-Helper_calcs!$B$27)),x)))</f>
        <v>2100000</v>
      </c>
      <c r="Q51" s="132"/>
    </row>
    <row r="52" spans="1:17" x14ac:dyDescent="0.3">
      <c r="A52">
        <f t="shared" si="8"/>
        <v>1.1100000000000001</v>
      </c>
      <c r="B52">
        <f>Main!$B$20/A52</f>
        <v>4.5045045045045038</v>
      </c>
      <c r="D52" s="132">
        <f t="shared" si="0"/>
        <v>4.5045045045045038</v>
      </c>
      <c r="E52" s="132">
        <f>-B52*Main!$B$19-2*Main!$B$19*loop_gain!$B$17*loop_gain!$B$18</f>
        <v>-129.65405405405406</v>
      </c>
      <c r="F52" s="132">
        <f>2*Main!$B$19*loop_gain!$B$17*loop_gain!$B$18*Helper_calcs!$B$26*Current_limit!B52</f>
        <v>1311.081081081081</v>
      </c>
      <c r="G52" s="132" t="e">
        <f t="shared" si="2"/>
        <v>#NUM!</v>
      </c>
      <c r="H52" s="132" t="e">
        <f>(Main!$B$19-Current_limit!G52)*Current_limit!G52/(Main!$B$19*loop_gain!$B$17*loop_gain!$B$18)</f>
        <v>#NUM!</v>
      </c>
      <c r="I52" s="132" t="e">
        <f t="shared" si="3"/>
        <v>#NUM!</v>
      </c>
      <c r="J52" s="132"/>
      <c r="K52" s="133">
        <f>IF(A52&gt;$B$15,IF(I52&gt;Helper_calcs!$B$27,23,3),0)</f>
        <v>0</v>
      </c>
      <c r="L52">
        <f t="shared" si="1"/>
        <v>0</v>
      </c>
      <c r="M52">
        <f t="shared" si="4"/>
        <v>0</v>
      </c>
      <c r="N52" s="132">
        <f t="shared" si="5"/>
        <v>1.1100000000000001</v>
      </c>
      <c r="O52" s="132">
        <f t="shared" si="6"/>
        <v>5</v>
      </c>
      <c r="P52" s="134">
        <f>IF(OR(M52=0,M52=3),loop_gain!$B$18,IF(Current_limit!M52=1,Current_limit!$B$12/(2*(Current_limit!N52-Helper_calcs!$B$27)),IF(OR(M52=2,M52=23),(Main!$B$19-Current_limit!O52)*Current_limit!O52/(Main!$B$19*loop_gain!$B$17*(Helper_calcs!$B$26-Helper_calcs!$B$27)),x)))</f>
        <v>2100000</v>
      </c>
      <c r="Q52" s="132"/>
    </row>
    <row r="53" spans="1:17" x14ac:dyDescent="0.3">
      <c r="A53">
        <f t="shared" si="8"/>
        <v>1.1200000000000001</v>
      </c>
      <c r="B53">
        <f>Main!$B$20/A53</f>
        <v>4.4642857142857135</v>
      </c>
      <c r="D53" s="132">
        <f t="shared" si="0"/>
        <v>4.4642857142857135</v>
      </c>
      <c r="E53" s="132">
        <f>-B53*Main!$B$19-2*Main!$B$19*loop_gain!$B$17*loop_gain!$B$18</f>
        <v>-129.17142857142858</v>
      </c>
      <c r="F53" s="132">
        <f>2*Main!$B$19*loop_gain!$B$17*loop_gain!$B$18*Helper_calcs!$B$26*Current_limit!B53</f>
        <v>1299.375</v>
      </c>
      <c r="G53" s="132" t="e">
        <f t="shared" si="2"/>
        <v>#NUM!</v>
      </c>
      <c r="H53" s="132" t="e">
        <f>(Main!$B$19-Current_limit!G53)*Current_limit!G53/(Main!$B$19*loop_gain!$B$17*loop_gain!$B$18)</f>
        <v>#NUM!</v>
      </c>
      <c r="I53" s="132" t="e">
        <f t="shared" si="3"/>
        <v>#NUM!</v>
      </c>
      <c r="J53" s="132"/>
      <c r="K53" s="133">
        <f>IF(A53&gt;$B$15,IF(I53&gt;Helper_calcs!$B$27,23,3),0)</f>
        <v>0</v>
      </c>
      <c r="L53">
        <f t="shared" si="1"/>
        <v>0</v>
      </c>
      <c r="M53">
        <f t="shared" si="4"/>
        <v>0</v>
      </c>
      <c r="N53" s="132">
        <f t="shared" si="5"/>
        <v>1.1200000000000001</v>
      </c>
      <c r="O53" s="132">
        <f t="shared" si="6"/>
        <v>5</v>
      </c>
      <c r="P53" s="134">
        <f>IF(OR(M53=0,M53=3),loop_gain!$B$18,IF(Current_limit!M53=1,Current_limit!$B$12/(2*(Current_limit!N53-Helper_calcs!$B$27)),IF(OR(M53=2,M53=23),(Main!$B$19-Current_limit!O53)*Current_limit!O53/(Main!$B$19*loop_gain!$B$17*(Helper_calcs!$B$26-Helper_calcs!$B$27)),x)))</f>
        <v>2100000</v>
      </c>
      <c r="Q53" s="132"/>
    </row>
    <row r="54" spans="1:17" x14ac:dyDescent="0.3">
      <c r="A54">
        <f t="shared" si="8"/>
        <v>1.1300000000000001</v>
      </c>
      <c r="B54">
        <f>Main!$B$20/A54</f>
        <v>4.4247787610619467</v>
      </c>
      <c r="D54" s="132">
        <f t="shared" si="0"/>
        <v>4.4247787610619467</v>
      </c>
      <c r="E54" s="132">
        <f>-B54*Main!$B$19-2*Main!$B$19*loop_gain!$B$17*loop_gain!$B$18</f>
        <v>-128.69734513274335</v>
      </c>
      <c r="F54" s="132">
        <f>2*Main!$B$19*loop_gain!$B$17*loop_gain!$B$18*Helper_calcs!$B$26*Current_limit!B54</f>
        <v>1287.8761061946905</v>
      </c>
      <c r="G54" s="132" t="e">
        <f t="shared" si="2"/>
        <v>#NUM!</v>
      </c>
      <c r="H54" s="132" t="e">
        <f>(Main!$B$19-Current_limit!G54)*Current_limit!G54/(Main!$B$19*loop_gain!$B$17*loop_gain!$B$18)</f>
        <v>#NUM!</v>
      </c>
      <c r="I54" s="132" t="e">
        <f t="shared" si="3"/>
        <v>#NUM!</v>
      </c>
      <c r="J54" s="132"/>
      <c r="K54" s="133">
        <f>IF(A54&gt;$B$15,IF(I54&gt;Helper_calcs!$B$27,23,3),0)</f>
        <v>0</v>
      </c>
      <c r="L54">
        <f t="shared" si="1"/>
        <v>0</v>
      </c>
      <c r="M54">
        <f t="shared" si="4"/>
        <v>0</v>
      </c>
      <c r="N54" s="132">
        <f t="shared" si="5"/>
        <v>1.1300000000000001</v>
      </c>
      <c r="O54" s="132">
        <f t="shared" si="6"/>
        <v>5</v>
      </c>
      <c r="P54" s="134">
        <f>IF(OR(M54=0,M54=3),loop_gain!$B$18,IF(Current_limit!M54=1,Current_limit!$B$12/(2*(Current_limit!N54-Helper_calcs!$B$27)),IF(OR(M54=2,M54=23),(Main!$B$19-Current_limit!O54)*Current_limit!O54/(Main!$B$19*loop_gain!$B$17*(Helper_calcs!$B$26-Helper_calcs!$B$27)),x)))</f>
        <v>2100000</v>
      </c>
      <c r="Q54" s="132"/>
    </row>
    <row r="55" spans="1:17" x14ac:dyDescent="0.3">
      <c r="A55">
        <f t="shared" si="8"/>
        <v>1.1400000000000001</v>
      </c>
      <c r="B55">
        <f>Main!$B$20/A55</f>
        <v>4.3859649122807012</v>
      </c>
      <c r="D55" s="132">
        <f t="shared" si="0"/>
        <v>4.3859649122807012</v>
      </c>
      <c r="E55" s="132">
        <f>-B55*Main!$B$19-2*Main!$B$19*loop_gain!$B$17*loop_gain!$B$18</f>
        <v>-128.2315789473684</v>
      </c>
      <c r="F55" s="132">
        <f>2*Main!$B$19*loop_gain!$B$17*loop_gain!$B$18*Helper_calcs!$B$26*Current_limit!B55</f>
        <v>1276.578947368421</v>
      </c>
      <c r="G55" s="132" t="e">
        <f t="shared" si="2"/>
        <v>#NUM!</v>
      </c>
      <c r="H55" s="132" t="e">
        <f>(Main!$B$19-Current_limit!G55)*Current_limit!G55/(Main!$B$19*loop_gain!$B$17*loop_gain!$B$18)</f>
        <v>#NUM!</v>
      </c>
      <c r="I55" s="132" t="e">
        <f t="shared" si="3"/>
        <v>#NUM!</v>
      </c>
      <c r="J55" s="132"/>
      <c r="K55" s="133">
        <f>IF(A55&gt;$B$15,IF(I55&gt;Helper_calcs!$B$27,23,3),0)</f>
        <v>0</v>
      </c>
      <c r="L55">
        <f t="shared" si="1"/>
        <v>0</v>
      </c>
      <c r="M55">
        <f t="shared" si="4"/>
        <v>0</v>
      </c>
      <c r="N55" s="132">
        <f t="shared" si="5"/>
        <v>1.1400000000000001</v>
      </c>
      <c r="O55" s="132">
        <f t="shared" si="6"/>
        <v>5</v>
      </c>
      <c r="P55" s="134">
        <f>IF(OR(M55=0,M55=3),loop_gain!$B$18,IF(Current_limit!M55=1,Current_limit!$B$12/(2*(Current_limit!N55-Helper_calcs!$B$27)),IF(OR(M55=2,M55=23),(Main!$B$19-Current_limit!O55)*Current_limit!O55/(Main!$B$19*loop_gain!$B$17*(Helper_calcs!$B$26-Helper_calcs!$B$27)),x)))</f>
        <v>2100000</v>
      </c>
      <c r="Q55" s="132"/>
    </row>
    <row r="56" spans="1:17" x14ac:dyDescent="0.3">
      <c r="A56">
        <f t="shared" si="8"/>
        <v>1.1500000000000001</v>
      </c>
      <c r="B56">
        <f>Main!$B$20/A56</f>
        <v>4.3478260869565215</v>
      </c>
      <c r="D56" s="132">
        <f t="shared" si="0"/>
        <v>4.3478260869565215</v>
      </c>
      <c r="E56" s="132">
        <f>-B56*Main!$B$19-2*Main!$B$19*loop_gain!$B$17*loop_gain!$B$18</f>
        <v>-127.77391304347827</v>
      </c>
      <c r="F56" s="132">
        <f>2*Main!$B$19*loop_gain!$B$17*loop_gain!$B$18*Helper_calcs!$B$26*Current_limit!B56</f>
        <v>1265.4782608695655</v>
      </c>
      <c r="G56" s="132" t="e">
        <f t="shared" si="2"/>
        <v>#NUM!</v>
      </c>
      <c r="H56" s="132" t="e">
        <f>(Main!$B$19-Current_limit!G56)*Current_limit!G56/(Main!$B$19*loop_gain!$B$17*loop_gain!$B$18)</f>
        <v>#NUM!</v>
      </c>
      <c r="I56" s="132" t="e">
        <f t="shared" si="3"/>
        <v>#NUM!</v>
      </c>
      <c r="J56" s="132"/>
      <c r="K56" s="133">
        <f>IF(A56&gt;$B$15,IF(I56&gt;Helper_calcs!$B$27,23,3),0)</f>
        <v>0</v>
      </c>
      <c r="L56">
        <f t="shared" si="1"/>
        <v>0</v>
      </c>
      <c r="M56">
        <f t="shared" si="4"/>
        <v>0</v>
      </c>
      <c r="N56" s="132">
        <f t="shared" si="5"/>
        <v>1.1500000000000001</v>
      </c>
      <c r="O56" s="132">
        <f t="shared" si="6"/>
        <v>5</v>
      </c>
      <c r="P56" s="134">
        <f>IF(OR(M56=0,M56=3),loop_gain!$B$18,IF(Current_limit!M56=1,Current_limit!$B$12/(2*(Current_limit!N56-Helper_calcs!$B$27)),IF(OR(M56=2,M56=23),(Main!$B$19-Current_limit!O56)*Current_limit!O56/(Main!$B$19*loop_gain!$B$17*(Helper_calcs!$B$26-Helper_calcs!$B$27)),x)))</f>
        <v>2100000</v>
      </c>
      <c r="Q56" s="132"/>
    </row>
    <row r="57" spans="1:17" x14ac:dyDescent="0.3">
      <c r="A57">
        <f t="shared" si="8"/>
        <v>1.1600000000000001</v>
      </c>
      <c r="B57">
        <f>Main!$B$20/A57</f>
        <v>4.3103448275862064</v>
      </c>
      <c r="D57" s="132">
        <f t="shared" si="0"/>
        <v>4.3103448275862064</v>
      </c>
      <c r="E57" s="132">
        <f>-B57*Main!$B$19-2*Main!$B$19*loop_gain!$B$17*loop_gain!$B$18</f>
        <v>-127.32413793103449</v>
      </c>
      <c r="F57" s="132">
        <f>2*Main!$B$19*loop_gain!$B$17*loop_gain!$B$18*Helper_calcs!$B$26*Current_limit!B57</f>
        <v>1254.5689655172414</v>
      </c>
      <c r="G57" s="132" t="e">
        <f t="shared" si="2"/>
        <v>#NUM!</v>
      </c>
      <c r="H57" s="132" t="e">
        <f>(Main!$B$19-Current_limit!G57)*Current_limit!G57/(Main!$B$19*loop_gain!$B$17*loop_gain!$B$18)</f>
        <v>#NUM!</v>
      </c>
      <c r="I57" s="132" t="e">
        <f t="shared" si="3"/>
        <v>#NUM!</v>
      </c>
      <c r="J57" s="132"/>
      <c r="K57" s="133">
        <f>IF(A57&gt;$B$15,IF(I57&gt;Helper_calcs!$B$27,23,3),0)</f>
        <v>0</v>
      </c>
      <c r="L57">
        <f t="shared" si="1"/>
        <v>0</v>
      </c>
      <c r="M57">
        <f t="shared" si="4"/>
        <v>0</v>
      </c>
      <c r="N57" s="132">
        <f t="shared" si="5"/>
        <v>1.1600000000000001</v>
      </c>
      <c r="O57" s="132">
        <f t="shared" si="6"/>
        <v>5</v>
      </c>
      <c r="P57" s="134">
        <f>IF(OR(M57=0,M57=3),loop_gain!$B$18,IF(Current_limit!M57=1,Current_limit!$B$12/(2*(Current_limit!N57-Helper_calcs!$B$27)),IF(OR(M57=2,M57=23),(Main!$B$19-Current_limit!O57)*Current_limit!O57/(Main!$B$19*loop_gain!$B$17*(Helper_calcs!$B$26-Helper_calcs!$B$27)),x)))</f>
        <v>2100000</v>
      </c>
      <c r="Q57" s="132"/>
    </row>
    <row r="58" spans="1:17" x14ac:dyDescent="0.3">
      <c r="A58">
        <f t="shared" si="8"/>
        <v>1.1700000000000002</v>
      </c>
      <c r="B58">
        <f>Main!$B$20/A58</f>
        <v>4.2735042735042725</v>
      </c>
      <c r="D58" s="132">
        <f t="shared" si="0"/>
        <v>4.2735042735042725</v>
      </c>
      <c r="E58" s="132">
        <f>-B58*Main!$B$19-2*Main!$B$19*loop_gain!$B$17*loop_gain!$B$18</f>
        <v>-126.88205128205128</v>
      </c>
      <c r="F58" s="132">
        <f>2*Main!$B$19*loop_gain!$B$17*loop_gain!$B$18*Helper_calcs!$B$26*Current_limit!B58</f>
        <v>1243.8461538461538</v>
      </c>
      <c r="G58" s="132" t="e">
        <f t="shared" si="2"/>
        <v>#NUM!</v>
      </c>
      <c r="H58" s="132" t="e">
        <f>(Main!$B$19-Current_limit!G58)*Current_limit!G58/(Main!$B$19*loop_gain!$B$17*loop_gain!$B$18)</f>
        <v>#NUM!</v>
      </c>
      <c r="I58" s="132" t="e">
        <f t="shared" si="3"/>
        <v>#NUM!</v>
      </c>
      <c r="J58" s="132"/>
      <c r="K58" s="133">
        <f>IF(A58&gt;$B$15,IF(I58&gt;Helper_calcs!$B$27,23,3),0)</f>
        <v>0</v>
      </c>
      <c r="L58">
        <f t="shared" si="1"/>
        <v>0</v>
      </c>
      <c r="M58">
        <f t="shared" si="4"/>
        <v>0</v>
      </c>
      <c r="N58" s="132">
        <f t="shared" si="5"/>
        <v>1.1700000000000002</v>
      </c>
      <c r="O58" s="132">
        <f t="shared" si="6"/>
        <v>4.9999999999999991</v>
      </c>
      <c r="P58" s="134">
        <f>IF(OR(M58=0,M58=3),loop_gain!$B$18,IF(Current_limit!M58=1,Current_limit!$B$12/(2*(Current_limit!N58-Helper_calcs!$B$27)),IF(OR(M58=2,M58=23),(Main!$B$19-Current_limit!O58)*Current_limit!O58/(Main!$B$19*loop_gain!$B$17*(Helper_calcs!$B$26-Helper_calcs!$B$27)),x)))</f>
        <v>2100000</v>
      </c>
      <c r="Q58" s="132"/>
    </row>
    <row r="59" spans="1:17" x14ac:dyDescent="0.3">
      <c r="A59">
        <f t="shared" si="8"/>
        <v>1.1800000000000002</v>
      </c>
      <c r="B59">
        <f>Main!$B$20/A59</f>
        <v>4.2372881355932197</v>
      </c>
      <c r="D59" s="132">
        <f t="shared" si="0"/>
        <v>4.2372881355932197</v>
      </c>
      <c r="E59" s="132">
        <f>-B59*Main!$B$19-2*Main!$B$19*loop_gain!$B$17*loop_gain!$B$18</f>
        <v>-126.44745762711864</v>
      </c>
      <c r="F59" s="132">
        <f>2*Main!$B$19*loop_gain!$B$17*loop_gain!$B$18*Helper_calcs!$B$26*Current_limit!B59</f>
        <v>1233.3050847457628</v>
      </c>
      <c r="G59" s="132" t="e">
        <f t="shared" si="2"/>
        <v>#NUM!</v>
      </c>
      <c r="H59" s="132" t="e">
        <f>(Main!$B$19-Current_limit!G59)*Current_limit!G59/(Main!$B$19*loop_gain!$B$17*loop_gain!$B$18)</f>
        <v>#NUM!</v>
      </c>
      <c r="I59" s="132" t="e">
        <f t="shared" si="3"/>
        <v>#NUM!</v>
      </c>
      <c r="J59" s="132"/>
      <c r="K59" s="133">
        <f>IF(A59&gt;$B$15,IF(I59&gt;Helper_calcs!$B$27,23,3),0)</f>
        <v>0</v>
      </c>
      <c r="L59">
        <f t="shared" si="1"/>
        <v>0</v>
      </c>
      <c r="M59">
        <f t="shared" si="4"/>
        <v>0</v>
      </c>
      <c r="N59" s="132">
        <f t="shared" si="5"/>
        <v>1.1800000000000002</v>
      </c>
      <c r="O59" s="132">
        <f t="shared" si="6"/>
        <v>5</v>
      </c>
      <c r="P59" s="134">
        <f>IF(OR(M59=0,M59=3),loop_gain!$B$18,IF(Current_limit!M59=1,Current_limit!$B$12/(2*(Current_limit!N59-Helper_calcs!$B$27)),IF(OR(M59=2,M59=23),(Main!$B$19-Current_limit!O59)*Current_limit!O59/(Main!$B$19*loop_gain!$B$17*(Helper_calcs!$B$26-Helper_calcs!$B$27)),x)))</f>
        <v>2100000</v>
      </c>
      <c r="Q59" s="132"/>
    </row>
    <row r="60" spans="1:17" x14ac:dyDescent="0.3">
      <c r="A60">
        <f t="shared" si="8"/>
        <v>1.1900000000000002</v>
      </c>
      <c r="B60">
        <f>Main!$B$20/A60</f>
        <v>4.2016806722689068</v>
      </c>
      <c r="D60" s="132">
        <f t="shared" si="0"/>
        <v>4.2016806722689068</v>
      </c>
      <c r="E60" s="132">
        <f>-B60*Main!$B$19-2*Main!$B$19*loop_gain!$B$17*loop_gain!$B$18</f>
        <v>-126.02016806722689</v>
      </c>
      <c r="F60" s="132">
        <f>2*Main!$B$19*loop_gain!$B$17*loop_gain!$B$18*Helper_calcs!$B$26*Current_limit!B60</f>
        <v>1222.9411764705883</v>
      </c>
      <c r="G60" s="132" t="e">
        <f t="shared" si="2"/>
        <v>#NUM!</v>
      </c>
      <c r="H60" s="132" t="e">
        <f>(Main!$B$19-Current_limit!G60)*Current_limit!G60/(Main!$B$19*loop_gain!$B$17*loop_gain!$B$18)</f>
        <v>#NUM!</v>
      </c>
      <c r="I60" s="132" t="e">
        <f t="shared" si="3"/>
        <v>#NUM!</v>
      </c>
      <c r="J60" s="132"/>
      <c r="K60" s="133">
        <f>IF(A60&gt;$B$15,IF(I60&gt;Helper_calcs!$B$27,23,3),0)</f>
        <v>0</v>
      </c>
      <c r="L60">
        <f t="shared" si="1"/>
        <v>0</v>
      </c>
      <c r="M60">
        <f t="shared" si="4"/>
        <v>0</v>
      </c>
      <c r="N60" s="132">
        <f t="shared" si="5"/>
        <v>1.1900000000000002</v>
      </c>
      <c r="O60" s="132">
        <f t="shared" si="6"/>
        <v>5</v>
      </c>
      <c r="P60" s="134">
        <f>IF(OR(M60=0,M60=3),loop_gain!$B$18,IF(Current_limit!M60=1,Current_limit!$B$12/(2*(Current_limit!N60-Helper_calcs!$B$27)),IF(OR(M60=2,M60=23),(Main!$B$19-Current_limit!O60)*Current_limit!O60/(Main!$B$19*loop_gain!$B$17*(Helper_calcs!$B$26-Helper_calcs!$B$27)),x)))</f>
        <v>2100000</v>
      </c>
      <c r="Q60" s="132"/>
    </row>
    <row r="61" spans="1:17" x14ac:dyDescent="0.3">
      <c r="A61">
        <f t="shared" si="8"/>
        <v>1.2000000000000002</v>
      </c>
      <c r="B61">
        <f>Main!$B$20/A61</f>
        <v>4.1666666666666661</v>
      </c>
      <c r="D61" s="132">
        <f t="shared" si="0"/>
        <v>4.1666666666666661</v>
      </c>
      <c r="E61" s="132">
        <f>-B61*Main!$B$19-2*Main!$B$19*loop_gain!$B$17*loop_gain!$B$18</f>
        <v>-125.6</v>
      </c>
      <c r="F61" s="132">
        <f>2*Main!$B$19*loop_gain!$B$17*loop_gain!$B$18*Helper_calcs!$B$26*Current_limit!B61</f>
        <v>1212.75</v>
      </c>
      <c r="G61" s="132" t="e">
        <f t="shared" si="2"/>
        <v>#NUM!</v>
      </c>
      <c r="H61" s="132" t="e">
        <f>(Main!$B$19-Current_limit!G61)*Current_limit!G61/(Main!$B$19*loop_gain!$B$17*loop_gain!$B$18)</f>
        <v>#NUM!</v>
      </c>
      <c r="I61" s="132" t="e">
        <f t="shared" si="3"/>
        <v>#NUM!</v>
      </c>
      <c r="J61" s="132"/>
      <c r="K61" s="133">
        <f>IF(A61&gt;$B$15,IF(I61&gt;Helper_calcs!$B$27,23,3),0)</f>
        <v>0</v>
      </c>
      <c r="L61">
        <f t="shared" si="1"/>
        <v>0</v>
      </c>
      <c r="M61">
        <f t="shared" si="4"/>
        <v>0</v>
      </c>
      <c r="N61" s="132">
        <f t="shared" si="5"/>
        <v>1.2000000000000002</v>
      </c>
      <c r="O61" s="132">
        <f t="shared" si="6"/>
        <v>5</v>
      </c>
      <c r="P61" s="134">
        <f>IF(OR(M61=0,M61=3),loop_gain!$B$18,IF(Current_limit!M61=1,Current_limit!$B$12/(2*(Current_limit!N61-Helper_calcs!$B$27)),IF(OR(M61=2,M61=23),(Main!$B$19-Current_limit!O61)*Current_limit!O61/(Main!$B$19*loop_gain!$B$17*(Helper_calcs!$B$26-Helper_calcs!$B$27)),x)))</f>
        <v>2100000</v>
      </c>
      <c r="Q61" s="132"/>
    </row>
    <row r="62" spans="1:17" x14ac:dyDescent="0.3">
      <c r="A62">
        <f t="shared" si="8"/>
        <v>1.2100000000000002</v>
      </c>
      <c r="B62">
        <f>Main!$B$20/A62</f>
        <v>4.1322314049586772</v>
      </c>
      <c r="D62" s="132">
        <f t="shared" si="0"/>
        <v>4.1322314049586772</v>
      </c>
      <c r="E62" s="132">
        <f>-B62*Main!$B$19-2*Main!$B$19*loop_gain!$B$17*loop_gain!$B$18</f>
        <v>-125.18677685950414</v>
      </c>
      <c r="F62" s="132">
        <f>2*Main!$B$19*loop_gain!$B$17*loop_gain!$B$18*Helper_calcs!$B$26*Current_limit!B62</f>
        <v>1202.7272727272727</v>
      </c>
      <c r="G62" s="132" t="e">
        <f t="shared" si="2"/>
        <v>#NUM!</v>
      </c>
      <c r="H62" s="132" t="e">
        <f>(Main!$B$19-Current_limit!G62)*Current_limit!G62/(Main!$B$19*loop_gain!$B$17*loop_gain!$B$18)</f>
        <v>#NUM!</v>
      </c>
      <c r="I62" s="132" t="e">
        <f t="shared" si="3"/>
        <v>#NUM!</v>
      </c>
      <c r="J62" s="132"/>
      <c r="K62" s="133">
        <f>IF(A62&gt;$B$15,IF(I62&gt;Helper_calcs!$B$27,23,3),0)</f>
        <v>0</v>
      </c>
      <c r="L62">
        <f t="shared" si="1"/>
        <v>0</v>
      </c>
      <c r="M62">
        <f t="shared" si="4"/>
        <v>0</v>
      </c>
      <c r="N62" s="132">
        <f t="shared" si="5"/>
        <v>1.2100000000000002</v>
      </c>
      <c r="O62" s="132">
        <f t="shared" si="6"/>
        <v>5</v>
      </c>
      <c r="P62" s="134">
        <f>IF(OR(M62=0,M62=3),loop_gain!$B$18,IF(Current_limit!M62=1,Current_limit!$B$12/(2*(Current_limit!N62-Helper_calcs!$B$27)),IF(OR(M62=2,M62=23),(Main!$B$19-Current_limit!O62)*Current_limit!O62/(Main!$B$19*loop_gain!$B$17*(Helper_calcs!$B$26-Helper_calcs!$B$27)),x)))</f>
        <v>2100000</v>
      </c>
      <c r="Q62" s="132"/>
    </row>
    <row r="63" spans="1:17" x14ac:dyDescent="0.3">
      <c r="A63">
        <f t="shared" si="8"/>
        <v>1.2200000000000002</v>
      </c>
      <c r="B63">
        <f>Main!$B$20/A63</f>
        <v>4.0983606557377046</v>
      </c>
      <c r="D63" s="132">
        <f t="shared" si="0"/>
        <v>4.0983606557377046</v>
      </c>
      <c r="E63" s="132">
        <f>-B63*Main!$B$19-2*Main!$B$19*loop_gain!$B$17*loop_gain!$B$18</f>
        <v>-124.78032786885247</v>
      </c>
      <c r="F63" s="132">
        <f>2*Main!$B$19*loop_gain!$B$17*loop_gain!$B$18*Helper_calcs!$B$26*Current_limit!B63</f>
        <v>1192.8688524590166</v>
      </c>
      <c r="G63" s="132" t="e">
        <f t="shared" si="2"/>
        <v>#NUM!</v>
      </c>
      <c r="H63" s="132" t="e">
        <f>(Main!$B$19-Current_limit!G63)*Current_limit!G63/(Main!$B$19*loop_gain!$B$17*loop_gain!$B$18)</f>
        <v>#NUM!</v>
      </c>
      <c r="I63" s="132" t="e">
        <f t="shared" si="3"/>
        <v>#NUM!</v>
      </c>
      <c r="J63" s="132"/>
      <c r="K63" s="133">
        <f>IF(A63&gt;$B$15,IF(I63&gt;Helper_calcs!$B$27,23,3),0)</f>
        <v>0</v>
      </c>
      <c r="L63">
        <f t="shared" si="1"/>
        <v>0</v>
      </c>
      <c r="M63">
        <f t="shared" si="4"/>
        <v>0</v>
      </c>
      <c r="N63" s="132">
        <f t="shared" si="5"/>
        <v>1.2200000000000002</v>
      </c>
      <c r="O63" s="132">
        <f t="shared" si="6"/>
        <v>5</v>
      </c>
      <c r="P63" s="134">
        <f>IF(OR(M63=0,M63=3),loop_gain!$B$18,IF(Current_limit!M63=1,Current_limit!$B$12/(2*(Current_limit!N63-Helper_calcs!$B$27)),IF(OR(M63=2,M63=23),(Main!$B$19-Current_limit!O63)*Current_limit!O63/(Main!$B$19*loop_gain!$B$17*(Helper_calcs!$B$26-Helper_calcs!$B$27)),x)))</f>
        <v>2100000</v>
      </c>
      <c r="Q63" s="132"/>
    </row>
    <row r="64" spans="1:17" x14ac:dyDescent="0.3">
      <c r="A64">
        <f t="shared" si="8"/>
        <v>1.2300000000000002</v>
      </c>
      <c r="B64">
        <f>Main!$B$20/A64</f>
        <v>4.0650406504065035</v>
      </c>
      <c r="D64" s="132">
        <f t="shared" si="0"/>
        <v>4.0650406504065035</v>
      </c>
      <c r="E64" s="132">
        <f>-B64*Main!$B$19-2*Main!$B$19*loop_gain!$B$17*loop_gain!$B$18</f>
        <v>-124.38048780487804</v>
      </c>
      <c r="F64" s="132">
        <f>2*Main!$B$19*loop_gain!$B$17*loop_gain!$B$18*Helper_calcs!$B$26*Current_limit!B64</f>
        <v>1183.1707317073171</v>
      </c>
      <c r="G64" s="132" t="e">
        <f t="shared" si="2"/>
        <v>#NUM!</v>
      </c>
      <c r="H64" s="132" t="e">
        <f>(Main!$B$19-Current_limit!G64)*Current_limit!G64/(Main!$B$19*loop_gain!$B$17*loop_gain!$B$18)</f>
        <v>#NUM!</v>
      </c>
      <c r="I64" s="132" t="e">
        <f t="shared" si="3"/>
        <v>#NUM!</v>
      </c>
      <c r="J64" s="132"/>
      <c r="K64" s="133">
        <f>IF(A64&gt;$B$15,IF(I64&gt;Helper_calcs!$B$27,23,3),0)</f>
        <v>0</v>
      </c>
      <c r="L64">
        <f t="shared" si="1"/>
        <v>0</v>
      </c>
      <c r="M64">
        <f t="shared" si="4"/>
        <v>0</v>
      </c>
      <c r="N64" s="132">
        <f t="shared" si="5"/>
        <v>1.2300000000000002</v>
      </c>
      <c r="O64" s="132">
        <f t="shared" si="6"/>
        <v>5</v>
      </c>
      <c r="P64" s="134">
        <f>IF(OR(M64=0,M64=3),loop_gain!$B$18,IF(Current_limit!M64=1,Current_limit!$B$12/(2*(Current_limit!N64-Helper_calcs!$B$27)),IF(OR(M64=2,M64=23),(Main!$B$19-Current_limit!O64)*Current_limit!O64/(Main!$B$19*loop_gain!$B$17*(Helper_calcs!$B$26-Helper_calcs!$B$27)),x)))</f>
        <v>2100000</v>
      </c>
      <c r="Q64" s="132"/>
    </row>
    <row r="65" spans="1:17" x14ac:dyDescent="0.3">
      <c r="A65">
        <f t="shared" si="8"/>
        <v>1.2400000000000002</v>
      </c>
      <c r="B65">
        <f>Main!$B$20/A65</f>
        <v>4.0322580645161281</v>
      </c>
      <c r="D65" s="132">
        <f t="shared" si="0"/>
        <v>4.0322580645161281</v>
      </c>
      <c r="E65" s="132">
        <f>-B65*Main!$B$19-2*Main!$B$19*loop_gain!$B$17*loop_gain!$B$18</f>
        <v>-123.98709677419355</v>
      </c>
      <c r="F65" s="132">
        <f>2*Main!$B$19*loop_gain!$B$17*loop_gain!$B$18*Helper_calcs!$B$26*Current_limit!B65</f>
        <v>1173.6290322580644</v>
      </c>
      <c r="G65" s="132" t="e">
        <f t="shared" si="2"/>
        <v>#NUM!</v>
      </c>
      <c r="H65" s="132" t="e">
        <f>(Main!$B$19-Current_limit!G65)*Current_limit!G65/(Main!$B$19*loop_gain!$B$17*loop_gain!$B$18)</f>
        <v>#NUM!</v>
      </c>
      <c r="I65" s="132" t="e">
        <f t="shared" si="3"/>
        <v>#NUM!</v>
      </c>
      <c r="J65" s="132"/>
      <c r="K65" s="133">
        <f>IF(A65&gt;$B$15,IF(I65&gt;Helper_calcs!$B$27,23,3),0)</f>
        <v>0</v>
      </c>
      <c r="L65">
        <f t="shared" si="1"/>
        <v>0</v>
      </c>
      <c r="M65">
        <f t="shared" si="4"/>
        <v>0</v>
      </c>
      <c r="N65" s="132">
        <f t="shared" si="5"/>
        <v>1.2400000000000002</v>
      </c>
      <c r="O65" s="132">
        <f t="shared" si="6"/>
        <v>5</v>
      </c>
      <c r="P65" s="134">
        <f>IF(OR(M65=0,M65=3),loop_gain!$B$18,IF(Current_limit!M65=1,Current_limit!$B$12/(2*(Current_limit!N65-Helper_calcs!$B$27)),IF(OR(M65=2,M65=23),(Main!$B$19-Current_limit!O65)*Current_limit!O65/(Main!$B$19*loop_gain!$B$17*(Helper_calcs!$B$26-Helper_calcs!$B$27)),x)))</f>
        <v>2100000</v>
      </c>
      <c r="Q65" s="132"/>
    </row>
    <row r="66" spans="1:17" x14ac:dyDescent="0.3">
      <c r="A66">
        <f t="shared" si="8"/>
        <v>1.2500000000000002</v>
      </c>
      <c r="B66">
        <f>Main!$B$20/A66</f>
        <v>3.9999999999999991</v>
      </c>
      <c r="D66" s="132">
        <f t="shared" si="0"/>
        <v>3.9999999999999991</v>
      </c>
      <c r="E66" s="132">
        <f>-B66*Main!$B$19-2*Main!$B$19*loop_gain!$B$17*loop_gain!$B$18</f>
        <v>-123.6</v>
      </c>
      <c r="F66" s="132">
        <f>2*Main!$B$19*loop_gain!$B$17*loop_gain!$B$18*Helper_calcs!$B$26*Current_limit!B66</f>
        <v>1164.24</v>
      </c>
      <c r="G66" s="132" t="e">
        <f t="shared" si="2"/>
        <v>#NUM!</v>
      </c>
      <c r="H66" s="132" t="e">
        <f>(Main!$B$19-Current_limit!G66)*Current_limit!G66/(Main!$B$19*loop_gain!$B$17*loop_gain!$B$18)</f>
        <v>#NUM!</v>
      </c>
      <c r="I66" s="132" t="e">
        <f t="shared" si="3"/>
        <v>#NUM!</v>
      </c>
      <c r="J66" s="132"/>
      <c r="K66" s="133">
        <f>IF(A66&gt;$B$15,IF(I66&gt;Helper_calcs!$B$27,23,3),0)</f>
        <v>0</v>
      </c>
      <c r="L66">
        <f t="shared" si="1"/>
        <v>0</v>
      </c>
      <c r="M66">
        <f t="shared" si="4"/>
        <v>0</v>
      </c>
      <c r="N66" s="132">
        <f t="shared" si="5"/>
        <v>1.2500000000000002</v>
      </c>
      <c r="O66" s="132">
        <f t="shared" si="6"/>
        <v>5</v>
      </c>
      <c r="P66" s="134">
        <f>IF(OR(M66=0,M66=3),loop_gain!$B$18,IF(Current_limit!M66=1,Current_limit!$B$12/(2*(Current_limit!N66-Helper_calcs!$B$27)),IF(OR(M66=2,M66=23),(Main!$B$19-Current_limit!O66)*Current_limit!O66/(Main!$B$19*loop_gain!$B$17*(Helper_calcs!$B$26-Helper_calcs!$B$27)),x)))</f>
        <v>2100000</v>
      </c>
      <c r="Q66" s="132"/>
    </row>
    <row r="67" spans="1:17" x14ac:dyDescent="0.3">
      <c r="A67">
        <f t="shared" si="8"/>
        <v>1.2600000000000002</v>
      </c>
      <c r="B67">
        <f>Main!$B$20/A67</f>
        <v>3.9682539682539675</v>
      </c>
      <c r="D67" s="132">
        <f t="shared" si="0"/>
        <v>3.9682539682539675</v>
      </c>
      <c r="E67" s="132">
        <f>-B67*Main!$B$19-2*Main!$B$19*loop_gain!$B$17*loop_gain!$B$18</f>
        <v>-123.21904761904761</v>
      </c>
      <c r="F67" s="132">
        <f>2*Main!$B$19*loop_gain!$B$17*loop_gain!$B$18*Helper_calcs!$B$26*Current_limit!B67</f>
        <v>1155</v>
      </c>
      <c r="G67" s="132" t="e">
        <f t="shared" si="2"/>
        <v>#NUM!</v>
      </c>
      <c r="H67" s="132" t="e">
        <f>(Main!$B$19-Current_limit!G67)*Current_limit!G67/(Main!$B$19*loop_gain!$B$17*loop_gain!$B$18)</f>
        <v>#NUM!</v>
      </c>
      <c r="I67" s="132" t="e">
        <f t="shared" si="3"/>
        <v>#NUM!</v>
      </c>
      <c r="J67" s="132"/>
      <c r="K67" s="133">
        <f>IF(A67&gt;$B$15,IF(I67&gt;Helper_calcs!$B$27,23,3),0)</f>
        <v>0</v>
      </c>
      <c r="L67">
        <f t="shared" si="1"/>
        <v>0</v>
      </c>
      <c r="M67">
        <f t="shared" si="4"/>
        <v>0</v>
      </c>
      <c r="N67" s="132">
        <f t="shared" si="5"/>
        <v>1.2600000000000002</v>
      </c>
      <c r="O67" s="132">
        <f t="shared" si="6"/>
        <v>5</v>
      </c>
      <c r="P67" s="134">
        <f>IF(OR(M67=0,M67=3),loop_gain!$B$18,IF(Current_limit!M67=1,Current_limit!$B$12/(2*(Current_limit!N67-Helper_calcs!$B$27)),IF(OR(M67=2,M67=23),(Main!$B$19-Current_limit!O67)*Current_limit!O67/(Main!$B$19*loop_gain!$B$17*(Helper_calcs!$B$26-Helper_calcs!$B$27)),x)))</f>
        <v>2100000</v>
      </c>
      <c r="Q67" s="132"/>
    </row>
    <row r="68" spans="1:17" x14ac:dyDescent="0.3">
      <c r="A68">
        <f t="shared" si="8"/>
        <v>1.2700000000000002</v>
      </c>
      <c r="B68">
        <f>Main!$B$20/A68</f>
        <v>3.9370078740157473</v>
      </c>
      <c r="D68" s="132">
        <f t="shared" si="0"/>
        <v>3.9370078740157473</v>
      </c>
      <c r="E68" s="132">
        <f>-B68*Main!$B$19-2*Main!$B$19*loop_gain!$B$17*loop_gain!$B$18</f>
        <v>-122.84409448818897</v>
      </c>
      <c r="F68" s="132">
        <f>2*Main!$B$19*loop_gain!$B$17*loop_gain!$B$18*Helper_calcs!$B$26*Current_limit!B68</f>
        <v>1145.9055118110236</v>
      </c>
      <c r="G68" s="132" t="e">
        <f t="shared" si="2"/>
        <v>#NUM!</v>
      </c>
      <c r="H68" s="132" t="e">
        <f>(Main!$B$19-Current_limit!G68)*Current_limit!G68/(Main!$B$19*loop_gain!$B$17*loop_gain!$B$18)</f>
        <v>#NUM!</v>
      </c>
      <c r="I68" s="132" t="e">
        <f t="shared" si="3"/>
        <v>#NUM!</v>
      </c>
      <c r="J68" s="132"/>
      <c r="K68" s="133">
        <f>IF(A68&gt;$B$15,IF(I68&gt;Helper_calcs!$B$27,23,3),0)</f>
        <v>0</v>
      </c>
      <c r="L68">
        <f t="shared" si="1"/>
        <v>0</v>
      </c>
      <c r="M68">
        <f t="shared" si="4"/>
        <v>0</v>
      </c>
      <c r="N68" s="132">
        <f t="shared" si="5"/>
        <v>1.2700000000000002</v>
      </c>
      <c r="O68" s="132">
        <f t="shared" si="6"/>
        <v>5</v>
      </c>
      <c r="P68" s="134">
        <f>IF(OR(M68=0,M68=3),loop_gain!$B$18,IF(Current_limit!M68=1,Current_limit!$B$12/(2*(Current_limit!N68-Helper_calcs!$B$27)),IF(OR(M68=2,M68=23),(Main!$B$19-Current_limit!O68)*Current_limit!O68/(Main!$B$19*loop_gain!$B$17*(Helper_calcs!$B$26-Helper_calcs!$B$27)),x)))</f>
        <v>2100000</v>
      </c>
      <c r="Q68" s="132"/>
    </row>
    <row r="69" spans="1:17" x14ac:dyDescent="0.3">
      <c r="A69">
        <f t="shared" si="8"/>
        <v>1.2800000000000002</v>
      </c>
      <c r="B69">
        <f>Main!$B$20/A69</f>
        <v>3.9062499999999991</v>
      </c>
      <c r="D69" s="132">
        <f t="shared" si="0"/>
        <v>3.9062499999999991</v>
      </c>
      <c r="E69" s="132">
        <f>-B69*Main!$B$19-2*Main!$B$19*loop_gain!$B$17*loop_gain!$B$18</f>
        <v>-122.47499999999999</v>
      </c>
      <c r="F69" s="132">
        <f>2*Main!$B$19*loop_gain!$B$17*loop_gain!$B$18*Helper_calcs!$B$26*Current_limit!B69</f>
        <v>1136.953125</v>
      </c>
      <c r="G69" s="132" t="e">
        <f t="shared" si="2"/>
        <v>#NUM!</v>
      </c>
      <c r="H69" s="132" t="e">
        <f>(Main!$B$19-Current_limit!G69)*Current_limit!G69/(Main!$B$19*loop_gain!$B$17*loop_gain!$B$18)</f>
        <v>#NUM!</v>
      </c>
      <c r="I69" s="132" t="e">
        <f t="shared" si="3"/>
        <v>#NUM!</v>
      </c>
      <c r="J69" s="132"/>
      <c r="K69" s="133">
        <f>IF(A69&gt;$B$15,IF(I69&gt;Helper_calcs!$B$27,23,3),0)</f>
        <v>0</v>
      </c>
      <c r="L69">
        <f t="shared" si="1"/>
        <v>0</v>
      </c>
      <c r="M69">
        <f t="shared" si="4"/>
        <v>0</v>
      </c>
      <c r="N69" s="132">
        <f t="shared" si="5"/>
        <v>1.2800000000000002</v>
      </c>
      <c r="O69" s="132">
        <f t="shared" si="6"/>
        <v>5</v>
      </c>
      <c r="P69" s="134">
        <f>IF(OR(M69=0,M69=3),loop_gain!$B$18,IF(Current_limit!M69=1,Current_limit!$B$12/(2*(Current_limit!N69-Helper_calcs!$B$27)),IF(OR(M69=2,M69=23),(Main!$B$19-Current_limit!O69)*Current_limit!O69/(Main!$B$19*loop_gain!$B$17*(Helper_calcs!$B$26-Helper_calcs!$B$27)),x)))</f>
        <v>2100000</v>
      </c>
      <c r="Q69" s="132"/>
    </row>
    <row r="70" spans="1:17" x14ac:dyDescent="0.3">
      <c r="A70">
        <f t="shared" si="8"/>
        <v>1.2900000000000003</v>
      </c>
      <c r="B70">
        <f>Main!$B$20/A70</f>
        <v>3.8759689922480614</v>
      </c>
      <c r="D70" s="132">
        <f t="shared" si="0"/>
        <v>3.8759689922480614</v>
      </c>
      <c r="E70" s="132">
        <f>-B70*Main!$B$19-2*Main!$B$19*loop_gain!$B$17*loop_gain!$B$18</f>
        <v>-122.11162790697674</v>
      </c>
      <c r="F70" s="132">
        <f>2*Main!$B$19*loop_gain!$B$17*loop_gain!$B$18*Helper_calcs!$B$26*Current_limit!B70</f>
        <v>1128.1395348837209</v>
      </c>
      <c r="G70" s="132" t="e">
        <f t="shared" si="2"/>
        <v>#NUM!</v>
      </c>
      <c r="H70" s="132" t="e">
        <f>(Main!$B$19-Current_limit!G70)*Current_limit!G70/(Main!$B$19*loop_gain!$B$17*loop_gain!$B$18)</f>
        <v>#NUM!</v>
      </c>
      <c r="I70" s="132" t="e">
        <f t="shared" si="3"/>
        <v>#NUM!</v>
      </c>
      <c r="J70" s="132"/>
      <c r="K70" s="133">
        <f>IF(A70&gt;$B$15,IF(I70&gt;Helper_calcs!$B$27,23,3),0)</f>
        <v>0</v>
      </c>
      <c r="L70">
        <f t="shared" si="1"/>
        <v>0</v>
      </c>
      <c r="M70">
        <f t="shared" si="4"/>
        <v>0</v>
      </c>
      <c r="N70" s="132">
        <f t="shared" si="5"/>
        <v>1.2900000000000003</v>
      </c>
      <c r="O70" s="132">
        <f t="shared" si="6"/>
        <v>5</v>
      </c>
      <c r="P70" s="134">
        <f>IF(OR(M70=0,M70=3),loop_gain!$B$18,IF(Current_limit!M70=1,Current_limit!$B$12/(2*(Current_limit!N70-Helper_calcs!$B$27)),IF(OR(M70=2,M70=23),(Main!$B$19-Current_limit!O70)*Current_limit!O70/(Main!$B$19*loop_gain!$B$17*(Helper_calcs!$B$26-Helper_calcs!$B$27)),x)))</f>
        <v>2100000</v>
      </c>
      <c r="Q70" s="132"/>
    </row>
    <row r="71" spans="1:17" x14ac:dyDescent="0.3">
      <c r="A71">
        <f t="shared" si="8"/>
        <v>1.3000000000000003</v>
      </c>
      <c r="B71">
        <f>Main!$B$20/A71</f>
        <v>3.8461538461538454</v>
      </c>
      <c r="D71" s="132">
        <f t="shared" si="0"/>
        <v>3.8461538461538454</v>
      </c>
      <c r="E71" s="132">
        <f>-B71*Main!$B$19-2*Main!$B$19*loop_gain!$B$17*loop_gain!$B$18</f>
        <v>-121.75384615384615</v>
      </c>
      <c r="F71" s="132">
        <f>2*Main!$B$19*loop_gain!$B$17*loop_gain!$B$18*Helper_calcs!$B$26*Current_limit!B71</f>
        <v>1119.4615384615386</v>
      </c>
      <c r="G71" s="132" t="e">
        <f t="shared" si="2"/>
        <v>#NUM!</v>
      </c>
      <c r="H71" s="132" t="e">
        <f>(Main!$B$19-Current_limit!G71)*Current_limit!G71/(Main!$B$19*loop_gain!$B$17*loop_gain!$B$18)</f>
        <v>#NUM!</v>
      </c>
      <c r="I71" s="132" t="e">
        <f t="shared" si="3"/>
        <v>#NUM!</v>
      </c>
      <c r="J71" s="132"/>
      <c r="K71" s="133">
        <f>IF(A71&gt;$B$15,IF(I71&gt;Helper_calcs!$B$27,23,3),0)</f>
        <v>0</v>
      </c>
      <c r="L71">
        <f t="shared" si="1"/>
        <v>0</v>
      </c>
      <c r="M71">
        <f t="shared" si="4"/>
        <v>0</v>
      </c>
      <c r="N71" s="132">
        <f t="shared" si="5"/>
        <v>1.3000000000000003</v>
      </c>
      <c r="O71" s="132">
        <f t="shared" si="6"/>
        <v>5</v>
      </c>
      <c r="P71" s="134">
        <f>IF(OR(M71=0,M71=3),loop_gain!$B$18,IF(Current_limit!M71=1,Current_limit!$B$12/(2*(Current_limit!N71-Helper_calcs!$B$27)),IF(OR(M71=2,M71=23),(Main!$B$19-Current_limit!O71)*Current_limit!O71/(Main!$B$19*loop_gain!$B$17*(Helper_calcs!$B$26-Helper_calcs!$B$27)),x)))</f>
        <v>2100000</v>
      </c>
      <c r="Q71" s="132"/>
    </row>
    <row r="72" spans="1:17" x14ac:dyDescent="0.3">
      <c r="A72">
        <f t="shared" si="8"/>
        <v>1.3100000000000003</v>
      </c>
      <c r="B72">
        <f>Main!$B$20/A72</f>
        <v>3.8167938931297702</v>
      </c>
      <c r="D72" s="132">
        <f t="shared" si="0"/>
        <v>3.8167938931297702</v>
      </c>
      <c r="E72" s="132">
        <f>-B72*Main!$B$19-2*Main!$B$19*loop_gain!$B$17*loop_gain!$B$18</f>
        <v>-121.40152671755726</v>
      </c>
      <c r="F72" s="132">
        <f>2*Main!$B$19*loop_gain!$B$17*loop_gain!$B$18*Helper_calcs!$B$26*Current_limit!B72</f>
        <v>1110.9160305343512</v>
      </c>
      <c r="G72" s="132" t="e">
        <f t="shared" si="2"/>
        <v>#NUM!</v>
      </c>
      <c r="H72" s="132" t="e">
        <f>(Main!$B$19-Current_limit!G72)*Current_limit!G72/(Main!$B$19*loop_gain!$B$17*loop_gain!$B$18)</f>
        <v>#NUM!</v>
      </c>
      <c r="I72" s="132" t="e">
        <f t="shared" si="3"/>
        <v>#NUM!</v>
      </c>
      <c r="J72" s="132"/>
      <c r="K72" s="133">
        <f>IF(A72&gt;$B$15,IF(I72&gt;Helper_calcs!$B$27,23,3),0)</f>
        <v>0</v>
      </c>
      <c r="L72">
        <f t="shared" si="1"/>
        <v>0</v>
      </c>
      <c r="M72">
        <f t="shared" si="4"/>
        <v>0</v>
      </c>
      <c r="N72" s="132">
        <f t="shared" si="5"/>
        <v>1.3100000000000003</v>
      </c>
      <c r="O72" s="132">
        <f t="shared" si="6"/>
        <v>5</v>
      </c>
      <c r="P72" s="134">
        <f>IF(OR(M72=0,M72=3),loop_gain!$B$18,IF(Current_limit!M72=1,Current_limit!$B$12/(2*(Current_limit!N72-Helper_calcs!$B$27)),IF(OR(M72=2,M72=23),(Main!$B$19-Current_limit!O72)*Current_limit!O72/(Main!$B$19*loop_gain!$B$17*(Helper_calcs!$B$26-Helper_calcs!$B$27)),x)))</f>
        <v>2100000</v>
      </c>
      <c r="Q72" s="132"/>
    </row>
    <row r="73" spans="1:17" x14ac:dyDescent="0.3">
      <c r="A73">
        <f t="shared" si="8"/>
        <v>1.3200000000000003</v>
      </c>
      <c r="B73">
        <f>Main!$B$20/A73</f>
        <v>3.7878787878787872</v>
      </c>
      <c r="D73" s="132">
        <f t="shared" si="0"/>
        <v>3.7878787878787872</v>
      </c>
      <c r="E73" s="132">
        <f>-B73*Main!$B$19-2*Main!$B$19*loop_gain!$B$17*loop_gain!$B$18</f>
        <v>-121.05454545454546</v>
      </c>
      <c r="F73" s="132">
        <f>2*Main!$B$19*loop_gain!$B$17*loop_gain!$B$18*Helper_calcs!$B$26*Current_limit!B73</f>
        <v>1102.5</v>
      </c>
      <c r="G73" s="132" t="e">
        <f t="shared" si="2"/>
        <v>#NUM!</v>
      </c>
      <c r="H73" s="132" t="e">
        <f>(Main!$B$19-Current_limit!G73)*Current_limit!G73/(Main!$B$19*loop_gain!$B$17*loop_gain!$B$18)</f>
        <v>#NUM!</v>
      </c>
      <c r="I73" s="132" t="e">
        <f t="shared" si="3"/>
        <v>#NUM!</v>
      </c>
      <c r="J73" s="132"/>
      <c r="K73" s="133">
        <f>IF(A73&gt;$B$15,IF(I73&gt;Helper_calcs!$B$27,23,3),0)</f>
        <v>0</v>
      </c>
      <c r="L73">
        <f t="shared" si="1"/>
        <v>0</v>
      </c>
      <c r="M73">
        <f t="shared" si="4"/>
        <v>0</v>
      </c>
      <c r="N73" s="132">
        <f t="shared" si="5"/>
        <v>1.3200000000000003</v>
      </c>
      <c r="O73" s="132">
        <f t="shared" si="6"/>
        <v>5</v>
      </c>
      <c r="P73" s="134">
        <f>IF(OR(M73=0,M73=3),loop_gain!$B$18,IF(Current_limit!M73=1,Current_limit!$B$12/(2*(Current_limit!N73-Helper_calcs!$B$27)),IF(OR(M73=2,M73=23),(Main!$B$19-Current_limit!O73)*Current_limit!O73/(Main!$B$19*loop_gain!$B$17*(Helper_calcs!$B$26-Helper_calcs!$B$27)),x)))</f>
        <v>2100000</v>
      </c>
      <c r="Q73" s="132"/>
    </row>
    <row r="74" spans="1:17" x14ac:dyDescent="0.3">
      <c r="A74">
        <f t="shared" si="8"/>
        <v>1.3300000000000003</v>
      </c>
      <c r="B74">
        <f>Main!$B$20/A74</f>
        <v>3.7593984962406006</v>
      </c>
      <c r="D74" s="132">
        <f t="shared" si="0"/>
        <v>3.7593984962406006</v>
      </c>
      <c r="E74" s="132">
        <f>-B74*Main!$B$19-2*Main!$B$19*loop_gain!$B$17*loop_gain!$B$18</f>
        <v>-120.71278195488722</v>
      </c>
      <c r="F74" s="132">
        <f>2*Main!$B$19*loop_gain!$B$17*loop_gain!$B$18*Helper_calcs!$B$26*Current_limit!B74</f>
        <v>1094.2105263157894</v>
      </c>
      <c r="G74" s="132" t="e">
        <f t="shared" si="2"/>
        <v>#NUM!</v>
      </c>
      <c r="H74" s="132" t="e">
        <f>(Main!$B$19-Current_limit!G74)*Current_limit!G74/(Main!$B$19*loop_gain!$B$17*loop_gain!$B$18)</f>
        <v>#NUM!</v>
      </c>
      <c r="I74" s="132" t="e">
        <f t="shared" si="3"/>
        <v>#NUM!</v>
      </c>
      <c r="J74" s="132"/>
      <c r="K74" s="133">
        <f>IF(A74&gt;$B$15,IF(I74&gt;Helper_calcs!$B$27,23,3),0)</f>
        <v>0</v>
      </c>
      <c r="L74">
        <f t="shared" si="1"/>
        <v>0</v>
      </c>
      <c r="M74">
        <f t="shared" si="4"/>
        <v>0</v>
      </c>
      <c r="N74" s="132">
        <f t="shared" si="5"/>
        <v>1.3300000000000003</v>
      </c>
      <c r="O74" s="132">
        <f t="shared" si="6"/>
        <v>5</v>
      </c>
      <c r="P74" s="134">
        <f>IF(OR(M74=0,M74=3),loop_gain!$B$18,IF(Current_limit!M74=1,Current_limit!$B$12/(2*(Current_limit!N74-Helper_calcs!$B$27)),IF(OR(M74=2,M74=23),(Main!$B$19-Current_limit!O74)*Current_limit!O74/(Main!$B$19*loop_gain!$B$17*(Helper_calcs!$B$26-Helper_calcs!$B$27)),x)))</f>
        <v>2100000</v>
      </c>
      <c r="Q74" s="132"/>
    </row>
    <row r="75" spans="1:17" x14ac:dyDescent="0.3">
      <c r="A75">
        <f t="shared" si="8"/>
        <v>1.3400000000000003</v>
      </c>
      <c r="B75">
        <f>Main!$B$20/A75</f>
        <v>3.7313432835820888</v>
      </c>
      <c r="D75" s="132">
        <f t="shared" si="0"/>
        <v>3.7313432835820888</v>
      </c>
      <c r="E75" s="132">
        <f>-B75*Main!$B$19-2*Main!$B$19*loop_gain!$B$17*loop_gain!$B$18</f>
        <v>-120.37611940298507</v>
      </c>
      <c r="F75" s="132">
        <f>2*Main!$B$19*loop_gain!$B$17*loop_gain!$B$18*Helper_calcs!$B$26*Current_limit!B75</f>
        <v>1086.044776119403</v>
      </c>
      <c r="G75" s="132" t="e">
        <f t="shared" si="2"/>
        <v>#NUM!</v>
      </c>
      <c r="H75" s="132" t="e">
        <f>(Main!$B$19-Current_limit!G75)*Current_limit!G75/(Main!$B$19*loop_gain!$B$17*loop_gain!$B$18)</f>
        <v>#NUM!</v>
      </c>
      <c r="I75" s="132" t="e">
        <f t="shared" si="3"/>
        <v>#NUM!</v>
      </c>
      <c r="J75" s="132"/>
      <c r="K75" s="133">
        <f>IF(A75&gt;$B$15,IF(I75&gt;Helper_calcs!$B$27,23,3),0)</f>
        <v>0</v>
      </c>
      <c r="L75">
        <f t="shared" si="1"/>
        <v>0</v>
      </c>
      <c r="M75">
        <f t="shared" si="4"/>
        <v>0</v>
      </c>
      <c r="N75" s="132">
        <f t="shared" si="5"/>
        <v>1.3400000000000003</v>
      </c>
      <c r="O75" s="132">
        <f t="shared" si="6"/>
        <v>5</v>
      </c>
      <c r="P75" s="134">
        <f>IF(OR(M75=0,M75=3),loop_gain!$B$18,IF(Current_limit!M75=1,Current_limit!$B$12/(2*(Current_limit!N75-Helper_calcs!$B$27)),IF(OR(M75=2,M75=23),(Main!$B$19-Current_limit!O75)*Current_limit!O75/(Main!$B$19*loop_gain!$B$17*(Helper_calcs!$B$26-Helper_calcs!$B$27)),x)))</f>
        <v>2100000</v>
      </c>
      <c r="Q75" s="132"/>
    </row>
    <row r="76" spans="1:17" x14ac:dyDescent="0.3">
      <c r="A76">
        <f t="shared" si="8"/>
        <v>1.3500000000000003</v>
      </c>
      <c r="B76">
        <f>Main!$B$20/A76</f>
        <v>3.7037037037037028</v>
      </c>
      <c r="D76" s="132">
        <f t="shared" si="0"/>
        <v>3.7037037037037028</v>
      </c>
      <c r="E76" s="132">
        <f>-B76*Main!$B$19-2*Main!$B$19*loop_gain!$B$17*loop_gain!$B$18</f>
        <v>-120.04444444444445</v>
      </c>
      <c r="F76" s="132">
        <f>2*Main!$B$19*loop_gain!$B$17*loop_gain!$B$18*Helper_calcs!$B$26*Current_limit!B76</f>
        <v>1078</v>
      </c>
      <c r="G76" s="132" t="e">
        <f t="shared" si="2"/>
        <v>#NUM!</v>
      </c>
      <c r="H76" s="132" t="e">
        <f>(Main!$B$19-Current_limit!G76)*Current_limit!G76/(Main!$B$19*loop_gain!$B$17*loop_gain!$B$18)</f>
        <v>#NUM!</v>
      </c>
      <c r="I76" s="132" t="e">
        <f t="shared" si="3"/>
        <v>#NUM!</v>
      </c>
      <c r="J76" s="132"/>
      <c r="K76" s="133">
        <f>IF(A76&gt;$B$15,IF(I76&gt;Helper_calcs!$B$27,23,3),0)</f>
        <v>0</v>
      </c>
      <c r="L76">
        <f t="shared" si="1"/>
        <v>0</v>
      </c>
      <c r="M76">
        <f t="shared" si="4"/>
        <v>0</v>
      </c>
      <c r="N76" s="132">
        <f t="shared" si="5"/>
        <v>1.3500000000000003</v>
      </c>
      <c r="O76" s="132">
        <f t="shared" si="6"/>
        <v>5</v>
      </c>
      <c r="P76" s="134">
        <f>IF(OR(M76=0,M76=3),loop_gain!$B$18,IF(Current_limit!M76=1,Current_limit!$B$12/(2*(Current_limit!N76-Helper_calcs!$B$27)),IF(OR(M76=2,M76=23),(Main!$B$19-Current_limit!O76)*Current_limit!O76/(Main!$B$19*loop_gain!$B$17*(Helper_calcs!$B$26-Helper_calcs!$B$27)),x)))</f>
        <v>2100000</v>
      </c>
      <c r="Q76" s="132"/>
    </row>
    <row r="77" spans="1:17" x14ac:dyDescent="0.3">
      <c r="A77">
        <f t="shared" si="8"/>
        <v>1.3600000000000003</v>
      </c>
      <c r="B77">
        <f>Main!$B$20/A77</f>
        <v>3.676470588235293</v>
      </c>
      <c r="D77" s="132">
        <f t="shared" si="0"/>
        <v>3.676470588235293</v>
      </c>
      <c r="E77" s="132">
        <f>-B77*Main!$B$19-2*Main!$B$19*loop_gain!$B$17*loop_gain!$B$18</f>
        <v>-119.71764705882353</v>
      </c>
      <c r="F77" s="132">
        <f>2*Main!$B$19*loop_gain!$B$17*loop_gain!$B$18*Helper_calcs!$B$26*Current_limit!B77</f>
        <v>1070.0735294117646</v>
      </c>
      <c r="G77" s="132" t="e">
        <f t="shared" si="2"/>
        <v>#NUM!</v>
      </c>
      <c r="H77" s="132" t="e">
        <f>(Main!$B$19-Current_limit!G77)*Current_limit!G77/(Main!$B$19*loop_gain!$B$17*loop_gain!$B$18)</f>
        <v>#NUM!</v>
      </c>
      <c r="I77" s="132" t="e">
        <f t="shared" si="3"/>
        <v>#NUM!</v>
      </c>
      <c r="J77" s="132"/>
      <c r="K77" s="133">
        <f>IF(A77&gt;$B$15,IF(I77&gt;Helper_calcs!$B$27,23,3),0)</f>
        <v>0</v>
      </c>
      <c r="L77">
        <f t="shared" si="1"/>
        <v>0</v>
      </c>
      <c r="M77">
        <f t="shared" si="4"/>
        <v>0</v>
      </c>
      <c r="N77" s="132">
        <f t="shared" si="5"/>
        <v>1.3600000000000003</v>
      </c>
      <c r="O77" s="132">
        <f t="shared" si="6"/>
        <v>5</v>
      </c>
      <c r="P77" s="134">
        <f>IF(OR(M77=0,M77=3),loop_gain!$B$18,IF(Current_limit!M77=1,Current_limit!$B$12/(2*(Current_limit!N77-Helper_calcs!$B$27)),IF(OR(M77=2,M77=23),(Main!$B$19-Current_limit!O77)*Current_limit!O77/(Main!$B$19*loop_gain!$B$17*(Helper_calcs!$B$26-Helper_calcs!$B$27)),x)))</f>
        <v>2100000</v>
      </c>
      <c r="Q77" s="132"/>
    </row>
    <row r="78" spans="1:17" x14ac:dyDescent="0.3">
      <c r="A78">
        <f t="shared" si="8"/>
        <v>1.3700000000000003</v>
      </c>
      <c r="B78">
        <f>Main!$B$20/A78</f>
        <v>3.6496350364963495</v>
      </c>
      <c r="D78" s="132">
        <f t="shared" si="0"/>
        <v>3.6496350364963495</v>
      </c>
      <c r="E78" s="132">
        <f>-B78*Main!$B$19-2*Main!$B$19*loop_gain!$B$17*loop_gain!$B$18</f>
        <v>-119.39562043795621</v>
      </c>
      <c r="F78" s="132">
        <f>2*Main!$B$19*loop_gain!$B$17*loop_gain!$B$18*Helper_calcs!$B$26*Current_limit!B78</f>
        <v>1062.2627737226278</v>
      </c>
      <c r="G78" s="132" t="e">
        <f t="shared" si="2"/>
        <v>#NUM!</v>
      </c>
      <c r="H78" s="132" t="e">
        <f>(Main!$B$19-Current_limit!G78)*Current_limit!G78/(Main!$B$19*loop_gain!$B$17*loop_gain!$B$18)</f>
        <v>#NUM!</v>
      </c>
      <c r="I78" s="132" t="e">
        <f t="shared" si="3"/>
        <v>#NUM!</v>
      </c>
      <c r="J78" s="132"/>
      <c r="K78" s="133">
        <f>IF(A78&gt;$B$15,IF(I78&gt;Helper_calcs!$B$27,23,3),0)</f>
        <v>0</v>
      </c>
      <c r="L78">
        <f t="shared" si="1"/>
        <v>0</v>
      </c>
      <c r="M78">
        <f t="shared" si="4"/>
        <v>0</v>
      </c>
      <c r="N78" s="132">
        <f t="shared" si="5"/>
        <v>1.3700000000000003</v>
      </c>
      <c r="O78" s="132">
        <f t="shared" si="6"/>
        <v>5</v>
      </c>
      <c r="P78" s="134">
        <f>IF(OR(M78=0,M78=3),loop_gain!$B$18,IF(Current_limit!M78=1,Current_limit!$B$12/(2*(Current_limit!N78-Helper_calcs!$B$27)),IF(OR(M78=2,M78=23),(Main!$B$19-Current_limit!O78)*Current_limit!O78/(Main!$B$19*loop_gain!$B$17*(Helper_calcs!$B$26-Helper_calcs!$B$27)),x)))</f>
        <v>2100000</v>
      </c>
      <c r="Q78" s="132"/>
    </row>
    <row r="79" spans="1:17" x14ac:dyDescent="0.3">
      <c r="A79">
        <f t="shared" si="8"/>
        <v>1.3800000000000003</v>
      </c>
      <c r="B79">
        <f>Main!$B$20/A79</f>
        <v>3.6231884057971007</v>
      </c>
      <c r="D79" s="132">
        <f t="shared" si="0"/>
        <v>3.6231884057971007</v>
      </c>
      <c r="E79" s="132">
        <f>-B79*Main!$B$19-2*Main!$B$19*loop_gain!$B$17*loop_gain!$B$18</f>
        <v>-119.07826086956521</v>
      </c>
      <c r="F79" s="132">
        <f>2*Main!$B$19*loop_gain!$B$17*loop_gain!$B$18*Helper_calcs!$B$26*Current_limit!B79</f>
        <v>1054.5652173913043</v>
      </c>
      <c r="G79" s="132" t="e">
        <f t="shared" si="2"/>
        <v>#NUM!</v>
      </c>
      <c r="H79" s="132" t="e">
        <f>(Main!$B$19-Current_limit!G79)*Current_limit!G79/(Main!$B$19*loop_gain!$B$17*loop_gain!$B$18)</f>
        <v>#NUM!</v>
      </c>
      <c r="I79" s="132" t="e">
        <f t="shared" si="3"/>
        <v>#NUM!</v>
      </c>
      <c r="J79" s="132"/>
      <c r="K79" s="133">
        <f>IF(A79&gt;$B$15,IF(I79&gt;Helper_calcs!$B$27,23,3),0)</f>
        <v>0</v>
      </c>
      <c r="L79">
        <f t="shared" si="1"/>
        <v>0</v>
      </c>
      <c r="M79">
        <f t="shared" si="4"/>
        <v>0</v>
      </c>
      <c r="N79" s="132">
        <f t="shared" si="5"/>
        <v>1.3800000000000003</v>
      </c>
      <c r="O79" s="132">
        <f t="shared" si="6"/>
        <v>5</v>
      </c>
      <c r="P79" s="134">
        <f>IF(OR(M79=0,M79=3),loop_gain!$B$18,IF(Current_limit!M79=1,Current_limit!$B$12/(2*(Current_limit!N79-Helper_calcs!$B$27)),IF(OR(M79=2,M79=23),(Main!$B$19-Current_limit!O79)*Current_limit!O79/(Main!$B$19*loop_gain!$B$17*(Helper_calcs!$B$26-Helper_calcs!$B$27)),x)))</f>
        <v>2100000</v>
      </c>
      <c r="Q79" s="132"/>
    </row>
    <row r="80" spans="1:17" x14ac:dyDescent="0.3">
      <c r="A80">
        <f t="shared" si="8"/>
        <v>1.3900000000000003</v>
      </c>
      <c r="B80">
        <f>Main!$B$20/A80</f>
        <v>3.5971223021582723</v>
      </c>
      <c r="D80" s="132">
        <f t="shared" si="0"/>
        <v>3.5971223021582723</v>
      </c>
      <c r="E80" s="132">
        <f>-B80*Main!$B$19-2*Main!$B$19*loop_gain!$B$17*loop_gain!$B$18</f>
        <v>-118.76546762589928</v>
      </c>
      <c r="F80" s="132">
        <f>2*Main!$B$19*loop_gain!$B$17*loop_gain!$B$18*Helper_calcs!$B$26*Current_limit!B80</f>
        <v>1046.9784172661869</v>
      </c>
      <c r="G80" s="132" t="e">
        <f t="shared" si="2"/>
        <v>#NUM!</v>
      </c>
      <c r="H80" s="132" t="e">
        <f>(Main!$B$19-Current_limit!G80)*Current_limit!G80/(Main!$B$19*loop_gain!$B$17*loop_gain!$B$18)</f>
        <v>#NUM!</v>
      </c>
      <c r="I80" s="132" t="e">
        <f t="shared" si="3"/>
        <v>#NUM!</v>
      </c>
      <c r="J80" s="132"/>
      <c r="K80" s="133">
        <f>IF(A80&gt;$B$15,IF(I80&gt;Helper_calcs!$B$27,23,3),0)</f>
        <v>0</v>
      </c>
      <c r="L80">
        <f t="shared" si="1"/>
        <v>0</v>
      </c>
      <c r="M80">
        <f t="shared" si="4"/>
        <v>0</v>
      </c>
      <c r="N80" s="132">
        <f t="shared" si="5"/>
        <v>1.3900000000000003</v>
      </c>
      <c r="O80" s="132">
        <f t="shared" si="6"/>
        <v>5</v>
      </c>
      <c r="P80" s="134">
        <f>IF(OR(M80=0,M80=3),loop_gain!$B$18,IF(Current_limit!M80=1,Current_limit!$B$12/(2*(Current_limit!N80-Helper_calcs!$B$27)),IF(OR(M80=2,M80=23),(Main!$B$19-Current_limit!O80)*Current_limit!O80/(Main!$B$19*loop_gain!$B$17*(Helper_calcs!$B$26-Helper_calcs!$B$27)),x)))</f>
        <v>2100000</v>
      </c>
      <c r="Q80" s="132"/>
    </row>
    <row r="81" spans="1:17" x14ac:dyDescent="0.3">
      <c r="A81">
        <f t="shared" si="8"/>
        <v>1.4000000000000004</v>
      </c>
      <c r="B81">
        <f>Main!$B$20/A81</f>
        <v>3.5714285714285707</v>
      </c>
      <c r="D81" s="132">
        <f t="shared" si="0"/>
        <v>3.5714285714285707</v>
      </c>
      <c r="E81" s="132">
        <f>-B81*Main!$B$19-2*Main!$B$19*loop_gain!$B$17*loop_gain!$B$18</f>
        <v>-118.45714285714286</v>
      </c>
      <c r="F81" s="132">
        <f>2*Main!$B$19*loop_gain!$B$17*loop_gain!$B$18*Helper_calcs!$B$26*Current_limit!B81</f>
        <v>1039.5</v>
      </c>
      <c r="G81" s="132" t="e">
        <f t="shared" si="2"/>
        <v>#NUM!</v>
      </c>
      <c r="H81" s="132" t="e">
        <f>(Main!$B$19-Current_limit!G81)*Current_limit!G81/(Main!$B$19*loop_gain!$B$17*loop_gain!$B$18)</f>
        <v>#NUM!</v>
      </c>
      <c r="I81" s="132" t="e">
        <f t="shared" si="3"/>
        <v>#NUM!</v>
      </c>
      <c r="J81" s="132"/>
      <c r="K81" s="133">
        <f>IF(A81&gt;$B$15,IF(I81&gt;Helper_calcs!$B$27,23,3),0)</f>
        <v>0</v>
      </c>
      <c r="L81">
        <f t="shared" si="1"/>
        <v>0</v>
      </c>
      <c r="M81">
        <f t="shared" si="4"/>
        <v>0</v>
      </c>
      <c r="N81" s="132">
        <f t="shared" si="5"/>
        <v>1.4000000000000004</v>
      </c>
      <c r="O81" s="132">
        <f t="shared" si="6"/>
        <v>5</v>
      </c>
      <c r="P81" s="134">
        <f>IF(OR(M81=0,M81=3),loop_gain!$B$18,IF(Current_limit!M81=1,Current_limit!$B$12/(2*(Current_limit!N81-Helper_calcs!$B$27)),IF(OR(M81=2,M81=23),(Main!$B$19-Current_limit!O81)*Current_limit!O81/(Main!$B$19*loop_gain!$B$17*(Helper_calcs!$B$26-Helper_calcs!$B$27)),x)))</f>
        <v>2100000</v>
      </c>
      <c r="Q81" s="132"/>
    </row>
    <row r="82" spans="1:17" x14ac:dyDescent="0.3">
      <c r="A82">
        <f t="shared" si="8"/>
        <v>1.4100000000000004</v>
      </c>
      <c r="B82">
        <f>Main!$B$20/A82</f>
        <v>3.5460992907801407</v>
      </c>
      <c r="D82" s="132">
        <f t="shared" si="0"/>
        <v>3.5460992907801407</v>
      </c>
      <c r="E82" s="132">
        <f>-B82*Main!$B$19-2*Main!$B$19*loop_gain!$B$17*loop_gain!$B$18</f>
        <v>-118.15319148936169</v>
      </c>
      <c r="F82" s="132">
        <f>2*Main!$B$19*loop_gain!$B$17*loop_gain!$B$18*Helper_calcs!$B$26*Current_limit!B82</f>
        <v>1032.127659574468</v>
      </c>
      <c r="G82" s="132" t="e">
        <f t="shared" si="2"/>
        <v>#NUM!</v>
      </c>
      <c r="H82" s="132" t="e">
        <f>(Main!$B$19-Current_limit!G82)*Current_limit!G82/(Main!$B$19*loop_gain!$B$17*loop_gain!$B$18)</f>
        <v>#NUM!</v>
      </c>
      <c r="I82" s="132" t="e">
        <f t="shared" si="3"/>
        <v>#NUM!</v>
      </c>
      <c r="J82" s="132"/>
      <c r="K82" s="133">
        <f>IF(A82&gt;$B$15,IF(I82&gt;Helper_calcs!$B$27,23,3),0)</f>
        <v>0</v>
      </c>
      <c r="L82">
        <f t="shared" si="1"/>
        <v>0</v>
      </c>
      <c r="M82">
        <f t="shared" si="4"/>
        <v>0</v>
      </c>
      <c r="N82" s="132">
        <f t="shared" si="5"/>
        <v>1.4100000000000004</v>
      </c>
      <c r="O82" s="132">
        <f t="shared" si="6"/>
        <v>5</v>
      </c>
      <c r="P82" s="134">
        <f>IF(OR(M82=0,M82=3),loop_gain!$B$18,IF(Current_limit!M82=1,Current_limit!$B$12/(2*(Current_limit!N82-Helper_calcs!$B$27)),IF(OR(M82=2,M82=23),(Main!$B$19-Current_limit!O82)*Current_limit!O82/(Main!$B$19*loop_gain!$B$17*(Helper_calcs!$B$26-Helper_calcs!$B$27)),x)))</f>
        <v>2100000</v>
      </c>
      <c r="Q82" s="132"/>
    </row>
    <row r="83" spans="1:17" x14ac:dyDescent="0.3">
      <c r="A83">
        <f t="shared" si="8"/>
        <v>1.4200000000000004</v>
      </c>
      <c r="B83">
        <f>Main!$B$20/A83</f>
        <v>3.5211267605633791</v>
      </c>
      <c r="D83" s="132">
        <f t="shared" si="0"/>
        <v>3.5211267605633791</v>
      </c>
      <c r="E83" s="132">
        <f>-B83*Main!$B$19-2*Main!$B$19*loop_gain!$B$17*loop_gain!$B$18</f>
        <v>-117.85352112676055</v>
      </c>
      <c r="F83" s="132">
        <f>2*Main!$B$19*loop_gain!$B$17*loop_gain!$B$18*Helper_calcs!$B$26*Current_limit!B83</f>
        <v>1024.8591549295772</v>
      </c>
      <c r="G83" s="132" t="e">
        <f t="shared" si="2"/>
        <v>#NUM!</v>
      </c>
      <c r="H83" s="132" t="e">
        <f>(Main!$B$19-Current_limit!G83)*Current_limit!G83/(Main!$B$19*loop_gain!$B$17*loop_gain!$B$18)</f>
        <v>#NUM!</v>
      </c>
      <c r="I83" s="132" t="e">
        <f t="shared" si="3"/>
        <v>#NUM!</v>
      </c>
      <c r="J83" s="132"/>
      <c r="K83" s="133">
        <f>IF(A83&gt;$B$15,IF(I83&gt;Helper_calcs!$B$27,23,3),0)</f>
        <v>0</v>
      </c>
      <c r="L83">
        <f t="shared" si="1"/>
        <v>0</v>
      </c>
      <c r="M83">
        <f t="shared" si="4"/>
        <v>0</v>
      </c>
      <c r="N83" s="132">
        <f t="shared" si="5"/>
        <v>1.4200000000000004</v>
      </c>
      <c r="O83" s="132">
        <f t="shared" si="6"/>
        <v>5</v>
      </c>
      <c r="P83" s="134">
        <f>IF(OR(M83=0,M83=3),loop_gain!$B$18,IF(Current_limit!M83=1,Current_limit!$B$12/(2*(Current_limit!N83-Helper_calcs!$B$27)),IF(OR(M83=2,M83=23),(Main!$B$19-Current_limit!O83)*Current_limit!O83/(Main!$B$19*loop_gain!$B$17*(Helper_calcs!$B$26-Helper_calcs!$B$27)),x)))</f>
        <v>2100000</v>
      </c>
      <c r="Q83" s="132"/>
    </row>
    <row r="84" spans="1:17" x14ac:dyDescent="0.3">
      <c r="A84">
        <f t="shared" si="8"/>
        <v>1.4300000000000004</v>
      </c>
      <c r="B84">
        <f>Main!$B$20/A84</f>
        <v>3.4965034965034958</v>
      </c>
      <c r="D84" s="132">
        <f t="shared" si="0"/>
        <v>3.4965034965034958</v>
      </c>
      <c r="E84" s="132">
        <f>-B84*Main!$B$19-2*Main!$B$19*loop_gain!$B$17*loop_gain!$B$18</f>
        <v>-117.55804195804195</v>
      </c>
      <c r="F84" s="132">
        <f>2*Main!$B$19*loop_gain!$B$17*loop_gain!$B$18*Helper_calcs!$B$26*Current_limit!B84</f>
        <v>1017.6923076923077</v>
      </c>
      <c r="G84" s="132" t="e">
        <f t="shared" si="2"/>
        <v>#NUM!</v>
      </c>
      <c r="H84" s="132" t="e">
        <f>(Main!$B$19-Current_limit!G84)*Current_limit!G84/(Main!$B$19*loop_gain!$B$17*loop_gain!$B$18)</f>
        <v>#NUM!</v>
      </c>
      <c r="I84" s="132" t="e">
        <f t="shared" si="3"/>
        <v>#NUM!</v>
      </c>
      <c r="J84" s="132"/>
      <c r="K84" s="133">
        <f>IF(A84&gt;$B$15,IF(I84&gt;Helper_calcs!$B$27,23,3),0)</f>
        <v>0</v>
      </c>
      <c r="L84">
        <f t="shared" si="1"/>
        <v>0</v>
      </c>
      <c r="M84">
        <f t="shared" si="4"/>
        <v>0</v>
      </c>
      <c r="N84" s="132">
        <f t="shared" si="5"/>
        <v>1.4300000000000004</v>
      </c>
      <c r="O84" s="132">
        <f t="shared" si="6"/>
        <v>5</v>
      </c>
      <c r="P84" s="134">
        <f>IF(OR(M84=0,M84=3),loop_gain!$B$18,IF(Current_limit!M84=1,Current_limit!$B$12/(2*(Current_limit!N84-Helper_calcs!$B$27)),IF(OR(M84=2,M84=23),(Main!$B$19-Current_limit!O84)*Current_limit!O84/(Main!$B$19*loop_gain!$B$17*(Helper_calcs!$B$26-Helper_calcs!$B$27)),x)))</f>
        <v>2100000</v>
      </c>
      <c r="Q84" s="132"/>
    </row>
    <row r="85" spans="1:17" x14ac:dyDescent="0.3">
      <c r="A85">
        <f t="shared" si="8"/>
        <v>1.4400000000000004</v>
      </c>
      <c r="B85">
        <f>Main!$B$20/A85</f>
        <v>3.4722222222222214</v>
      </c>
      <c r="D85" s="132">
        <f t="shared" si="0"/>
        <v>3.4722222222222214</v>
      </c>
      <c r="E85" s="132">
        <f>-B85*Main!$B$19-2*Main!$B$19*loop_gain!$B$17*loop_gain!$B$18</f>
        <v>-117.26666666666667</v>
      </c>
      <c r="F85" s="132">
        <f>2*Main!$B$19*loop_gain!$B$17*loop_gain!$B$18*Helper_calcs!$B$26*Current_limit!B85</f>
        <v>1010.625</v>
      </c>
      <c r="G85" s="132" t="e">
        <f t="shared" si="2"/>
        <v>#NUM!</v>
      </c>
      <c r="H85" s="132" t="e">
        <f>(Main!$B$19-Current_limit!G85)*Current_limit!G85/(Main!$B$19*loop_gain!$B$17*loop_gain!$B$18)</f>
        <v>#NUM!</v>
      </c>
      <c r="I85" s="132" t="e">
        <f t="shared" si="3"/>
        <v>#NUM!</v>
      </c>
      <c r="J85" s="132"/>
      <c r="K85" s="133">
        <f>IF(A85&gt;$B$15,IF(I85&gt;Helper_calcs!$B$27,23,3),0)</f>
        <v>0</v>
      </c>
      <c r="L85">
        <f t="shared" si="1"/>
        <v>0</v>
      </c>
      <c r="M85">
        <f t="shared" si="4"/>
        <v>0</v>
      </c>
      <c r="N85" s="132">
        <f t="shared" si="5"/>
        <v>1.4400000000000004</v>
      </c>
      <c r="O85" s="132">
        <f t="shared" si="6"/>
        <v>5</v>
      </c>
      <c r="P85" s="134">
        <f>IF(OR(M85=0,M85=3),loop_gain!$B$18,IF(Current_limit!M85=1,Current_limit!$B$12/(2*(Current_limit!N85-Helper_calcs!$B$27)),IF(OR(M85=2,M85=23),(Main!$B$19-Current_limit!O85)*Current_limit!O85/(Main!$B$19*loop_gain!$B$17*(Helper_calcs!$B$26-Helper_calcs!$B$27)),x)))</f>
        <v>2100000</v>
      </c>
      <c r="Q85" s="132"/>
    </row>
    <row r="86" spans="1:17" x14ac:dyDescent="0.3">
      <c r="A86">
        <f t="shared" si="8"/>
        <v>1.4500000000000004</v>
      </c>
      <c r="B86">
        <f>Main!$B$20/A86</f>
        <v>3.4482758620689644</v>
      </c>
      <c r="D86" s="132">
        <f t="shared" si="0"/>
        <v>3.4482758620689644</v>
      </c>
      <c r="E86" s="132">
        <f>-B86*Main!$B$19-2*Main!$B$19*loop_gain!$B$17*loop_gain!$B$18</f>
        <v>-116.97931034482758</v>
      </c>
      <c r="F86" s="132">
        <f>2*Main!$B$19*loop_gain!$B$17*loop_gain!$B$18*Helper_calcs!$B$26*Current_limit!B86</f>
        <v>1003.655172413793</v>
      </c>
      <c r="G86" s="132" t="e">
        <f t="shared" si="2"/>
        <v>#NUM!</v>
      </c>
      <c r="H86" s="132" t="e">
        <f>(Main!$B$19-Current_limit!G86)*Current_limit!G86/(Main!$B$19*loop_gain!$B$17*loop_gain!$B$18)</f>
        <v>#NUM!</v>
      </c>
      <c r="I86" s="132" t="e">
        <f t="shared" si="3"/>
        <v>#NUM!</v>
      </c>
      <c r="J86" s="132"/>
      <c r="K86" s="133">
        <f>IF(A86&gt;$B$15,IF(I86&gt;Helper_calcs!$B$27,23,3),0)</f>
        <v>0</v>
      </c>
      <c r="L86">
        <f t="shared" si="1"/>
        <v>0</v>
      </c>
      <c r="M86">
        <f t="shared" si="4"/>
        <v>0</v>
      </c>
      <c r="N86" s="132">
        <f t="shared" si="5"/>
        <v>1.4500000000000004</v>
      </c>
      <c r="O86" s="132">
        <f t="shared" si="6"/>
        <v>5</v>
      </c>
      <c r="P86" s="134">
        <f>IF(OR(M86=0,M86=3),loop_gain!$B$18,IF(Current_limit!M86=1,Current_limit!$B$12/(2*(Current_limit!N86-Helper_calcs!$B$27)),IF(OR(M86=2,M86=23),(Main!$B$19-Current_limit!O86)*Current_limit!O86/(Main!$B$19*loop_gain!$B$17*(Helper_calcs!$B$26-Helper_calcs!$B$27)),x)))</f>
        <v>2100000</v>
      </c>
      <c r="Q86" s="132"/>
    </row>
    <row r="87" spans="1:17" x14ac:dyDescent="0.3">
      <c r="A87">
        <f t="shared" si="8"/>
        <v>1.4600000000000004</v>
      </c>
      <c r="B87">
        <f>Main!$B$20/A87</f>
        <v>3.4246575342465744</v>
      </c>
      <c r="D87" s="132">
        <f t="shared" ref="D87:D150" si="9">B87</f>
        <v>3.4246575342465744</v>
      </c>
      <c r="E87" s="132">
        <f>-B87*Main!$B$19-2*Main!$B$19*loop_gain!$B$17*loop_gain!$B$18</f>
        <v>-116.6958904109589</v>
      </c>
      <c r="F87" s="132">
        <f>2*Main!$B$19*loop_gain!$B$17*loop_gain!$B$18*Helper_calcs!$B$26*Current_limit!B87</f>
        <v>996.78082191780811</v>
      </c>
      <c r="G87" s="132" t="e">
        <f t="shared" si="2"/>
        <v>#NUM!</v>
      </c>
      <c r="H87" s="132" t="e">
        <f>(Main!$B$19-Current_limit!G87)*Current_limit!G87/(Main!$B$19*loop_gain!$B$17*loop_gain!$B$18)</f>
        <v>#NUM!</v>
      </c>
      <c r="I87" s="132" t="e">
        <f t="shared" si="3"/>
        <v>#NUM!</v>
      </c>
      <c r="J87" s="132"/>
      <c r="K87" s="133">
        <f>IF(A87&gt;$B$15,IF(I87&gt;Helper_calcs!$B$27,23,3),0)</f>
        <v>0</v>
      </c>
      <c r="L87">
        <f t="shared" ref="L87:L150" si="10">IF(A87&gt;$B$13,IF(A87&gt;$B$14,2,1),0)</f>
        <v>0</v>
      </c>
      <c r="M87">
        <f t="shared" si="4"/>
        <v>0</v>
      </c>
      <c r="N87" s="132">
        <f t="shared" si="5"/>
        <v>1.4600000000000004</v>
      </c>
      <c r="O87" s="132">
        <f t="shared" si="6"/>
        <v>5</v>
      </c>
      <c r="P87" s="134">
        <f>IF(OR(M87=0,M87=3),loop_gain!$B$18,IF(Current_limit!M87=1,Current_limit!$B$12/(2*(Current_limit!N87-Helper_calcs!$B$27)),IF(OR(M87=2,M87=23),(Main!$B$19-Current_limit!O87)*Current_limit!O87/(Main!$B$19*loop_gain!$B$17*(Helper_calcs!$B$26-Helper_calcs!$B$27)),x)))</f>
        <v>2100000</v>
      </c>
      <c r="Q87" s="132"/>
    </row>
    <row r="88" spans="1:17" x14ac:dyDescent="0.3">
      <c r="A88">
        <f t="shared" si="8"/>
        <v>1.4700000000000004</v>
      </c>
      <c r="B88">
        <f>Main!$B$20/A88</f>
        <v>3.401360544217686</v>
      </c>
      <c r="D88" s="132">
        <f t="shared" si="9"/>
        <v>3.401360544217686</v>
      </c>
      <c r="E88" s="132">
        <f>-B88*Main!$B$19-2*Main!$B$19*loop_gain!$B$17*loop_gain!$B$18</f>
        <v>-116.41632653061224</v>
      </c>
      <c r="F88" s="132">
        <f>2*Main!$B$19*loop_gain!$B$17*loop_gain!$B$18*Helper_calcs!$B$26*Current_limit!B88</f>
        <v>989.99999999999989</v>
      </c>
      <c r="G88" s="132">
        <f t="shared" ref="G88:G151" si="11">(-E88-SQRT(E88^2-4*D88*F88))/(2*D88)</f>
        <v>15.770957756587844</v>
      </c>
      <c r="H88" s="132">
        <f>(Main!$B$19-Current_limit!G88)*Current_limit!G88/(Main!$B$19*loop_gain!$B$17*loop_gain!$B$18)</f>
        <v>-1.5733231608736546</v>
      </c>
      <c r="I88" s="132">
        <f t="shared" ref="I88:I151" si="12">(G88/B88)-0.5*H88</f>
        <v>5.4233231608736547</v>
      </c>
      <c r="J88" s="132"/>
      <c r="K88" s="133">
        <f>IF(A88&gt;$B$15,IF(I88&gt;Helper_calcs!$B$27,23,3),0)</f>
        <v>0</v>
      </c>
      <c r="L88">
        <f t="shared" si="10"/>
        <v>0</v>
      </c>
      <c r="M88">
        <f t="shared" ref="M88:M151" si="13">IF($B$16="N",L88,K88)</f>
        <v>0</v>
      </c>
      <c r="N88" s="132">
        <f t="shared" ref="N88:N151" si="14">IF(OR(M88=0,M88=1),A88,IF(OR(M88=2,M88=23),$B$14,G88/B88))</f>
        <v>1.4700000000000004</v>
      </c>
      <c r="O88" s="132">
        <f t="shared" ref="O88:O151" si="15">N88*B88</f>
        <v>5</v>
      </c>
      <c r="P88" s="134">
        <f>IF(OR(M88=0,M88=3),loop_gain!$B$18,IF(Current_limit!M88=1,Current_limit!$B$12/(2*(Current_limit!N88-Helper_calcs!$B$27)),IF(OR(M88=2,M88=23),(Main!$B$19-Current_limit!O88)*Current_limit!O88/(Main!$B$19*loop_gain!$B$17*(Helper_calcs!$B$26-Helper_calcs!$B$27)),x)))</f>
        <v>2100000</v>
      </c>
      <c r="Q88" s="132"/>
    </row>
    <row r="89" spans="1:17" x14ac:dyDescent="0.3">
      <c r="A89">
        <f t="shared" si="8"/>
        <v>1.4800000000000004</v>
      </c>
      <c r="B89">
        <f>Main!$B$20/A89</f>
        <v>3.3783783783783776</v>
      </c>
      <c r="D89" s="132">
        <f t="shared" si="9"/>
        <v>3.3783783783783776</v>
      </c>
      <c r="E89" s="132">
        <f>-B89*Main!$B$19-2*Main!$B$19*loop_gain!$B$17*loop_gain!$B$18</f>
        <v>-116.14054054054054</v>
      </c>
      <c r="F89" s="132">
        <f>2*Main!$B$19*loop_gain!$B$17*loop_gain!$B$18*Helper_calcs!$B$26*Current_limit!B89</f>
        <v>983.31081081081084</v>
      </c>
      <c r="G89" s="132">
        <f t="shared" si="11"/>
        <v>15.092411333745574</v>
      </c>
      <c r="H89" s="132">
        <f>(Main!$B$19-Current_limit!G89)*Current_limit!G89/(Main!$B$19*loop_gain!$B$17*loop_gain!$B$18)</f>
        <v>-1.2347075095773798</v>
      </c>
      <c r="I89" s="132">
        <f t="shared" si="12"/>
        <v>5.084707509577381</v>
      </c>
      <c r="J89" s="132"/>
      <c r="K89" s="133">
        <f>IF(A89&gt;$B$15,IF(I89&gt;Helper_calcs!$B$27,23,3),0)</f>
        <v>0</v>
      </c>
      <c r="L89">
        <f t="shared" si="10"/>
        <v>0</v>
      </c>
      <c r="M89">
        <f t="shared" si="13"/>
        <v>0</v>
      </c>
      <c r="N89" s="132">
        <f t="shared" si="14"/>
        <v>1.4800000000000004</v>
      </c>
      <c r="O89" s="132">
        <f t="shared" si="15"/>
        <v>5</v>
      </c>
      <c r="P89" s="134">
        <f>IF(OR(M89=0,M89=3),loop_gain!$B$18,IF(Current_limit!M89=1,Current_limit!$B$12/(2*(Current_limit!N89-Helper_calcs!$B$27)),IF(OR(M89=2,M89=23),(Main!$B$19-Current_limit!O89)*Current_limit!O89/(Main!$B$19*loop_gain!$B$17*(Helper_calcs!$B$26-Helper_calcs!$B$27)),x)))</f>
        <v>2100000</v>
      </c>
      <c r="Q89" s="132"/>
    </row>
    <row r="90" spans="1:17" x14ac:dyDescent="0.3">
      <c r="A90">
        <f t="shared" si="8"/>
        <v>1.4900000000000004</v>
      </c>
      <c r="B90">
        <f>Main!$B$20/A90</f>
        <v>3.3557046979865763</v>
      </c>
      <c r="D90" s="132">
        <f t="shared" si="9"/>
        <v>3.3557046979865763</v>
      </c>
      <c r="E90" s="132">
        <f>-B90*Main!$B$19-2*Main!$B$19*loop_gain!$B$17*loop_gain!$B$18</f>
        <v>-115.86845637583892</v>
      </c>
      <c r="F90" s="132">
        <f>2*Main!$B$19*loop_gain!$B$17*loop_gain!$B$18*Helper_calcs!$B$26*Current_limit!B90</f>
        <v>976.71140939597308</v>
      </c>
      <c r="G90" s="132">
        <f t="shared" si="11"/>
        <v>14.618741790782487</v>
      </c>
      <c r="H90" s="132">
        <f>(Main!$B$19-Current_limit!G90)*Current_limit!G90/(Main!$B$19*loop_gain!$B$17*loop_gain!$B$18)</f>
        <v>-1.0127701073063624</v>
      </c>
      <c r="I90" s="132">
        <f t="shared" si="12"/>
        <v>4.8627701073063632</v>
      </c>
      <c r="J90" s="132"/>
      <c r="K90" s="133">
        <f>IF(A90&gt;$B$15,IF(I90&gt;Helper_calcs!$B$27,23,3),0)</f>
        <v>0</v>
      </c>
      <c r="L90">
        <f t="shared" si="10"/>
        <v>0</v>
      </c>
      <c r="M90">
        <f t="shared" si="13"/>
        <v>0</v>
      </c>
      <c r="N90" s="132">
        <f t="shared" si="14"/>
        <v>1.4900000000000004</v>
      </c>
      <c r="O90" s="132">
        <f t="shared" si="15"/>
        <v>5</v>
      </c>
      <c r="P90" s="134">
        <f>IF(OR(M90=0,M90=3),loop_gain!$B$18,IF(Current_limit!M90=1,Current_limit!$B$12/(2*(Current_limit!N90-Helper_calcs!$B$27)),IF(OR(M90=2,M90=23),(Main!$B$19-Current_limit!O90)*Current_limit!O90/(Main!$B$19*loop_gain!$B$17*(Helper_calcs!$B$26-Helper_calcs!$B$27)),x)))</f>
        <v>2100000</v>
      </c>
      <c r="Q90" s="132"/>
    </row>
    <row r="91" spans="1:17" x14ac:dyDescent="0.3">
      <c r="A91">
        <f t="shared" si="8"/>
        <v>1.5000000000000004</v>
      </c>
      <c r="B91">
        <f>Main!$B$20/A91</f>
        <v>3.3333333333333321</v>
      </c>
      <c r="D91" s="132">
        <f t="shared" si="9"/>
        <v>3.3333333333333321</v>
      </c>
      <c r="E91" s="132">
        <f>-B91*Main!$B$19-2*Main!$B$19*loop_gain!$B$17*loop_gain!$B$18</f>
        <v>-115.6</v>
      </c>
      <c r="F91" s="132">
        <f>2*Main!$B$19*loop_gain!$B$17*loop_gain!$B$18*Helper_calcs!$B$26*Current_limit!B91</f>
        <v>970.19999999999982</v>
      </c>
      <c r="G91" s="132">
        <f t="shared" si="11"/>
        <v>14.23909690573857</v>
      </c>
      <c r="H91" s="132">
        <f>(Main!$B$19-Current_limit!G91)*Current_limit!G91/(Main!$B$19*loop_gain!$B$17*loop_gain!$B$18)</f>
        <v>-0.84345814344314496</v>
      </c>
      <c r="I91" s="132">
        <f t="shared" si="12"/>
        <v>4.693458143443145</v>
      </c>
      <c r="J91" s="132"/>
      <c r="K91" s="133">
        <f>IF(A91&gt;$B$15,IF(I91&gt;Helper_calcs!$B$27,23,3),0)</f>
        <v>0</v>
      </c>
      <c r="L91">
        <f t="shared" si="10"/>
        <v>0</v>
      </c>
      <c r="M91">
        <f t="shared" si="13"/>
        <v>0</v>
      </c>
      <c r="N91" s="132">
        <f t="shared" si="14"/>
        <v>1.5000000000000004</v>
      </c>
      <c r="O91" s="132">
        <f t="shared" si="15"/>
        <v>5</v>
      </c>
      <c r="P91" s="134">
        <f>IF(OR(M91=0,M91=3),loop_gain!$B$18,IF(Current_limit!M91=1,Current_limit!$B$12/(2*(Current_limit!N91-Helper_calcs!$B$27)),IF(OR(M91=2,M91=23),(Main!$B$19-Current_limit!O91)*Current_limit!O91/(Main!$B$19*loop_gain!$B$17*(Helper_calcs!$B$26-Helper_calcs!$B$27)),x)))</f>
        <v>2100000</v>
      </c>
      <c r="Q91" s="132"/>
    </row>
    <row r="92" spans="1:17" x14ac:dyDescent="0.3">
      <c r="A92">
        <f t="shared" si="8"/>
        <v>1.5100000000000005</v>
      </c>
      <c r="B92">
        <f>Main!$B$20/A92</f>
        <v>3.3112582781456945</v>
      </c>
      <c r="D92" s="132">
        <f t="shared" si="9"/>
        <v>3.3112582781456945</v>
      </c>
      <c r="E92" s="132">
        <f>-B92*Main!$B$19-2*Main!$B$19*loop_gain!$B$17*loop_gain!$B$18</f>
        <v>-115.33509933774835</v>
      </c>
      <c r="F92" s="132">
        <f>2*Main!$B$19*loop_gain!$B$17*loop_gain!$B$18*Helper_calcs!$B$26*Current_limit!B92</f>
        <v>963.77483443708604</v>
      </c>
      <c r="G92" s="132">
        <f t="shared" si="11"/>
        <v>13.916582515047967</v>
      </c>
      <c r="H92" s="132">
        <f>(Main!$B$19-Current_limit!G92)*Current_limit!G92/(Main!$B$19*loop_gain!$B$17*loop_gain!$B$18)</f>
        <v>-0.7056158390889733</v>
      </c>
      <c r="I92" s="132">
        <f t="shared" si="12"/>
        <v>4.5556158390889738</v>
      </c>
      <c r="J92" s="132"/>
      <c r="K92" s="133">
        <f>IF(A92&gt;$B$15,IF(I92&gt;Helper_calcs!$B$27,23,3),0)</f>
        <v>0</v>
      </c>
      <c r="L92">
        <f t="shared" si="10"/>
        <v>0</v>
      </c>
      <c r="M92">
        <f t="shared" si="13"/>
        <v>0</v>
      </c>
      <c r="N92" s="132">
        <f t="shared" si="14"/>
        <v>1.5100000000000005</v>
      </c>
      <c r="O92" s="132">
        <f t="shared" si="15"/>
        <v>5</v>
      </c>
      <c r="P92" s="134">
        <f>IF(OR(M92=0,M92=3),loop_gain!$B$18,IF(Current_limit!M92=1,Current_limit!$B$12/(2*(Current_limit!N92-Helper_calcs!$B$27)),IF(OR(M92=2,M92=23),(Main!$B$19-Current_limit!O92)*Current_limit!O92/(Main!$B$19*loop_gain!$B$17*(Helper_calcs!$B$26-Helper_calcs!$B$27)),x)))</f>
        <v>2100000</v>
      </c>
      <c r="Q92" s="132"/>
    </row>
    <row r="93" spans="1:17" x14ac:dyDescent="0.3">
      <c r="A93">
        <f t="shared" si="8"/>
        <v>1.5200000000000005</v>
      </c>
      <c r="B93">
        <f>Main!$B$20/A93</f>
        <v>3.2894736842105252</v>
      </c>
      <c r="D93" s="132">
        <f t="shared" si="9"/>
        <v>3.2894736842105252</v>
      </c>
      <c r="E93" s="132">
        <f>-B93*Main!$B$19-2*Main!$B$19*loop_gain!$B$17*loop_gain!$B$18</f>
        <v>-115.07368421052631</v>
      </c>
      <c r="F93" s="132">
        <f>2*Main!$B$19*loop_gain!$B$17*loop_gain!$B$18*Helper_calcs!$B$26*Current_limit!B93</f>
        <v>957.43421052631561</v>
      </c>
      <c r="G93" s="132">
        <f t="shared" si="11"/>
        <v>13.633470429384648</v>
      </c>
      <c r="H93" s="132">
        <f>(Main!$B$19-Current_limit!G93)*Current_limit!G93/(Main!$B$19*loop_gain!$B$17*loop_gain!$B$18)</f>
        <v>-0.58915002106586878</v>
      </c>
      <c r="I93" s="132">
        <f t="shared" si="12"/>
        <v>4.4391500210658688</v>
      </c>
      <c r="J93" s="132"/>
      <c r="K93" s="133">
        <f>IF(A93&gt;$B$15,IF(I93&gt;Helper_calcs!$B$27,23,3),0)</f>
        <v>0</v>
      </c>
      <c r="L93">
        <f t="shared" si="10"/>
        <v>0</v>
      </c>
      <c r="M93">
        <f t="shared" si="13"/>
        <v>0</v>
      </c>
      <c r="N93" s="132">
        <f t="shared" si="14"/>
        <v>1.5200000000000005</v>
      </c>
      <c r="O93" s="132">
        <f t="shared" si="15"/>
        <v>5</v>
      </c>
      <c r="P93" s="134">
        <f>IF(OR(M93=0,M93=3),loop_gain!$B$18,IF(Current_limit!M93=1,Current_limit!$B$12/(2*(Current_limit!N93-Helper_calcs!$B$27)),IF(OR(M93=2,M93=23),(Main!$B$19-Current_limit!O93)*Current_limit!O93/(Main!$B$19*loop_gain!$B$17*(Helper_calcs!$B$26-Helper_calcs!$B$27)),x)))</f>
        <v>2100000</v>
      </c>
      <c r="Q93" s="132"/>
    </row>
    <row r="94" spans="1:17" x14ac:dyDescent="0.3">
      <c r="A94">
        <f t="shared" si="8"/>
        <v>1.5300000000000005</v>
      </c>
      <c r="B94">
        <f>Main!$B$20/A94</f>
        <v>3.2679738562091494</v>
      </c>
      <c r="D94" s="132">
        <f t="shared" si="9"/>
        <v>3.2679738562091494</v>
      </c>
      <c r="E94" s="132">
        <f>-B94*Main!$B$19-2*Main!$B$19*loop_gain!$B$17*loop_gain!$B$18</f>
        <v>-114.8156862745098</v>
      </c>
      <c r="F94" s="132">
        <f>2*Main!$B$19*loop_gain!$B$17*loop_gain!$B$18*Helper_calcs!$B$26*Current_limit!B94</f>
        <v>951.17647058823525</v>
      </c>
      <c r="G94" s="132">
        <f t="shared" si="11"/>
        <v>13.379621685191799</v>
      </c>
      <c r="H94" s="132">
        <f>(Main!$B$19-Current_limit!G94)*Current_limit!G94/(Main!$B$19*loop_gain!$B$17*loop_gain!$B$18)</f>
        <v>-0.48832847133738205</v>
      </c>
      <c r="I94" s="132">
        <f t="shared" si="12"/>
        <v>4.3383284713373831</v>
      </c>
      <c r="J94" s="132"/>
      <c r="K94" s="133">
        <f>IF(A94&gt;$B$15,IF(I94&gt;Helper_calcs!$B$27,23,3),0)</f>
        <v>0</v>
      </c>
      <c r="L94">
        <f t="shared" si="10"/>
        <v>0</v>
      </c>
      <c r="M94">
        <f t="shared" si="13"/>
        <v>0</v>
      </c>
      <c r="N94" s="132">
        <f t="shared" si="14"/>
        <v>1.5300000000000005</v>
      </c>
      <c r="O94" s="132">
        <f t="shared" si="15"/>
        <v>5</v>
      </c>
      <c r="P94" s="134">
        <f>IF(OR(M94=0,M94=3),loop_gain!$B$18,IF(Current_limit!M94=1,Current_limit!$B$12/(2*(Current_limit!N94-Helper_calcs!$B$27)),IF(OR(M94=2,M94=23),(Main!$B$19-Current_limit!O94)*Current_limit!O94/(Main!$B$19*loop_gain!$B$17*(Helper_calcs!$B$26-Helper_calcs!$B$27)),x)))</f>
        <v>2100000</v>
      </c>
      <c r="Q94" s="132"/>
    </row>
    <row r="95" spans="1:17" x14ac:dyDescent="0.3">
      <c r="A95">
        <f t="shared" si="8"/>
        <v>1.5400000000000005</v>
      </c>
      <c r="B95">
        <f>Main!$B$20/A95</f>
        <v>3.2467532467532458</v>
      </c>
      <c r="D95" s="132">
        <f t="shared" si="9"/>
        <v>3.2467532467532458</v>
      </c>
      <c r="E95" s="132">
        <f>-B95*Main!$B$19-2*Main!$B$19*loop_gain!$B$17*loop_gain!$B$18</f>
        <v>-114.56103896103896</v>
      </c>
      <c r="F95" s="132">
        <f>2*Main!$B$19*loop_gain!$B$17*loop_gain!$B$18*Helper_calcs!$B$26*Current_limit!B95</f>
        <v>944.99999999999989</v>
      </c>
      <c r="G95" s="132">
        <f t="shared" si="11"/>
        <v>13.148595625085573</v>
      </c>
      <c r="H95" s="132">
        <f>(Main!$B$19-Current_limit!G95)*Current_limit!G95/(Main!$B$19*loop_gain!$B$17*loop_gain!$B$18)</f>
        <v>-0.39953490505271405</v>
      </c>
      <c r="I95" s="132">
        <f t="shared" si="12"/>
        <v>4.2495349050527151</v>
      </c>
      <c r="J95" s="132"/>
      <c r="K95" s="133">
        <f>IF(A95&gt;$B$15,IF(I95&gt;Helper_calcs!$B$27,23,3),0)</f>
        <v>0</v>
      </c>
      <c r="L95">
        <f t="shared" si="10"/>
        <v>0</v>
      </c>
      <c r="M95">
        <f t="shared" si="13"/>
        <v>0</v>
      </c>
      <c r="N95" s="132">
        <f t="shared" si="14"/>
        <v>1.5400000000000005</v>
      </c>
      <c r="O95" s="132">
        <f t="shared" si="15"/>
        <v>5</v>
      </c>
      <c r="P95" s="134">
        <f>IF(OR(M95=0,M95=3),loop_gain!$B$18,IF(Current_limit!M95=1,Current_limit!$B$12/(2*(Current_limit!N95-Helper_calcs!$B$27)),IF(OR(M95=2,M95=23),(Main!$B$19-Current_limit!O95)*Current_limit!O95/(Main!$B$19*loop_gain!$B$17*(Helper_calcs!$B$26-Helper_calcs!$B$27)),x)))</f>
        <v>2100000</v>
      </c>
      <c r="Q95" s="132"/>
    </row>
    <row r="96" spans="1:17" x14ac:dyDescent="0.3">
      <c r="A96">
        <f t="shared" si="8"/>
        <v>1.5500000000000005</v>
      </c>
      <c r="B96">
        <f>Main!$B$20/A96</f>
        <v>3.2258064516129021</v>
      </c>
      <c r="D96" s="132">
        <f t="shared" si="9"/>
        <v>3.2258064516129021</v>
      </c>
      <c r="E96" s="132">
        <f>-B96*Main!$B$19-2*Main!$B$19*loop_gain!$B$17*loop_gain!$B$18</f>
        <v>-114.30967741935484</v>
      </c>
      <c r="F96" s="132">
        <f>2*Main!$B$19*loop_gain!$B$17*loop_gain!$B$18*Helper_calcs!$B$26*Current_limit!B96</f>
        <v>938.90322580645147</v>
      </c>
      <c r="G96" s="132">
        <f t="shared" si="11"/>
        <v>12.935999999999988</v>
      </c>
      <c r="H96" s="132">
        <f>(Main!$B$19-Current_limit!G96)*Current_limit!G96/(Main!$B$19*loop_gain!$B$17*loop_gain!$B$18)</f>
        <v>-0.32031999999999539</v>
      </c>
      <c r="I96" s="132">
        <f t="shared" si="12"/>
        <v>4.1703199999999949</v>
      </c>
      <c r="J96" s="132"/>
      <c r="K96" s="133">
        <f>IF(A96&gt;$B$15,IF(I96&gt;Helper_calcs!$B$27,23,3),0)</f>
        <v>0</v>
      </c>
      <c r="L96">
        <f t="shared" si="10"/>
        <v>0</v>
      </c>
      <c r="M96">
        <f t="shared" si="13"/>
        <v>0</v>
      </c>
      <c r="N96" s="132">
        <f t="shared" si="14"/>
        <v>1.5500000000000005</v>
      </c>
      <c r="O96" s="132">
        <f t="shared" si="15"/>
        <v>5</v>
      </c>
      <c r="P96" s="134">
        <f>IF(OR(M96=0,M96=3),loop_gain!$B$18,IF(Current_limit!M96=1,Current_limit!$B$12/(2*(Current_limit!N96-Helper_calcs!$B$27)),IF(OR(M96=2,M96=23),(Main!$B$19-Current_limit!O96)*Current_limit!O96/(Main!$B$19*loop_gain!$B$17*(Helper_calcs!$B$26-Helper_calcs!$B$27)),x)))</f>
        <v>2100000</v>
      </c>
      <c r="Q96" s="132"/>
    </row>
    <row r="97" spans="1:17" x14ac:dyDescent="0.3">
      <c r="A97">
        <f t="shared" ref="A97:A160" si="16">A96+0.01</f>
        <v>1.5600000000000005</v>
      </c>
      <c r="B97">
        <f>Main!$B$20/A97</f>
        <v>3.205128205128204</v>
      </c>
      <c r="D97" s="132">
        <f t="shared" si="9"/>
        <v>3.205128205128204</v>
      </c>
      <c r="E97" s="132">
        <f>-B97*Main!$B$19-2*Main!$B$19*loop_gain!$B$17*loop_gain!$B$18</f>
        <v>-114.06153846153845</v>
      </c>
      <c r="F97" s="132">
        <f>2*Main!$B$19*loop_gain!$B$17*loop_gain!$B$18*Helper_calcs!$B$26*Current_limit!B97</f>
        <v>932.88461538461524</v>
      </c>
      <c r="G97" s="132">
        <f t="shared" si="11"/>
        <v>12.738681508075519</v>
      </c>
      <c r="H97" s="132">
        <f>(Main!$B$19-Current_limit!G97)*Current_limit!G97/(Main!$B$19*loop_gain!$B$17*loop_gain!$B$18)</f>
        <v>-0.2489372610391257</v>
      </c>
      <c r="I97" s="132">
        <f t="shared" si="12"/>
        <v>4.0989372610391266</v>
      </c>
      <c r="J97" s="132"/>
      <c r="K97" s="133">
        <f>IF(A97&gt;$B$15,IF(I97&gt;Helper_calcs!$B$27,23,3),0)</f>
        <v>0</v>
      </c>
      <c r="L97">
        <f t="shared" si="10"/>
        <v>0</v>
      </c>
      <c r="M97">
        <f t="shared" si="13"/>
        <v>0</v>
      </c>
      <c r="N97" s="132">
        <f t="shared" si="14"/>
        <v>1.5600000000000005</v>
      </c>
      <c r="O97" s="132">
        <f t="shared" si="15"/>
        <v>5</v>
      </c>
      <c r="P97" s="134">
        <f>IF(OR(M97=0,M97=3),loop_gain!$B$18,IF(Current_limit!M97=1,Current_limit!$B$12/(2*(Current_limit!N97-Helper_calcs!$B$27)),IF(OR(M97=2,M97=23),(Main!$B$19-Current_limit!O97)*Current_limit!O97/(Main!$B$19*loop_gain!$B$17*(Helper_calcs!$B$26-Helper_calcs!$B$27)),x)))</f>
        <v>2100000</v>
      </c>
      <c r="Q97" s="132"/>
    </row>
    <row r="98" spans="1:17" x14ac:dyDescent="0.3">
      <c r="A98">
        <f t="shared" si="16"/>
        <v>1.5700000000000005</v>
      </c>
      <c r="B98">
        <f>Main!$B$20/A98</f>
        <v>3.1847133757961772</v>
      </c>
      <c r="D98" s="132">
        <f t="shared" si="9"/>
        <v>3.1847133757961772</v>
      </c>
      <c r="E98" s="132">
        <f>-B98*Main!$B$19-2*Main!$B$19*loop_gain!$B$17*loop_gain!$B$18</f>
        <v>-113.81656050955414</v>
      </c>
      <c r="F98" s="132">
        <f>2*Main!$B$19*loop_gain!$B$17*loop_gain!$B$18*Helper_calcs!$B$26*Current_limit!B98</f>
        <v>926.94267515923548</v>
      </c>
      <c r="G98" s="132">
        <f t="shared" si="11"/>
        <v>12.55428620577905</v>
      </c>
      <c r="H98" s="132">
        <f>(Main!$B$19-Current_limit!G98)*Current_limit!G98/(Main!$B$19*loop_gain!$B$17*loop_gain!$B$18)</f>
        <v>-0.18409173722924696</v>
      </c>
      <c r="I98" s="132">
        <f t="shared" si="12"/>
        <v>4.0340917372292466</v>
      </c>
      <c r="J98" s="132"/>
      <c r="K98" s="133">
        <f>IF(A98&gt;$B$15,IF(I98&gt;Helper_calcs!$B$27,23,3),0)</f>
        <v>0</v>
      </c>
      <c r="L98">
        <f t="shared" si="10"/>
        <v>0</v>
      </c>
      <c r="M98">
        <f t="shared" si="13"/>
        <v>0</v>
      </c>
      <c r="N98" s="132">
        <f t="shared" si="14"/>
        <v>1.5700000000000005</v>
      </c>
      <c r="O98" s="132">
        <f t="shared" si="15"/>
        <v>5</v>
      </c>
      <c r="P98" s="134">
        <f>IF(OR(M98=0,M98=3),loop_gain!$B$18,IF(Current_limit!M98=1,Current_limit!$B$12/(2*(Current_limit!N98-Helper_calcs!$B$27)),IF(OR(M98=2,M98=23),(Main!$B$19-Current_limit!O98)*Current_limit!O98/(Main!$B$19*loop_gain!$B$17*(Helper_calcs!$B$26-Helper_calcs!$B$27)),x)))</f>
        <v>2100000</v>
      </c>
      <c r="Q98" s="132"/>
    </row>
    <row r="99" spans="1:17" x14ac:dyDescent="0.3">
      <c r="A99">
        <f t="shared" si="16"/>
        <v>1.5800000000000005</v>
      </c>
      <c r="B99">
        <f>Main!$B$20/A99</f>
        <v>3.1645569620253156</v>
      </c>
      <c r="D99" s="132">
        <f t="shared" si="9"/>
        <v>3.1645569620253156</v>
      </c>
      <c r="E99" s="132">
        <f>-B99*Main!$B$19-2*Main!$B$19*loop_gain!$B$17*loop_gain!$B$18</f>
        <v>-113.5746835443038</v>
      </c>
      <c r="F99" s="132">
        <f>2*Main!$B$19*loop_gain!$B$17*loop_gain!$B$18*Helper_calcs!$B$26*Current_limit!B99</f>
        <v>921.07594936708858</v>
      </c>
      <c r="G99" s="132">
        <f t="shared" si="11"/>
        <v>12.381002102879721</v>
      </c>
      <c r="H99" s="132">
        <f>(Main!$B$19-Current_limit!G99)*Current_limit!G99/(Main!$B$19*loop_gain!$B$17*loop_gain!$B$18)</f>
        <v>-0.12479332901998477</v>
      </c>
      <c r="I99" s="132">
        <f t="shared" si="12"/>
        <v>3.9747933290199855</v>
      </c>
      <c r="J99" s="132"/>
      <c r="K99" s="133">
        <f>IF(A99&gt;$B$15,IF(I99&gt;Helper_calcs!$B$27,23,3),0)</f>
        <v>0</v>
      </c>
      <c r="L99">
        <f t="shared" si="10"/>
        <v>0</v>
      </c>
      <c r="M99">
        <f t="shared" si="13"/>
        <v>0</v>
      </c>
      <c r="N99" s="132">
        <f t="shared" si="14"/>
        <v>1.5800000000000005</v>
      </c>
      <c r="O99" s="132">
        <f t="shared" si="15"/>
        <v>5</v>
      </c>
      <c r="P99" s="134">
        <f>IF(OR(M99=0,M99=3),loop_gain!$B$18,IF(Current_limit!M99=1,Current_limit!$B$12/(2*(Current_limit!N99-Helper_calcs!$B$27)),IF(OR(M99=2,M99=23),(Main!$B$19-Current_limit!O99)*Current_limit!O99/(Main!$B$19*loop_gain!$B$17*(Helper_calcs!$B$26-Helper_calcs!$B$27)),x)))</f>
        <v>2100000</v>
      </c>
      <c r="Q99" s="132"/>
    </row>
    <row r="100" spans="1:17" x14ac:dyDescent="0.3">
      <c r="A100">
        <f t="shared" si="16"/>
        <v>1.5900000000000005</v>
      </c>
      <c r="B100">
        <f>Main!$B$20/A100</f>
        <v>3.1446540880503133</v>
      </c>
      <c r="D100" s="132">
        <f t="shared" si="9"/>
        <v>3.1446540880503133</v>
      </c>
      <c r="E100" s="132">
        <f>-B100*Main!$B$19-2*Main!$B$19*loop_gain!$B$17*loop_gain!$B$18</f>
        <v>-113.33584905660376</v>
      </c>
      <c r="F100" s="132">
        <f>2*Main!$B$19*loop_gain!$B$17*loop_gain!$B$18*Helper_calcs!$B$26*Current_limit!B100</f>
        <v>915.2830188679244</v>
      </c>
      <c r="G100" s="132">
        <f t="shared" si="11"/>
        <v>12.217399383077748</v>
      </c>
      <c r="H100" s="132">
        <f>(Main!$B$19-Current_limit!G100)*Current_limit!G100/(Main!$B$19*loop_gain!$B$17*loop_gain!$B$18)</f>
        <v>-7.0266007637448585E-2</v>
      </c>
      <c r="I100" s="132">
        <f t="shared" si="12"/>
        <v>3.9202660076374491</v>
      </c>
      <c r="J100" s="132"/>
      <c r="K100" s="133">
        <f>IF(A100&gt;$B$15,IF(I100&gt;Helper_calcs!$B$27,23,3),0)</f>
        <v>0</v>
      </c>
      <c r="L100">
        <f t="shared" si="10"/>
        <v>0</v>
      </c>
      <c r="M100">
        <f t="shared" si="13"/>
        <v>0</v>
      </c>
      <c r="N100" s="132">
        <f t="shared" si="14"/>
        <v>1.5900000000000005</v>
      </c>
      <c r="O100" s="132">
        <f t="shared" si="15"/>
        <v>5</v>
      </c>
      <c r="P100" s="134">
        <f>IF(OR(M100=0,M100=3),loop_gain!$B$18,IF(Current_limit!M100=1,Current_limit!$B$12/(2*(Current_limit!N100-Helper_calcs!$B$27)),IF(OR(M100=2,M100=23),(Main!$B$19-Current_limit!O100)*Current_limit!O100/(Main!$B$19*loop_gain!$B$17*(Helper_calcs!$B$26-Helper_calcs!$B$27)),x)))</f>
        <v>2100000</v>
      </c>
      <c r="Q100" s="132"/>
    </row>
    <row r="101" spans="1:17" x14ac:dyDescent="0.3">
      <c r="A101">
        <f t="shared" si="16"/>
        <v>1.6000000000000005</v>
      </c>
      <c r="B101">
        <f>Main!$B$20/A101</f>
        <v>3.1249999999999991</v>
      </c>
      <c r="D101" s="132">
        <f t="shared" si="9"/>
        <v>3.1249999999999991</v>
      </c>
      <c r="E101" s="132">
        <f>-B101*Main!$B$19-2*Main!$B$19*loop_gain!$B$17*loop_gain!$B$18</f>
        <v>-113.1</v>
      </c>
      <c r="F101" s="132">
        <f>2*Main!$B$19*loop_gain!$B$17*loop_gain!$B$18*Helper_calcs!$B$26*Current_limit!B101</f>
        <v>909.56249999999989</v>
      </c>
      <c r="G101" s="132">
        <f t="shared" si="11"/>
        <v>12.062326492094547</v>
      </c>
      <c r="H101" s="132">
        <f>(Main!$B$19-Current_limit!G101)*Current_limit!G101/(Main!$B$19*loop_gain!$B$17*loop_gain!$B$18)</f>
        <v>-1.9888954940512578E-2</v>
      </c>
      <c r="I101" s="132">
        <f t="shared" si="12"/>
        <v>3.8698889549405124</v>
      </c>
      <c r="J101" s="132"/>
      <c r="K101" s="133">
        <f>IF(A101&gt;$B$15,IF(I101&gt;Helper_calcs!$B$27,23,3),0)</f>
        <v>0</v>
      </c>
      <c r="L101">
        <f t="shared" si="10"/>
        <v>0</v>
      </c>
      <c r="M101">
        <f t="shared" si="13"/>
        <v>0</v>
      </c>
      <c r="N101" s="132">
        <f t="shared" si="14"/>
        <v>1.6000000000000005</v>
      </c>
      <c r="O101" s="132">
        <f t="shared" si="15"/>
        <v>5</v>
      </c>
      <c r="P101" s="134">
        <f>IF(OR(M101=0,M101=3),loop_gain!$B$18,IF(Current_limit!M101=1,Current_limit!$B$12/(2*(Current_limit!N101-Helper_calcs!$B$27)),IF(OR(M101=2,M101=23),(Main!$B$19-Current_limit!O101)*Current_limit!O101/(Main!$B$19*loop_gain!$B$17*(Helper_calcs!$B$26-Helper_calcs!$B$27)),x)))</f>
        <v>2100000</v>
      </c>
      <c r="Q101" s="132"/>
    </row>
    <row r="102" spans="1:17" x14ac:dyDescent="0.3">
      <c r="A102">
        <f t="shared" si="16"/>
        <v>1.6100000000000005</v>
      </c>
      <c r="B102">
        <f>Main!$B$20/A102</f>
        <v>3.1055900621118</v>
      </c>
      <c r="D102" s="132">
        <f t="shared" si="9"/>
        <v>3.1055900621118</v>
      </c>
      <c r="E102" s="132">
        <f>-B102*Main!$B$19-2*Main!$B$19*loop_gain!$B$17*loop_gain!$B$18</f>
        <v>-112.86708074534161</v>
      </c>
      <c r="F102" s="132">
        <f>2*Main!$B$19*loop_gain!$B$17*loop_gain!$B$18*Helper_calcs!$B$26*Current_limit!B102</f>
        <v>903.91304347826065</v>
      </c>
      <c r="G102" s="132">
        <f t="shared" si="11"/>
        <v>11.914839931082531</v>
      </c>
      <c r="H102" s="132">
        <f>(Main!$B$19-Current_limit!G102)*Current_limit!G102/(Main!$B$19*loop_gain!$B$17*loop_gain!$B$18)</f>
        <v>2.6843084382846615E-2</v>
      </c>
      <c r="I102" s="132">
        <f t="shared" si="12"/>
        <v>3.8231569156171532</v>
      </c>
      <c r="J102" s="132"/>
      <c r="K102" s="133">
        <f>IF(A102&gt;$B$15,IF(I102&gt;Helper_calcs!$B$27,23,3),0)</f>
        <v>0</v>
      </c>
      <c r="L102">
        <f t="shared" si="10"/>
        <v>0</v>
      </c>
      <c r="M102">
        <f t="shared" si="13"/>
        <v>0</v>
      </c>
      <c r="N102" s="132">
        <f t="shared" si="14"/>
        <v>1.6100000000000005</v>
      </c>
      <c r="O102" s="132">
        <f t="shared" si="15"/>
        <v>5</v>
      </c>
      <c r="P102" s="134">
        <f>IF(OR(M102=0,M102=3),loop_gain!$B$18,IF(Current_limit!M102=1,Current_limit!$B$12/(2*(Current_limit!N102-Helper_calcs!$B$27)),IF(OR(M102=2,M102=23),(Main!$B$19-Current_limit!O102)*Current_limit!O102/(Main!$B$19*loop_gain!$B$17*(Helper_calcs!$B$26-Helper_calcs!$B$27)),x)))</f>
        <v>2100000</v>
      </c>
      <c r="Q102" s="132"/>
    </row>
    <row r="103" spans="1:17" x14ac:dyDescent="0.3">
      <c r="A103">
        <f t="shared" si="16"/>
        <v>1.6200000000000006</v>
      </c>
      <c r="B103">
        <f>Main!$B$20/A103</f>
        <v>3.0864197530864188</v>
      </c>
      <c r="D103" s="132">
        <f t="shared" si="9"/>
        <v>3.0864197530864188</v>
      </c>
      <c r="E103" s="132">
        <f>-B103*Main!$B$19-2*Main!$B$19*loop_gain!$B$17*loop_gain!$B$18</f>
        <v>-112.63703703703703</v>
      </c>
      <c r="F103" s="132">
        <f>2*Main!$B$19*loop_gain!$B$17*loop_gain!$B$18*Helper_calcs!$B$26*Current_limit!B103</f>
        <v>898.33333333333326</v>
      </c>
      <c r="G103" s="132">
        <f t="shared" si="11"/>
        <v>11.774155288274299</v>
      </c>
      <c r="H103" s="132">
        <f>(Main!$B$19-Current_limit!G103)*Current_limit!G103/(Main!$B$19*loop_gain!$B$17*loop_gain!$B$18)</f>
        <v>7.0347373198252544E-2</v>
      </c>
      <c r="I103" s="132">
        <f t="shared" si="12"/>
        <v>3.7796526268017479</v>
      </c>
      <c r="J103" s="132"/>
      <c r="K103" s="133">
        <f>IF(A103&gt;$B$15,IF(I103&gt;Helper_calcs!$B$27,23,3),0)</f>
        <v>0</v>
      </c>
      <c r="L103">
        <f t="shared" si="10"/>
        <v>0</v>
      </c>
      <c r="M103">
        <f t="shared" si="13"/>
        <v>0</v>
      </c>
      <c r="N103" s="132">
        <f t="shared" si="14"/>
        <v>1.6200000000000006</v>
      </c>
      <c r="O103" s="132">
        <f t="shared" si="15"/>
        <v>5</v>
      </c>
      <c r="P103" s="134">
        <f>IF(OR(M103=0,M103=3),loop_gain!$B$18,IF(Current_limit!M103=1,Current_limit!$B$12/(2*(Current_limit!N103-Helper_calcs!$B$27)),IF(OR(M103=2,M103=23),(Main!$B$19-Current_limit!O103)*Current_limit!O103/(Main!$B$19*loop_gain!$B$17*(Helper_calcs!$B$26-Helper_calcs!$B$27)),x)))</f>
        <v>2100000</v>
      </c>
      <c r="Q103" s="132"/>
    </row>
    <row r="104" spans="1:17" x14ac:dyDescent="0.3">
      <c r="A104">
        <f t="shared" si="16"/>
        <v>1.6300000000000006</v>
      </c>
      <c r="B104">
        <f>Main!$B$20/A104</f>
        <v>3.0674846625766863</v>
      </c>
      <c r="D104" s="132">
        <f t="shared" si="9"/>
        <v>3.0674846625766863</v>
      </c>
      <c r="E104" s="132">
        <f>-B104*Main!$B$19-2*Main!$B$19*loop_gain!$B$17*loop_gain!$B$18</f>
        <v>-112.40981595092025</v>
      </c>
      <c r="F104" s="132">
        <f>2*Main!$B$19*loop_gain!$B$17*loop_gain!$B$18*Helper_calcs!$B$26*Current_limit!B104</f>
        <v>892.82208588957053</v>
      </c>
      <c r="G104" s="132">
        <f t="shared" si="11"/>
        <v>11.639612149879367</v>
      </c>
      <c r="H104" s="132">
        <f>(Main!$B$19-Current_limit!G104)*Current_limit!G104/(Main!$B$19*loop_gain!$B$17*loop_gain!$B$18)</f>
        <v>0.11097287827865136</v>
      </c>
      <c r="I104" s="132">
        <f t="shared" si="12"/>
        <v>3.7390271217213491</v>
      </c>
      <c r="J104" s="132"/>
      <c r="K104" s="133">
        <f>IF(A104&gt;$B$15,IF(I104&gt;Helper_calcs!$B$27,23,3),0)</f>
        <v>0</v>
      </c>
      <c r="L104">
        <f t="shared" si="10"/>
        <v>0</v>
      </c>
      <c r="M104">
        <f t="shared" si="13"/>
        <v>0</v>
      </c>
      <c r="N104" s="132">
        <f t="shared" si="14"/>
        <v>1.6300000000000006</v>
      </c>
      <c r="O104" s="132">
        <f t="shared" si="15"/>
        <v>5</v>
      </c>
      <c r="P104" s="134">
        <f>IF(OR(M104=0,M104=3),loop_gain!$B$18,IF(Current_limit!M104=1,Current_limit!$B$12/(2*(Current_limit!N104-Helper_calcs!$B$27)),IF(OR(M104=2,M104=23),(Main!$B$19-Current_limit!O104)*Current_limit!O104/(Main!$B$19*loop_gain!$B$17*(Helper_calcs!$B$26-Helper_calcs!$B$27)),x)))</f>
        <v>2100000</v>
      </c>
      <c r="Q104" s="132"/>
    </row>
    <row r="105" spans="1:17" x14ac:dyDescent="0.3">
      <c r="A105">
        <f t="shared" si="16"/>
        <v>1.6400000000000006</v>
      </c>
      <c r="B105">
        <f>Main!$B$20/A105</f>
        <v>3.0487804878048772</v>
      </c>
      <c r="D105" s="132">
        <f t="shared" si="9"/>
        <v>3.0487804878048772</v>
      </c>
      <c r="E105" s="132">
        <f>-B105*Main!$B$19-2*Main!$B$19*loop_gain!$B$17*loop_gain!$B$18</f>
        <v>-112.18536585365854</v>
      </c>
      <c r="F105" s="132">
        <f>2*Main!$B$19*loop_gain!$B$17*loop_gain!$B$18*Helper_calcs!$B$26*Current_limit!B105</f>
        <v>887.37804878048769</v>
      </c>
      <c r="G105" s="132">
        <f t="shared" si="11"/>
        <v>11.510648366847123</v>
      </c>
      <c r="H105" s="132">
        <f>(Main!$B$19-Current_limit!G105)*Current_limit!G105/(Main!$B$19*loop_gain!$B$17*loop_gain!$B$18)</f>
        <v>0.14901467134828397</v>
      </c>
      <c r="I105" s="132">
        <f t="shared" si="12"/>
        <v>3.7009853286517154</v>
      </c>
      <c r="J105" s="132"/>
      <c r="K105" s="133">
        <f>IF(A105&gt;$B$15,IF(I105&gt;Helper_calcs!$B$27,23,3),0)</f>
        <v>0</v>
      </c>
      <c r="L105">
        <f t="shared" si="10"/>
        <v>0</v>
      </c>
      <c r="M105">
        <f t="shared" si="13"/>
        <v>0</v>
      </c>
      <c r="N105" s="132">
        <f t="shared" si="14"/>
        <v>1.6400000000000006</v>
      </c>
      <c r="O105" s="132">
        <f t="shared" si="15"/>
        <v>5</v>
      </c>
      <c r="P105" s="134">
        <f>IF(OR(M105=0,M105=3),loop_gain!$B$18,IF(Current_limit!M105=1,Current_limit!$B$12/(2*(Current_limit!N105-Helper_calcs!$B$27)),IF(OR(M105=2,M105=23),(Main!$B$19-Current_limit!O105)*Current_limit!O105/(Main!$B$19*loop_gain!$B$17*(Helper_calcs!$B$26-Helper_calcs!$B$27)),x)))</f>
        <v>2100000</v>
      </c>
      <c r="Q105" s="132"/>
    </row>
    <row r="106" spans="1:17" x14ac:dyDescent="0.3">
      <c r="A106">
        <f t="shared" si="16"/>
        <v>1.6500000000000006</v>
      </c>
      <c r="B106">
        <f>Main!$B$20/A106</f>
        <v>3.0303030303030294</v>
      </c>
      <c r="D106" s="132">
        <f t="shared" si="9"/>
        <v>3.0303030303030294</v>
      </c>
      <c r="E106" s="132">
        <f>-B106*Main!$B$19-2*Main!$B$19*loop_gain!$B$17*loop_gain!$B$18</f>
        <v>-111.96363636363637</v>
      </c>
      <c r="F106" s="132">
        <f>2*Main!$B$19*loop_gain!$B$17*loop_gain!$B$18*Helper_calcs!$B$26*Current_limit!B106</f>
        <v>881.99999999999989</v>
      </c>
      <c r="G106" s="132">
        <f t="shared" si="11"/>
        <v>11.38678079921327</v>
      </c>
      <c r="H106" s="132">
        <f>(Main!$B$19-Current_limit!G106)*Current_limit!G106/(Main!$B$19*loop_gain!$B$17*loop_gain!$B$18)</f>
        <v>0.18472467251923932</v>
      </c>
      <c r="I106" s="132">
        <f t="shared" si="12"/>
        <v>3.6652753274807606</v>
      </c>
      <c r="J106" s="132"/>
      <c r="K106" s="133">
        <f>IF(A106&gt;$B$15,IF(I106&gt;Helper_calcs!$B$27,23,3),0)</f>
        <v>0</v>
      </c>
      <c r="L106">
        <f t="shared" si="10"/>
        <v>0</v>
      </c>
      <c r="M106">
        <f t="shared" si="13"/>
        <v>0</v>
      </c>
      <c r="N106" s="132">
        <f t="shared" si="14"/>
        <v>1.6500000000000006</v>
      </c>
      <c r="O106" s="132">
        <f t="shared" si="15"/>
        <v>5</v>
      </c>
      <c r="P106" s="134">
        <f>IF(OR(M106=0,M106=3),loop_gain!$B$18,IF(Current_limit!M106=1,Current_limit!$B$12/(2*(Current_limit!N106-Helper_calcs!$B$27)),IF(OR(M106=2,M106=23),(Main!$B$19-Current_limit!O106)*Current_limit!O106/(Main!$B$19*loop_gain!$B$17*(Helper_calcs!$B$26-Helper_calcs!$B$27)),x)))</f>
        <v>2100000</v>
      </c>
      <c r="Q106" s="132"/>
    </row>
    <row r="107" spans="1:17" x14ac:dyDescent="0.3">
      <c r="A107">
        <f t="shared" si="16"/>
        <v>1.6600000000000006</v>
      </c>
      <c r="B107">
        <f>Main!$B$20/A107</f>
        <v>3.0120481927710832</v>
      </c>
      <c r="D107" s="132">
        <f t="shared" si="9"/>
        <v>3.0120481927710832</v>
      </c>
      <c r="E107" s="132">
        <f>-B107*Main!$B$19-2*Main!$B$19*loop_gain!$B$17*loop_gain!$B$18</f>
        <v>-111.74457831325302</v>
      </c>
      <c r="F107" s="132">
        <f>2*Main!$B$19*loop_gain!$B$17*loop_gain!$B$18*Helper_calcs!$B$26*Current_limit!B107</f>
        <v>876.68674698795166</v>
      </c>
      <c r="G107" s="132">
        <f t="shared" si="11"/>
        <v>11.267590650926072</v>
      </c>
      <c r="H107" s="132">
        <f>(Main!$B$19-Current_limit!G107)*Current_limit!G107/(Main!$B$19*loop_gain!$B$17*loop_gain!$B$18)</f>
        <v>0.21831980778508564</v>
      </c>
      <c r="I107" s="132">
        <f t="shared" si="12"/>
        <v>3.6316801922149144</v>
      </c>
      <c r="J107" s="132"/>
      <c r="K107" s="133">
        <f>IF(A107&gt;$B$15,IF(I107&gt;Helper_calcs!$B$27,23,3),0)</f>
        <v>0</v>
      </c>
      <c r="L107">
        <f t="shared" si="10"/>
        <v>0</v>
      </c>
      <c r="M107">
        <f t="shared" si="13"/>
        <v>0</v>
      </c>
      <c r="N107" s="132">
        <f t="shared" si="14"/>
        <v>1.6600000000000006</v>
      </c>
      <c r="O107" s="132">
        <f t="shared" si="15"/>
        <v>5</v>
      </c>
      <c r="P107" s="134">
        <f>IF(OR(M107=0,M107=3),loop_gain!$B$18,IF(Current_limit!M107=1,Current_limit!$B$12/(2*(Current_limit!N107-Helper_calcs!$B$27)),IF(OR(M107=2,M107=23),(Main!$B$19-Current_limit!O107)*Current_limit!O107/(Main!$B$19*loop_gain!$B$17*(Helper_calcs!$B$26-Helper_calcs!$B$27)),x)))</f>
        <v>2100000</v>
      </c>
      <c r="Q107" s="132"/>
    </row>
    <row r="108" spans="1:17" x14ac:dyDescent="0.3">
      <c r="A108">
        <f t="shared" si="16"/>
        <v>1.6700000000000006</v>
      </c>
      <c r="B108">
        <f>Main!$B$20/A108</f>
        <v>2.9940119760479029</v>
      </c>
      <c r="D108" s="132">
        <f t="shared" si="9"/>
        <v>2.9940119760479029</v>
      </c>
      <c r="E108" s="132">
        <f>-B108*Main!$B$19-2*Main!$B$19*loop_gain!$B$17*loop_gain!$B$18</f>
        <v>-111.52814371257485</v>
      </c>
      <c r="F108" s="132">
        <f>2*Main!$B$19*loop_gain!$B$17*loop_gain!$B$18*Helper_calcs!$B$26*Current_limit!B108</f>
        <v>871.43712574850281</v>
      </c>
      <c r="G108" s="132">
        <f t="shared" si="11"/>
        <v>11.152712125135292</v>
      </c>
      <c r="H108" s="132">
        <f>(Main!$B$19-Current_limit!G108)*Current_limit!G108/(Main!$B$19*loop_gain!$B$17*loop_gain!$B$18)</f>
        <v>0.24998830040962292</v>
      </c>
      <c r="I108" s="132">
        <f t="shared" si="12"/>
        <v>3.6000116995903775</v>
      </c>
      <c r="J108" s="132"/>
      <c r="K108" s="133">
        <f>IF(A108&gt;$B$15,IF(I108&gt;Helper_calcs!$B$27,23,3),0)</f>
        <v>0</v>
      </c>
      <c r="L108">
        <f t="shared" si="10"/>
        <v>0</v>
      </c>
      <c r="M108">
        <f t="shared" si="13"/>
        <v>0</v>
      </c>
      <c r="N108" s="132">
        <f t="shared" si="14"/>
        <v>1.6700000000000006</v>
      </c>
      <c r="O108" s="132">
        <f t="shared" si="15"/>
        <v>5</v>
      </c>
      <c r="P108" s="134">
        <f>IF(OR(M108=0,M108=3),loop_gain!$B$18,IF(Current_limit!M108=1,Current_limit!$B$12/(2*(Current_limit!N108-Helper_calcs!$B$27)),IF(OR(M108=2,M108=23),(Main!$B$19-Current_limit!O108)*Current_limit!O108/(Main!$B$19*loop_gain!$B$17*(Helper_calcs!$B$26-Helper_calcs!$B$27)),x)))</f>
        <v>2100000</v>
      </c>
      <c r="Q108" s="132"/>
    </row>
    <row r="109" spans="1:17" x14ac:dyDescent="0.3">
      <c r="A109">
        <f t="shared" si="16"/>
        <v>1.6800000000000006</v>
      </c>
      <c r="B109">
        <f>Main!$B$20/A109</f>
        <v>2.9761904761904749</v>
      </c>
      <c r="D109" s="132">
        <f t="shared" si="9"/>
        <v>2.9761904761904749</v>
      </c>
      <c r="E109" s="132">
        <f>-B109*Main!$B$19-2*Main!$B$19*loop_gain!$B$17*loop_gain!$B$18</f>
        <v>-111.31428571428572</v>
      </c>
      <c r="F109" s="132">
        <f>2*Main!$B$19*loop_gain!$B$17*loop_gain!$B$18*Helper_calcs!$B$26*Current_limit!B109</f>
        <v>866.24999999999977</v>
      </c>
      <c r="G109" s="132">
        <f t="shared" si="11"/>
        <v>11.041823525300517</v>
      </c>
      <c r="H109" s="132">
        <f>(Main!$B$19-Current_limit!G109)*Current_limit!G109/(Main!$B$19*loop_gain!$B$17*loop_gain!$B$18)</f>
        <v>0.27989459099804942</v>
      </c>
      <c r="I109" s="132">
        <f t="shared" si="12"/>
        <v>3.5701054090019504</v>
      </c>
      <c r="J109" s="132"/>
      <c r="K109" s="133">
        <f>IF(A109&gt;$B$15,IF(I109&gt;Helper_calcs!$B$27,23,3),0)</f>
        <v>0</v>
      </c>
      <c r="L109">
        <f t="shared" si="10"/>
        <v>0</v>
      </c>
      <c r="M109">
        <f t="shared" si="13"/>
        <v>0</v>
      </c>
      <c r="N109" s="132">
        <f t="shared" si="14"/>
        <v>1.6800000000000006</v>
      </c>
      <c r="O109" s="132">
        <f t="shared" si="15"/>
        <v>5</v>
      </c>
      <c r="P109" s="134">
        <f>IF(OR(M109=0,M109=3),loop_gain!$B$18,IF(Current_limit!M109=1,Current_limit!$B$12/(2*(Current_limit!N109-Helper_calcs!$B$27)),IF(OR(M109=2,M109=23),(Main!$B$19-Current_limit!O109)*Current_limit!O109/(Main!$B$19*loop_gain!$B$17*(Helper_calcs!$B$26-Helper_calcs!$B$27)),x)))</f>
        <v>2100000</v>
      </c>
      <c r="Q109" s="132"/>
    </row>
    <row r="110" spans="1:17" x14ac:dyDescent="0.3">
      <c r="A110">
        <f t="shared" si="16"/>
        <v>1.6900000000000006</v>
      </c>
      <c r="B110">
        <f>Main!$B$20/A110</f>
        <v>2.9585798816568039</v>
      </c>
      <c r="D110" s="132">
        <f t="shared" si="9"/>
        <v>2.9585798816568039</v>
      </c>
      <c r="E110" s="132">
        <f>-B110*Main!$B$19-2*Main!$B$19*loop_gain!$B$17*loop_gain!$B$18</f>
        <v>-111.10295857988166</v>
      </c>
      <c r="F110" s="132">
        <f>2*Main!$B$19*loop_gain!$B$17*loop_gain!$B$18*Helper_calcs!$B$26*Current_limit!B110</f>
        <v>861.12426035502949</v>
      </c>
      <c r="G110" s="132">
        <f t="shared" si="11"/>
        <v>10.934640187304884</v>
      </c>
      <c r="H110" s="132">
        <f>(Main!$B$19-Current_limit!G110)*Current_limit!G110/(Main!$B$19*loop_gain!$B$17*loop_gain!$B$18)</f>
        <v>0.30818323338189452</v>
      </c>
      <c r="I110" s="132">
        <f t="shared" si="12"/>
        <v>3.5418167666181049</v>
      </c>
      <c r="J110" s="132"/>
      <c r="K110" s="133">
        <f>IF(A110&gt;$B$15,IF(I110&gt;Helper_calcs!$B$27,23,3),0)</f>
        <v>0</v>
      </c>
      <c r="L110">
        <f t="shared" si="10"/>
        <v>0</v>
      </c>
      <c r="M110">
        <f t="shared" si="13"/>
        <v>0</v>
      </c>
      <c r="N110" s="132">
        <f t="shared" si="14"/>
        <v>1.6900000000000006</v>
      </c>
      <c r="O110" s="132">
        <f t="shared" si="15"/>
        <v>5</v>
      </c>
      <c r="P110" s="134">
        <f>IF(OR(M110=0,M110=3),loop_gain!$B$18,IF(Current_limit!M110=1,Current_limit!$B$12/(2*(Current_limit!N110-Helper_calcs!$B$27)),IF(OR(M110=2,M110=23),(Main!$B$19-Current_limit!O110)*Current_limit!O110/(Main!$B$19*loop_gain!$B$17*(Helper_calcs!$B$26-Helper_calcs!$B$27)),x)))</f>
        <v>2100000</v>
      </c>
      <c r="Q110" s="132"/>
    </row>
    <row r="111" spans="1:17" x14ac:dyDescent="0.3">
      <c r="A111">
        <f t="shared" si="16"/>
        <v>1.7000000000000006</v>
      </c>
      <c r="B111">
        <f>Main!$B$20/A111</f>
        <v>2.9411764705882342</v>
      </c>
      <c r="D111" s="132">
        <f t="shared" si="9"/>
        <v>2.9411764705882342</v>
      </c>
      <c r="E111" s="132">
        <f>-B111*Main!$B$19-2*Main!$B$19*loop_gain!$B$17*loop_gain!$B$18</f>
        <v>-110.89411764705882</v>
      </c>
      <c r="F111" s="132">
        <f>2*Main!$B$19*loop_gain!$B$17*loop_gain!$B$18*Helper_calcs!$B$26*Current_limit!B111</f>
        <v>856.0588235294116</v>
      </c>
      <c r="G111" s="132">
        <f t="shared" si="11"/>
        <v>10.830908802413473</v>
      </c>
      <c r="H111" s="132">
        <f>(Main!$B$19-Current_limit!G111)*Current_limit!G111/(Main!$B$19*loop_gain!$B$17*loop_gain!$B$18)</f>
        <v>0.33498201435883646</v>
      </c>
      <c r="I111" s="132">
        <f t="shared" si="12"/>
        <v>3.5150179856411645</v>
      </c>
      <c r="J111" s="132"/>
      <c r="K111" s="133">
        <f>IF(A111&gt;$B$15,IF(I111&gt;Helper_calcs!$B$27,23,3),0)</f>
        <v>0</v>
      </c>
      <c r="L111">
        <f t="shared" si="10"/>
        <v>0</v>
      </c>
      <c r="M111">
        <f t="shared" si="13"/>
        <v>0</v>
      </c>
      <c r="N111" s="132">
        <f t="shared" si="14"/>
        <v>1.7000000000000006</v>
      </c>
      <c r="O111" s="132">
        <f t="shared" si="15"/>
        <v>5</v>
      </c>
      <c r="P111" s="134">
        <f>IF(OR(M111=0,M111=3),loop_gain!$B$18,IF(Current_limit!M111=1,Current_limit!$B$12/(2*(Current_limit!N111-Helper_calcs!$B$27)),IF(OR(M111=2,M111=23),(Main!$B$19-Current_limit!O111)*Current_limit!O111/(Main!$B$19*loop_gain!$B$17*(Helper_calcs!$B$26-Helper_calcs!$B$27)),x)))</f>
        <v>2100000</v>
      </c>
      <c r="Q111" s="132"/>
    </row>
    <row r="112" spans="1:17" x14ac:dyDescent="0.3">
      <c r="A112">
        <f t="shared" si="16"/>
        <v>1.7100000000000006</v>
      </c>
      <c r="B112">
        <f>Main!$B$20/A112</f>
        <v>2.9239766081871332</v>
      </c>
      <c r="D112" s="132">
        <f t="shared" si="9"/>
        <v>2.9239766081871332</v>
      </c>
      <c r="E112" s="132">
        <f>-B112*Main!$B$19-2*Main!$B$19*loop_gain!$B$17*loop_gain!$B$18</f>
        <v>-110.68771929824561</v>
      </c>
      <c r="F112" s="132">
        <f>2*Main!$B$19*loop_gain!$B$17*loop_gain!$B$18*Helper_calcs!$B$26*Current_limit!B112</f>
        <v>851.05263157894717</v>
      </c>
      <c r="G112" s="132">
        <f t="shared" si="11"/>
        <v>10.730402810716331</v>
      </c>
      <c r="H112" s="132">
        <f>(Main!$B$19-Current_limit!G112)*Current_limit!G112/(Main!$B$19*loop_gain!$B$17*loop_gain!$B$18)</f>
        <v>0.3604044774700273</v>
      </c>
      <c r="I112" s="132">
        <f t="shared" si="12"/>
        <v>3.4895955225299735</v>
      </c>
      <c r="J112" s="132"/>
      <c r="K112" s="133">
        <f>IF(A112&gt;$B$15,IF(I112&gt;Helper_calcs!$B$27,23,3),0)</f>
        <v>0</v>
      </c>
      <c r="L112">
        <f t="shared" si="10"/>
        <v>0</v>
      </c>
      <c r="M112">
        <f t="shared" si="13"/>
        <v>0</v>
      </c>
      <c r="N112" s="132">
        <f t="shared" si="14"/>
        <v>1.7100000000000006</v>
      </c>
      <c r="O112" s="132">
        <f t="shared" si="15"/>
        <v>5</v>
      </c>
      <c r="P112" s="134">
        <f>IF(OR(M112=0,M112=3),loop_gain!$B$18,IF(Current_limit!M112=1,Current_limit!$B$12/(2*(Current_limit!N112-Helper_calcs!$B$27)),IF(OR(M112=2,M112=23),(Main!$B$19-Current_limit!O112)*Current_limit!O112/(Main!$B$19*loop_gain!$B$17*(Helper_calcs!$B$26-Helper_calcs!$B$27)),x)))</f>
        <v>2100000</v>
      </c>
      <c r="Q112" s="132"/>
    </row>
    <row r="113" spans="1:17" x14ac:dyDescent="0.3">
      <c r="A113">
        <f t="shared" si="16"/>
        <v>1.7200000000000006</v>
      </c>
      <c r="B113">
        <f>Main!$B$20/A113</f>
        <v>2.9069767441860455</v>
      </c>
      <c r="D113" s="132">
        <f t="shared" si="9"/>
        <v>2.9069767441860455</v>
      </c>
      <c r="E113" s="132">
        <f>-B113*Main!$B$19-2*Main!$B$19*loop_gain!$B$17*loop_gain!$B$18</f>
        <v>-110.48372093023255</v>
      </c>
      <c r="F113" s="132">
        <f>2*Main!$B$19*loop_gain!$B$17*loop_gain!$B$18*Helper_calcs!$B$26*Current_limit!B113</f>
        <v>846.10465116279056</v>
      </c>
      <c r="G113" s="132">
        <f t="shared" si="11"/>
        <v>10.632918628385298</v>
      </c>
      <c r="H113" s="132">
        <f>(Main!$B$19-Current_limit!G113)*Current_limit!G113/(Main!$B$19*loop_gain!$B$17*loop_gain!$B$18)</f>
        <v>0.38455198367091242</v>
      </c>
      <c r="I113" s="132">
        <f t="shared" si="12"/>
        <v>3.4654480163290873</v>
      </c>
      <c r="J113" s="132"/>
      <c r="K113" s="133">
        <f>IF(A113&gt;$B$15,IF(I113&gt;Helper_calcs!$B$27,23,3),0)</f>
        <v>0</v>
      </c>
      <c r="L113">
        <f t="shared" si="10"/>
        <v>0</v>
      </c>
      <c r="M113">
        <f t="shared" si="13"/>
        <v>0</v>
      </c>
      <c r="N113" s="132">
        <f t="shared" si="14"/>
        <v>1.7200000000000006</v>
      </c>
      <c r="O113" s="132">
        <f t="shared" si="15"/>
        <v>5</v>
      </c>
      <c r="P113" s="134">
        <f>IF(OR(M113=0,M113=3),loop_gain!$B$18,IF(Current_limit!M113=1,Current_limit!$B$12/(2*(Current_limit!N113-Helper_calcs!$B$27)),IF(OR(M113=2,M113=23),(Main!$B$19-Current_limit!O113)*Current_limit!O113/(Main!$B$19*loop_gain!$B$17*(Helper_calcs!$B$26-Helper_calcs!$B$27)),x)))</f>
        <v>2100000</v>
      </c>
      <c r="Q113" s="132"/>
    </row>
    <row r="114" spans="1:17" x14ac:dyDescent="0.3">
      <c r="A114">
        <f t="shared" si="16"/>
        <v>1.7300000000000006</v>
      </c>
      <c r="B114">
        <f>Main!$B$20/A114</f>
        <v>2.8901734104046231</v>
      </c>
      <c r="D114" s="132">
        <f t="shared" si="9"/>
        <v>2.8901734104046231</v>
      </c>
      <c r="E114" s="132">
        <f>-B114*Main!$B$19-2*Main!$B$19*loop_gain!$B$17*loop_gain!$B$18</f>
        <v>-110.28208092485548</v>
      </c>
      <c r="F114" s="132">
        <f>2*Main!$B$19*loop_gain!$B$17*loop_gain!$B$18*Helper_calcs!$B$26*Current_limit!B114</f>
        <v>841.2138728323697</v>
      </c>
      <c r="G114" s="132">
        <f t="shared" si="11"/>
        <v>10.538272531511881</v>
      </c>
      <c r="H114" s="132">
        <f>(Main!$B$19-Current_limit!G114)*Current_limit!G114/(Main!$B$19*loop_gain!$B$17*loop_gain!$B$18)</f>
        <v>0.4075154081937763</v>
      </c>
      <c r="I114" s="132">
        <f t="shared" si="12"/>
        <v>3.4424845918062239</v>
      </c>
      <c r="J114" s="132"/>
      <c r="K114" s="133">
        <f>IF(A114&gt;$B$15,IF(I114&gt;Helper_calcs!$B$27,23,3),0)</f>
        <v>0</v>
      </c>
      <c r="L114">
        <f t="shared" si="10"/>
        <v>0</v>
      </c>
      <c r="M114">
        <f t="shared" si="13"/>
        <v>0</v>
      </c>
      <c r="N114" s="132">
        <f t="shared" si="14"/>
        <v>1.7300000000000006</v>
      </c>
      <c r="O114" s="132">
        <f t="shared" si="15"/>
        <v>5</v>
      </c>
      <c r="P114" s="134">
        <f>IF(OR(M114=0,M114=3),loop_gain!$B$18,IF(Current_limit!M114=1,Current_limit!$B$12/(2*(Current_limit!N114-Helper_calcs!$B$27)),IF(OR(M114=2,M114=23),(Main!$B$19-Current_limit!O114)*Current_limit!O114/(Main!$B$19*loop_gain!$B$17*(Helper_calcs!$B$26-Helper_calcs!$B$27)),x)))</f>
        <v>2100000</v>
      </c>
      <c r="Q114" s="132"/>
    </row>
    <row r="115" spans="1:17" x14ac:dyDescent="0.3">
      <c r="A115">
        <f t="shared" si="16"/>
        <v>1.7400000000000007</v>
      </c>
      <c r="B115">
        <f>Main!$B$20/A115</f>
        <v>2.8735632183908035</v>
      </c>
      <c r="D115" s="132">
        <f t="shared" si="9"/>
        <v>2.8735632183908035</v>
      </c>
      <c r="E115" s="132">
        <f>-B115*Main!$B$19-2*Main!$B$19*loop_gain!$B$17*loop_gain!$B$18</f>
        <v>-110.08275862068965</v>
      </c>
      <c r="F115" s="132">
        <f>2*Main!$B$19*loop_gain!$B$17*loop_gain!$B$18*Helper_calcs!$B$26*Current_limit!B115</f>
        <v>836.37931034482745</v>
      </c>
      <c r="G115" s="132">
        <f t="shared" si="11"/>
        <v>10.446298062149245</v>
      </c>
      <c r="H115" s="132">
        <f>(Main!$B$19-Current_limit!G115)*Current_limit!G115/(Main!$B$19*loop_gain!$B$17*loop_gain!$B$18)</f>
        <v>0.42937654874412357</v>
      </c>
      <c r="I115" s="132">
        <f t="shared" si="12"/>
        <v>3.4206234512558766</v>
      </c>
      <c r="J115" s="132"/>
      <c r="K115" s="133">
        <f>IF(A115&gt;$B$15,IF(I115&gt;Helper_calcs!$B$27,23,3),0)</f>
        <v>0</v>
      </c>
      <c r="L115">
        <f t="shared" si="10"/>
        <v>0</v>
      </c>
      <c r="M115">
        <f t="shared" si="13"/>
        <v>0</v>
      </c>
      <c r="N115" s="132">
        <f t="shared" si="14"/>
        <v>1.7400000000000007</v>
      </c>
      <c r="O115" s="132">
        <f t="shared" si="15"/>
        <v>5</v>
      </c>
      <c r="P115" s="134">
        <f>IF(OR(M115=0,M115=3),loop_gain!$B$18,IF(Current_limit!M115=1,Current_limit!$B$12/(2*(Current_limit!N115-Helper_calcs!$B$27)),IF(OR(M115=2,M115=23),(Main!$B$19-Current_limit!O115)*Current_limit!O115/(Main!$B$19*loop_gain!$B$17*(Helper_calcs!$B$26-Helper_calcs!$B$27)),x)))</f>
        <v>2100000</v>
      </c>
      <c r="Q115" s="132"/>
    </row>
    <row r="116" spans="1:17" x14ac:dyDescent="0.3">
      <c r="A116">
        <f t="shared" si="16"/>
        <v>1.7500000000000007</v>
      </c>
      <c r="B116">
        <f>Main!$B$20/A116</f>
        <v>2.8571428571428559</v>
      </c>
      <c r="D116" s="132">
        <f t="shared" si="9"/>
        <v>2.8571428571428559</v>
      </c>
      <c r="E116" s="132">
        <f>-B116*Main!$B$19-2*Main!$B$19*loop_gain!$B$17*loop_gain!$B$18</f>
        <v>-109.88571428571427</v>
      </c>
      <c r="F116" s="132">
        <f>2*Main!$B$19*loop_gain!$B$17*loop_gain!$B$18*Helper_calcs!$B$26*Current_limit!B116</f>
        <v>831.5999999999998</v>
      </c>
      <c r="G116" s="132">
        <f t="shared" si="11"/>
        <v>10.356843853509616</v>
      </c>
      <c r="H116" s="132">
        <f>(Main!$B$19-Current_limit!G116)*Current_limit!G116/(Main!$B$19*loop_gain!$B$17*loop_gain!$B$18)</f>
        <v>0.45020930254326652</v>
      </c>
      <c r="I116" s="132">
        <f t="shared" si="12"/>
        <v>3.3997906974567345</v>
      </c>
      <c r="J116" s="132"/>
      <c r="K116" s="133">
        <f>IF(A116&gt;$B$15,IF(I116&gt;Helper_calcs!$B$27,23,3),0)</f>
        <v>0</v>
      </c>
      <c r="L116">
        <f t="shared" si="10"/>
        <v>0</v>
      </c>
      <c r="M116">
        <f t="shared" si="13"/>
        <v>0</v>
      </c>
      <c r="N116" s="132">
        <f t="shared" si="14"/>
        <v>1.7500000000000007</v>
      </c>
      <c r="O116" s="132">
        <f t="shared" si="15"/>
        <v>5</v>
      </c>
      <c r="P116" s="134">
        <f>IF(OR(M116=0,M116=3),loop_gain!$B$18,IF(Current_limit!M116=1,Current_limit!$B$12/(2*(Current_limit!N116-Helper_calcs!$B$27)),IF(OR(M116=2,M116=23),(Main!$B$19-Current_limit!O116)*Current_limit!O116/(Main!$B$19*loop_gain!$B$17*(Helper_calcs!$B$26-Helper_calcs!$B$27)),x)))</f>
        <v>2100000</v>
      </c>
      <c r="Q116" s="132"/>
    </row>
    <row r="117" spans="1:17" x14ac:dyDescent="0.3">
      <c r="A117">
        <f t="shared" si="16"/>
        <v>1.7600000000000007</v>
      </c>
      <c r="B117">
        <f>Main!$B$20/A117</f>
        <v>2.8409090909090899</v>
      </c>
      <c r="D117" s="132">
        <f t="shared" si="9"/>
        <v>2.8409090909090899</v>
      </c>
      <c r="E117" s="132">
        <f>-B117*Main!$B$19-2*Main!$B$19*loop_gain!$B$17*loop_gain!$B$18</f>
        <v>-109.69090909090909</v>
      </c>
      <c r="F117" s="132">
        <f>2*Main!$B$19*loop_gain!$B$17*loop_gain!$B$18*Helper_calcs!$B$26*Current_limit!B117</f>
        <v>826.87499999999989</v>
      </c>
      <c r="G117" s="132">
        <f t="shared" si="11"/>
        <v>10.26977179446178</v>
      </c>
      <c r="H117" s="132">
        <f>(Main!$B$19-Current_limit!G117)*Current_limit!G117/(Main!$B$19*loop_gain!$B$17*loop_gain!$B$18)</f>
        <v>0.47008065669890547</v>
      </c>
      <c r="I117" s="132">
        <f t="shared" si="12"/>
        <v>3.3799193433010952</v>
      </c>
      <c r="J117" s="132"/>
      <c r="K117" s="133">
        <f>IF(A117&gt;$B$15,IF(I117&gt;Helper_calcs!$B$27,23,3),0)</f>
        <v>0</v>
      </c>
      <c r="L117">
        <f t="shared" si="10"/>
        <v>0</v>
      </c>
      <c r="M117">
        <f t="shared" si="13"/>
        <v>0</v>
      </c>
      <c r="N117" s="132">
        <f t="shared" si="14"/>
        <v>1.7600000000000007</v>
      </c>
      <c r="O117" s="132">
        <f t="shared" si="15"/>
        <v>5</v>
      </c>
      <c r="P117" s="134">
        <f>IF(OR(M117=0,M117=3),loop_gain!$B$18,IF(Current_limit!M117=1,Current_limit!$B$12/(2*(Current_limit!N117-Helper_calcs!$B$27)),IF(OR(M117=2,M117=23),(Main!$B$19-Current_limit!O117)*Current_limit!O117/(Main!$B$19*loop_gain!$B$17*(Helper_calcs!$B$26-Helper_calcs!$B$27)),x)))</f>
        <v>2100000</v>
      </c>
      <c r="Q117" s="132"/>
    </row>
    <row r="118" spans="1:17" x14ac:dyDescent="0.3">
      <c r="A118">
        <f t="shared" si="16"/>
        <v>1.7700000000000007</v>
      </c>
      <c r="B118">
        <f>Main!$B$20/A118</f>
        <v>2.8248587570621457</v>
      </c>
      <c r="D118" s="132">
        <f t="shared" si="9"/>
        <v>2.8248587570621457</v>
      </c>
      <c r="E118" s="132">
        <f>-B118*Main!$B$19-2*Main!$B$19*loop_gain!$B$17*loop_gain!$B$18</f>
        <v>-109.49830508474577</v>
      </c>
      <c r="F118" s="132">
        <f>2*Main!$B$19*loop_gain!$B$17*loop_gain!$B$18*Helper_calcs!$B$26*Current_limit!B118</f>
        <v>822.20338983050829</v>
      </c>
      <c r="G118" s="132">
        <f t="shared" si="11"/>
        <v>10.184955470845715</v>
      </c>
      <c r="H118" s="132">
        <f>(Main!$B$19-Current_limit!G118)*Current_limit!G118/(Main!$B$19*loop_gain!$B$17*loop_gain!$B$18)</f>
        <v>0.48905152664123069</v>
      </c>
      <c r="I118" s="132">
        <f t="shared" si="12"/>
        <v>3.3609484733587691</v>
      </c>
      <c r="J118" s="132"/>
      <c r="K118" s="133">
        <f>IF(A118&gt;$B$15,IF(I118&gt;Helper_calcs!$B$27,23,3),0)</f>
        <v>0</v>
      </c>
      <c r="L118">
        <f t="shared" si="10"/>
        <v>0</v>
      </c>
      <c r="M118">
        <f t="shared" si="13"/>
        <v>0</v>
      </c>
      <c r="N118" s="132">
        <f t="shared" si="14"/>
        <v>1.7700000000000007</v>
      </c>
      <c r="O118" s="132">
        <f t="shared" si="15"/>
        <v>5</v>
      </c>
      <c r="P118" s="134">
        <f>IF(OR(M118=0,M118=3),loop_gain!$B$18,IF(Current_limit!M118=1,Current_limit!$B$12/(2*(Current_limit!N118-Helper_calcs!$B$27)),IF(OR(M118=2,M118=23),(Main!$B$19-Current_limit!O118)*Current_limit!O118/(Main!$B$19*loop_gain!$B$17*(Helper_calcs!$B$26-Helper_calcs!$B$27)),x)))</f>
        <v>2100000</v>
      </c>
      <c r="Q118" s="132"/>
    </row>
    <row r="119" spans="1:17" x14ac:dyDescent="0.3">
      <c r="A119">
        <f t="shared" si="16"/>
        <v>1.7800000000000007</v>
      </c>
      <c r="B119">
        <f>Main!$B$20/A119</f>
        <v>2.8089887640449427</v>
      </c>
      <c r="D119" s="132">
        <f t="shared" si="9"/>
        <v>2.8089887640449427</v>
      </c>
      <c r="E119" s="132">
        <f>-B119*Main!$B$19-2*Main!$B$19*loop_gain!$B$17*loop_gain!$B$18</f>
        <v>-109.30786516853932</v>
      </c>
      <c r="F119" s="132">
        <f>2*Main!$B$19*loop_gain!$B$17*loop_gain!$B$18*Helper_calcs!$B$26*Current_limit!B119</f>
        <v>817.5842696629212</v>
      </c>
      <c r="G119" s="132">
        <f t="shared" si="11"/>
        <v>10.102278834274838</v>
      </c>
      <c r="H119" s="132">
        <f>(Main!$B$19-Current_limit!G119)*Current_limit!G119/(Main!$B$19*loop_gain!$B$17*loop_gain!$B$18)</f>
        <v>0.50717746999631419</v>
      </c>
      <c r="I119" s="132">
        <f t="shared" si="12"/>
        <v>3.3428225300036867</v>
      </c>
      <c r="J119" s="132"/>
      <c r="K119" s="133">
        <f>IF(A119&gt;$B$15,IF(I119&gt;Helper_calcs!$B$27,23,3),0)</f>
        <v>0</v>
      </c>
      <c r="L119">
        <f t="shared" si="10"/>
        <v>0</v>
      </c>
      <c r="M119">
        <f t="shared" si="13"/>
        <v>0</v>
      </c>
      <c r="N119" s="132">
        <f t="shared" si="14"/>
        <v>1.7800000000000007</v>
      </c>
      <c r="O119" s="132">
        <f t="shared" si="15"/>
        <v>5</v>
      </c>
      <c r="P119" s="134">
        <f>IF(OR(M119=0,M119=3),loop_gain!$B$18,IF(Current_limit!M119=1,Current_limit!$B$12/(2*(Current_limit!N119-Helper_calcs!$B$27)),IF(OR(M119=2,M119=23),(Main!$B$19-Current_limit!O119)*Current_limit!O119/(Main!$B$19*loop_gain!$B$17*(Helper_calcs!$B$26-Helper_calcs!$B$27)),x)))</f>
        <v>2100000</v>
      </c>
      <c r="Q119" s="132"/>
    </row>
    <row r="120" spans="1:17" x14ac:dyDescent="0.3">
      <c r="A120">
        <f t="shared" si="16"/>
        <v>1.7900000000000007</v>
      </c>
      <c r="B120">
        <f>Main!$B$20/A120</f>
        <v>2.7932960893854739</v>
      </c>
      <c r="D120" s="132">
        <f t="shared" si="9"/>
        <v>2.7932960893854739</v>
      </c>
      <c r="E120" s="132">
        <f>-B120*Main!$B$19-2*Main!$B$19*loop_gain!$B$17*loop_gain!$B$18</f>
        <v>-109.11955307262569</v>
      </c>
      <c r="F120" s="132">
        <f>2*Main!$B$19*loop_gain!$B$17*loop_gain!$B$18*Helper_calcs!$B$26*Current_limit!B120</f>
        <v>813.01675977653622</v>
      </c>
      <c r="G120" s="132">
        <f t="shared" si="11"/>
        <v>10.021635059155335</v>
      </c>
      <c r="H120" s="132">
        <f>(Main!$B$19-Current_limit!G120)*Current_limit!G120/(Main!$B$19*loop_gain!$B$17*loop_gain!$B$18)</f>
        <v>0.52450929764477949</v>
      </c>
      <c r="I120" s="132">
        <f t="shared" si="12"/>
        <v>3.3254907023552214</v>
      </c>
      <c r="J120" s="132"/>
      <c r="K120" s="133">
        <f>IF(A120&gt;$B$15,IF(I120&gt;Helper_calcs!$B$27,23,3),0)</f>
        <v>0</v>
      </c>
      <c r="L120">
        <f t="shared" si="10"/>
        <v>0</v>
      </c>
      <c r="M120">
        <f t="shared" si="13"/>
        <v>0</v>
      </c>
      <c r="N120" s="132">
        <f t="shared" si="14"/>
        <v>1.7900000000000007</v>
      </c>
      <c r="O120" s="132">
        <f t="shared" si="15"/>
        <v>5</v>
      </c>
      <c r="P120" s="134">
        <f>IF(OR(M120=0,M120=3),loop_gain!$B$18,IF(Current_limit!M120=1,Current_limit!$B$12/(2*(Current_limit!N120-Helper_calcs!$B$27)),IF(OR(M120=2,M120=23),(Main!$B$19-Current_limit!O120)*Current_limit!O120/(Main!$B$19*loop_gain!$B$17*(Helper_calcs!$B$26-Helper_calcs!$B$27)),x)))</f>
        <v>2100000</v>
      </c>
      <c r="Q120" s="132"/>
    </row>
    <row r="121" spans="1:17" x14ac:dyDescent="0.3">
      <c r="A121">
        <f t="shared" si="16"/>
        <v>1.8000000000000007</v>
      </c>
      <c r="B121">
        <f>Main!$B$20/A121</f>
        <v>2.7777777777777768</v>
      </c>
      <c r="D121" s="132">
        <f t="shared" si="9"/>
        <v>2.7777777777777768</v>
      </c>
      <c r="E121" s="132">
        <f>-B121*Main!$B$19-2*Main!$B$19*loop_gain!$B$17*loop_gain!$B$18</f>
        <v>-108.93333333333334</v>
      </c>
      <c r="F121" s="132">
        <f>2*Main!$B$19*loop_gain!$B$17*loop_gain!$B$18*Helper_calcs!$B$26*Current_limit!B121</f>
        <v>808.49999999999989</v>
      </c>
      <c r="G121" s="132">
        <f t="shared" si="11"/>
        <v>9.9429255564170589</v>
      </c>
      <c r="H121" s="132">
        <f>(Main!$B$19-Current_limit!G121)*Current_limit!G121/(Main!$B$19*loop_gain!$B$17*loop_gain!$B$18)</f>
        <v>0.54109359937971502</v>
      </c>
      <c r="I121" s="132">
        <f t="shared" si="12"/>
        <v>3.3089064006202853</v>
      </c>
      <c r="J121" s="132"/>
      <c r="K121" s="133">
        <f>IF(A121&gt;$B$15,IF(I121&gt;Helper_calcs!$B$27,23,3),0)</f>
        <v>0</v>
      </c>
      <c r="L121">
        <f t="shared" si="10"/>
        <v>0</v>
      </c>
      <c r="M121">
        <f t="shared" si="13"/>
        <v>0</v>
      </c>
      <c r="N121" s="132">
        <f t="shared" si="14"/>
        <v>1.8000000000000007</v>
      </c>
      <c r="O121" s="132">
        <f t="shared" si="15"/>
        <v>5</v>
      </c>
      <c r="P121" s="134">
        <f>IF(OR(M121=0,M121=3),loop_gain!$B$18,IF(Current_limit!M121=1,Current_limit!$B$12/(2*(Current_limit!N121-Helper_calcs!$B$27)),IF(OR(M121=2,M121=23),(Main!$B$19-Current_limit!O121)*Current_limit!O121/(Main!$B$19*loop_gain!$B$17*(Helper_calcs!$B$26-Helper_calcs!$B$27)),x)))</f>
        <v>2100000</v>
      </c>
      <c r="Q121" s="132"/>
    </row>
    <row r="122" spans="1:17" x14ac:dyDescent="0.3">
      <c r="A122">
        <f t="shared" si="16"/>
        <v>1.8100000000000007</v>
      </c>
      <c r="B122">
        <f>Main!$B$20/A122</f>
        <v>2.7624309392265181</v>
      </c>
      <c r="D122" s="132">
        <f t="shared" si="9"/>
        <v>2.7624309392265181</v>
      </c>
      <c r="E122" s="132">
        <f>-B122*Main!$B$19-2*Main!$B$19*loop_gain!$B$17*loop_gain!$B$18</f>
        <v>-108.74917127071822</v>
      </c>
      <c r="F122" s="132">
        <f>2*Main!$B$19*loop_gain!$B$17*loop_gain!$B$18*Helper_calcs!$B$26*Current_limit!B122</f>
        <v>804.03314917127045</v>
      </c>
      <c r="G122" s="132">
        <f t="shared" si="11"/>
        <v>9.8660591184961124</v>
      </c>
      <c r="H122" s="132">
        <f>(Main!$B$19-Current_limit!G122)*Current_limit!G122/(Main!$B$19*loop_gain!$B$17*loop_gain!$B$18)</f>
        <v>0.55697319820881108</v>
      </c>
      <c r="I122" s="132">
        <f t="shared" si="12"/>
        <v>3.2930268017911888</v>
      </c>
      <c r="J122" s="132"/>
      <c r="K122" s="133">
        <f>IF(A122&gt;$B$15,IF(I122&gt;Helper_calcs!$B$27,23,3),0)</f>
        <v>0</v>
      </c>
      <c r="L122">
        <f t="shared" si="10"/>
        <v>0</v>
      </c>
      <c r="M122">
        <f t="shared" si="13"/>
        <v>0</v>
      </c>
      <c r="N122" s="132">
        <f t="shared" si="14"/>
        <v>1.8100000000000007</v>
      </c>
      <c r="O122" s="132">
        <f t="shared" si="15"/>
        <v>5</v>
      </c>
      <c r="P122" s="134">
        <f>IF(OR(M122=0,M122=3),loop_gain!$B$18,IF(Current_limit!M122=1,Current_limit!$B$12/(2*(Current_limit!N122-Helper_calcs!$B$27)),IF(OR(M122=2,M122=23),(Main!$B$19-Current_limit!O122)*Current_limit!O122/(Main!$B$19*loop_gain!$B$17*(Helper_calcs!$B$26-Helper_calcs!$B$27)),x)))</f>
        <v>2100000</v>
      </c>
      <c r="Q122" s="132"/>
    </row>
    <row r="123" spans="1:17" x14ac:dyDescent="0.3">
      <c r="A123">
        <f t="shared" si="16"/>
        <v>1.8200000000000007</v>
      </c>
      <c r="B123">
        <f>Main!$B$20/A123</f>
        <v>2.7472527472527464</v>
      </c>
      <c r="D123" s="132">
        <f t="shared" si="9"/>
        <v>2.7472527472527464</v>
      </c>
      <c r="E123" s="132">
        <f>-B123*Main!$B$19-2*Main!$B$19*loop_gain!$B$17*loop_gain!$B$18</f>
        <v>-108.56703296703296</v>
      </c>
      <c r="F123" s="132">
        <f>2*Main!$B$19*loop_gain!$B$17*loop_gain!$B$18*Helper_calcs!$B$26*Current_limit!B123</f>
        <v>799.61538461538453</v>
      </c>
      <c r="G123" s="132">
        <f t="shared" si="11"/>
        <v>9.7909511748552323</v>
      </c>
      <c r="H123" s="132">
        <f>(Main!$B$19-Current_limit!G123)*Current_limit!G123/(Main!$B$19*loop_gain!$B$17*loop_gain!$B$18)</f>
        <v>0.57218754470538979</v>
      </c>
      <c r="I123" s="132">
        <f t="shared" si="12"/>
        <v>3.2778124552946108</v>
      </c>
      <c r="J123" s="132"/>
      <c r="K123" s="133">
        <f>IF(A123&gt;$B$15,IF(I123&gt;Helper_calcs!$B$27,23,3),0)</f>
        <v>0</v>
      </c>
      <c r="L123">
        <f t="shared" si="10"/>
        <v>0</v>
      </c>
      <c r="M123">
        <f t="shared" si="13"/>
        <v>0</v>
      </c>
      <c r="N123" s="132">
        <f t="shared" si="14"/>
        <v>1.8200000000000007</v>
      </c>
      <c r="O123" s="132">
        <f t="shared" si="15"/>
        <v>5</v>
      </c>
      <c r="P123" s="134">
        <f>IF(OR(M123=0,M123=3),loop_gain!$B$18,IF(Current_limit!M123=1,Current_limit!$B$12/(2*(Current_limit!N123-Helper_calcs!$B$27)),IF(OR(M123=2,M123=23),(Main!$B$19-Current_limit!O123)*Current_limit!O123/(Main!$B$19*loop_gain!$B$17*(Helper_calcs!$B$26-Helper_calcs!$B$27)),x)))</f>
        <v>2100000</v>
      </c>
      <c r="Q123" s="132"/>
    </row>
    <row r="124" spans="1:17" x14ac:dyDescent="0.3">
      <c r="A124">
        <f t="shared" si="16"/>
        <v>1.8300000000000007</v>
      </c>
      <c r="B124">
        <f>Main!$B$20/A124</f>
        <v>2.732240437158469</v>
      </c>
      <c r="D124" s="132">
        <f t="shared" si="9"/>
        <v>2.732240437158469</v>
      </c>
      <c r="E124" s="132">
        <f>-B124*Main!$B$19-2*Main!$B$19*loop_gain!$B$17*loop_gain!$B$18</f>
        <v>-108.38688524590164</v>
      </c>
      <c r="F124" s="132">
        <f>2*Main!$B$19*loop_gain!$B$17*loop_gain!$B$18*Helper_calcs!$B$26*Current_limit!B124</f>
        <v>795.2459016393442</v>
      </c>
      <c r="G124" s="132">
        <f t="shared" si="11"/>
        <v>9.7175231410818821</v>
      </c>
      <c r="H124" s="132">
        <f>(Main!$B$19-Current_limit!G124)*Current_limit!G124/(Main!$B$19*loop_gain!$B$17*loop_gain!$B$18)</f>
        <v>0.58677306072806068</v>
      </c>
      <c r="I124" s="132">
        <f t="shared" si="12"/>
        <v>3.2632269392719397</v>
      </c>
      <c r="J124" s="132"/>
      <c r="K124" s="133">
        <f>IF(A124&gt;$B$15,IF(I124&gt;Helper_calcs!$B$27,23,3),0)</f>
        <v>0</v>
      </c>
      <c r="L124">
        <f t="shared" si="10"/>
        <v>0</v>
      </c>
      <c r="M124">
        <f t="shared" si="13"/>
        <v>0</v>
      </c>
      <c r="N124" s="132">
        <f t="shared" si="14"/>
        <v>1.8300000000000007</v>
      </c>
      <c r="O124" s="132">
        <f t="shared" si="15"/>
        <v>5</v>
      </c>
      <c r="P124" s="134">
        <f>IF(OR(M124=0,M124=3),loop_gain!$B$18,IF(Current_limit!M124=1,Current_limit!$B$12/(2*(Current_limit!N124-Helper_calcs!$B$27)),IF(OR(M124=2,M124=23),(Main!$B$19-Current_limit!O124)*Current_limit!O124/(Main!$B$19*loop_gain!$B$17*(Helper_calcs!$B$26-Helper_calcs!$B$27)),x)))</f>
        <v>2100000</v>
      </c>
      <c r="Q124" s="132"/>
    </row>
    <row r="125" spans="1:17" x14ac:dyDescent="0.3">
      <c r="A125">
        <f t="shared" si="16"/>
        <v>1.8400000000000007</v>
      </c>
      <c r="B125">
        <f>Main!$B$20/A125</f>
        <v>2.7173913043478248</v>
      </c>
      <c r="D125" s="132">
        <f t="shared" si="9"/>
        <v>2.7173913043478248</v>
      </c>
      <c r="E125" s="132">
        <f>-B125*Main!$B$19-2*Main!$B$19*loop_gain!$B$17*loop_gain!$B$18</f>
        <v>-108.2086956521739</v>
      </c>
      <c r="F125" s="132">
        <f>2*Main!$B$19*loop_gain!$B$17*loop_gain!$B$18*Helper_calcs!$B$26*Current_limit!B125</f>
        <v>790.92391304347802</v>
      </c>
      <c r="G125" s="132">
        <f t="shared" si="11"/>
        <v>9.6457018475943421</v>
      </c>
      <c r="H125" s="132">
        <f>(Main!$B$19-Current_limit!G125)*Current_limit!G125/(Main!$B$19*loop_gain!$B$17*loop_gain!$B$18)</f>
        <v>0.60076344017056083</v>
      </c>
      <c r="I125" s="132">
        <f t="shared" si="12"/>
        <v>3.249236559829439</v>
      </c>
      <c r="J125" s="132"/>
      <c r="K125" s="133">
        <f>IF(A125&gt;$B$15,IF(I125&gt;Helper_calcs!$B$27,23,3),0)</f>
        <v>0</v>
      </c>
      <c r="L125">
        <f t="shared" si="10"/>
        <v>0</v>
      </c>
      <c r="M125">
        <f t="shared" si="13"/>
        <v>0</v>
      </c>
      <c r="N125" s="132">
        <f t="shared" si="14"/>
        <v>1.8400000000000007</v>
      </c>
      <c r="O125" s="132">
        <f t="shared" si="15"/>
        <v>5</v>
      </c>
      <c r="P125" s="134">
        <f>IF(OR(M125=0,M125=3),loop_gain!$B$18,IF(Current_limit!M125=1,Current_limit!$B$12/(2*(Current_limit!N125-Helper_calcs!$B$27)),IF(OR(M125=2,M125=23),(Main!$B$19-Current_limit!O125)*Current_limit!O125/(Main!$B$19*loop_gain!$B$17*(Helper_calcs!$B$26-Helper_calcs!$B$27)),x)))</f>
        <v>2100000</v>
      </c>
      <c r="Q125" s="132"/>
    </row>
    <row r="126" spans="1:17" x14ac:dyDescent="0.3">
      <c r="A126">
        <f t="shared" si="16"/>
        <v>1.8500000000000008</v>
      </c>
      <c r="B126">
        <f>Main!$B$20/A126</f>
        <v>2.7027027027027017</v>
      </c>
      <c r="D126" s="132">
        <f t="shared" si="9"/>
        <v>2.7027027027027017</v>
      </c>
      <c r="E126" s="132">
        <f>-B126*Main!$B$19-2*Main!$B$19*loop_gain!$B$17*loop_gain!$B$18</f>
        <v>-108.03243243243243</v>
      </c>
      <c r="F126" s="132">
        <f>2*Main!$B$19*loop_gain!$B$17*loop_gain!$B$18*Helper_calcs!$B$26*Current_limit!B126</f>
        <v>786.64864864864853</v>
      </c>
      <c r="G126" s="132">
        <f t="shared" si="11"/>
        <v>9.5754190363841829</v>
      </c>
      <c r="H126" s="132">
        <f>(Main!$B$19-Current_limit!G126)*Current_limit!G126/(Main!$B$19*loop_gain!$B$17*loop_gain!$B$18)</f>
        <v>0.6141899130757037</v>
      </c>
      <c r="I126" s="132">
        <f t="shared" si="12"/>
        <v>3.2358100869242969</v>
      </c>
      <c r="J126" s="132"/>
      <c r="K126" s="133">
        <f>IF(A126&gt;$B$15,IF(I126&gt;Helper_calcs!$B$27,23,3),0)</f>
        <v>0</v>
      </c>
      <c r="L126">
        <f t="shared" si="10"/>
        <v>0</v>
      </c>
      <c r="M126">
        <f t="shared" si="13"/>
        <v>0</v>
      </c>
      <c r="N126" s="132">
        <f t="shared" si="14"/>
        <v>1.8500000000000008</v>
      </c>
      <c r="O126" s="132">
        <f t="shared" si="15"/>
        <v>5</v>
      </c>
      <c r="P126" s="134">
        <f>IF(OR(M126=0,M126=3),loop_gain!$B$18,IF(Current_limit!M126=1,Current_limit!$B$12/(2*(Current_limit!N126-Helper_calcs!$B$27)),IF(OR(M126=2,M126=23),(Main!$B$19-Current_limit!O126)*Current_limit!O126/(Main!$B$19*loop_gain!$B$17*(Helper_calcs!$B$26-Helper_calcs!$B$27)),x)))</f>
        <v>2100000</v>
      </c>
      <c r="Q126" s="132"/>
    </row>
    <row r="127" spans="1:17" x14ac:dyDescent="0.3">
      <c r="A127">
        <f t="shared" si="16"/>
        <v>1.8600000000000008</v>
      </c>
      <c r="B127">
        <f>Main!$B$20/A127</f>
        <v>2.6881720430107516</v>
      </c>
      <c r="D127" s="132">
        <f t="shared" si="9"/>
        <v>2.6881720430107516</v>
      </c>
      <c r="E127" s="132">
        <f>-B127*Main!$B$19-2*Main!$B$19*loop_gain!$B$17*loop_gain!$B$18</f>
        <v>-107.85806451612902</v>
      </c>
      <c r="F127" s="132">
        <f>2*Main!$B$19*loop_gain!$B$17*loop_gain!$B$18*Helper_calcs!$B$26*Current_limit!B127</f>
        <v>782.41935483870952</v>
      </c>
      <c r="G127" s="132">
        <f t="shared" si="11"/>
        <v>9.5066109161591275</v>
      </c>
      <c r="H127" s="132">
        <f>(Main!$B$19-Current_limit!G127)*Current_limit!G127/(Main!$B$19*loop_gain!$B$17*loop_gain!$B$18)</f>
        <v>0.62708147837760952</v>
      </c>
      <c r="I127" s="132">
        <f t="shared" si="12"/>
        <v>3.2229185216223923</v>
      </c>
      <c r="J127" s="132"/>
      <c r="K127" s="133">
        <f>IF(A127&gt;$B$15,IF(I127&gt;Helper_calcs!$B$27,23,3),0)</f>
        <v>0</v>
      </c>
      <c r="L127">
        <f t="shared" si="10"/>
        <v>0</v>
      </c>
      <c r="M127">
        <f t="shared" si="13"/>
        <v>0</v>
      </c>
      <c r="N127" s="132">
        <f t="shared" si="14"/>
        <v>1.8600000000000008</v>
      </c>
      <c r="O127" s="132">
        <f t="shared" si="15"/>
        <v>5</v>
      </c>
      <c r="P127" s="134">
        <f>IF(OR(M127=0,M127=3),loop_gain!$B$18,IF(Current_limit!M127=1,Current_limit!$B$12/(2*(Current_limit!N127-Helper_calcs!$B$27)),IF(OR(M127=2,M127=23),(Main!$B$19-Current_limit!O127)*Current_limit!O127/(Main!$B$19*loop_gain!$B$17*(Helper_calcs!$B$26-Helper_calcs!$B$27)),x)))</f>
        <v>2100000</v>
      </c>
      <c r="Q127" s="132"/>
    </row>
    <row r="128" spans="1:17" x14ac:dyDescent="0.3">
      <c r="A128">
        <f t="shared" si="16"/>
        <v>1.8700000000000008</v>
      </c>
      <c r="B128">
        <f>Main!$B$20/A128</f>
        <v>2.673796791443849</v>
      </c>
      <c r="D128" s="132">
        <f t="shared" si="9"/>
        <v>2.673796791443849</v>
      </c>
      <c r="E128" s="132">
        <f>-B128*Main!$B$19-2*Main!$B$19*loop_gain!$B$17*loop_gain!$B$18</f>
        <v>-107.6855614973262</v>
      </c>
      <c r="F128" s="132">
        <f>2*Main!$B$19*loop_gain!$B$17*loop_gain!$B$18*Helper_calcs!$B$26*Current_limit!B128</f>
        <v>778.23529411764684</v>
      </c>
      <c r="G128" s="132">
        <f t="shared" si="11"/>
        <v>9.4392177678218143</v>
      </c>
      <c r="H128" s="132">
        <f>(Main!$B$19-Current_limit!G128)*Current_limit!G128/(Main!$B$19*loop_gain!$B$17*loop_gain!$B$18)</f>
        <v>0.63946510966927872</v>
      </c>
      <c r="I128" s="132">
        <f t="shared" si="12"/>
        <v>3.2105348903307211</v>
      </c>
      <c r="J128" s="132"/>
      <c r="K128" s="133">
        <f>IF(A128&gt;$B$15,IF(I128&gt;Helper_calcs!$B$27,23,3),0)</f>
        <v>0</v>
      </c>
      <c r="L128">
        <f t="shared" si="10"/>
        <v>0</v>
      </c>
      <c r="M128">
        <f t="shared" si="13"/>
        <v>0</v>
      </c>
      <c r="N128" s="132">
        <f t="shared" si="14"/>
        <v>1.8700000000000008</v>
      </c>
      <c r="O128" s="132">
        <f t="shared" si="15"/>
        <v>5</v>
      </c>
      <c r="P128" s="134">
        <f>IF(OR(M128=0,M128=3),loop_gain!$B$18,IF(Current_limit!M128=1,Current_limit!$B$12/(2*(Current_limit!N128-Helper_calcs!$B$27)),IF(OR(M128=2,M128=23),(Main!$B$19-Current_limit!O128)*Current_limit!O128/(Main!$B$19*loop_gain!$B$17*(Helper_calcs!$B$26-Helper_calcs!$B$27)),x)))</f>
        <v>2100000</v>
      </c>
      <c r="Q128" s="132"/>
    </row>
    <row r="129" spans="1:17" x14ac:dyDescent="0.3">
      <c r="A129">
        <f t="shared" si="16"/>
        <v>1.8800000000000008</v>
      </c>
      <c r="B129">
        <f>Main!$B$20/A129</f>
        <v>2.6595744680851054</v>
      </c>
      <c r="D129" s="132">
        <f t="shared" si="9"/>
        <v>2.6595744680851054</v>
      </c>
      <c r="E129" s="132">
        <f>-B129*Main!$B$19-2*Main!$B$19*loop_gain!$B$17*loop_gain!$B$18</f>
        <v>-107.51489361702127</v>
      </c>
      <c r="F129" s="132">
        <f>2*Main!$B$19*loop_gain!$B$17*loop_gain!$B$18*Helper_calcs!$B$26*Current_limit!B129</f>
        <v>774.095744680851</v>
      </c>
      <c r="G129" s="132">
        <f t="shared" si="11"/>
        <v>9.3731835935029508</v>
      </c>
      <c r="H129" s="132">
        <f>(Main!$B$19-Current_limit!G129)*Current_limit!G129/(Main!$B$19*loop_gain!$B$17*loop_gain!$B$18)</f>
        <v>0.65136593768578088</v>
      </c>
      <c r="I129" s="132">
        <f t="shared" si="12"/>
        <v>3.1986340623142202</v>
      </c>
      <c r="J129" s="132"/>
      <c r="K129" s="133">
        <f>IF(A129&gt;$B$15,IF(I129&gt;Helper_calcs!$B$27,23,3),0)</f>
        <v>0</v>
      </c>
      <c r="L129">
        <f t="shared" si="10"/>
        <v>0</v>
      </c>
      <c r="M129">
        <f t="shared" si="13"/>
        <v>0</v>
      </c>
      <c r="N129" s="132">
        <f t="shared" si="14"/>
        <v>1.8800000000000008</v>
      </c>
      <c r="O129" s="132">
        <f t="shared" si="15"/>
        <v>5</v>
      </c>
      <c r="P129" s="134">
        <f>IF(OR(M129=0,M129=3),loop_gain!$B$18,IF(Current_limit!M129=1,Current_limit!$B$12/(2*(Current_limit!N129-Helper_calcs!$B$27)),IF(OR(M129=2,M129=23),(Main!$B$19-Current_limit!O129)*Current_limit!O129/(Main!$B$19*loop_gain!$B$17*(Helper_calcs!$B$26-Helper_calcs!$B$27)),x)))</f>
        <v>2100000</v>
      </c>
      <c r="Q129" s="132"/>
    </row>
    <row r="130" spans="1:17" x14ac:dyDescent="0.3">
      <c r="A130">
        <f t="shared" si="16"/>
        <v>1.8900000000000008</v>
      </c>
      <c r="B130">
        <f>Main!$B$20/A130</f>
        <v>2.6455026455026442</v>
      </c>
      <c r="D130" s="132">
        <f t="shared" si="9"/>
        <v>2.6455026455026442</v>
      </c>
      <c r="E130" s="132">
        <f>-B130*Main!$B$19-2*Main!$B$19*loop_gain!$B$17*loop_gain!$B$18</f>
        <v>-107.34603174603174</v>
      </c>
      <c r="F130" s="132">
        <f>2*Main!$B$19*loop_gain!$B$17*loop_gain!$B$18*Helper_calcs!$B$26*Current_limit!B130</f>
        <v>769.99999999999977</v>
      </c>
      <c r="G130" s="132">
        <f t="shared" si="11"/>
        <v>9.3084558034204861</v>
      </c>
      <c r="H130" s="132">
        <f>(Main!$B$19-Current_limit!G130)*Current_limit!G130/(Main!$B$19*loop_gain!$B$17*loop_gain!$B$18)</f>
        <v>0.66280741261410847</v>
      </c>
      <c r="I130" s="132">
        <f t="shared" si="12"/>
        <v>3.1871925873858915</v>
      </c>
      <c r="J130" s="132"/>
      <c r="K130" s="133">
        <f>IF(A130&gt;$B$15,IF(I130&gt;Helper_calcs!$B$27,23,3),0)</f>
        <v>0</v>
      </c>
      <c r="L130">
        <f t="shared" si="10"/>
        <v>0</v>
      </c>
      <c r="M130">
        <f t="shared" si="13"/>
        <v>0</v>
      </c>
      <c r="N130" s="132">
        <f t="shared" si="14"/>
        <v>1.8900000000000008</v>
      </c>
      <c r="O130" s="132">
        <f t="shared" si="15"/>
        <v>5</v>
      </c>
      <c r="P130" s="134">
        <f>IF(OR(M130=0,M130=3),loop_gain!$B$18,IF(Current_limit!M130=1,Current_limit!$B$12/(2*(Current_limit!N130-Helper_calcs!$B$27)),IF(OR(M130=2,M130=23),(Main!$B$19-Current_limit!O130)*Current_limit!O130/(Main!$B$19*loop_gain!$B$17*(Helper_calcs!$B$26-Helper_calcs!$B$27)),x)))</f>
        <v>2100000</v>
      </c>
      <c r="Q130" s="132"/>
    </row>
    <row r="131" spans="1:17" x14ac:dyDescent="0.3">
      <c r="A131">
        <f t="shared" si="16"/>
        <v>1.9000000000000008</v>
      </c>
      <c r="B131">
        <f>Main!$B$20/A131</f>
        <v>2.6315789473684199</v>
      </c>
      <c r="D131" s="132">
        <f t="shared" si="9"/>
        <v>2.6315789473684199</v>
      </c>
      <c r="E131" s="132">
        <f>-B131*Main!$B$19-2*Main!$B$19*loop_gain!$B$17*loop_gain!$B$18</f>
        <v>-107.17894736842105</v>
      </c>
      <c r="F131" s="132">
        <f>2*Main!$B$19*loop_gain!$B$17*loop_gain!$B$18*Helper_calcs!$B$26*Current_limit!B131</f>
        <v>765.94736842105249</v>
      </c>
      <c r="G131" s="132">
        <f t="shared" si="11"/>
        <v>9.2449849357058564</v>
      </c>
      <c r="H131" s="132">
        <f>(Main!$B$19-Current_limit!G131)*Current_limit!G131/(Main!$B$19*loop_gain!$B$17*loop_gain!$B$18)</f>
        <v>0.67381144886354649</v>
      </c>
      <c r="I131" s="132">
        <f t="shared" si="12"/>
        <v>3.1761885511364536</v>
      </c>
      <c r="J131" s="132"/>
      <c r="K131" s="133">
        <f>IF(A131&gt;$B$15,IF(I131&gt;Helper_calcs!$B$27,23,3),0)</f>
        <v>0</v>
      </c>
      <c r="L131">
        <f t="shared" si="10"/>
        <v>0</v>
      </c>
      <c r="M131">
        <f t="shared" si="13"/>
        <v>0</v>
      </c>
      <c r="N131" s="132">
        <f t="shared" si="14"/>
        <v>1.9000000000000008</v>
      </c>
      <c r="O131" s="132">
        <f t="shared" si="15"/>
        <v>5</v>
      </c>
      <c r="P131" s="134">
        <f>IF(OR(M131=0,M131=3),loop_gain!$B$18,IF(Current_limit!M131=1,Current_limit!$B$12/(2*(Current_limit!N131-Helper_calcs!$B$27)),IF(OR(M131=2,M131=23),(Main!$B$19-Current_limit!O131)*Current_limit!O131/(Main!$B$19*loop_gain!$B$17*(Helper_calcs!$B$26-Helper_calcs!$B$27)),x)))</f>
        <v>2100000</v>
      </c>
      <c r="Q131" s="132"/>
    </row>
    <row r="132" spans="1:17" x14ac:dyDescent="0.3">
      <c r="A132">
        <f t="shared" si="16"/>
        <v>1.9100000000000008</v>
      </c>
      <c r="B132">
        <f>Main!$B$20/A132</f>
        <v>2.6178010471204178</v>
      </c>
      <c r="D132" s="132">
        <f t="shared" si="9"/>
        <v>2.6178010471204178</v>
      </c>
      <c r="E132" s="132">
        <f>-B132*Main!$B$19-2*Main!$B$19*loop_gain!$B$17*loop_gain!$B$18</f>
        <v>-107.01361256544502</v>
      </c>
      <c r="F132" s="132">
        <f>2*Main!$B$19*loop_gain!$B$17*loop_gain!$B$18*Helper_calcs!$B$26*Current_limit!B132</f>
        <v>761.93717277486894</v>
      </c>
      <c r="G132" s="132">
        <f t="shared" si="11"/>
        <v>9.1827244050580337</v>
      </c>
      <c r="H132" s="132">
        <f>(Main!$B$19-Current_limit!G132)*Current_limit!G132/(Main!$B$19*loop_gain!$B$17*loop_gain!$B$18)</f>
        <v>0.6843985545356609</v>
      </c>
      <c r="I132" s="132">
        <f t="shared" si="12"/>
        <v>3.1656014454643397</v>
      </c>
      <c r="J132" s="132"/>
      <c r="K132" s="133">
        <f>IF(A132&gt;$B$15,IF(I132&gt;Helper_calcs!$B$27,23,3),0)</f>
        <v>0</v>
      </c>
      <c r="L132">
        <f t="shared" si="10"/>
        <v>0</v>
      </c>
      <c r="M132">
        <f t="shared" si="13"/>
        <v>0</v>
      </c>
      <c r="N132" s="132">
        <f t="shared" si="14"/>
        <v>1.9100000000000008</v>
      </c>
      <c r="O132" s="132">
        <f t="shared" si="15"/>
        <v>5</v>
      </c>
      <c r="P132" s="134">
        <f>IF(OR(M132=0,M132=3),loop_gain!$B$18,IF(Current_limit!M132=1,Current_limit!$B$12/(2*(Current_limit!N132-Helper_calcs!$B$27)),IF(OR(M132=2,M132=23),(Main!$B$19-Current_limit!O132)*Current_limit!O132/(Main!$B$19*loop_gain!$B$17*(Helper_calcs!$B$26-Helper_calcs!$B$27)),x)))</f>
        <v>2100000</v>
      </c>
      <c r="Q132" s="132"/>
    </row>
    <row r="133" spans="1:17" x14ac:dyDescent="0.3">
      <c r="A133">
        <f t="shared" si="16"/>
        <v>1.9200000000000008</v>
      </c>
      <c r="B133">
        <f>Main!$B$20/A133</f>
        <v>2.6041666666666656</v>
      </c>
      <c r="D133" s="132">
        <f t="shared" si="9"/>
        <v>2.6041666666666656</v>
      </c>
      <c r="E133" s="132">
        <f>-B133*Main!$B$19-2*Main!$B$19*loop_gain!$B$17*loop_gain!$B$18</f>
        <v>-106.85</v>
      </c>
      <c r="F133" s="132">
        <f>2*Main!$B$19*loop_gain!$B$17*loop_gain!$B$18*Helper_calcs!$B$26*Current_limit!B133</f>
        <v>757.96874999999989</v>
      </c>
      <c r="G133" s="132">
        <f t="shared" si="11"/>
        <v>9.1216302766867621</v>
      </c>
      <c r="H133" s="132">
        <f>(Main!$B$19-Current_limit!G133)*Current_limit!G133/(Main!$B$19*loop_gain!$B$17*loop_gain!$B$18)</f>
        <v>0.69458794750456421</v>
      </c>
      <c r="I133" s="132">
        <f t="shared" si="12"/>
        <v>3.1554120524954361</v>
      </c>
      <c r="J133" s="132"/>
      <c r="K133" s="133">
        <f>IF(A133&gt;$B$15,IF(I133&gt;Helper_calcs!$B$27,23,3),0)</f>
        <v>0</v>
      </c>
      <c r="L133">
        <f t="shared" si="10"/>
        <v>0</v>
      </c>
      <c r="M133">
        <f t="shared" si="13"/>
        <v>0</v>
      </c>
      <c r="N133" s="132">
        <f t="shared" si="14"/>
        <v>1.9200000000000008</v>
      </c>
      <c r="O133" s="132">
        <f t="shared" si="15"/>
        <v>5</v>
      </c>
      <c r="P133" s="134">
        <f>IF(OR(M133=0,M133=3),loop_gain!$B$18,IF(Current_limit!M133=1,Current_limit!$B$12/(2*(Current_limit!N133-Helper_calcs!$B$27)),IF(OR(M133=2,M133=23),(Main!$B$19-Current_limit!O133)*Current_limit!O133/(Main!$B$19*loop_gain!$B$17*(Helper_calcs!$B$26-Helper_calcs!$B$27)),x)))</f>
        <v>2100000</v>
      </c>
      <c r="Q133" s="132"/>
    </row>
    <row r="134" spans="1:17" x14ac:dyDescent="0.3">
      <c r="A134">
        <f t="shared" si="16"/>
        <v>1.9300000000000008</v>
      </c>
      <c r="B134">
        <f>Main!$B$20/A134</f>
        <v>2.5906735751295327</v>
      </c>
      <c r="D134" s="132">
        <f t="shared" si="9"/>
        <v>2.5906735751295327</v>
      </c>
      <c r="E134" s="132">
        <f>-B134*Main!$B$19-2*Main!$B$19*loop_gain!$B$17*loop_gain!$B$18</f>
        <v>-106.6880829015544</v>
      </c>
      <c r="F134" s="132">
        <f>2*Main!$B$19*loop_gain!$B$17*loop_gain!$B$18*Helper_calcs!$B$26*Current_limit!B134</f>
        <v>754.04145077720193</v>
      </c>
      <c r="G134" s="132">
        <f t="shared" si="11"/>
        <v>9.0616610625077438</v>
      </c>
      <c r="H134" s="132">
        <f>(Main!$B$19-Current_limit!G134)*Current_limit!G134/(Main!$B$19*loop_gain!$B$17*loop_gain!$B$18)</f>
        <v>0.7043976597440198</v>
      </c>
      <c r="I134" s="132">
        <f t="shared" si="12"/>
        <v>3.1456023402559805</v>
      </c>
      <c r="J134" s="132"/>
      <c r="K134" s="133">
        <f>IF(A134&gt;$B$15,IF(I134&gt;Helper_calcs!$B$27,23,3),0)</f>
        <v>0</v>
      </c>
      <c r="L134">
        <f t="shared" si="10"/>
        <v>0</v>
      </c>
      <c r="M134">
        <f t="shared" si="13"/>
        <v>0</v>
      </c>
      <c r="N134" s="132">
        <f t="shared" si="14"/>
        <v>1.9300000000000008</v>
      </c>
      <c r="O134" s="132">
        <f t="shared" si="15"/>
        <v>5</v>
      </c>
      <c r="P134" s="134">
        <f>IF(OR(M134=0,M134=3),loop_gain!$B$18,IF(Current_limit!M134=1,Current_limit!$B$12/(2*(Current_limit!N134-Helper_calcs!$B$27)),IF(OR(M134=2,M134=23),(Main!$B$19-Current_limit!O134)*Current_limit!O134/(Main!$B$19*loop_gain!$B$17*(Helper_calcs!$B$26-Helper_calcs!$B$27)),x)))</f>
        <v>2100000</v>
      </c>
      <c r="Q134" s="132"/>
    </row>
    <row r="135" spans="1:17" x14ac:dyDescent="0.3">
      <c r="A135">
        <f t="shared" si="16"/>
        <v>1.9400000000000008</v>
      </c>
      <c r="B135">
        <f>Main!$B$20/A135</f>
        <v>2.5773195876288648</v>
      </c>
      <c r="D135" s="132">
        <f t="shared" si="9"/>
        <v>2.5773195876288648</v>
      </c>
      <c r="E135" s="132">
        <f>-B135*Main!$B$19-2*Main!$B$19*loop_gain!$B$17*loop_gain!$B$18</f>
        <v>-106.52783505154639</v>
      </c>
      <c r="F135" s="132">
        <f>2*Main!$B$19*loop_gain!$B$17*loop_gain!$B$18*Helper_calcs!$B$26*Current_limit!B135</f>
        <v>750.15463917525756</v>
      </c>
      <c r="G135" s="132">
        <f t="shared" si="11"/>
        <v>9.0027775369741967</v>
      </c>
      <c r="H135" s="132">
        <f>(Main!$B$19-Current_limit!G135)*Current_limit!G135/(Main!$B$19*loop_gain!$B$17*loop_gain!$B$18)</f>
        <v>0.71384463130802045</v>
      </c>
      <c r="I135" s="132">
        <f t="shared" si="12"/>
        <v>3.1361553686919796</v>
      </c>
      <c r="J135" s="132"/>
      <c r="K135" s="133">
        <f>IF(A135&gt;$B$15,IF(I135&gt;Helper_calcs!$B$27,23,3),0)</f>
        <v>0</v>
      </c>
      <c r="L135">
        <f t="shared" si="10"/>
        <v>0</v>
      </c>
      <c r="M135">
        <f t="shared" si="13"/>
        <v>0</v>
      </c>
      <c r="N135" s="132">
        <f t="shared" si="14"/>
        <v>1.9400000000000008</v>
      </c>
      <c r="O135" s="132">
        <f t="shared" si="15"/>
        <v>5</v>
      </c>
      <c r="P135" s="134">
        <f>IF(OR(M135=0,M135=3),loop_gain!$B$18,IF(Current_limit!M135=1,Current_limit!$B$12/(2*(Current_limit!N135-Helper_calcs!$B$27)),IF(OR(M135=2,M135=23),(Main!$B$19-Current_limit!O135)*Current_limit!O135/(Main!$B$19*loop_gain!$B$17*(Helper_calcs!$B$26-Helper_calcs!$B$27)),x)))</f>
        <v>2100000</v>
      </c>
      <c r="Q135" s="132"/>
    </row>
    <row r="136" spans="1:17" x14ac:dyDescent="0.3">
      <c r="A136">
        <f t="shared" si="16"/>
        <v>1.9500000000000008</v>
      </c>
      <c r="B136">
        <f>Main!$B$20/A136</f>
        <v>2.564102564102563</v>
      </c>
      <c r="D136" s="132">
        <f t="shared" si="9"/>
        <v>2.564102564102563</v>
      </c>
      <c r="E136" s="132">
        <f>-B136*Main!$B$19-2*Main!$B$19*loop_gain!$B$17*loop_gain!$B$18</f>
        <v>-106.36923076923077</v>
      </c>
      <c r="F136" s="132">
        <f>2*Main!$B$19*loop_gain!$B$17*loop_gain!$B$18*Helper_calcs!$B$26*Current_limit!B136</f>
        <v>746.30769230769215</v>
      </c>
      <c r="G136" s="132">
        <f t="shared" si="11"/>
        <v>8.944942570284736</v>
      </c>
      <c r="H136" s="132">
        <f>(Main!$B$19-Current_limit!G136)*Current_limit!G136/(Main!$B$19*loop_gain!$B$17*loop_gain!$B$18)</f>
        <v>0.72294479517790289</v>
      </c>
      <c r="I136" s="132">
        <f t="shared" si="12"/>
        <v>3.127055204822097</v>
      </c>
      <c r="J136" s="132"/>
      <c r="K136" s="133">
        <f>IF(A136&gt;$B$15,IF(I136&gt;Helper_calcs!$B$27,23,3),0)</f>
        <v>0</v>
      </c>
      <c r="L136">
        <f t="shared" si="10"/>
        <v>0</v>
      </c>
      <c r="M136">
        <f t="shared" si="13"/>
        <v>0</v>
      </c>
      <c r="N136" s="132">
        <f t="shared" si="14"/>
        <v>1.9500000000000008</v>
      </c>
      <c r="O136" s="132">
        <f t="shared" si="15"/>
        <v>5</v>
      </c>
      <c r="P136" s="134">
        <f>IF(OR(M136=0,M136=3),loop_gain!$B$18,IF(Current_limit!M136=1,Current_limit!$B$12/(2*(Current_limit!N136-Helper_calcs!$B$27)),IF(OR(M136=2,M136=23),(Main!$B$19-Current_limit!O136)*Current_limit!O136/(Main!$B$19*loop_gain!$B$17*(Helper_calcs!$B$26-Helper_calcs!$B$27)),x)))</f>
        <v>2100000</v>
      </c>
      <c r="Q136" s="132"/>
    </row>
    <row r="137" spans="1:17" x14ac:dyDescent="0.3">
      <c r="A137">
        <f t="shared" si="16"/>
        <v>1.9600000000000009</v>
      </c>
      <c r="B137">
        <f>Main!$B$20/A137</f>
        <v>2.5510204081632644</v>
      </c>
      <c r="D137" s="132">
        <f t="shared" si="9"/>
        <v>2.5510204081632644</v>
      </c>
      <c r="E137" s="132">
        <f>-B137*Main!$B$19-2*Main!$B$19*loop_gain!$B$17*loop_gain!$B$18</f>
        <v>-106.21224489795918</v>
      </c>
      <c r="F137" s="132">
        <f>2*Main!$B$19*loop_gain!$B$17*loop_gain!$B$18*Helper_calcs!$B$26*Current_limit!B137</f>
        <v>742.49999999999989</v>
      </c>
      <c r="G137" s="132">
        <f t="shared" si="11"/>
        <v>8.8881209770082545</v>
      </c>
      <c r="H137" s="132">
        <f>(Main!$B$19-Current_limit!G137)*Current_limit!G137/(Main!$B$19*loop_gain!$B$17*loop_gain!$B$18)</f>
        <v>0.73171315402552606</v>
      </c>
      <c r="I137" s="132">
        <f t="shared" si="12"/>
        <v>3.1182868459744744</v>
      </c>
      <c r="J137" s="132"/>
      <c r="K137" s="133">
        <f>IF(A137&gt;$B$15,IF(I137&gt;Helper_calcs!$B$27,23,3),0)</f>
        <v>0</v>
      </c>
      <c r="L137">
        <f t="shared" si="10"/>
        <v>0</v>
      </c>
      <c r="M137">
        <f t="shared" si="13"/>
        <v>0</v>
      </c>
      <c r="N137" s="132">
        <f t="shared" si="14"/>
        <v>1.9600000000000009</v>
      </c>
      <c r="O137" s="132">
        <f t="shared" si="15"/>
        <v>5</v>
      </c>
      <c r="P137" s="134">
        <f>IF(OR(M137=0,M137=3),loop_gain!$B$18,IF(Current_limit!M137=1,Current_limit!$B$12/(2*(Current_limit!N137-Helper_calcs!$B$27)),IF(OR(M137=2,M137=23),(Main!$B$19-Current_limit!O137)*Current_limit!O137/(Main!$B$19*loop_gain!$B$17*(Helper_calcs!$B$26-Helper_calcs!$B$27)),x)))</f>
        <v>2100000</v>
      </c>
      <c r="Q137" s="132"/>
    </row>
    <row r="138" spans="1:17" x14ac:dyDescent="0.3">
      <c r="A138">
        <f t="shared" si="16"/>
        <v>1.9700000000000009</v>
      </c>
      <c r="B138">
        <f>Main!$B$20/A138</f>
        <v>2.5380710659898464</v>
      </c>
      <c r="D138" s="132">
        <f t="shared" si="9"/>
        <v>2.5380710659898464</v>
      </c>
      <c r="E138" s="132">
        <f>-B138*Main!$B$19-2*Main!$B$19*loop_gain!$B$17*loop_gain!$B$18</f>
        <v>-106.05685279187816</v>
      </c>
      <c r="F138" s="132">
        <f>2*Main!$B$19*loop_gain!$B$17*loop_gain!$B$18*Helper_calcs!$B$26*Current_limit!B138</f>
        <v>738.73096446700481</v>
      </c>
      <c r="G138" s="132">
        <f t="shared" si="11"/>
        <v>8.8322793784222231</v>
      </c>
      <c r="H138" s="132">
        <f>(Main!$B$19-Current_limit!G138)*Current_limit!G138/(Main!$B$19*loop_gain!$B$17*loop_gain!$B$18)</f>
        <v>0.74016384980328631</v>
      </c>
      <c r="I138" s="132">
        <f t="shared" si="12"/>
        <v>3.1098361501967147</v>
      </c>
      <c r="J138" s="132"/>
      <c r="K138" s="133">
        <f>IF(A138&gt;$B$15,IF(I138&gt;Helper_calcs!$B$27,23,3),0)</f>
        <v>0</v>
      </c>
      <c r="L138">
        <f t="shared" si="10"/>
        <v>0</v>
      </c>
      <c r="M138">
        <f t="shared" si="13"/>
        <v>0</v>
      </c>
      <c r="N138" s="132">
        <f t="shared" si="14"/>
        <v>1.9700000000000009</v>
      </c>
      <c r="O138" s="132">
        <f t="shared" si="15"/>
        <v>5</v>
      </c>
      <c r="P138" s="134">
        <f>IF(OR(M138=0,M138=3),loop_gain!$B$18,IF(Current_limit!M138=1,Current_limit!$B$12/(2*(Current_limit!N138-Helper_calcs!$B$27)),IF(OR(M138=2,M138=23),(Main!$B$19-Current_limit!O138)*Current_limit!O138/(Main!$B$19*loop_gain!$B$17*(Helper_calcs!$B$26-Helper_calcs!$B$27)),x)))</f>
        <v>2100000</v>
      </c>
      <c r="Q138" s="132"/>
    </row>
    <row r="139" spans="1:17" x14ac:dyDescent="0.3">
      <c r="A139">
        <f t="shared" si="16"/>
        <v>1.9800000000000009</v>
      </c>
      <c r="B139">
        <f>Main!$B$20/A139</f>
        <v>2.5252525252525242</v>
      </c>
      <c r="D139" s="132">
        <f t="shared" si="9"/>
        <v>2.5252525252525242</v>
      </c>
      <c r="E139" s="132">
        <f>-B139*Main!$B$19-2*Main!$B$19*loop_gain!$B$17*loop_gain!$B$18</f>
        <v>-105.90303030303031</v>
      </c>
      <c r="F139" s="132">
        <f>2*Main!$B$19*loop_gain!$B$17*loop_gain!$B$18*Helper_calcs!$B$26*Current_limit!B139</f>
        <v>734.99999999999989</v>
      </c>
      <c r="G139" s="132">
        <f t="shared" si="11"/>
        <v>8.7773860770786687</v>
      </c>
      <c r="H139" s="132">
        <f>(Main!$B$19-Current_limit!G139)*Current_limit!G139/(Main!$B$19*loop_gain!$B$17*loop_gain!$B$18)</f>
        <v>0.74831022695369209</v>
      </c>
      <c r="I139" s="132">
        <f t="shared" si="12"/>
        <v>3.1016897730463082</v>
      </c>
      <c r="J139" s="132"/>
      <c r="K139" s="133">
        <f>IF(A139&gt;$B$15,IF(I139&gt;Helper_calcs!$B$27,23,3),0)</f>
        <v>0</v>
      </c>
      <c r="L139">
        <f t="shared" si="10"/>
        <v>0</v>
      </c>
      <c r="M139">
        <f t="shared" si="13"/>
        <v>0</v>
      </c>
      <c r="N139" s="132">
        <f t="shared" si="14"/>
        <v>1.9800000000000009</v>
      </c>
      <c r="O139" s="132">
        <f t="shared" si="15"/>
        <v>5</v>
      </c>
      <c r="P139" s="134">
        <f>IF(OR(M139=0,M139=3),loop_gain!$B$18,IF(Current_limit!M139=1,Current_limit!$B$12/(2*(Current_limit!N139-Helper_calcs!$B$27)),IF(OR(M139=2,M139=23),(Main!$B$19-Current_limit!O139)*Current_limit!O139/(Main!$B$19*loop_gain!$B$17*(Helper_calcs!$B$26-Helper_calcs!$B$27)),x)))</f>
        <v>2100000</v>
      </c>
      <c r="Q139" s="132"/>
    </row>
    <row r="140" spans="1:17" x14ac:dyDescent="0.3">
      <c r="A140">
        <f t="shared" si="16"/>
        <v>1.9900000000000009</v>
      </c>
      <c r="B140">
        <f>Main!$B$20/A140</f>
        <v>2.5125628140703506</v>
      </c>
      <c r="D140" s="132">
        <f t="shared" si="9"/>
        <v>2.5125628140703506</v>
      </c>
      <c r="E140" s="132">
        <f>-B140*Main!$B$19-2*Main!$B$19*loop_gain!$B$17*loop_gain!$B$18</f>
        <v>-105.75075376884422</v>
      </c>
      <c r="F140" s="132">
        <f>2*Main!$B$19*loop_gain!$B$17*loop_gain!$B$18*Helper_calcs!$B$26*Current_limit!B140</f>
        <v>731.30653266331637</v>
      </c>
      <c r="G140" s="132">
        <f t="shared" si="11"/>
        <v>8.7234109422985</v>
      </c>
      <c r="H140" s="132">
        <f>(Main!$B$19-Current_limit!G140)*Current_limit!G140/(Main!$B$19*loop_gain!$B$17*loop_gain!$B$18)</f>
        <v>0.75616488993039144</v>
      </c>
      <c r="I140" s="132">
        <f t="shared" si="12"/>
        <v>3.0938351100696089</v>
      </c>
      <c r="J140" s="132"/>
      <c r="K140" s="133">
        <f>IF(A140&gt;$B$15,IF(I140&gt;Helper_calcs!$B$27,23,3),0)</f>
        <v>0</v>
      </c>
      <c r="L140">
        <f t="shared" si="10"/>
        <v>0</v>
      </c>
      <c r="M140">
        <f t="shared" si="13"/>
        <v>0</v>
      </c>
      <c r="N140" s="132">
        <f t="shared" si="14"/>
        <v>1.9900000000000009</v>
      </c>
      <c r="O140" s="132">
        <f t="shared" si="15"/>
        <v>5</v>
      </c>
      <c r="P140" s="134">
        <f>IF(OR(M140=0,M140=3),loop_gain!$B$18,IF(Current_limit!M140=1,Current_limit!$B$12/(2*(Current_limit!N140-Helper_calcs!$B$27)),IF(OR(M140=2,M140=23),(Main!$B$19-Current_limit!O140)*Current_limit!O140/(Main!$B$19*loop_gain!$B$17*(Helper_calcs!$B$26-Helper_calcs!$B$27)),x)))</f>
        <v>2100000</v>
      </c>
      <c r="Q140" s="132"/>
    </row>
    <row r="141" spans="1:17" x14ac:dyDescent="0.3">
      <c r="A141">
        <f t="shared" si="16"/>
        <v>2.0000000000000009</v>
      </c>
      <c r="B141">
        <f>Main!$B$20/A141</f>
        <v>2.4999999999999991</v>
      </c>
      <c r="D141" s="132">
        <f t="shared" si="9"/>
        <v>2.4999999999999991</v>
      </c>
      <c r="E141" s="132">
        <f>-B141*Main!$B$19-2*Main!$B$19*loop_gain!$B$17*loop_gain!$B$18</f>
        <v>-105.6</v>
      </c>
      <c r="F141" s="132">
        <f>2*Main!$B$19*loop_gain!$B$17*loop_gain!$B$18*Helper_calcs!$B$26*Current_limit!B141</f>
        <v>727.64999999999986</v>
      </c>
      <c r="G141" s="132">
        <f t="shared" si="11"/>
        <v>8.6703253054547638</v>
      </c>
      <c r="H141" s="132">
        <f>(Main!$B$19-Current_limit!G141)*Current_limit!G141/(Main!$B$19*loop_gain!$B$17*loop_gain!$B$18)</f>
        <v>0.76373975563618834</v>
      </c>
      <c r="I141" s="132">
        <f t="shared" si="12"/>
        <v>3.0862602443638125</v>
      </c>
      <c r="J141" s="132"/>
      <c r="K141" s="133">
        <f>IF(A141&gt;$B$15,IF(I141&gt;Helper_calcs!$B$27,23,3),0)</f>
        <v>0</v>
      </c>
      <c r="L141">
        <f t="shared" si="10"/>
        <v>0</v>
      </c>
      <c r="M141">
        <f t="shared" si="13"/>
        <v>0</v>
      </c>
      <c r="N141" s="132">
        <f t="shared" si="14"/>
        <v>2.0000000000000009</v>
      </c>
      <c r="O141" s="132">
        <f t="shared" si="15"/>
        <v>5</v>
      </c>
      <c r="P141" s="134">
        <f>IF(OR(M141=0,M141=3),loop_gain!$B$18,IF(Current_limit!M141=1,Current_limit!$B$12/(2*(Current_limit!N141-Helper_calcs!$B$27)),IF(OR(M141=2,M141=23),(Main!$B$19-Current_limit!O141)*Current_limit!O141/(Main!$B$19*loop_gain!$B$17*(Helper_calcs!$B$26-Helper_calcs!$B$27)),x)))</f>
        <v>2100000</v>
      </c>
      <c r="Q141" s="132"/>
    </row>
    <row r="142" spans="1:17" x14ac:dyDescent="0.3">
      <c r="A142">
        <f t="shared" si="16"/>
        <v>2.0100000000000007</v>
      </c>
      <c r="B142">
        <f>Main!$B$20/A142</f>
        <v>2.4875621890547257</v>
      </c>
      <c r="D142" s="132">
        <f t="shared" si="9"/>
        <v>2.4875621890547257</v>
      </c>
      <c r="E142" s="132">
        <f>-B142*Main!$B$19-2*Main!$B$19*loop_gain!$B$17*loop_gain!$B$18</f>
        <v>-105.45074626865672</v>
      </c>
      <c r="F142" s="132">
        <f>2*Main!$B$19*loop_gain!$B$17*loop_gain!$B$18*Helper_calcs!$B$26*Current_limit!B142</f>
        <v>724.02985074626861</v>
      </c>
      <c r="G142" s="132">
        <f t="shared" si="11"/>
        <v>8.6181018640430711</v>
      </c>
      <c r="H142" s="132">
        <f>(Main!$B$19-Current_limit!G142)*Current_limit!G142/(Main!$B$19*loop_gain!$B$17*loop_gain!$B$18)</f>
        <v>0.77104610130937024</v>
      </c>
      <c r="I142" s="132">
        <f t="shared" si="12"/>
        <v>3.0789538986906306</v>
      </c>
      <c r="J142" s="132"/>
      <c r="K142" s="133">
        <f>IF(A142&gt;$B$15,IF(I142&gt;Helper_calcs!$B$27,23,3),0)</f>
        <v>0</v>
      </c>
      <c r="L142">
        <f t="shared" si="10"/>
        <v>0</v>
      </c>
      <c r="M142">
        <f t="shared" si="13"/>
        <v>0</v>
      </c>
      <c r="N142" s="132">
        <f t="shared" si="14"/>
        <v>2.0100000000000007</v>
      </c>
      <c r="O142" s="132">
        <f t="shared" si="15"/>
        <v>5</v>
      </c>
      <c r="P142" s="134">
        <f>IF(OR(M142=0,M142=3),loop_gain!$B$18,IF(Current_limit!M142=1,Current_limit!$B$12/(2*(Current_limit!N142-Helper_calcs!$B$27)),IF(OR(M142=2,M142=23),(Main!$B$19-Current_limit!O142)*Current_limit!O142/(Main!$B$19*loop_gain!$B$17*(Helper_calcs!$B$26-Helper_calcs!$B$27)),x)))</f>
        <v>2100000</v>
      </c>
      <c r="Q142" s="132"/>
    </row>
    <row r="143" spans="1:17" x14ac:dyDescent="0.3">
      <c r="A143">
        <f t="shared" si="16"/>
        <v>2.0200000000000005</v>
      </c>
      <c r="B143">
        <f>Main!$B$20/A143</f>
        <v>2.4752475247524748</v>
      </c>
      <c r="D143" s="132">
        <f t="shared" si="9"/>
        <v>2.4752475247524748</v>
      </c>
      <c r="E143" s="132">
        <f>-B143*Main!$B$19-2*Main!$B$19*loop_gain!$B$17*loop_gain!$B$18</f>
        <v>-105.3029702970297</v>
      </c>
      <c r="F143" s="132">
        <f>2*Main!$B$19*loop_gain!$B$17*loop_gain!$B$18*Helper_calcs!$B$26*Current_limit!B143</f>
        <v>720.44554455445541</v>
      </c>
      <c r="G143" s="132">
        <f t="shared" si="11"/>
        <v>8.5667145936563003</v>
      </c>
      <c r="H143" s="132">
        <f>(Main!$B$19-Current_limit!G143)*Current_limit!G143/(Main!$B$19*loop_gain!$B$17*loop_gain!$B$18)</f>
        <v>0.7780946083257082</v>
      </c>
      <c r="I143" s="132">
        <f t="shared" si="12"/>
        <v>3.0719053916742918</v>
      </c>
      <c r="J143" s="132"/>
      <c r="K143" s="133">
        <f>IF(A143&gt;$B$15,IF(I143&gt;Helper_calcs!$B$27,23,3),0)</f>
        <v>0</v>
      </c>
      <c r="L143">
        <f t="shared" si="10"/>
        <v>0</v>
      </c>
      <c r="M143">
        <f t="shared" si="13"/>
        <v>0</v>
      </c>
      <c r="N143" s="132">
        <f t="shared" si="14"/>
        <v>2.0200000000000005</v>
      </c>
      <c r="O143" s="132">
        <f t="shared" si="15"/>
        <v>5</v>
      </c>
      <c r="P143" s="134">
        <f>IF(OR(M143=0,M143=3),loop_gain!$B$18,IF(Current_limit!M143=1,Current_limit!$B$12/(2*(Current_limit!N143-Helper_calcs!$B$27)),IF(OR(M143=2,M143=23),(Main!$B$19-Current_limit!O143)*Current_limit!O143/(Main!$B$19*loop_gain!$B$17*(Helper_calcs!$B$26-Helper_calcs!$B$27)),x)))</f>
        <v>2100000</v>
      </c>
      <c r="Q143" s="132"/>
    </row>
    <row r="144" spans="1:17" x14ac:dyDescent="0.3">
      <c r="A144">
        <f t="shared" si="16"/>
        <v>2.0300000000000002</v>
      </c>
      <c r="B144">
        <f>Main!$B$20/A144</f>
        <v>2.4630541871921179</v>
      </c>
      <c r="D144" s="132">
        <f t="shared" si="9"/>
        <v>2.4630541871921179</v>
      </c>
      <c r="E144" s="132">
        <f>-B144*Main!$B$19-2*Main!$B$19*loop_gain!$B$17*loop_gain!$B$18</f>
        <v>-105.15665024630542</v>
      </c>
      <c r="F144" s="132">
        <f>2*Main!$B$19*loop_gain!$B$17*loop_gain!$B$18*Helper_calcs!$B$26*Current_limit!B144</f>
        <v>716.89655172413802</v>
      </c>
      <c r="G144" s="132">
        <f t="shared" si="11"/>
        <v>8.5161386670834478</v>
      </c>
      <c r="H144" s="132">
        <f>(Main!$B$19-Current_limit!G144)*Current_limit!G144/(Main!$B$19*loop_gain!$B$17*loop_gain!$B$18)</f>
        <v>0.7848954023282414</v>
      </c>
      <c r="I144" s="132">
        <f t="shared" si="12"/>
        <v>3.0651045976717595</v>
      </c>
      <c r="J144" s="132"/>
      <c r="K144" s="133">
        <f>IF(A144&gt;$B$15,IF(I144&gt;Helper_calcs!$B$27,23,3),0)</f>
        <v>0</v>
      </c>
      <c r="L144">
        <f t="shared" si="10"/>
        <v>0</v>
      </c>
      <c r="M144">
        <f t="shared" si="13"/>
        <v>0</v>
      </c>
      <c r="N144" s="132">
        <f t="shared" si="14"/>
        <v>2.0300000000000002</v>
      </c>
      <c r="O144" s="132">
        <f t="shared" si="15"/>
        <v>5</v>
      </c>
      <c r="P144" s="134">
        <f>IF(OR(M144=0,M144=3),loop_gain!$B$18,IF(Current_limit!M144=1,Current_limit!$B$12/(2*(Current_limit!N144-Helper_calcs!$B$27)),IF(OR(M144=2,M144=23),(Main!$B$19-Current_limit!O144)*Current_limit!O144/(Main!$B$19*loop_gain!$B$17*(Helper_calcs!$B$26-Helper_calcs!$B$27)),x)))</f>
        <v>2100000</v>
      </c>
      <c r="Q144" s="132"/>
    </row>
    <row r="145" spans="1:17" x14ac:dyDescent="0.3">
      <c r="A145">
        <f t="shared" si="16"/>
        <v>2.04</v>
      </c>
      <c r="B145">
        <f>Main!$B$20/A145</f>
        <v>2.4509803921568629</v>
      </c>
      <c r="D145" s="132">
        <f t="shared" si="9"/>
        <v>2.4509803921568629</v>
      </c>
      <c r="E145" s="132">
        <f>-B145*Main!$B$19-2*Main!$B$19*loop_gain!$B$17*loop_gain!$B$18</f>
        <v>-105.01176470588237</v>
      </c>
      <c r="F145" s="132">
        <f>2*Main!$B$19*loop_gain!$B$17*loop_gain!$B$18*Helper_calcs!$B$26*Current_limit!B145</f>
        <v>713.38235294117669</v>
      </c>
      <c r="G145" s="132">
        <f t="shared" si="11"/>
        <v>8.4663503798418578</v>
      </c>
      <c r="H145" s="132">
        <f>(Main!$B$19-Current_limit!G145)*Current_limit!G145/(Main!$B$19*loop_gain!$B$17*loop_gain!$B$18)</f>
        <v>0.79145809004904555</v>
      </c>
      <c r="I145" s="132">
        <f t="shared" si="12"/>
        <v>3.0585419099509545</v>
      </c>
      <c r="J145" s="132"/>
      <c r="K145" s="133">
        <f>IF(A145&gt;$B$15,IF(I145&gt;Helper_calcs!$B$27,23,3),0)</f>
        <v>0</v>
      </c>
      <c r="L145">
        <f t="shared" si="10"/>
        <v>0</v>
      </c>
      <c r="M145">
        <f t="shared" si="13"/>
        <v>0</v>
      </c>
      <c r="N145" s="132">
        <f t="shared" si="14"/>
        <v>2.04</v>
      </c>
      <c r="O145" s="132">
        <f t="shared" si="15"/>
        <v>5</v>
      </c>
      <c r="P145" s="134">
        <f>IF(OR(M145=0,M145=3),loop_gain!$B$18,IF(Current_limit!M145=1,Current_limit!$B$12/(2*(Current_limit!N145-Helper_calcs!$B$27)),IF(OR(M145=2,M145=23),(Main!$B$19-Current_limit!O145)*Current_limit!O145/(Main!$B$19*loop_gain!$B$17*(Helper_calcs!$B$26-Helper_calcs!$B$27)),x)))</f>
        <v>2100000</v>
      </c>
      <c r="Q145" s="132"/>
    </row>
    <row r="146" spans="1:17" x14ac:dyDescent="0.3">
      <c r="A146">
        <f t="shared" si="16"/>
        <v>2.0499999999999998</v>
      </c>
      <c r="B146">
        <f>Main!$B$20/A146</f>
        <v>2.4390243902439028</v>
      </c>
      <c r="D146" s="132">
        <f t="shared" si="9"/>
        <v>2.4390243902439028</v>
      </c>
      <c r="E146" s="132">
        <f>-B146*Main!$B$19-2*Main!$B$19*loop_gain!$B$17*loop_gain!$B$18</f>
        <v>-104.86829268292684</v>
      </c>
      <c r="F146" s="132">
        <f>2*Main!$B$19*loop_gain!$B$17*loop_gain!$B$18*Helper_calcs!$B$26*Current_limit!B146</f>
        <v>709.90243902439045</v>
      </c>
      <c r="G146" s="132">
        <f t="shared" si="11"/>
        <v>8.4173270815297911</v>
      </c>
      <c r="H146" s="132">
        <f>(Main!$B$19-Current_limit!G146)*Current_limit!G146/(Main!$B$19*loop_gain!$B$17*loop_gain!$B$18)</f>
        <v>0.79779179314557302</v>
      </c>
      <c r="I146" s="132">
        <f t="shared" si="12"/>
        <v>3.0522082068544272</v>
      </c>
      <c r="J146" s="132"/>
      <c r="K146" s="133">
        <f>IF(A146&gt;$B$15,IF(I146&gt;Helper_calcs!$B$27,23,3),0)</f>
        <v>0</v>
      </c>
      <c r="L146">
        <f t="shared" si="10"/>
        <v>0</v>
      </c>
      <c r="M146">
        <f t="shared" si="13"/>
        <v>0</v>
      </c>
      <c r="N146" s="132">
        <f t="shared" si="14"/>
        <v>2.0499999999999998</v>
      </c>
      <c r="O146" s="132">
        <f t="shared" si="15"/>
        <v>5</v>
      </c>
      <c r="P146" s="134">
        <f>IF(OR(M146=0,M146=3),loop_gain!$B$18,IF(Current_limit!M146=1,Current_limit!$B$12/(2*(Current_limit!N146-Helper_calcs!$B$27)),IF(OR(M146=2,M146=23),(Main!$B$19-Current_limit!O146)*Current_limit!O146/(Main!$B$19*loop_gain!$B$17*(Helper_calcs!$B$26-Helper_calcs!$B$27)),x)))</f>
        <v>2100000</v>
      </c>
      <c r="Q146" s="132"/>
    </row>
    <row r="147" spans="1:17" x14ac:dyDescent="0.3">
      <c r="A147">
        <f t="shared" si="16"/>
        <v>2.0599999999999996</v>
      </c>
      <c r="B147">
        <f>Main!$B$20/A147</f>
        <v>2.4271844660194177</v>
      </c>
      <c r="D147" s="132">
        <f t="shared" si="9"/>
        <v>2.4271844660194177</v>
      </c>
      <c r="E147" s="132">
        <f>-B147*Main!$B$19-2*Main!$B$19*loop_gain!$B$17*loop_gain!$B$18</f>
        <v>-104.72621359223302</v>
      </c>
      <c r="F147" s="132">
        <f>2*Main!$B$19*loop_gain!$B$17*loop_gain!$B$18*Helper_calcs!$B$26*Current_limit!B147</f>
        <v>706.45631067961187</v>
      </c>
      <c r="G147" s="132">
        <f t="shared" si="11"/>
        <v>8.3690471124539769</v>
      </c>
      <c r="H147" s="132">
        <f>(Main!$B$19-Current_limit!G147)*Current_limit!G147/(Main!$B$19*loop_gain!$B$17*loop_gain!$B$18)</f>
        <v>0.80390517933792249</v>
      </c>
      <c r="I147" s="132">
        <f t="shared" si="12"/>
        <v>3.046094820662077</v>
      </c>
      <c r="J147" s="132"/>
      <c r="K147" s="133">
        <f>IF(A147&gt;$B$15,IF(I147&gt;Helper_calcs!$B$27,23,3),0)</f>
        <v>0</v>
      </c>
      <c r="L147">
        <f t="shared" si="10"/>
        <v>0</v>
      </c>
      <c r="M147">
        <f t="shared" si="13"/>
        <v>0</v>
      </c>
      <c r="N147" s="132">
        <f t="shared" si="14"/>
        <v>2.0599999999999996</v>
      </c>
      <c r="O147" s="132">
        <f t="shared" si="15"/>
        <v>5</v>
      </c>
      <c r="P147" s="134">
        <f>IF(OR(M147=0,M147=3),loop_gain!$B$18,IF(Current_limit!M147=1,Current_limit!$B$12/(2*(Current_limit!N147-Helper_calcs!$B$27)),IF(OR(M147=2,M147=23),(Main!$B$19-Current_limit!O147)*Current_limit!O147/(Main!$B$19*loop_gain!$B$17*(Helper_calcs!$B$26-Helper_calcs!$B$27)),x)))</f>
        <v>2100000</v>
      </c>
      <c r="Q147" s="132"/>
    </row>
    <row r="148" spans="1:17" x14ac:dyDescent="0.3">
      <c r="A148">
        <f t="shared" si="16"/>
        <v>2.0699999999999994</v>
      </c>
      <c r="B148">
        <f>Main!$B$20/A148</f>
        <v>2.4154589371980681</v>
      </c>
      <c r="D148" s="132">
        <f t="shared" si="9"/>
        <v>2.4154589371980681</v>
      </c>
      <c r="E148" s="132">
        <f>-B148*Main!$B$19-2*Main!$B$19*loop_gain!$B$17*loop_gain!$B$18</f>
        <v>-104.58550724637684</v>
      </c>
      <c r="F148" s="132">
        <f>2*Main!$B$19*loop_gain!$B$17*loop_gain!$B$18*Helper_calcs!$B$26*Current_limit!B148</f>
        <v>703.04347826086985</v>
      </c>
      <c r="G148" s="132">
        <f t="shared" si="11"/>
        <v>8.3214897450462271</v>
      </c>
      <c r="H148" s="132">
        <f>(Main!$B$19-Current_limit!G148)*Current_limit!G148/(Main!$B$19*loop_gain!$B$17*loop_gain!$B$18)</f>
        <v>0.80980649110172487</v>
      </c>
      <c r="I148" s="132">
        <f t="shared" si="12"/>
        <v>3.040193508898275</v>
      </c>
      <c r="J148" s="132"/>
      <c r="K148" s="133">
        <f>IF(A148&gt;$B$15,IF(I148&gt;Helper_calcs!$B$27,23,3),0)</f>
        <v>0</v>
      </c>
      <c r="L148">
        <f t="shared" si="10"/>
        <v>0</v>
      </c>
      <c r="M148">
        <f t="shared" si="13"/>
        <v>0</v>
      </c>
      <c r="N148" s="132">
        <f t="shared" si="14"/>
        <v>2.0699999999999994</v>
      </c>
      <c r="O148" s="132">
        <f t="shared" si="15"/>
        <v>5</v>
      </c>
      <c r="P148" s="134">
        <f>IF(OR(M148=0,M148=3),loop_gain!$B$18,IF(Current_limit!M148=1,Current_limit!$B$12/(2*(Current_limit!N148-Helper_calcs!$B$27)),IF(OR(M148=2,M148=23),(Main!$B$19-Current_limit!O148)*Current_limit!O148/(Main!$B$19*loop_gain!$B$17*(Helper_calcs!$B$26-Helper_calcs!$B$27)),x)))</f>
        <v>2100000</v>
      </c>
      <c r="Q148" s="132"/>
    </row>
    <row r="149" spans="1:17" x14ac:dyDescent="0.3">
      <c r="A149">
        <f t="shared" si="16"/>
        <v>2.0799999999999992</v>
      </c>
      <c r="B149">
        <f>Main!$B$20/A149</f>
        <v>2.4038461538461546</v>
      </c>
      <c r="D149" s="132">
        <f t="shared" si="9"/>
        <v>2.4038461538461546</v>
      </c>
      <c r="E149" s="132">
        <f>-B149*Main!$B$19-2*Main!$B$19*loop_gain!$B$17*loop_gain!$B$18</f>
        <v>-104.44615384615386</v>
      </c>
      <c r="F149" s="132">
        <f>2*Main!$B$19*loop_gain!$B$17*loop_gain!$B$18*Helper_calcs!$B$26*Current_limit!B149</f>
        <v>699.66346153846189</v>
      </c>
      <c r="G149" s="132">
        <f t="shared" si="11"/>
        <v>8.2746351296350298</v>
      </c>
      <c r="H149" s="132">
        <f>(Main!$B$19-Current_limit!G149)*Current_limit!G149/(Main!$B$19*loop_gain!$B$17*loop_gain!$B$18)</f>
        <v>0.81550357214365676</v>
      </c>
      <c r="I149" s="132">
        <f t="shared" si="12"/>
        <v>3.0344964278563431</v>
      </c>
      <c r="J149" s="132"/>
      <c r="K149" s="133">
        <f>IF(A149&gt;$B$15,IF(I149&gt;Helper_calcs!$B$27,23,3),0)</f>
        <v>0</v>
      </c>
      <c r="L149">
        <f t="shared" si="10"/>
        <v>0</v>
      </c>
      <c r="M149">
        <f t="shared" si="13"/>
        <v>0</v>
      </c>
      <c r="N149" s="132">
        <f t="shared" si="14"/>
        <v>2.0799999999999992</v>
      </c>
      <c r="O149" s="132">
        <f t="shared" si="15"/>
        <v>5</v>
      </c>
      <c r="P149" s="134">
        <f>IF(OR(M149=0,M149=3),loop_gain!$B$18,IF(Current_limit!M149=1,Current_limit!$B$12/(2*(Current_limit!N149-Helper_calcs!$B$27)),IF(OR(M149=2,M149=23),(Main!$B$19-Current_limit!O149)*Current_limit!O149/(Main!$B$19*loop_gain!$B$17*(Helper_calcs!$B$26-Helper_calcs!$B$27)),x)))</f>
        <v>2100000</v>
      </c>
      <c r="Q149" s="132"/>
    </row>
    <row r="150" spans="1:17" x14ac:dyDescent="0.3">
      <c r="A150">
        <f t="shared" si="16"/>
        <v>2.089999999999999</v>
      </c>
      <c r="B150">
        <f>Main!$B$20/A150</f>
        <v>2.3923444976076569</v>
      </c>
      <c r="D150" s="132">
        <f t="shared" si="9"/>
        <v>2.3923444976076569</v>
      </c>
      <c r="E150" s="132">
        <f>-B150*Main!$B$19-2*Main!$B$19*loop_gain!$B$17*loop_gain!$B$18</f>
        <v>-104.30813397129189</v>
      </c>
      <c r="F150" s="132">
        <f>2*Main!$B$19*loop_gain!$B$17*loop_gain!$B$18*Helper_calcs!$B$26*Current_limit!B150</f>
        <v>696.31578947368473</v>
      </c>
      <c r="G150" s="132">
        <f t="shared" si="11"/>
        <v>8.228464244183888</v>
      </c>
      <c r="H150" s="132">
        <f>(Main!$B$19-Current_limit!G150)*Current_limit!G150/(Main!$B$19*loop_gain!$B$17*loop_gain!$B$18)</f>
        <v>0.82100389186227318</v>
      </c>
      <c r="I150" s="132">
        <f t="shared" si="12"/>
        <v>3.0289961081377266</v>
      </c>
      <c r="J150" s="132"/>
      <c r="K150" s="133">
        <f>IF(A150&gt;$B$15,IF(I150&gt;Helper_calcs!$B$27,23,3),0)</f>
        <v>0</v>
      </c>
      <c r="L150">
        <f t="shared" si="10"/>
        <v>0</v>
      </c>
      <c r="M150">
        <f t="shared" si="13"/>
        <v>0</v>
      </c>
      <c r="N150" s="132">
        <f t="shared" si="14"/>
        <v>2.089999999999999</v>
      </c>
      <c r="O150" s="132">
        <f t="shared" si="15"/>
        <v>5</v>
      </c>
      <c r="P150" s="134">
        <f>IF(OR(M150=0,M150=3),loop_gain!$B$18,IF(Current_limit!M150=1,Current_limit!$B$12/(2*(Current_limit!N150-Helper_calcs!$B$27)),IF(OR(M150=2,M150=23),(Main!$B$19-Current_limit!O150)*Current_limit!O150/(Main!$B$19*loop_gain!$B$17*(Helper_calcs!$B$26-Helper_calcs!$B$27)),x)))</f>
        <v>2100000</v>
      </c>
      <c r="Q150" s="132"/>
    </row>
    <row r="151" spans="1:17" x14ac:dyDescent="0.3">
      <c r="A151">
        <f t="shared" si="16"/>
        <v>2.0999999999999988</v>
      </c>
      <c r="B151">
        <f>Main!$B$20/A151</f>
        <v>2.3809523809523823</v>
      </c>
      <c r="D151" s="132">
        <f t="shared" ref="D151:D214" si="17">B151</f>
        <v>2.3809523809523823</v>
      </c>
      <c r="E151" s="132">
        <f>-B151*Main!$B$19-2*Main!$B$19*loop_gain!$B$17*loop_gain!$B$18</f>
        <v>-104.17142857142859</v>
      </c>
      <c r="F151" s="132">
        <f>2*Main!$B$19*loop_gain!$B$17*loop_gain!$B$18*Helper_calcs!$B$26*Current_limit!B151</f>
        <v>693.00000000000057</v>
      </c>
      <c r="G151" s="132">
        <f t="shared" si="11"/>
        <v>8.1829588476482051</v>
      </c>
      <c r="H151" s="132">
        <f>(Main!$B$19-Current_limit!G151)*Current_limit!G151/(Main!$B$19*loop_gain!$B$17*loop_gain!$B$18)</f>
        <v>0.82631456797551373</v>
      </c>
      <c r="I151" s="132">
        <f t="shared" si="12"/>
        <v>3.0236854320244873</v>
      </c>
      <c r="J151" s="132"/>
      <c r="K151" s="133">
        <f>IF(A151&gt;$B$15,IF(I151&gt;Helper_calcs!$B$27,23,3),0)</f>
        <v>0</v>
      </c>
      <c r="L151">
        <f t="shared" ref="L151:L214" si="18">IF(A151&gt;$B$13,IF(A151&gt;$B$14,2,1),0)</f>
        <v>0</v>
      </c>
      <c r="M151">
        <f t="shared" si="13"/>
        <v>0</v>
      </c>
      <c r="N151" s="132">
        <f t="shared" si="14"/>
        <v>2.0999999999999988</v>
      </c>
      <c r="O151" s="132">
        <f t="shared" si="15"/>
        <v>5</v>
      </c>
      <c r="P151" s="134">
        <f>IF(OR(M151=0,M151=3),loop_gain!$B$18,IF(Current_limit!M151=1,Current_limit!$B$12/(2*(Current_limit!N151-Helper_calcs!$B$27)),IF(OR(M151=2,M151=23),(Main!$B$19-Current_limit!O151)*Current_limit!O151/(Main!$B$19*loop_gain!$B$17*(Helper_calcs!$B$26-Helper_calcs!$B$27)),x)))</f>
        <v>2100000</v>
      </c>
      <c r="Q151" s="132"/>
    </row>
    <row r="152" spans="1:17" x14ac:dyDescent="0.3">
      <c r="A152">
        <f t="shared" si="16"/>
        <v>2.1099999999999985</v>
      </c>
      <c r="B152">
        <f>Main!$B$20/A152</f>
        <v>2.3696682464454994</v>
      </c>
      <c r="D152" s="132">
        <f t="shared" si="17"/>
        <v>2.3696682464454994</v>
      </c>
      <c r="E152" s="132">
        <f>-B152*Main!$B$19-2*Main!$B$19*loop_gain!$B$17*loop_gain!$B$18</f>
        <v>-104.036018957346</v>
      </c>
      <c r="F152" s="132">
        <f>2*Main!$B$19*loop_gain!$B$17*loop_gain!$B$18*Helper_calcs!$B$26*Current_limit!B152</f>
        <v>689.71563981042721</v>
      </c>
      <c r="G152" s="132">
        <f t="shared" ref="G152:G215" si="19">(-E152-SQRT(E152^2-4*D152*F152))/(2*D152)</f>
        <v>8.1381014366381521</v>
      </c>
      <c r="H152" s="132">
        <f>(Main!$B$19-Current_limit!G152)*Current_limit!G152/(Main!$B$19*loop_gain!$B$17*loop_gain!$B$18)</f>
        <v>0.83144238747740384</v>
      </c>
      <c r="I152" s="132">
        <f t="shared" ref="I152:I215" si="20">(G152/B152)-0.5*H152</f>
        <v>3.0185576125225957</v>
      </c>
      <c r="J152" s="132"/>
      <c r="K152" s="133">
        <f>IF(A152&gt;$B$15,IF(I152&gt;Helper_calcs!$B$27,23,3),0)</f>
        <v>0</v>
      </c>
      <c r="L152">
        <f t="shared" si="18"/>
        <v>0</v>
      </c>
      <c r="M152">
        <f t="shared" ref="M152:M215" si="21">IF($B$16="N",L152,K152)</f>
        <v>0</v>
      </c>
      <c r="N152" s="132">
        <f t="shared" ref="N152:N215" si="22">IF(OR(M152=0,M152=1),A152,IF(OR(M152=2,M152=23),$B$14,G152/B152))</f>
        <v>2.1099999999999985</v>
      </c>
      <c r="O152" s="132">
        <f t="shared" ref="O152:O215" si="23">N152*B152</f>
        <v>5</v>
      </c>
      <c r="P152" s="134">
        <f>IF(OR(M152=0,M152=3),loop_gain!$B$18,IF(Current_limit!M152=1,Current_limit!$B$12/(2*(Current_limit!N152-Helper_calcs!$B$27)),IF(OR(M152=2,M152=23),(Main!$B$19-Current_limit!O152)*Current_limit!O152/(Main!$B$19*loop_gain!$B$17*(Helper_calcs!$B$26-Helper_calcs!$B$27)),x)))</f>
        <v>2100000</v>
      </c>
      <c r="Q152" s="132"/>
    </row>
    <row r="153" spans="1:17" x14ac:dyDescent="0.3">
      <c r="A153">
        <f t="shared" si="16"/>
        <v>2.1199999999999983</v>
      </c>
      <c r="B153">
        <f>Main!$B$20/A153</f>
        <v>2.3584905660377378</v>
      </c>
      <c r="D153" s="132">
        <f t="shared" si="17"/>
        <v>2.3584905660377378</v>
      </c>
      <c r="E153" s="132">
        <f>-B153*Main!$B$19-2*Main!$B$19*loop_gain!$B$17*loop_gain!$B$18</f>
        <v>-103.90188679245287</v>
      </c>
      <c r="F153" s="132">
        <f>2*Main!$B$19*loop_gain!$B$17*loop_gain!$B$18*Helper_calcs!$B$26*Current_limit!B153</f>
        <v>686.46226415094407</v>
      </c>
      <c r="G153" s="132">
        <f t="shared" si="19"/>
        <v>8.0938752051062917</v>
      </c>
      <c r="H153" s="132">
        <f>(Main!$B$19-Current_limit!G153)*Current_limit!G153/(Main!$B$19*loop_gain!$B$17*loop_gain!$B$18)</f>
        <v>0.83639382606986989</v>
      </c>
      <c r="I153" s="132">
        <f t="shared" si="20"/>
        <v>3.0136061739301301</v>
      </c>
      <c r="J153" s="132"/>
      <c r="K153" s="133">
        <f>IF(A153&gt;$B$15,IF(I153&gt;Helper_calcs!$B$27,23,3),0)</f>
        <v>0</v>
      </c>
      <c r="L153">
        <f t="shared" si="18"/>
        <v>0</v>
      </c>
      <c r="M153">
        <f t="shared" si="21"/>
        <v>0</v>
      </c>
      <c r="N153" s="132">
        <f t="shared" si="22"/>
        <v>2.1199999999999983</v>
      </c>
      <c r="O153" s="132">
        <f t="shared" si="23"/>
        <v>5</v>
      </c>
      <c r="P153" s="134">
        <f>IF(OR(M153=0,M153=3),loop_gain!$B$18,IF(Current_limit!M153=1,Current_limit!$B$12/(2*(Current_limit!N153-Helper_calcs!$B$27)),IF(OR(M153=2,M153=23),(Main!$B$19-Current_limit!O153)*Current_limit!O153/(Main!$B$19*loop_gain!$B$17*(Helper_calcs!$B$26-Helper_calcs!$B$27)),x)))</f>
        <v>2100000</v>
      </c>
      <c r="Q153" s="132"/>
    </row>
    <row r="154" spans="1:17" x14ac:dyDescent="0.3">
      <c r="A154">
        <f t="shared" si="16"/>
        <v>2.1299999999999981</v>
      </c>
      <c r="B154">
        <f>Main!$B$20/A154</f>
        <v>2.3474178403755888</v>
      </c>
      <c r="D154" s="132">
        <f t="shared" si="17"/>
        <v>2.3474178403755888</v>
      </c>
      <c r="E154" s="132">
        <f>-B154*Main!$B$19-2*Main!$B$19*loop_gain!$B$17*loop_gain!$B$18</f>
        <v>-103.76901408450708</v>
      </c>
      <c r="F154" s="132">
        <f>2*Main!$B$19*loop_gain!$B$17*loop_gain!$B$18*Helper_calcs!$B$26*Current_limit!B154</f>
        <v>683.23943661971896</v>
      </c>
      <c r="G154" s="132">
        <f t="shared" si="19"/>
        <v>8.0502640068064668</v>
      </c>
      <c r="H154" s="132">
        <f>(Main!$B$19-Current_limit!G154)*Current_limit!G154/(Main!$B$19*loop_gain!$B$17*loop_gain!$B$18)</f>
        <v>0.84117506620089655</v>
      </c>
      <c r="I154" s="132">
        <f t="shared" si="20"/>
        <v>3.0088249337991035</v>
      </c>
      <c r="J154" s="132"/>
      <c r="K154" s="133">
        <f>IF(A154&gt;$B$15,IF(I154&gt;Helper_calcs!$B$27,23,3),0)</f>
        <v>0</v>
      </c>
      <c r="L154">
        <f t="shared" si="18"/>
        <v>0</v>
      </c>
      <c r="M154">
        <f t="shared" si="21"/>
        <v>0</v>
      </c>
      <c r="N154" s="132">
        <f t="shared" si="22"/>
        <v>2.1299999999999981</v>
      </c>
      <c r="O154" s="132">
        <f t="shared" si="23"/>
        <v>5</v>
      </c>
      <c r="P154" s="134">
        <f>IF(OR(M154=0,M154=3),loop_gain!$B$18,IF(Current_limit!M154=1,Current_limit!$B$12/(2*(Current_limit!N154-Helper_calcs!$B$27)),IF(OR(M154=2,M154=23),(Main!$B$19-Current_limit!O154)*Current_limit!O154/(Main!$B$19*loop_gain!$B$17*(Helper_calcs!$B$26-Helper_calcs!$B$27)),x)))</f>
        <v>2100000</v>
      </c>
      <c r="Q154" s="132"/>
    </row>
    <row r="155" spans="1:17" x14ac:dyDescent="0.3">
      <c r="A155">
        <f t="shared" si="16"/>
        <v>2.1399999999999979</v>
      </c>
      <c r="B155">
        <f>Main!$B$20/A155</f>
        <v>2.3364485981308434</v>
      </c>
      <c r="D155" s="132">
        <f t="shared" si="17"/>
        <v>2.3364485981308434</v>
      </c>
      <c r="E155" s="132">
        <f>-B155*Main!$B$19-2*Main!$B$19*loop_gain!$B$17*loop_gain!$B$18</f>
        <v>-103.63738317757013</v>
      </c>
      <c r="F155" s="132">
        <f>2*Main!$B$19*loop_gain!$B$17*loop_gain!$B$18*Helper_calcs!$B$26*Current_limit!B155</f>
        <v>680.04672897196338</v>
      </c>
      <c r="G155" s="132">
        <f t="shared" si="19"/>
        <v>8.0072523202953043</v>
      </c>
      <c r="H155" s="132">
        <f>(Main!$B$19-Current_limit!G155)*Current_limit!G155/(Main!$B$19*loop_gain!$B$17*loop_gain!$B$18)</f>
        <v>0.84579201382722524</v>
      </c>
      <c r="I155" s="132">
        <f t="shared" si="20"/>
        <v>3.0042079861727746</v>
      </c>
      <c r="J155" s="132"/>
      <c r="K155" s="133">
        <f>IF(A155&gt;$B$15,IF(I155&gt;Helper_calcs!$B$27,23,3),0)</f>
        <v>0</v>
      </c>
      <c r="L155">
        <f t="shared" si="18"/>
        <v>0</v>
      </c>
      <c r="M155">
        <f t="shared" si="21"/>
        <v>0</v>
      </c>
      <c r="N155" s="132">
        <f t="shared" si="22"/>
        <v>2.1399999999999979</v>
      </c>
      <c r="O155" s="132">
        <f t="shared" si="23"/>
        <v>5</v>
      </c>
      <c r="P155" s="134">
        <f>IF(OR(M155=0,M155=3),loop_gain!$B$18,IF(Current_limit!M155=1,Current_limit!$B$12/(2*(Current_limit!N155-Helper_calcs!$B$27)),IF(OR(M155=2,M155=23),(Main!$B$19-Current_limit!O155)*Current_limit!O155/(Main!$B$19*loop_gain!$B$17*(Helper_calcs!$B$26-Helper_calcs!$B$27)),x)))</f>
        <v>2100000</v>
      </c>
      <c r="Q155" s="132"/>
    </row>
    <row r="156" spans="1:17" x14ac:dyDescent="0.3">
      <c r="A156">
        <f t="shared" si="16"/>
        <v>2.1499999999999977</v>
      </c>
      <c r="B156">
        <f>Main!$B$20/A156</f>
        <v>2.3255813953488396</v>
      </c>
      <c r="D156" s="132">
        <f t="shared" si="17"/>
        <v>2.3255813953488396</v>
      </c>
      <c r="E156" s="132">
        <f>-B156*Main!$B$19-2*Main!$B$19*loop_gain!$B$17*loop_gain!$B$18</f>
        <v>-103.50697674418609</v>
      </c>
      <c r="F156" s="132">
        <f>2*Main!$B$19*loop_gain!$B$17*loop_gain!$B$18*Helper_calcs!$B$26*Current_limit!B156</f>
        <v>676.88372093023338</v>
      </c>
      <c r="G156" s="132">
        <f t="shared" si="19"/>
        <v>7.964825216269495</v>
      </c>
      <c r="H156" s="132">
        <f>(Main!$B$19-Current_limit!G156)*Current_limit!G156/(Main!$B$19*loop_gain!$B$17*loop_gain!$B$18)</f>
        <v>0.85025031400824158</v>
      </c>
      <c r="I156" s="132">
        <f t="shared" si="20"/>
        <v>2.9997496859917585</v>
      </c>
      <c r="J156" s="132"/>
      <c r="K156" s="133">
        <f>IF(A156&gt;$B$15,IF(I156&gt;Helper_calcs!$B$27,23,3),0)</f>
        <v>0</v>
      </c>
      <c r="L156">
        <f t="shared" si="18"/>
        <v>0</v>
      </c>
      <c r="M156">
        <f t="shared" si="21"/>
        <v>0</v>
      </c>
      <c r="N156" s="132">
        <f t="shared" si="22"/>
        <v>2.1499999999999977</v>
      </c>
      <c r="O156" s="132">
        <f t="shared" si="23"/>
        <v>5</v>
      </c>
      <c r="P156" s="134">
        <f>IF(OR(M156=0,M156=3),loop_gain!$B$18,IF(Current_limit!M156=1,Current_limit!$B$12/(2*(Current_limit!N156-Helper_calcs!$B$27)),IF(OR(M156=2,M156=23),(Main!$B$19-Current_limit!O156)*Current_limit!O156/(Main!$B$19*loop_gain!$B$17*(Helper_calcs!$B$26-Helper_calcs!$B$27)),x)))</f>
        <v>2100000</v>
      </c>
      <c r="Q156" s="132"/>
    </row>
    <row r="157" spans="1:17" x14ac:dyDescent="0.3">
      <c r="A157">
        <f t="shared" si="16"/>
        <v>2.1599999999999975</v>
      </c>
      <c r="B157">
        <f>Main!$B$20/A157</f>
        <v>2.3148148148148175</v>
      </c>
      <c r="D157" s="132">
        <f t="shared" si="17"/>
        <v>2.3148148148148175</v>
      </c>
      <c r="E157" s="132">
        <f>-B157*Main!$B$19-2*Main!$B$19*loop_gain!$B$17*loop_gain!$B$18</f>
        <v>-103.37777777777782</v>
      </c>
      <c r="F157" s="132">
        <f>2*Main!$B$19*loop_gain!$B$17*loop_gain!$B$18*Helper_calcs!$B$26*Current_limit!B157</f>
        <v>673.75000000000091</v>
      </c>
      <c r="G157" s="132">
        <f t="shared" si="19"/>
        <v>7.9229683270516098</v>
      </c>
      <c r="H157" s="132">
        <f>(Main!$B$19-Current_limit!G157)*Current_limit!G157/(Main!$B$19*loop_gain!$B$17*loop_gain!$B$18)</f>
        <v>0.85455536542741606</v>
      </c>
      <c r="I157" s="132">
        <f t="shared" si="20"/>
        <v>2.9954446345725834</v>
      </c>
      <c r="J157" s="132"/>
      <c r="K157" s="133">
        <f>IF(A157&gt;$B$15,IF(I157&gt;Helper_calcs!$B$27,23,3),0)</f>
        <v>0</v>
      </c>
      <c r="L157">
        <f t="shared" si="18"/>
        <v>0</v>
      </c>
      <c r="M157">
        <f t="shared" si="21"/>
        <v>0</v>
      </c>
      <c r="N157" s="132">
        <f t="shared" si="22"/>
        <v>2.1599999999999975</v>
      </c>
      <c r="O157" s="132">
        <f t="shared" si="23"/>
        <v>5</v>
      </c>
      <c r="P157" s="134">
        <f>IF(OR(M157=0,M157=3),loop_gain!$B$18,IF(Current_limit!M157=1,Current_limit!$B$12/(2*(Current_limit!N157-Helper_calcs!$B$27)),IF(OR(M157=2,M157=23),(Main!$B$19-Current_limit!O157)*Current_limit!O157/(Main!$B$19*loop_gain!$B$17*(Helper_calcs!$B$26-Helper_calcs!$B$27)),x)))</f>
        <v>2100000</v>
      </c>
      <c r="Q157" s="132"/>
    </row>
    <row r="158" spans="1:17" x14ac:dyDescent="0.3">
      <c r="A158">
        <f t="shared" si="16"/>
        <v>2.1699999999999973</v>
      </c>
      <c r="B158">
        <f>Main!$B$20/A158</f>
        <v>2.3041474654377909</v>
      </c>
      <c r="D158" s="132">
        <f t="shared" si="17"/>
        <v>2.3041474654377909</v>
      </c>
      <c r="E158" s="132">
        <f>-B158*Main!$B$19-2*Main!$B$19*loop_gain!$B$17*loop_gain!$B$18</f>
        <v>-103.2497695852535</v>
      </c>
      <c r="F158" s="132">
        <f>2*Main!$B$19*loop_gain!$B$17*loop_gain!$B$18*Helper_calcs!$B$26*Current_limit!B158</f>
        <v>670.64516129032359</v>
      </c>
      <c r="G158" s="132">
        <f t="shared" si="19"/>
        <v>7.8816678180547415</v>
      </c>
      <c r="H158" s="132">
        <f>(Main!$B$19-Current_limit!G158)*Current_limit!G158/(Main!$B$19*loop_gain!$B$17*loop_gain!$B$18)</f>
        <v>0.85871233392849489</v>
      </c>
      <c r="I158" s="132">
        <f t="shared" si="20"/>
        <v>2.9912876660715058</v>
      </c>
      <c r="J158" s="132"/>
      <c r="K158" s="133">
        <f>IF(A158&gt;$B$15,IF(I158&gt;Helper_calcs!$B$27,23,3),0)</f>
        <v>0</v>
      </c>
      <c r="L158">
        <f t="shared" si="18"/>
        <v>0</v>
      </c>
      <c r="M158">
        <f t="shared" si="21"/>
        <v>0</v>
      </c>
      <c r="N158" s="132">
        <f t="shared" si="22"/>
        <v>2.1699999999999973</v>
      </c>
      <c r="O158" s="132">
        <f t="shared" si="23"/>
        <v>5</v>
      </c>
      <c r="P158" s="134">
        <f>IF(OR(M158=0,M158=3),loop_gain!$B$18,IF(Current_limit!M158=1,Current_limit!$B$12/(2*(Current_limit!N158-Helper_calcs!$B$27)),IF(OR(M158=2,M158=23),(Main!$B$19-Current_limit!O158)*Current_limit!O158/(Main!$B$19*loop_gain!$B$17*(Helper_calcs!$B$26-Helper_calcs!$B$27)),x)))</f>
        <v>2100000</v>
      </c>
      <c r="Q158" s="132"/>
    </row>
    <row r="159" spans="1:17" x14ac:dyDescent="0.3">
      <c r="A159">
        <f t="shared" si="16"/>
        <v>2.1799999999999971</v>
      </c>
      <c r="B159">
        <f>Main!$B$20/A159</f>
        <v>2.2935779816513793</v>
      </c>
      <c r="D159" s="132">
        <f t="shared" si="17"/>
        <v>2.2935779816513793</v>
      </c>
      <c r="E159" s="132">
        <f>-B159*Main!$B$19-2*Main!$B$19*loop_gain!$B$17*loop_gain!$B$18</f>
        <v>-103.12293577981656</v>
      </c>
      <c r="F159" s="132">
        <f>2*Main!$B$19*loop_gain!$B$17*loop_gain!$B$18*Helper_calcs!$B$26*Current_limit!B159</f>
        <v>667.56880733945059</v>
      </c>
      <c r="G159" s="132">
        <f t="shared" si="19"/>
        <v>7.840910361071721</v>
      </c>
      <c r="H159" s="132">
        <f>(Main!$B$19-Current_limit!G159)*Current_limit!G159/(Main!$B$19*loop_gain!$B$17*loop_gain!$B$18)</f>
        <v>0.8627261651454704</v>
      </c>
      <c r="I159" s="132">
        <f t="shared" si="20"/>
        <v>2.9872738348545305</v>
      </c>
      <c r="J159" s="132"/>
      <c r="K159" s="133">
        <f>IF(A159&gt;$B$15,IF(I159&gt;Helper_calcs!$B$27,23,3),0)</f>
        <v>0</v>
      </c>
      <c r="L159">
        <f t="shared" si="18"/>
        <v>0</v>
      </c>
      <c r="M159">
        <f t="shared" si="21"/>
        <v>0</v>
      </c>
      <c r="N159" s="132">
        <f t="shared" si="22"/>
        <v>2.1799999999999971</v>
      </c>
      <c r="O159" s="132">
        <f t="shared" si="23"/>
        <v>5</v>
      </c>
      <c r="P159" s="134">
        <f>IF(OR(M159=0,M159=3),loop_gain!$B$18,IF(Current_limit!M159=1,Current_limit!$B$12/(2*(Current_limit!N159-Helper_calcs!$B$27)),IF(OR(M159=2,M159=23),(Main!$B$19-Current_limit!O159)*Current_limit!O159/(Main!$B$19*loop_gain!$B$17*(Helper_calcs!$B$26-Helper_calcs!$B$27)),x)))</f>
        <v>2100000</v>
      </c>
      <c r="Q159" s="132"/>
    </row>
    <row r="160" spans="1:17" x14ac:dyDescent="0.3">
      <c r="A160">
        <f t="shared" si="16"/>
        <v>2.1899999999999968</v>
      </c>
      <c r="B160">
        <f>Main!$B$20/A160</f>
        <v>2.2831050228310534</v>
      </c>
      <c r="D160" s="132">
        <f t="shared" si="17"/>
        <v>2.2831050228310534</v>
      </c>
      <c r="E160" s="132">
        <f>-B160*Main!$B$19-2*Main!$B$19*loop_gain!$B$17*loop_gain!$B$18</f>
        <v>-102.99726027397264</v>
      </c>
      <c r="F160" s="132">
        <f>2*Main!$B$19*loop_gain!$B$17*loop_gain!$B$18*Helper_calcs!$B$26*Current_limit!B160</f>
        <v>664.52054794520654</v>
      </c>
      <c r="G160" s="132">
        <f t="shared" si="19"/>
        <v>7.8006831092488236</v>
      </c>
      <c r="H160" s="132">
        <f>(Main!$B$19-Current_limit!G160)*Current_limit!G160/(Main!$B$19*loop_gain!$B$17*loop_gain!$B$18)</f>
        <v>0.8666015962980419</v>
      </c>
      <c r="I160" s="132">
        <f t="shared" si="20"/>
        <v>2.9833984037019587</v>
      </c>
      <c r="J160" s="132"/>
      <c r="K160" s="133">
        <f>IF(A160&gt;$B$15,IF(I160&gt;Helper_calcs!$B$27,23,3),0)</f>
        <v>0</v>
      </c>
      <c r="L160">
        <f t="shared" si="18"/>
        <v>0</v>
      </c>
      <c r="M160">
        <f t="shared" si="21"/>
        <v>0</v>
      </c>
      <c r="N160" s="132">
        <f t="shared" si="22"/>
        <v>2.1899999999999968</v>
      </c>
      <c r="O160" s="132">
        <f t="shared" si="23"/>
        <v>5</v>
      </c>
      <c r="P160" s="134">
        <f>IF(OR(M160=0,M160=3),loop_gain!$B$18,IF(Current_limit!M160=1,Current_limit!$B$12/(2*(Current_limit!N160-Helper_calcs!$B$27)),IF(OR(M160=2,M160=23),(Main!$B$19-Current_limit!O160)*Current_limit!O160/(Main!$B$19*loop_gain!$B$17*(Helper_calcs!$B$26-Helper_calcs!$B$27)),x)))</f>
        <v>2100000</v>
      </c>
      <c r="Q160" s="132"/>
    </row>
    <row r="161" spans="1:17" x14ac:dyDescent="0.3">
      <c r="A161">
        <f t="shared" ref="A161:A224" si="24">A160+0.01</f>
        <v>2.1999999999999966</v>
      </c>
      <c r="B161">
        <f>Main!$B$20/A161</f>
        <v>2.272727272727276</v>
      </c>
      <c r="D161" s="132">
        <f t="shared" si="17"/>
        <v>2.272727272727276</v>
      </c>
      <c r="E161" s="132">
        <f>-B161*Main!$B$19-2*Main!$B$19*loop_gain!$B$17*loop_gain!$B$18</f>
        <v>-102.87272727272732</v>
      </c>
      <c r="F161" s="132">
        <f>2*Main!$B$19*loop_gain!$B$17*loop_gain!$B$18*Helper_calcs!$B$26*Current_limit!B161</f>
        <v>661.50000000000114</v>
      </c>
      <c r="G161" s="132">
        <f t="shared" si="19"/>
        <v>7.7609736736162152</v>
      </c>
      <c r="H161" s="132">
        <f>(Main!$B$19-Current_limit!G161)*Current_limit!G161/(Main!$B$19*loop_gain!$B$17*loop_gain!$B$18)</f>
        <v>0.87034316721774085</v>
      </c>
      <c r="I161" s="132">
        <f t="shared" si="20"/>
        <v>2.979656832782259</v>
      </c>
      <c r="J161" s="132"/>
      <c r="K161" s="133">
        <f>IF(A161&gt;$B$15,IF(I161&gt;Helper_calcs!$B$27,23,3),0)</f>
        <v>0</v>
      </c>
      <c r="L161">
        <f t="shared" si="18"/>
        <v>0</v>
      </c>
      <c r="M161">
        <f t="shared" si="21"/>
        <v>0</v>
      </c>
      <c r="N161" s="132">
        <f t="shared" si="22"/>
        <v>2.1999999999999966</v>
      </c>
      <c r="O161" s="132">
        <f t="shared" si="23"/>
        <v>5</v>
      </c>
      <c r="P161" s="134">
        <f>IF(OR(M161=0,M161=3),loop_gain!$B$18,IF(Current_limit!M161=1,Current_limit!$B$12/(2*(Current_limit!N161-Helper_calcs!$B$27)),IF(OR(M161=2,M161=23),(Main!$B$19-Current_limit!O161)*Current_limit!O161/(Main!$B$19*loop_gain!$B$17*(Helper_calcs!$B$26-Helper_calcs!$B$27)),x)))</f>
        <v>2100000</v>
      </c>
      <c r="Q161" s="132"/>
    </row>
    <row r="162" spans="1:17" x14ac:dyDescent="0.3">
      <c r="A162">
        <f t="shared" si="24"/>
        <v>2.2099999999999964</v>
      </c>
      <c r="B162">
        <f>Main!$B$20/A162</f>
        <v>2.2624434389140307</v>
      </c>
      <c r="D162" s="132">
        <f t="shared" si="17"/>
        <v>2.2624434389140307</v>
      </c>
      <c r="E162" s="132">
        <f>-B162*Main!$B$19-2*Main!$B$19*loop_gain!$B$17*loop_gain!$B$18</f>
        <v>-102.74932126696838</v>
      </c>
      <c r="F162" s="132">
        <f>2*Main!$B$19*loop_gain!$B$17*loop_gain!$B$18*Helper_calcs!$B$26*Current_limit!B162</f>
        <v>658.50678733031793</v>
      </c>
      <c r="G162" s="132">
        <f t="shared" si="19"/>
        <v>7.7217701010588158</v>
      </c>
      <c r="H162" s="132">
        <f>(Main!$B$19-Current_limit!G162)*Current_limit!G162/(Main!$B$19*loop_gain!$B$17*loop_gain!$B$18)</f>
        <v>0.87395523066401892</v>
      </c>
      <c r="I162" s="132">
        <f t="shared" si="20"/>
        <v>2.9760447693359819</v>
      </c>
      <c r="J162" s="132"/>
      <c r="K162" s="133">
        <f>IF(A162&gt;$B$15,IF(I162&gt;Helper_calcs!$B$27,23,3),0)</f>
        <v>0</v>
      </c>
      <c r="L162">
        <f t="shared" si="18"/>
        <v>0</v>
      </c>
      <c r="M162">
        <f t="shared" si="21"/>
        <v>0</v>
      </c>
      <c r="N162" s="132">
        <f t="shared" si="22"/>
        <v>2.2099999999999964</v>
      </c>
      <c r="O162" s="132">
        <f t="shared" si="23"/>
        <v>5</v>
      </c>
      <c r="P162" s="134">
        <f>IF(OR(M162=0,M162=3),loop_gain!$B$18,IF(Current_limit!M162=1,Current_limit!$B$12/(2*(Current_limit!N162-Helper_calcs!$B$27)),IF(OR(M162=2,M162=23),(Main!$B$19-Current_limit!O162)*Current_limit!O162/(Main!$B$19*loop_gain!$B$17*(Helper_calcs!$B$26-Helper_calcs!$B$27)),x)))</f>
        <v>2100000</v>
      </c>
      <c r="Q162" s="132"/>
    </row>
    <row r="163" spans="1:17" x14ac:dyDescent="0.3">
      <c r="A163">
        <f t="shared" si="24"/>
        <v>2.2199999999999962</v>
      </c>
      <c r="B163">
        <f>Main!$B$20/A163</f>
        <v>2.2522522522522559</v>
      </c>
      <c r="D163" s="132">
        <f t="shared" si="17"/>
        <v>2.2522522522522559</v>
      </c>
      <c r="E163" s="132">
        <f>-B163*Main!$B$19-2*Main!$B$19*loop_gain!$B$17*loop_gain!$B$18</f>
        <v>-102.62702702702708</v>
      </c>
      <c r="F163" s="132">
        <f>2*Main!$B$19*loop_gain!$B$17*loop_gain!$B$18*Helper_calcs!$B$26*Current_limit!B163</f>
        <v>655.54054054054177</v>
      </c>
      <c r="G163" s="132">
        <f t="shared" si="19"/>
        <v>7.6830608536212628</v>
      </c>
      <c r="H163" s="132">
        <f>(Main!$B$19-Current_limit!G163)*Current_limit!G163/(Main!$B$19*loop_gain!$B$17*loop_gain!$B$18)</f>
        <v>0.87744196198432967</v>
      </c>
      <c r="I163" s="132">
        <f t="shared" si="20"/>
        <v>2.9725580380156704</v>
      </c>
      <c r="J163" s="132"/>
      <c r="K163" s="133">
        <f>IF(A163&gt;$B$15,IF(I163&gt;Helper_calcs!$B$27,23,3),0)</f>
        <v>0</v>
      </c>
      <c r="L163">
        <f t="shared" si="18"/>
        <v>0</v>
      </c>
      <c r="M163">
        <f t="shared" si="21"/>
        <v>0</v>
      </c>
      <c r="N163" s="132">
        <f t="shared" si="22"/>
        <v>2.2199999999999962</v>
      </c>
      <c r="O163" s="132">
        <f t="shared" si="23"/>
        <v>4.9999999999999991</v>
      </c>
      <c r="P163" s="134">
        <f>IF(OR(M163=0,M163=3),loop_gain!$B$18,IF(Current_limit!M163=1,Current_limit!$B$12/(2*(Current_limit!N163-Helper_calcs!$B$27)),IF(OR(M163=2,M163=23),(Main!$B$19-Current_limit!O163)*Current_limit!O163/(Main!$B$19*loop_gain!$B$17*(Helper_calcs!$B$26-Helper_calcs!$B$27)),x)))</f>
        <v>2100000</v>
      </c>
      <c r="Q163" s="132"/>
    </row>
    <row r="164" spans="1:17" x14ac:dyDescent="0.3">
      <c r="A164">
        <f t="shared" si="24"/>
        <v>2.229999999999996</v>
      </c>
      <c r="B164">
        <f>Main!$B$20/A164</f>
        <v>2.2421524663677173</v>
      </c>
      <c r="D164" s="132">
        <f t="shared" si="17"/>
        <v>2.2421524663677173</v>
      </c>
      <c r="E164" s="132">
        <f>-B164*Main!$B$19-2*Main!$B$19*loop_gain!$B$17*loop_gain!$B$18</f>
        <v>-102.50582959641261</v>
      </c>
      <c r="F164" s="132">
        <f>2*Main!$B$19*loop_gain!$B$17*loop_gain!$B$18*Helper_calcs!$B$26*Current_limit!B164</f>
        <v>652.60089686098797</v>
      </c>
      <c r="G164" s="132">
        <f t="shared" si="19"/>
        <v>7.6448347890499164</v>
      </c>
      <c r="H164" s="132">
        <f>(Main!$B$19-Current_limit!G164)*Current_limit!G164/(Main!$B$19*loop_gain!$B$17*loop_gain!$B$18)</f>
        <v>0.88080736816748972</v>
      </c>
      <c r="I164" s="132">
        <f t="shared" si="20"/>
        <v>2.9691926318325113</v>
      </c>
      <c r="J164" s="132"/>
      <c r="K164" s="133">
        <f>IF(A164&gt;$B$15,IF(I164&gt;Helper_calcs!$B$27,23,3),0)</f>
        <v>0</v>
      </c>
      <c r="L164">
        <f t="shared" si="18"/>
        <v>0</v>
      </c>
      <c r="M164">
        <f t="shared" si="21"/>
        <v>0</v>
      </c>
      <c r="N164" s="132">
        <f t="shared" si="22"/>
        <v>2.229999999999996</v>
      </c>
      <c r="O164" s="132">
        <f t="shared" si="23"/>
        <v>5.0000000000000009</v>
      </c>
      <c r="P164" s="134">
        <f>IF(OR(M164=0,M164=3),loop_gain!$B$18,IF(Current_limit!M164=1,Current_limit!$B$12/(2*(Current_limit!N164-Helper_calcs!$B$27)),IF(OR(M164=2,M164=23),(Main!$B$19-Current_limit!O164)*Current_limit!O164/(Main!$B$19*loop_gain!$B$17*(Helper_calcs!$B$26-Helper_calcs!$B$27)),x)))</f>
        <v>2100000</v>
      </c>
      <c r="Q164" s="132"/>
    </row>
    <row r="165" spans="1:17" x14ac:dyDescent="0.3">
      <c r="A165">
        <f t="shared" si="24"/>
        <v>2.2399999999999958</v>
      </c>
      <c r="B165">
        <f>Main!$B$20/A165</f>
        <v>2.2321428571428612</v>
      </c>
      <c r="D165" s="132">
        <f t="shared" si="17"/>
        <v>2.2321428571428612</v>
      </c>
      <c r="E165" s="132">
        <f>-B165*Main!$B$19-2*Main!$B$19*loop_gain!$B$17*loop_gain!$B$18</f>
        <v>-102.38571428571434</v>
      </c>
      <c r="F165" s="132">
        <f>2*Main!$B$19*loop_gain!$B$17*loop_gain!$B$18*Helper_calcs!$B$26*Current_limit!B165</f>
        <v>649.68750000000136</v>
      </c>
      <c r="G165" s="132">
        <f t="shared" si="19"/>
        <v>7.6070811424828921</v>
      </c>
      <c r="H165" s="132">
        <f>(Main!$B$19-Current_limit!G165)*Current_limit!G165/(Main!$B$19*loop_gain!$B$17*loop_gain!$B$18)</f>
        <v>0.88405529633534063</v>
      </c>
      <c r="I165" s="132">
        <f t="shared" si="20"/>
        <v>2.9659447036646593</v>
      </c>
      <c r="J165" s="132"/>
      <c r="K165" s="133">
        <f>IF(A165&gt;$B$15,IF(I165&gt;Helper_calcs!$B$27,23,3),0)</f>
        <v>0</v>
      </c>
      <c r="L165">
        <f t="shared" si="18"/>
        <v>0</v>
      </c>
      <c r="M165">
        <f t="shared" si="21"/>
        <v>0</v>
      </c>
      <c r="N165" s="132">
        <f t="shared" si="22"/>
        <v>2.2399999999999958</v>
      </c>
      <c r="O165" s="132">
        <f t="shared" si="23"/>
        <v>5</v>
      </c>
      <c r="P165" s="134">
        <f>IF(OR(M165=0,M165=3),loop_gain!$B$18,IF(Current_limit!M165=1,Current_limit!$B$12/(2*(Current_limit!N165-Helper_calcs!$B$27)),IF(OR(M165=2,M165=23),(Main!$B$19-Current_limit!O165)*Current_limit!O165/(Main!$B$19*loop_gain!$B$17*(Helper_calcs!$B$26-Helper_calcs!$B$27)),x)))</f>
        <v>2100000</v>
      </c>
      <c r="Q165" s="132"/>
    </row>
    <row r="166" spans="1:17" x14ac:dyDescent="0.3">
      <c r="A166">
        <f t="shared" si="24"/>
        <v>2.2499999999999956</v>
      </c>
      <c r="B166">
        <f>Main!$B$20/A166</f>
        <v>2.2222222222222268</v>
      </c>
      <c r="D166" s="132">
        <f t="shared" si="17"/>
        <v>2.2222222222222268</v>
      </c>
      <c r="E166" s="132">
        <f>-B166*Main!$B$19-2*Main!$B$19*loop_gain!$B$17*loop_gain!$B$18</f>
        <v>-102.26666666666674</v>
      </c>
      <c r="F166" s="132">
        <f>2*Main!$B$19*loop_gain!$B$17*loop_gain!$B$18*Helper_calcs!$B$26*Current_limit!B166</f>
        <v>646.80000000000143</v>
      </c>
      <c r="G166" s="132">
        <f t="shared" si="19"/>
        <v>7.5697895092068306</v>
      </c>
      <c r="H166" s="132">
        <f>(Main!$B$19-Current_limit!G166)*Current_limit!G166/(Main!$B$19*loop_gain!$B$17*loop_gain!$B$18)</f>
        <v>0.88718944171386693</v>
      </c>
      <c r="I166" s="132">
        <f t="shared" si="20"/>
        <v>2.9628105582861335</v>
      </c>
      <c r="J166" s="132"/>
      <c r="K166" s="133">
        <f>IF(A166&gt;$B$15,IF(I166&gt;Helper_calcs!$B$27,23,3),0)</f>
        <v>0</v>
      </c>
      <c r="L166">
        <f t="shared" si="18"/>
        <v>0</v>
      </c>
      <c r="M166">
        <f t="shared" si="21"/>
        <v>0</v>
      </c>
      <c r="N166" s="132">
        <f t="shared" si="22"/>
        <v>2.2499999999999956</v>
      </c>
      <c r="O166" s="132">
        <f t="shared" si="23"/>
        <v>5</v>
      </c>
      <c r="P166" s="134">
        <f>IF(OR(M166=0,M166=3),loop_gain!$B$18,IF(Current_limit!M166=1,Current_limit!$B$12/(2*(Current_limit!N166-Helper_calcs!$B$27)),IF(OR(M166=2,M166=23),(Main!$B$19-Current_limit!O166)*Current_limit!O166/(Main!$B$19*loop_gain!$B$17*(Helper_calcs!$B$26-Helper_calcs!$B$27)),x)))</f>
        <v>2100000</v>
      </c>
      <c r="Q166" s="132"/>
    </row>
    <row r="167" spans="1:17" x14ac:dyDescent="0.3">
      <c r="A167">
        <f t="shared" si="24"/>
        <v>2.2599999999999953</v>
      </c>
      <c r="B167">
        <f>Main!$B$20/A167</f>
        <v>2.2123893805309782</v>
      </c>
      <c r="D167" s="132">
        <f t="shared" si="17"/>
        <v>2.2123893805309782</v>
      </c>
      <c r="E167" s="132">
        <f>-B167*Main!$B$19-2*Main!$B$19*loop_gain!$B$17*loop_gain!$B$18</f>
        <v>-102.14867256637174</v>
      </c>
      <c r="F167" s="132">
        <f>2*Main!$B$19*loop_gain!$B$17*loop_gain!$B$18*Helper_calcs!$B$26*Current_limit!B167</f>
        <v>643.9380530973466</v>
      </c>
      <c r="G167" s="132">
        <f t="shared" si="19"/>
        <v>7.5329498284054672</v>
      </c>
      <c r="H167" s="132">
        <f>(Main!$B$19-Current_limit!G167)*Current_limit!G167/(Main!$B$19*loop_gain!$B$17*loop_gain!$B$18)</f>
        <v>0.89021335512147204</v>
      </c>
      <c r="I167" s="132">
        <f t="shared" si="20"/>
        <v>2.9597866448785277</v>
      </c>
      <c r="J167" s="132"/>
      <c r="K167" s="133">
        <f>IF(A167&gt;$B$15,IF(I167&gt;Helper_calcs!$B$27,23,3),0)</f>
        <v>0</v>
      </c>
      <c r="L167">
        <f t="shared" si="18"/>
        <v>0</v>
      </c>
      <c r="M167">
        <f t="shared" si="21"/>
        <v>0</v>
      </c>
      <c r="N167" s="132">
        <f t="shared" si="22"/>
        <v>2.2599999999999953</v>
      </c>
      <c r="O167" s="132">
        <f t="shared" si="23"/>
        <v>5.0000000000000009</v>
      </c>
      <c r="P167" s="134">
        <f>IF(OR(M167=0,M167=3),loop_gain!$B$18,IF(Current_limit!M167=1,Current_limit!$B$12/(2*(Current_limit!N167-Helper_calcs!$B$27)),IF(OR(M167=2,M167=23),(Main!$B$19-Current_limit!O167)*Current_limit!O167/(Main!$B$19*loop_gain!$B$17*(Helper_calcs!$B$26-Helper_calcs!$B$27)),x)))</f>
        <v>2100000</v>
      </c>
      <c r="Q167" s="132"/>
    </row>
    <row r="168" spans="1:17" x14ac:dyDescent="0.3">
      <c r="A168">
        <f t="shared" si="24"/>
        <v>2.2699999999999951</v>
      </c>
      <c r="B168">
        <f>Main!$B$20/A168</f>
        <v>2.2026431718061721</v>
      </c>
      <c r="D168" s="132">
        <f t="shared" si="17"/>
        <v>2.2026431718061721</v>
      </c>
      <c r="E168" s="132">
        <f>-B168*Main!$B$19-2*Main!$B$19*loop_gain!$B$17*loop_gain!$B$18</f>
        <v>-102.03171806167407</v>
      </c>
      <c r="F168" s="132">
        <f>2*Main!$B$19*loop_gain!$B$17*loop_gain!$B$18*Helper_calcs!$B$26*Current_limit!B168</f>
        <v>641.10132158590454</v>
      </c>
      <c r="G168" s="132">
        <f t="shared" si="19"/>
        <v>7.4965523678315895</v>
      </c>
      <c r="H168" s="132">
        <f>(Main!$B$19-Current_limit!G168)*Current_limit!G168/(Main!$B$19*loop_gain!$B$17*loop_gain!$B$18)</f>
        <v>0.89313045000893287</v>
      </c>
      <c r="I168" s="132">
        <f t="shared" si="20"/>
        <v>2.956869549991068</v>
      </c>
      <c r="J168" s="132"/>
      <c r="K168" s="133">
        <f>IF(A168&gt;$B$15,IF(I168&gt;Helper_calcs!$B$27,23,3),0)</f>
        <v>0</v>
      </c>
      <c r="L168">
        <f t="shared" si="18"/>
        <v>0</v>
      </c>
      <c r="M168">
        <f t="shared" si="21"/>
        <v>0</v>
      </c>
      <c r="N168" s="132">
        <f t="shared" si="22"/>
        <v>2.2699999999999951</v>
      </c>
      <c r="O168" s="132">
        <f t="shared" si="23"/>
        <v>5</v>
      </c>
      <c r="P168" s="134">
        <f>IF(OR(M168=0,M168=3),loop_gain!$B$18,IF(Current_limit!M168=1,Current_limit!$B$12/(2*(Current_limit!N168-Helper_calcs!$B$27)),IF(OR(M168=2,M168=23),(Main!$B$19-Current_limit!O168)*Current_limit!O168/(Main!$B$19*loop_gain!$B$17*(Helper_calcs!$B$26-Helper_calcs!$B$27)),x)))</f>
        <v>2100000</v>
      </c>
      <c r="Q168" s="132"/>
    </row>
    <row r="169" spans="1:17" x14ac:dyDescent="0.3">
      <c r="A169">
        <f t="shared" si="24"/>
        <v>2.2799999999999949</v>
      </c>
      <c r="B169">
        <f>Main!$B$20/A169</f>
        <v>2.1929824561403559</v>
      </c>
      <c r="D169" s="132">
        <f t="shared" si="17"/>
        <v>2.1929824561403559</v>
      </c>
      <c r="E169" s="132">
        <f>-B169*Main!$B$19-2*Main!$B$19*loop_gain!$B$17*loop_gain!$B$18</f>
        <v>-101.91578947368427</v>
      </c>
      <c r="F169" s="132">
        <f>2*Main!$B$19*loop_gain!$B$17*loop_gain!$B$18*Helper_calcs!$B$26*Current_limit!B169</f>
        <v>638.28947368421211</v>
      </c>
      <c r="G169" s="132">
        <f t="shared" si="19"/>
        <v>7.4605877093391237</v>
      </c>
      <c r="H169" s="132">
        <f>(Main!$B$19-Current_limit!G169)*Current_limit!G169/(Main!$B$19*loop_gain!$B$17*loop_gain!$B$18)</f>
        <v>0.89594400908273775</v>
      </c>
      <c r="I169" s="132">
        <f t="shared" si="20"/>
        <v>2.9540559909172641</v>
      </c>
      <c r="J169" s="132"/>
      <c r="K169" s="133">
        <f>IF(A169&gt;$B$15,IF(I169&gt;Helper_calcs!$B$27,23,3),0)</f>
        <v>0</v>
      </c>
      <c r="L169">
        <f t="shared" si="18"/>
        <v>0</v>
      </c>
      <c r="M169">
        <f t="shared" si="21"/>
        <v>0</v>
      </c>
      <c r="N169" s="132">
        <f t="shared" si="22"/>
        <v>2.2799999999999949</v>
      </c>
      <c r="O169" s="132">
        <f t="shared" si="23"/>
        <v>5</v>
      </c>
      <c r="P169" s="134">
        <f>IF(OR(M169=0,M169=3),loop_gain!$B$18,IF(Current_limit!M169=1,Current_limit!$B$12/(2*(Current_limit!N169-Helper_calcs!$B$27)),IF(OR(M169=2,M169=23),(Main!$B$19-Current_limit!O169)*Current_limit!O169/(Main!$B$19*loop_gain!$B$17*(Helper_calcs!$B$26-Helper_calcs!$B$27)),x)))</f>
        <v>2100000</v>
      </c>
      <c r="Q169" s="132"/>
    </row>
    <row r="170" spans="1:17" x14ac:dyDescent="0.3">
      <c r="A170">
        <f t="shared" si="24"/>
        <v>2.2899999999999947</v>
      </c>
      <c r="B170">
        <f>Main!$B$20/A170</f>
        <v>2.183406113537123</v>
      </c>
      <c r="D170" s="132">
        <f t="shared" si="17"/>
        <v>2.183406113537123</v>
      </c>
      <c r="E170" s="132">
        <f>-B170*Main!$B$19-2*Main!$B$19*loop_gain!$B$17*loop_gain!$B$18</f>
        <v>-101.80087336244549</v>
      </c>
      <c r="F170" s="132">
        <f>2*Main!$B$19*loop_gain!$B$17*loop_gain!$B$18*Helper_calcs!$B$26*Current_limit!B170</f>
        <v>635.50218340611514</v>
      </c>
      <c r="G170" s="132">
        <f t="shared" si="19"/>
        <v>7.425046735217367</v>
      </c>
      <c r="H170" s="132">
        <f>(Main!$B$19-Current_limit!G170)*Current_limit!G170/(Main!$B$19*loop_gain!$B$17*loop_gain!$B$18)</f>
        <v>0.89865719054090798</v>
      </c>
      <c r="I170" s="132">
        <f t="shared" si="20"/>
        <v>2.9513428094590921</v>
      </c>
      <c r="J170" s="132"/>
      <c r="K170" s="133">
        <f>IF(A170&gt;$B$15,IF(I170&gt;Helper_calcs!$B$27,23,3),0)</f>
        <v>0</v>
      </c>
      <c r="L170">
        <f t="shared" si="18"/>
        <v>0</v>
      </c>
      <c r="M170">
        <f t="shared" si="21"/>
        <v>0</v>
      </c>
      <c r="N170" s="132">
        <f t="shared" si="22"/>
        <v>2.2899999999999947</v>
      </c>
      <c r="O170" s="132">
        <f t="shared" si="23"/>
        <v>5</v>
      </c>
      <c r="P170" s="134">
        <f>IF(OR(M170=0,M170=3),loop_gain!$B$18,IF(Current_limit!M170=1,Current_limit!$B$12/(2*(Current_limit!N170-Helper_calcs!$B$27)),IF(OR(M170=2,M170=23),(Main!$B$19-Current_limit!O170)*Current_limit!O170/(Main!$B$19*loop_gain!$B$17*(Helper_calcs!$B$26-Helper_calcs!$B$27)),x)))</f>
        <v>2100000</v>
      </c>
      <c r="Q170" s="132"/>
    </row>
    <row r="171" spans="1:17" x14ac:dyDescent="0.3">
      <c r="A171">
        <f t="shared" si="24"/>
        <v>2.2999999999999945</v>
      </c>
      <c r="B171">
        <f>Main!$B$20/A171</f>
        <v>2.1739130434782661</v>
      </c>
      <c r="D171" s="132">
        <f t="shared" si="17"/>
        <v>2.1739130434782661</v>
      </c>
      <c r="E171" s="132">
        <f>-B171*Main!$B$19-2*Main!$B$19*loop_gain!$B$17*loop_gain!$B$18</f>
        <v>-101.68695652173921</v>
      </c>
      <c r="F171" s="132">
        <f>2*Main!$B$19*loop_gain!$B$17*loop_gain!$B$18*Helper_calcs!$B$26*Current_limit!B171</f>
        <v>632.73913043478422</v>
      </c>
      <c r="G171" s="132">
        <f t="shared" si="19"/>
        <v>7.3899206152738621</v>
      </c>
      <c r="H171" s="132">
        <f>(Main!$B$19-Current_limit!G171)*Current_limit!G171/(Main!$B$19*loop_gain!$B$17*loop_gain!$B$18)</f>
        <v>0.90127303394806146</v>
      </c>
      <c r="I171" s="132">
        <f t="shared" si="20"/>
        <v>2.9487269660519377</v>
      </c>
      <c r="J171" s="132"/>
      <c r="K171" s="133">
        <f>IF(A171&gt;$B$15,IF(I171&gt;Helper_calcs!$B$27,23,3),0)</f>
        <v>0</v>
      </c>
      <c r="L171">
        <f t="shared" si="18"/>
        <v>0</v>
      </c>
      <c r="M171">
        <f t="shared" si="21"/>
        <v>0</v>
      </c>
      <c r="N171" s="132">
        <f t="shared" si="22"/>
        <v>2.2999999999999945</v>
      </c>
      <c r="O171" s="132">
        <f t="shared" si="23"/>
        <v>5</v>
      </c>
      <c r="P171" s="134">
        <f>IF(OR(M171=0,M171=3),loop_gain!$B$18,IF(Current_limit!M171=1,Current_limit!$B$12/(2*(Current_limit!N171-Helper_calcs!$B$27)),IF(OR(M171=2,M171=23),(Main!$B$19-Current_limit!O171)*Current_limit!O171/(Main!$B$19*loop_gain!$B$17*(Helper_calcs!$B$26-Helper_calcs!$B$27)),x)))</f>
        <v>2100000</v>
      </c>
      <c r="Q171" s="132"/>
    </row>
    <row r="172" spans="1:17" x14ac:dyDescent="0.3">
      <c r="A172">
        <f t="shared" si="24"/>
        <v>2.3099999999999943</v>
      </c>
      <c r="B172">
        <f>Main!$B$20/A172</f>
        <v>2.1645021645021698</v>
      </c>
      <c r="D172" s="132">
        <f t="shared" si="17"/>
        <v>2.1645021645021698</v>
      </c>
      <c r="E172" s="132">
        <f>-B172*Main!$B$19-2*Main!$B$19*loop_gain!$B$17*loop_gain!$B$18</f>
        <v>-101.57402597402604</v>
      </c>
      <c r="F172" s="132">
        <f>2*Main!$B$19*loop_gain!$B$17*loop_gain!$B$18*Helper_calcs!$B$26*Current_limit!B172</f>
        <v>630.00000000000171</v>
      </c>
      <c r="G172" s="132">
        <f t="shared" si="19"/>
        <v>7.355200794616513</v>
      </c>
      <c r="H172" s="132">
        <f>(Main!$B$19-Current_limit!G172)*Current_limit!G172/(Main!$B$19*loop_gain!$B$17*loop_gain!$B$18)</f>
        <v>0.90379446577435907</v>
      </c>
      <c r="I172" s="132">
        <f t="shared" si="20"/>
        <v>2.946205534225641</v>
      </c>
      <c r="J172" s="132"/>
      <c r="K172" s="133">
        <f>IF(A172&gt;$B$15,IF(I172&gt;Helper_calcs!$B$27,23,3),0)</f>
        <v>0</v>
      </c>
      <c r="L172">
        <f t="shared" si="18"/>
        <v>0</v>
      </c>
      <c r="M172">
        <f t="shared" si="21"/>
        <v>0</v>
      </c>
      <c r="N172" s="132">
        <f t="shared" si="22"/>
        <v>2.3099999999999943</v>
      </c>
      <c r="O172" s="132">
        <f t="shared" si="23"/>
        <v>5</v>
      </c>
      <c r="P172" s="134">
        <f>IF(OR(M172=0,M172=3),loop_gain!$B$18,IF(Current_limit!M172=1,Current_limit!$B$12/(2*(Current_limit!N172-Helper_calcs!$B$27)),IF(OR(M172=2,M172=23),(Main!$B$19-Current_limit!O172)*Current_limit!O172/(Main!$B$19*loop_gain!$B$17*(Helper_calcs!$B$26-Helper_calcs!$B$27)),x)))</f>
        <v>2100000</v>
      </c>
      <c r="Q172" s="132"/>
    </row>
    <row r="173" spans="1:17" x14ac:dyDescent="0.3">
      <c r="A173">
        <f t="shared" si="24"/>
        <v>2.3199999999999941</v>
      </c>
      <c r="B173">
        <f>Main!$B$20/A173</f>
        <v>2.155172413793109</v>
      </c>
      <c r="D173" s="132">
        <f t="shared" si="17"/>
        <v>2.155172413793109</v>
      </c>
      <c r="E173" s="132">
        <f>-B173*Main!$B$19-2*Main!$B$19*loop_gain!$B$17*loop_gain!$B$18</f>
        <v>-101.46206896551732</v>
      </c>
      <c r="F173" s="132">
        <f>2*Main!$B$19*loop_gain!$B$17*loop_gain!$B$18*Helper_calcs!$B$26*Current_limit!B173</f>
        <v>627.2844827586224</v>
      </c>
      <c r="G173" s="132">
        <f t="shared" si="19"/>
        <v>7.3208789820894431</v>
      </c>
      <c r="H173" s="132">
        <f>(Main!$B$19-Current_limit!G173)*Current_limit!G173/(Main!$B$19*loop_gain!$B$17*loop_gain!$B$18)</f>
        <v>0.90622430462101455</v>
      </c>
      <c r="I173" s="132">
        <f t="shared" si="20"/>
        <v>2.9437756953789855</v>
      </c>
      <c r="J173" s="132"/>
      <c r="K173" s="133">
        <f>IF(A173&gt;$B$15,IF(I173&gt;Helper_calcs!$B$27,23,3),0)</f>
        <v>0</v>
      </c>
      <c r="L173">
        <f t="shared" si="18"/>
        <v>0</v>
      </c>
      <c r="M173">
        <f t="shared" si="21"/>
        <v>0</v>
      </c>
      <c r="N173" s="132">
        <f t="shared" si="22"/>
        <v>2.3199999999999941</v>
      </c>
      <c r="O173" s="132">
        <f t="shared" si="23"/>
        <v>5</v>
      </c>
      <c r="P173" s="134">
        <f>IF(OR(M173=0,M173=3),loop_gain!$B$18,IF(Current_limit!M173=1,Current_limit!$B$12/(2*(Current_limit!N173-Helper_calcs!$B$27)),IF(OR(M173=2,M173=23),(Main!$B$19-Current_limit!O173)*Current_limit!O173/(Main!$B$19*loop_gain!$B$17*(Helper_calcs!$B$26-Helper_calcs!$B$27)),x)))</f>
        <v>2100000</v>
      </c>
      <c r="Q173" s="132"/>
    </row>
    <row r="174" spans="1:17" x14ac:dyDescent="0.3">
      <c r="A174">
        <f t="shared" si="24"/>
        <v>2.3299999999999939</v>
      </c>
      <c r="B174">
        <f>Main!$B$20/A174</f>
        <v>2.1459227467811215</v>
      </c>
      <c r="D174" s="132">
        <f t="shared" si="17"/>
        <v>2.1459227467811215</v>
      </c>
      <c r="E174" s="132">
        <f>-B174*Main!$B$19-2*Main!$B$19*loop_gain!$B$17*loop_gain!$B$18</f>
        <v>-101.35107296137346</v>
      </c>
      <c r="F174" s="132">
        <f>2*Main!$B$19*loop_gain!$B$17*loop_gain!$B$18*Helper_calcs!$B$26*Current_limit!B174</f>
        <v>624.59227467811331</v>
      </c>
      <c r="G174" s="132">
        <f t="shared" si="19"/>
        <v>7.286947139320513</v>
      </c>
      <c r="H174" s="132">
        <f>(Main!$B$19-Current_limit!G174)*Current_limit!G174/(Main!$B$19*loop_gain!$B$17*loop_gain!$B$18)</f>
        <v>0.90856526615330013</v>
      </c>
      <c r="I174" s="132">
        <f t="shared" si="20"/>
        <v>2.9414347338467</v>
      </c>
      <c r="J174" s="132"/>
      <c r="K174" s="133">
        <f>IF(A174&gt;$B$15,IF(I174&gt;Helper_calcs!$B$27,23,3),0)</f>
        <v>0</v>
      </c>
      <c r="L174">
        <f t="shared" si="18"/>
        <v>0</v>
      </c>
      <c r="M174">
        <f t="shared" si="21"/>
        <v>0</v>
      </c>
      <c r="N174" s="132">
        <f t="shared" si="22"/>
        <v>2.3299999999999939</v>
      </c>
      <c r="O174" s="132">
        <f t="shared" si="23"/>
        <v>5</v>
      </c>
      <c r="P174" s="134">
        <f>IF(OR(M174=0,M174=3),loop_gain!$B$18,IF(Current_limit!M174=1,Current_limit!$B$12/(2*(Current_limit!N174-Helper_calcs!$B$27)),IF(OR(M174=2,M174=23),(Main!$B$19-Current_limit!O174)*Current_limit!O174/(Main!$B$19*loop_gain!$B$17*(Helper_calcs!$B$26-Helper_calcs!$B$27)),x)))</f>
        <v>2100000</v>
      </c>
      <c r="Q174" s="132"/>
    </row>
    <row r="175" spans="1:17" x14ac:dyDescent="0.3">
      <c r="A175">
        <f t="shared" si="24"/>
        <v>2.3399999999999936</v>
      </c>
      <c r="B175">
        <f>Main!$B$20/A175</f>
        <v>2.1367521367521425</v>
      </c>
      <c r="D175" s="132">
        <f t="shared" si="17"/>
        <v>2.1367521367521425</v>
      </c>
      <c r="E175" s="132">
        <f>-B175*Main!$B$19-2*Main!$B$19*loop_gain!$B$17*loop_gain!$B$18</f>
        <v>-101.24102564102571</v>
      </c>
      <c r="F175" s="132">
        <f>2*Main!$B$19*loop_gain!$B$17*loop_gain!$B$18*Helper_calcs!$B$26*Current_limit!B175</f>
        <v>621.92307692307872</v>
      </c>
      <c r="G175" s="132">
        <f t="shared" si="19"/>
        <v>7.2533974703415192</v>
      </c>
      <c r="H175" s="132">
        <f>(Main!$B$19-Current_limit!G175)*Current_limit!G175/(Main!$B$19*loop_gain!$B$17*loop_gain!$B$18)</f>
        <v>0.91081996776035645</v>
      </c>
      <c r="I175" s="132">
        <f t="shared" si="20"/>
        <v>2.9391800322396437</v>
      </c>
      <c r="J175" s="132"/>
      <c r="K175" s="133">
        <f>IF(A175&gt;$B$15,IF(I175&gt;Helper_calcs!$B$27,23,3),0)</f>
        <v>0</v>
      </c>
      <c r="L175">
        <f t="shared" si="18"/>
        <v>0</v>
      </c>
      <c r="M175">
        <f t="shared" si="21"/>
        <v>0</v>
      </c>
      <c r="N175" s="132">
        <f t="shared" si="22"/>
        <v>2.3399999999999936</v>
      </c>
      <c r="O175" s="132">
        <f t="shared" si="23"/>
        <v>5</v>
      </c>
      <c r="P175" s="134">
        <f>IF(OR(M175=0,M175=3),loop_gain!$B$18,IF(Current_limit!M175=1,Current_limit!$B$12/(2*(Current_limit!N175-Helper_calcs!$B$27)),IF(OR(M175=2,M175=23),(Main!$B$19-Current_limit!O175)*Current_limit!O175/(Main!$B$19*loop_gain!$B$17*(Helper_calcs!$B$26-Helper_calcs!$B$27)),x)))</f>
        <v>2100000</v>
      </c>
      <c r="Q175" s="132"/>
    </row>
    <row r="176" spans="1:17" x14ac:dyDescent="0.3">
      <c r="A176">
        <f t="shared" si="24"/>
        <v>2.3499999999999934</v>
      </c>
      <c r="B176">
        <f>Main!$B$20/A176</f>
        <v>2.1276595744680908</v>
      </c>
      <c r="D176" s="132">
        <f t="shared" si="17"/>
        <v>2.1276595744680908</v>
      </c>
      <c r="E176" s="132">
        <f>-B176*Main!$B$19-2*Main!$B$19*loop_gain!$B$17*loop_gain!$B$18</f>
        <v>-101.13191489361711</v>
      </c>
      <c r="F176" s="132">
        <f>2*Main!$B$19*loop_gain!$B$17*loop_gain!$B$18*Helper_calcs!$B$26*Current_limit!B176</f>
        <v>619.2765957446826</v>
      </c>
      <c r="G176" s="132">
        <f t="shared" si="19"/>
        <v>7.2202224117450653</v>
      </c>
      <c r="H176" s="132">
        <f>(Main!$B$19-Current_limit!G176)*Current_limit!G176/(Main!$B$19*loop_gain!$B$17*loop_gain!$B$18)</f>
        <v>0.91299093295965761</v>
      </c>
      <c r="I176" s="132">
        <f t="shared" si="20"/>
        <v>2.9370090670403428</v>
      </c>
      <c r="J176" s="132"/>
      <c r="K176" s="133">
        <f>IF(A176&gt;$B$15,IF(I176&gt;Helper_calcs!$B$27,23,3),0)</f>
        <v>0</v>
      </c>
      <c r="L176">
        <f t="shared" si="18"/>
        <v>0</v>
      </c>
      <c r="M176">
        <f t="shared" si="21"/>
        <v>0</v>
      </c>
      <c r="N176" s="132">
        <f t="shared" si="22"/>
        <v>2.3499999999999934</v>
      </c>
      <c r="O176" s="132">
        <f t="shared" si="23"/>
        <v>4.9999999999999991</v>
      </c>
      <c r="P176" s="134">
        <f>IF(OR(M176=0,M176=3),loop_gain!$B$18,IF(Current_limit!M176=1,Current_limit!$B$12/(2*(Current_limit!N176-Helper_calcs!$B$27)),IF(OR(M176=2,M176=23),(Main!$B$19-Current_limit!O176)*Current_limit!O176/(Main!$B$19*loop_gain!$B$17*(Helper_calcs!$B$26-Helper_calcs!$B$27)),x)))</f>
        <v>2100000</v>
      </c>
      <c r="Q176" s="132"/>
    </row>
    <row r="177" spans="1:17" x14ac:dyDescent="0.3">
      <c r="A177">
        <f t="shared" si="24"/>
        <v>2.3599999999999932</v>
      </c>
      <c r="B177">
        <f>Main!$B$20/A177</f>
        <v>2.1186440677966161</v>
      </c>
      <c r="D177" s="132">
        <f t="shared" si="17"/>
        <v>2.1186440677966161</v>
      </c>
      <c r="E177" s="132">
        <f>-B177*Main!$B$19-2*Main!$B$19*loop_gain!$B$17*loop_gain!$B$18</f>
        <v>-101.0237288135594</v>
      </c>
      <c r="F177" s="132">
        <f>2*Main!$B$19*loop_gain!$B$17*loop_gain!$B$18*Helper_calcs!$B$26*Current_limit!B177</f>
        <v>616.6525423728832</v>
      </c>
      <c r="G177" s="132">
        <f t="shared" si="19"/>
        <v>7.1874146233447007</v>
      </c>
      <c r="H177" s="132">
        <f>(Main!$B$19-Current_limit!G177)*Current_limit!G177/(Main!$B$19*loop_gain!$B$17*loop_gain!$B$18)</f>
        <v>0.91508059556262333</v>
      </c>
      <c r="I177" s="132">
        <f t="shared" si="20"/>
        <v>2.9349194044373776</v>
      </c>
      <c r="J177" s="132"/>
      <c r="K177" s="133">
        <f>IF(A177&gt;$B$15,IF(I177&gt;Helper_calcs!$B$27,23,3),0)</f>
        <v>0</v>
      </c>
      <c r="L177">
        <f t="shared" si="18"/>
        <v>0</v>
      </c>
      <c r="M177">
        <f t="shared" si="21"/>
        <v>0</v>
      </c>
      <c r="N177" s="132">
        <f t="shared" si="22"/>
        <v>2.3599999999999932</v>
      </c>
      <c r="O177" s="132">
        <f t="shared" si="23"/>
        <v>4.9999999999999991</v>
      </c>
      <c r="P177" s="134">
        <f>IF(OR(M177=0,M177=3),loop_gain!$B$18,IF(Current_limit!M177=1,Current_limit!$B$12/(2*(Current_limit!N177-Helper_calcs!$B$27)),IF(OR(M177=2,M177=23),(Main!$B$19-Current_limit!O177)*Current_limit!O177/(Main!$B$19*loop_gain!$B$17*(Helper_calcs!$B$26-Helper_calcs!$B$27)),x)))</f>
        <v>2100000</v>
      </c>
      <c r="Q177" s="132"/>
    </row>
    <row r="178" spans="1:17" x14ac:dyDescent="0.3">
      <c r="A178">
        <f t="shared" si="24"/>
        <v>2.369999999999993</v>
      </c>
      <c r="B178">
        <f>Main!$B$20/A178</f>
        <v>2.1097046413502172</v>
      </c>
      <c r="D178" s="132">
        <f t="shared" si="17"/>
        <v>2.1097046413502172</v>
      </c>
      <c r="E178" s="132">
        <f>-B178*Main!$B$19-2*Main!$B$19*loop_gain!$B$17*loop_gain!$B$18</f>
        <v>-100.91645569620262</v>
      </c>
      <c r="F178" s="132">
        <f>2*Main!$B$19*loop_gain!$B$17*loop_gain!$B$18*Helper_calcs!$B$26*Current_limit!B178</f>
        <v>614.05063291139436</v>
      </c>
      <c r="G178" s="132">
        <f t="shared" si="19"/>
        <v>7.1549669793073436</v>
      </c>
      <c r="H178" s="132">
        <f>(Main!$B$19-Current_limit!G178)*Current_limit!G178/(Main!$B$19*loop_gain!$B$17*loop_gain!$B$18)</f>
        <v>0.91709130361665792</v>
      </c>
      <c r="I178" s="132">
        <f t="shared" si="20"/>
        <v>2.932908696383342</v>
      </c>
      <c r="J178" s="132"/>
      <c r="K178" s="133">
        <f>IF(A178&gt;$B$15,IF(I178&gt;Helper_calcs!$B$27,23,3),0)</f>
        <v>0</v>
      </c>
      <c r="L178">
        <f t="shared" si="18"/>
        <v>0</v>
      </c>
      <c r="M178">
        <f t="shared" si="21"/>
        <v>0</v>
      </c>
      <c r="N178" s="132">
        <f t="shared" si="22"/>
        <v>2.369999999999993</v>
      </c>
      <c r="O178" s="132">
        <f t="shared" si="23"/>
        <v>5</v>
      </c>
      <c r="P178" s="134">
        <f>IF(OR(M178=0,M178=3),loop_gain!$B$18,IF(Current_limit!M178=1,Current_limit!$B$12/(2*(Current_limit!N178-Helper_calcs!$B$27)),IF(OR(M178=2,M178=23),(Main!$B$19-Current_limit!O178)*Current_limit!O178/(Main!$B$19*loop_gain!$B$17*(Helper_calcs!$B$26-Helper_calcs!$B$27)),x)))</f>
        <v>2100000</v>
      </c>
      <c r="Q178" s="132"/>
    </row>
    <row r="179" spans="1:17" x14ac:dyDescent="0.3">
      <c r="A179">
        <f t="shared" si="24"/>
        <v>2.3799999999999928</v>
      </c>
      <c r="B179">
        <f>Main!$B$20/A179</f>
        <v>2.1008403361344601</v>
      </c>
      <c r="D179" s="132">
        <f t="shared" si="17"/>
        <v>2.1008403361344601</v>
      </c>
      <c r="E179" s="132">
        <f>-B179*Main!$B$19-2*Main!$B$19*loop_gain!$B$17*loop_gain!$B$18</f>
        <v>-100.81008403361352</v>
      </c>
      <c r="F179" s="132">
        <f>2*Main!$B$19*loop_gain!$B$17*loop_gain!$B$18*Helper_calcs!$B$26*Current_limit!B179</f>
        <v>611.47058823529608</v>
      </c>
      <c r="G179" s="132">
        <f t="shared" si="19"/>
        <v>7.1228725597292728</v>
      </c>
      <c r="H179" s="132">
        <f>(Main!$B$19-Current_limit!G179)*Current_limit!G179/(Main!$B$19*loop_gain!$B$17*loop_gain!$B$18)</f>
        <v>0.91902532313775209</v>
      </c>
      <c r="I179" s="132">
        <f t="shared" si="20"/>
        <v>2.930974676862248</v>
      </c>
      <c r="J179" s="132"/>
      <c r="K179" s="133">
        <f>IF(A179&gt;$B$15,IF(I179&gt;Helper_calcs!$B$27,23,3),0)</f>
        <v>0</v>
      </c>
      <c r="L179">
        <f t="shared" si="18"/>
        <v>0</v>
      </c>
      <c r="M179">
        <f t="shared" si="21"/>
        <v>0</v>
      </c>
      <c r="N179" s="132">
        <f t="shared" si="22"/>
        <v>2.3799999999999928</v>
      </c>
      <c r="O179" s="132">
        <f t="shared" si="23"/>
        <v>5</v>
      </c>
      <c r="P179" s="134">
        <f>IF(OR(M179=0,M179=3),loop_gain!$B$18,IF(Current_limit!M179=1,Current_limit!$B$12/(2*(Current_limit!N179-Helper_calcs!$B$27)),IF(OR(M179=2,M179=23),(Main!$B$19-Current_limit!O179)*Current_limit!O179/(Main!$B$19*loop_gain!$B$17*(Helper_calcs!$B$26-Helper_calcs!$B$27)),x)))</f>
        <v>2100000</v>
      </c>
      <c r="Q179" s="132"/>
    </row>
    <row r="180" spans="1:17" x14ac:dyDescent="0.3">
      <c r="A180">
        <f t="shared" si="24"/>
        <v>2.3899999999999926</v>
      </c>
      <c r="B180">
        <f>Main!$B$20/A180</f>
        <v>2.0920502092050275</v>
      </c>
      <c r="D180" s="132">
        <f t="shared" si="17"/>
        <v>2.0920502092050275</v>
      </c>
      <c r="E180" s="132">
        <f>-B180*Main!$B$19-2*Main!$B$19*loop_gain!$B$17*loop_gain!$B$18</f>
        <v>-100.70460251046035</v>
      </c>
      <c r="F180" s="132">
        <f>2*Main!$B$19*loop_gain!$B$17*loop_gain!$B$18*Helper_calcs!$B$26*Current_limit!B180</f>
        <v>608.91213389121538</v>
      </c>
      <c r="G180" s="132">
        <f t="shared" si="19"/>
        <v>7.0911246426289232</v>
      </c>
      <c r="H180" s="132">
        <f>(Main!$B$19-Current_limit!G180)*Current_limit!G180/(Main!$B$19*loop_gain!$B$17*loop_gain!$B$18)</f>
        <v>0.92088484164676998</v>
      </c>
      <c r="I180" s="132">
        <f t="shared" si="20"/>
        <v>2.9291151583532296</v>
      </c>
      <c r="J180" s="132"/>
      <c r="K180" s="133">
        <f>IF(A180&gt;$B$15,IF(I180&gt;Helper_calcs!$B$27,23,3),0)</f>
        <v>0</v>
      </c>
      <c r="L180">
        <f t="shared" si="18"/>
        <v>0</v>
      </c>
      <c r="M180">
        <f t="shared" si="21"/>
        <v>0</v>
      </c>
      <c r="N180" s="132">
        <f t="shared" si="22"/>
        <v>2.3899999999999926</v>
      </c>
      <c r="O180" s="132">
        <f t="shared" si="23"/>
        <v>5</v>
      </c>
      <c r="P180" s="134">
        <f>IF(OR(M180=0,M180=3),loop_gain!$B$18,IF(Current_limit!M180=1,Current_limit!$B$12/(2*(Current_limit!N180-Helper_calcs!$B$27)),IF(OR(M180=2,M180=23),(Main!$B$19-Current_limit!O180)*Current_limit!O180/(Main!$B$19*loop_gain!$B$17*(Helper_calcs!$B$26-Helper_calcs!$B$27)),x)))</f>
        <v>2100000</v>
      </c>
      <c r="Q180" s="132"/>
    </row>
    <row r="181" spans="1:17" x14ac:dyDescent="0.3">
      <c r="A181">
        <f t="shared" si="24"/>
        <v>2.3999999999999924</v>
      </c>
      <c r="B181">
        <f>Main!$B$20/A181</f>
        <v>2.0833333333333401</v>
      </c>
      <c r="D181" s="132">
        <f t="shared" si="17"/>
        <v>2.0833333333333401</v>
      </c>
      <c r="E181" s="132">
        <f>-B181*Main!$B$19-2*Main!$B$19*loop_gain!$B$17*loop_gain!$B$18</f>
        <v>-100.60000000000009</v>
      </c>
      <c r="F181" s="132">
        <f>2*Main!$B$19*loop_gain!$B$17*loop_gain!$B$18*Helper_calcs!$B$26*Current_limit!B181</f>
        <v>606.37500000000216</v>
      </c>
      <c r="G181" s="132">
        <f t="shared" si="19"/>
        <v>7.0597166963317113</v>
      </c>
      <c r="H181" s="132">
        <f>(Main!$B$19-Current_limit!G181)*Current_limit!G181/(Main!$B$19*loop_gain!$B$17*loop_gain!$B$18)</f>
        <v>0.92267197152158198</v>
      </c>
      <c r="I181" s="132">
        <f t="shared" si="20"/>
        <v>2.9273280284784193</v>
      </c>
      <c r="J181" s="132"/>
      <c r="K181" s="133">
        <f>IF(A181&gt;$B$15,IF(I181&gt;Helper_calcs!$B$27,23,3),0)</f>
        <v>0</v>
      </c>
      <c r="L181">
        <f t="shared" si="18"/>
        <v>0</v>
      </c>
      <c r="M181">
        <f t="shared" si="21"/>
        <v>0</v>
      </c>
      <c r="N181" s="132">
        <f t="shared" si="22"/>
        <v>2.3999999999999924</v>
      </c>
      <c r="O181" s="132">
        <f t="shared" si="23"/>
        <v>5</v>
      </c>
      <c r="P181" s="134">
        <f>IF(OR(M181=0,M181=3),loop_gain!$B$18,IF(Current_limit!M181=1,Current_limit!$B$12/(2*(Current_limit!N181-Helper_calcs!$B$27)),IF(OR(M181=2,M181=23),(Main!$B$19-Current_limit!O181)*Current_limit!O181/(Main!$B$19*loop_gain!$B$17*(Helper_calcs!$B$26-Helper_calcs!$B$27)),x)))</f>
        <v>2100000</v>
      </c>
      <c r="Q181" s="132"/>
    </row>
    <row r="182" spans="1:17" x14ac:dyDescent="0.3">
      <c r="A182">
        <f t="shared" si="24"/>
        <v>2.4099999999999921</v>
      </c>
      <c r="B182">
        <f>Main!$B$20/A182</f>
        <v>2.0746887966805048</v>
      </c>
      <c r="D182" s="132">
        <f t="shared" si="17"/>
        <v>2.0746887966805048</v>
      </c>
      <c r="E182" s="132">
        <f>-B182*Main!$B$19-2*Main!$B$19*loop_gain!$B$17*loop_gain!$B$18</f>
        <v>-100.49626556016607</v>
      </c>
      <c r="F182" s="132">
        <f>2*Main!$B$19*loop_gain!$B$17*loop_gain!$B$18*Helper_calcs!$B$26*Current_limit!B182</f>
        <v>603.85892116182788</v>
      </c>
      <c r="G182" s="132">
        <f t="shared" si="19"/>
        <v>7.0286423722237297</v>
      </c>
      <c r="H182" s="132">
        <f>(Main!$B$19-Current_limit!G182)*Current_limit!G182/(Main!$B$19*loop_gain!$B$17*loop_gain!$B$18)</f>
        <v>0.92438875317634739</v>
      </c>
      <c r="I182" s="132">
        <f t="shared" si="20"/>
        <v>2.9256112468236526</v>
      </c>
      <c r="J182" s="132"/>
      <c r="K182" s="133">
        <f>IF(A182&gt;$B$15,IF(I182&gt;Helper_calcs!$B$27,23,3),0)</f>
        <v>0</v>
      </c>
      <c r="L182">
        <f t="shared" si="18"/>
        <v>0</v>
      </c>
      <c r="M182">
        <f t="shared" si="21"/>
        <v>0</v>
      </c>
      <c r="N182" s="132">
        <f t="shared" si="22"/>
        <v>2.4099999999999921</v>
      </c>
      <c r="O182" s="132">
        <f t="shared" si="23"/>
        <v>5</v>
      </c>
      <c r="P182" s="134">
        <f>IF(OR(M182=0,M182=3),loop_gain!$B$18,IF(Current_limit!M182=1,Current_limit!$B$12/(2*(Current_limit!N182-Helper_calcs!$B$27)),IF(OR(M182=2,M182=23),(Main!$B$19-Current_limit!O182)*Current_limit!O182/(Main!$B$19*loop_gain!$B$17*(Helper_calcs!$B$26-Helper_calcs!$B$27)),x)))</f>
        <v>2100000</v>
      </c>
      <c r="Q182" s="132"/>
    </row>
    <row r="183" spans="1:17" x14ac:dyDescent="0.3">
      <c r="A183">
        <f t="shared" si="24"/>
        <v>2.4199999999999919</v>
      </c>
      <c r="B183">
        <f>Main!$B$20/A183</f>
        <v>2.0661157024793457</v>
      </c>
      <c r="D183" s="132">
        <f t="shared" si="17"/>
        <v>2.0661157024793457</v>
      </c>
      <c r="E183" s="132">
        <f>-B183*Main!$B$19-2*Main!$B$19*loop_gain!$B$17*loop_gain!$B$18</f>
        <v>-100.39338842975215</v>
      </c>
      <c r="F183" s="132">
        <f>2*Main!$B$19*loop_gain!$B$17*loop_gain!$B$18*Helper_calcs!$B$26*Current_limit!B183</f>
        <v>601.36363636363853</v>
      </c>
      <c r="G183" s="132">
        <f t="shared" si="19"/>
        <v>6.9978954978528769</v>
      </c>
      <c r="H183" s="132">
        <f>(Main!$B$19-Current_limit!G183)*Current_limit!G183/(Main!$B$19*loop_gain!$B$17*loop_gain!$B$18)</f>
        <v>0.92603715807843801</v>
      </c>
      <c r="I183" s="132">
        <f t="shared" si="20"/>
        <v>2.9239628419215618</v>
      </c>
      <c r="J183" s="132"/>
      <c r="K183" s="133">
        <f>IF(A183&gt;$B$15,IF(I183&gt;Helper_calcs!$B$27,23,3),0)</f>
        <v>0</v>
      </c>
      <c r="L183">
        <f t="shared" si="18"/>
        <v>0</v>
      </c>
      <c r="M183">
        <f t="shared" si="21"/>
        <v>0</v>
      </c>
      <c r="N183" s="132">
        <f t="shared" si="22"/>
        <v>2.4199999999999919</v>
      </c>
      <c r="O183" s="132">
        <f t="shared" si="23"/>
        <v>5</v>
      </c>
      <c r="P183" s="134">
        <f>IF(OR(M183=0,M183=3),loop_gain!$B$18,IF(Current_limit!M183=1,Current_limit!$B$12/(2*(Current_limit!N183-Helper_calcs!$B$27)),IF(OR(M183=2,M183=23),(Main!$B$19-Current_limit!O183)*Current_limit!O183/(Main!$B$19*loop_gain!$B$17*(Helper_calcs!$B$26-Helper_calcs!$B$27)),x)))</f>
        <v>2100000</v>
      </c>
      <c r="Q183" s="132"/>
    </row>
    <row r="184" spans="1:17" x14ac:dyDescent="0.3">
      <c r="A184">
        <f t="shared" si="24"/>
        <v>2.4299999999999917</v>
      </c>
      <c r="B184">
        <f>Main!$B$20/A184</f>
        <v>2.0576131687242869</v>
      </c>
      <c r="D184" s="132">
        <f t="shared" si="17"/>
        <v>2.0576131687242869</v>
      </c>
      <c r="E184" s="132">
        <f>-B184*Main!$B$19-2*Main!$B$19*loop_gain!$B$17*loop_gain!$B$18</f>
        <v>-100.29135802469145</v>
      </c>
      <c r="F184" s="132">
        <f>2*Main!$B$19*loop_gain!$B$17*loop_gain!$B$18*Helper_calcs!$B$26*Current_limit!B184</f>
        <v>598.88888888889107</v>
      </c>
      <c r="G184" s="132">
        <f t="shared" si="19"/>
        <v>6.9674700703572521</v>
      </c>
      <c r="H184" s="132">
        <f>(Main!$B$19-Current_limit!G184)*Current_limit!G184/(Main!$B$19*loop_gain!$B$17*loop_gain!$B$18)</f>
        <v>0.927619091612776</v>
      </c>
      <c r="I184" s="132">
        <f t="shared" si="20"/>
        <v>2.922380908387225</v>
      </c>
      <c r="J184" s="132"/>
      <c r="K184" s="133">
        <f>IF(A184&gt;$B$15,IF(I184&gt;Helper_calcs!$B$27,23,3),0)</f>
        <v>0</v>
      </c>
      <c r="L184">
        <f t="shared" si="18"/>
        <v>0</v>
      </c>
      <c r="M184">
        <f t="shared" si="21"/>
        <v>0</v>
      </c>
      <c r="N184" s="132">
        <f t="shared" si="22"/>
        <v>2.4299999999999917</v>
      </c>
      <c r="O184" s="132">
        <f t="shared" si="23"/>
        <v>5</v>
      </c>
      <c r="P184" s="134">
        <f>IF(OR(M184=0,M184=3),loop_gain!$B$18,IF(Current_limit!M184=1,Current_limit!$B$12/(2*(Current_limit!N184-Helper_calcs!$B$27)),IF(OR(M184=2,M184=23),(Main!$B$19-Current_limit!O184)*Current_limit!O184/(Main!$B$19*loop_gain!$B$17*(Helper_calcs!$B$26-Helper_calcs!$B$27)),x)))</f>
        <v>2100000</v>
      </c>
      <c r="Q184" s="132"/>
    </row>
    <row r="185" spans="1:17" x14ac:dyDescent="0.3">
      <c r="A185">
        <f t="shared" si="24"/>
        <v>2.4399999999999915</v>
      </c>
      <c r="B185">
        <f>Main!$B$20/A185</f>
        <v>2.0491803278688594</v>
      </c>
      <c r="D185" s="132">
        <f t="shared" si="17"/>
        <v>2.0491803278688594</v>
      </c>
      <c r="E185" s="132">
        <f>-B185*Main!$B$19-2*Main!$B$19*loop_gain!$B$17*loop_gain!$B$18</f>
        <v>-100.19016393442632</v>
      </c>
      <c r="F185" s="132">
        <f>2*Main!$B$19*loop_gain!$B$17*loop_gain!$B$18*Helper_calcs!$B$26*Current_limit!B185</f>
        <v>596.43442622951034</v>
      </c>
      <c r="G185" s="132">
        <f t="shared" si="19"/>
        <v>6.9373602502022065</v>
      </c>
      <c r="H185" s="132">
        <f>(Main!$B$19-Current_limit!G185)*Current_limit!G185/(Main!$B$19*loop_gain!$B$17*loop_gain!$B$18)</f>
        <v>0.92913639580266816</v>
      </c>
      <c r="I185" s="132">
        <f t="shared" si="20"/>
        <v>2.920863604197331</v>
      </c>
      <c r="J185" s="132"/>
      <c r="K185" s="133">
        <f>IF(A185&gt;$B$15,IF(I185&gt;Helper_calcs!$B$27,23,3),0)</f>
        <v>0</v>
      </c>
      <c r="L185">
        <f t="shared" si="18"/>
        <v>0</v>
      </c>
      <c r="M185">
        <f t="shared" si="21"/>
        <v>0</v>
      </c>
      <c r="N185" s="132">
        <f t="shared" si="22"/>
        <v>2.4399999999999915</v>
      </c>
      <c r="O185" s="132">
        <f t="shared" si="23"/>
        <v>4.9999999999999991</v>
      </c>
      <c r="P185" s="134">
        <f>IF(OR(M185=0,M185=3),loop_gain!$B$18,IF(Current_limit!M185=1,Current_limit!$B$12/(2*(Current_limit!N185-Helper_calcs!$B$27)),IF(OR(M185=2,M185=23),(Main!$B$19-Current_limit!O185)*Current_limit!O185/(Main!$B$19*loop_gain!$B$17*(Helper_calcs!$B$26-Helper_calcs!$B$27)),x)))</f>
        <v>2100000</v>
      </c>
      <c r="Q185" s="132"/>
    </row>
    <row r="186" spans="1:17" x14ac:dyDescent="0.3">
      <c r="A186">
        <f t="shared" si="24"/>
        <v>2.4499999999999913</v>
      </c>
      <c r="B186">
        <f>Main!$B$20/A186</f>
        <v>2.0408163265306194</v>
      </c>
      <c r="D186" s="132">
        <f t="shared" si="17"/>
        <v>2.0408163265306194</v>
      </c>
      <c r="E186" s="132">
        <f>-B186*Main!$B$19-2*Main!$B$19*loop_gain!$B$17*loop_gain!$B$18</f>
        <v>-100.08979591836744</v>
      </c>
      <c r="F186" s="132">
        <f>2*Main!$B$19*loop_gain!$B$17*loop_gain!$B$18*Helper_calcs!$B$26*Current_limit!B186</f>
        <v>594.00000000000216</v>
      </c>
      <c r="G186" s="132">
        <f t="shared" si="19"/>
        <v>6.9075603552085942</v>
      </c>
      <c r="H186" s="132">
        <f>(Main!$B$19-Current_limit!G186)*Current_limit!G186/(Main!$B$19*loop_gain!$B$17*loop_gain!$B$18)</f>
        <v>0.9305908518955992</v>
      </c>
      <c r="I186" s="132">
        <f t="shared" si="20"/>
        <v>2.9194091481043998</v>
      </c>
      <c r="J186" s="132"/>
      <c r="K186" s="133">
        <f>IF(A186&gt;$B$15,IF(I186&gt;Helper_calcs!$B$27,23,3),0)</f>
        <v>0</v>
      </c>
      <c r="L186">
        <f t="shared" si="18"/>
        <v>0</v>
      </c>
      <c r="M186">
        <f t="shared" si="21"/>
        <v>0</v>
      </c>
      <c r="N186" s="132">
        <f t="shared" si="22"/>
        <v>2.4499999999999913</v>
      </c>
      <c r="O186" s="132">
        <f t="shared" si="23"/>
        <v>5</v>
      </c>
      <c r="P186" s="134">
        <f>IF(OR(M186=0,M186=3),loop_gain!$B$18,IF(Current_limit!M186=1,Current_limit!$B$12/(2*(Current_limit!N186-Helper_calcs!$B$27)),IF(OR(M186=2,M186=23),(Main!$B$19-Current_limit!O186)*Current_limit!O186/(Main!$B$19*loop_gain!$B$17*(Helper_calcs!$B$26-Helper_calcs!$B$27)),x)))</f>
        <v>2100000</v>
      </c>
      <c r="Q186" s="132"/>
    </row>
    <row r="187" spans="1:17" x14ac:dyDescent="0.3">
      <c r="A187">
        <f t="shared" si="24"/>
        <v>2.4599999999999911</v>
      </c>
      <c r="B187">
        <f>Main!$B$20/A187</f>
        <v>2.0325203252032593</v>
      </c>
      <c r="D187" s="132">
        <f t="shared" si="17"/>
        <v>2.0325203252032593</v>
      </c>
      <c r="E187" s="132">
        <f>-B187*Main!$B$19-2*Main!$B$19*loop_gain!$B$17*loop_gain!$B$18</f>
        <v>-99.990243902439119</v>
      </c>
      <c r="F187" s="132">
        <f>2*Main!$B$19*loop_gain!$B$17*loop_gain!$B$18*Helper_calcs!$B$26*Current_limit!B187</f>
        <v>591.58536585366073</v>
      </c>
      <c r="G187" s="132">
        <f t="shared" si="19"/>
        <v>6.8780648548558423</v>
      </c>
      <c r="H187" s="132">
        <f>(Main!$B$19-Current_limit!G187)*Current_limit!G187/(Main!$B$19*loop_gain!$B$17*loop_gain!$B$18)</f>
        <v>0.93198418282187789</v>
      </c>
      <c r="I187" s="132">
        <f t="shared" si="20"/>
        <v>2.9180158171781234</v>
      </c>
      <c r="J187" s="132"/>
      <c r="K187" s="133">
        <f>IF(A187&gt;$B$15,IF(I187&gt;Helper_calcs!$B$27,23,3),0)</f>
        <v>0</v>
      </c>
      <c r="L187">
        <f t="shared" si="18"/>
        <v>0</v>
      </c>
      <c r="M187">
        <f t="shared" si="21"/>
        <v>0</v>
      </c>
      <c r="N187" s="132">
        <f t="shared" si="22"/>
        <v>2.4599999999999911</v>
      </c>
      <c r="O187" s="132">
        <f t="shared" si="23"/>
        <v>5</v>
      </c>
      <c r="P187" s="134">
        <f>IF(OR(M187=0,M187=3),loop_gain!$B$18,IF(Current_limit!M187=1,Current_limit!$B$12/(2*(Current_limit!N187-Helper_calcs!$B$27)),IF(OR(M187=2,M187=23),(Main!$B$19-Current_limit!O187)*Current_limit!O187/(Main!$B$19*loop_gain!$B$17*(Helper_calcs!$B$26-Helper_calcs!$B$27)),x)))</f>
        <v>2100000</v>
      </c>
      <c r="Q187" s="132"/>
    </row>
    <row r="188" spans="1:17" x14ac:dyDescent="0.3">
      <c r="A188">
        <f t="shared" si="24"/>
        <v>2.4699999999999909</v>
      </c>
      <c r="B188">
        <f>Main!$B$20/A188</f>
        <v>2.0242914979757161</v>
      </c>
      <c r="D188" s="132">
        <f t="shared" si="17"/>
        <v>2.0242914979757161</v>
      </c>
      <c r="E188" s="132">
        <f>-B188*Main!$B$19-2*Main!$B$19*loop_gain!$B$17*loop_gain!$B$18</f>
        <v>-99.891497975708603</v>
      </c>
      <c r="F188" s="132">
        <f>2*Main!$B$19*loop_gain!$B$17*loop_gain!$B$18*Helper_calcs!$B$26*Current_limit!B188</f>
        <v>589.19028340081206</v>
      </c>
      <c r="G188" s="132">
        <f t="shared" si="19"/>
        <v>6.8488683648446713</v>
      </c>
      <c r="H188" s="132">
        <f>(Main!$B$19-Current_limit!G188)*Current_limit!G188/(Main!$B$19*loop_gain!$B$17*loop_gain!$B$18)</f>
        <v>0.93331805553349012</v>
      </c>
      <c r="I188" s="132">
        <f t="shared" si="20"/>
        <v>2.91668194446651</v>
      </c>
      <c r="J188" s="132"/>
      <c r="K188" s="133">
        <f>IF(A188&gt;$B$15,IF(I188&gt;Helper_calcs!$B$27,23,3),0)</f>
        <v>0</v>
      </c>
      <c r="L188">
        <f t="shared" si="18"/>
        <v>0</v>
      </c>
      <c r="M188">
        <f t="shared" si="21"/>
        <v>0</v>
      </c>
      <c r="N188" s="132">
        <f t="shared" si="22"/>
        <v>2.4699999999999909</v>
      </c>
      <c r="O188" s="132">
        <f t="shared" si="23"/>
        <v>5</v>
      </c>
      <c r="P188" s="134">
        <f>IF(OR(M188=0,M188=3),loop_gain!$B$18,IF(Current_limit!M188=1,Current_limit!$B$12/(2*(Current_limit!N188-Helper_calcs!$B$27)),IF(OR(M188=2,M188=23),(Main!$B$19-Current_limit!O188)*Current_limit!O188/(Main!$B$19*loop_gain!$B$17*(Helper_calcs!$B$26-Helper_calcs!$B$27)),x)))</f>
        <v>2100000</v>
      </c>
      <c r="Q188" s="132"/>
    </row>
    <row r="189" spans="1:17" x14ac:dyDescent="0.3">
      <c r="A189">
        <f t="shared" si="24"/>
        <v>2.4799999999999907</v>
      </c>
      <c r="B189">
        <f>Main!$B$20/A189</f>
        <v>2.0161290322580721</v>
      </c>
      <c r="D189" s="132">
        <f t="shared" si="17"/>
        <v>2.0161290322580721</v>
      </c>
      <c r="E189" s="132">
        <f>-B189*Main!$B$19-2*Main!$B$19*loop_gain!$B$17*loop_gain!$B$18</f>
        <v>-99.793548387096877</v>
      </c>
      <c r="F189" s="132">
        <f>2*Main!$B$19*loop_gain!$B$17*loop_gain!$B$18*Helper_calcs!$B$26*Current_limit!B189</f>
        <v>586.81451612903459</v>
      </c>
      <c r="G189" s="132">
        <f t="shared" si="19"/>
        <v>6.8199656419052452</v>
      </c>
      <c r="H189" s="132">
        <f>(Main!$B$19-Current_limit!G189)*Current_limit!G189/(Main!$B$19*loop_gain!$B$17*loop_gain!$B$18)</f>
        <v>0.93459408323002424</v>
      </c>
      <c r="I189" s="132">
        <f t="shared" si="20"/>
        <v>2.9154059167699766</v>
      </c>
      <c r="J189" s="132"/>
      <c r="K189" s="133">
        <f>IF(A189&gt;$B$15,IF(I189&gt;Helper_calcs!$B$27,23,3),0)</f>
        <v>0</v>
      </c>
      <c r="L189">
        <f t="shared" si="18"/>
        <v>0</v>
      </c>
      <c r="M189">
        <f t="shared" si="21"/>
        <v>0</v>
      </c>
      <c r="N189" s="132">
        <f t="shared" si="22"/>
        <v>2.4799999999999907</v>
      </c>
      <c r="O189" s="132">
        <f t="shared" si="23"/>
        <v>5</v>
      </c>
      <c r="P189" s="134">
        <f>IF(OR(M189=0,M189=3),loop_gain!$B$18,IF(Current_limit!M189=1,Current_limit!$B$12/(2*(Current_limit!N189-Helper_calcs!$B$27)),IF(OR(M189=2,M189=23),(Main!$B$19-Current_limit!O189)*Current_limit!O189/(Main!$B$19*loop_gain!$B$17*(Helper_calcs!$B$26-Helper_calcs!$B$27)),x)))</f>
        <v>2100000</v>
      </c>
      <c r="Q189" s="132"/>
    </row>
    <row r="190" spans="1:17" x14ac:dyDescent="0.3">
      <c r="A190">
        <f t="shared" si="24"/>
        <v>2.4899999999999904</v>
      </c>
      <c r="B190">
        <f>Main!$B$20/A190</f>
        <v>2.0080321285140639</v>
      </c>
      <c r="D190" s="132">
        <f t="shared" si="17"/>
        <v>2.0080321285140639</v>
      </c>
      <c r="E190" s="132">
        <f>-B190*Main!$B$19-2*Main!$B$19*loop_gain!$B$17*loop_gain!$B$18</f>
        <v>-99.69638554216877</v>
      </c>
      <c r="F190" s="132">
        <f>2*Main!$B$19*loop_gain!$B$17*loop_gain!$B$18*Helper_calcs!$B$26*Current_limit!B190</f>
        <v>584.45783132530357</v>
      </c>
      <c r="G190" s="132">
        <f t="shared" si="19"/>
        <v>6.7913515788372898</v>
      </c>
      <c r="H190" s="132">
        <f>(Main!$B$19-Current_limit!G190)*Current_limit!G190/(Main!$B$19*loop_gain!$B$17*loop_gain!$B$18)</f>
        <v>0.93581382747808806</v>
      </c>
      <c r="I190" s="132">
        <f t="shared" si="20"/>
        <v>2.9141861725219131</v>
      </c>
      <c r="J190" s="132"/>
      <c r="K190" s="133">
        <f>IF(A190&gt;$B$15,IF(I190&gt;Helper_calcs!$B$27,23,3),0)</f>
        <v>0</v>
      </c>
      <c r="L190">
        <f t="shared" si="18"/>
        <v>0</v>
      </c>
      <c r="M190">
        <f t="shared" si="21"/>
        <v>0</v>
      </c>
      <c r="N190" s="132">
        <f t="shared" si="22"/>
        <v>2.4899999999999904</v>
      </c>
      <c r="O190" s="132">
        <f t="shared" si="23"/>
        <v>5</v>
      </c>
      <c r="P190" s="134">
        <f>IF(OR(M190=0,M190=3),loop_gain!$B$18,IF(Current_limit!M190=1,Current_limit!$B$12/(2*(Current_limit!N190-Helper_calcs!$B$27)),IF(OR(M190=2,M190=23),(Main!$B$19-Current_limit!O190)*Current_limit!O190/(Main!$B$19*loop_gain!$B$17*(Helper_calcs!$B$26-Helper_calcs!$B$27)),x)))</f>
        <v>2100000</v>
      </c>
      <c r="Q190" s="132"/>
    </row>
    <row r="191" spans="1:17" x14ac:dyDescent="0.3">
      <c r="A191">
        <f t="shared" si="24"/>
        <v>2.4999999999999902</v>
      </c>
      <c r="B191">
        <f>Main!$B$20/A191</f>
        <v>2.000000000000008</v>
      </c>
      <c r="D191" s="132">
        <f t="shared" si="17"/>
        <v>2.000000000000008</v>
      </c>
      <c r="E191" s="132">
        <f>-B191*Main!$B$19-2*Main!$B$19*loop_gain!$B$17*loop_gain!$B$18</f>
        <v>-99.600000000000108</v>
      </c>
      <c r="F191" s="132">
        <f>2*Main!$B$19*loop_gain!$B$17*loop_gain!$B$18*Helper_calcs!$B$26*Current_limit!B191</f>
        <v>582.12000000000239</v>
      </c>
      <c r="G191" s="132">
        <f t="shared" si="19"/>
        <v>6.7630211997698186</v>
      </c>
      <c r="H191" s="132">
        <f>(Main!$B$19-Current_limit!G191)*Current_limit!G191/(Main!$B$19*loop_gain!$B$17*loop_gain!$B$18)</f>
        <v>0.93697880023020697</v>
      </c>
      <c r="I191" s="132">
        <f t="shared" si="20"/>
        <v>2.9130211997697923</v>
      </c>
      <c r="J191" s="132"/>
      <c r="K191" s="133">
        <f>IF(A191&gt;$B$15,IF(I191&gt;Helper_calcs!$B$27,23,3),0)</f>
        <v>0</v>
      </c>
      <c r="L191">
        <f t="shared" si="18"/>
        <v>0</v>
      </c>
      <c r="M191">
        <f t="shared" si="21"/>
        <v>0</v>
      </c>
      <c r="N191" s="132">
        <f t="shared" si="22"/>
        <v>2.4999999999999902</v>
      </c>
      <c r="O191" s="132">
        <f t="shared" si="23"/>
        <v>5</v>
      </c>
      <c r="P191" s="134">
        <f>IF(OR(M191=0,M191=3),loop_gain!$B$18,IF(Current_limit!M191=1,Current_limit!$B$12/(2*(Current_limit!N191-Helper_calcs!$B$27)),IF(OR(M191=2,M191=23),(Main!$B$19-Current_limit!O191)*Current_limit!O191/(Main!$B$19*loop_gain!$B$17*(Helper_calcs!$B$26-Helper_calcs!$B$27)),x)))</f>
        <v>2100000</v>
      </c>
      <c r="Q191" s="132"/>
    </row>
    <row r="192" spans="1:17" x14ac:dyDescent="0.3">
      <c r="A192">
        <f t="shared" si="24"/>
        <v>2.50999999999999</v>
      </c>
      <c r="B192">
        <f>Main!$B$20/A192</f>
        <v>1.9920318725099682</v>
      </c>
      <c r="D192" s="132">
        <f t="shared" si="17"/>
        <v>1.9920318725099682</v>
      </c>
      <c r="E192" s="132">
        <f>-B192*Main!$B$19-2*Main!$B$19*loop_gain!$B$17*loop_gain!$B$18</f>
        <v>-99.504382470119623</v>
      </c>
      <c r="F192" s="132">
        <f>2*Main!$B$19*loop_gain!$B$17*loop_gain!$B$18*Helper_calcs!$B$26*Current_limit!B192</f>
        <v>579.8007968127514</v>
      </c>
      <c r="G192" s="132">
        <f t="shared" si="19"/>
        <v>6.7349696556287002</v>
      </c>
      <c r="H192" s="132">
        <f>(Main!$B$19-Current_limit!G192)*Current_limit!G192/(Main!$B$19*loop_gain!$B$17*loop_gain!$B$18)</f>
        <v>0.93809046574881017</v>
      </c>
      <c r="I192" s="132">
        <f t="shared" si="20"/>
        <v>2.9119095342511887</v>
      </c>
      <c r="J192" s="132"/>
      <c r="K192" s="133">
        <f>IF(A192&gt;$B$15,IF(I192&gt;Helper_calcs!$B$27,23,3),0)</f>
        <v>0</v>
      </c>
      <c r="L192">
        <f t="shared" si="18"/>
        <v>0</v>
      </c>
      <c r="M192">
        <f t="shared" si="21"/>
        <v>0</v>
      </c>
      <c r="N192" s="132">
        <f t="shared" si="22"/>
        <v>2.50999999999999</v>
      </c>
      <c r="O192" s="132">
        <f t="shared" si="23"/>
        <v>5</v>
      </c>
      <c r="P192" s="134">
        <f>IF(OR(M192=0,M192=3),loop_gain!$B$18,IF(Current_limit!M192=1,Current_limit!$B$12/(2*(Current_limit!N192-Helper_calcs!$B$27)),IF(OR(M192=2,M192=23),(Main!$B$19-Current_limit!O192)*Current_limit!O192/(Main!$B$19*loop_gain!$B$17*(Helper_calcs!$B$26-Helper_calcs!$B$27)),x)))</f>
        <v>2100000</v>
      </c>
      <c r="Q192" s="132"/>
    </row>
    <row r="193" spans="1:17" x14ac:dyDescent="0.3">
      <c r="A193">
        <f t="shared" si="24"/>
        <v>2.5199999999999898</v>
      </c>
      <c r="B193">
        <f>Main!$B$20/A193</f>
        <v>1.9841269841269922</v>
      </c>
      <c r="D193" s="132">
        <f t="shared" si="17"/>
        <v>1.9841269841269922</v>
      </c>
      <c r="E193" s="132">
        <f>-B193*Main!$B$19-2*Main!$B$19*loop_gain!$B$17*loop_gain!$B$18</f>
        <v>-99.409523809523918</v>
      </c>
      <c r="F193" s="132">
        <f>2*Main!$B$19*loop_gain!$B$17*loop_gain!$B$18*Helper_calcs!$B$26*Current_limit!B193</f>
        <v>577.5000000000025</v>
      </c>
      <c r="G193" s="132">
        <f t="shared" si="19"/>
        <v>6.7071922198010707</v>
      </c>
      <c r="H193" s="132">
        <f>(Main!$B$19-Current_limit!G193)*Current_limit!G193/(Main!$B$19*loop_gain!$B$17*loop_gain!$B$18)</f>
        <v>0.93915024244055101</v>
      </c>
      <c r="I193" s="132">
        <f t="shared" si="20"/>
        <v>2.9108497575594505</v>
      </c>
      <c r="J193" s="132"/>
      <c r="K193" s="133">
        <f>IF(A193&gt;$B$15,IF(I193&gt;Helper_calcs!$B$27,23,3),0)</f>
        <v>0</v>
      </c>
      <c r="L193">
        <f t="shared" si="18"/>
        <v>0</v>
      </c>
      <c r="M193">
        <f t="shared" si="21"/>
        <v>0</v>
      </c>
      <c r="N193" s="132">
        <f t="shared" si="22"/>
        <v>2.5199999999999898</v>
      </c>
      <c r="O193" s="132">
        <f t="shared" si="23"/>
        <v>5</v>
      </c>
      <c r="P193" s="134">
        <f>IF(OR(M193=0,M193=3),loop_gain!$B$18,IF(Current_limit!M193=1,Current_limit!$B$12/(2*(Current_limit!N193-Helper_calcs!$B$27)),IF(OR(M193=2,M193=23),(Main!$B$19-Current_limit!O193)*Current_limit!O193/(Main!$B$19*loop_gain!$B$17*(Helper_calcs!$B$26-Helper_calcs!$B$27)),x)))</f>
        <v>2100000</v>
      </c>
      <c r="Q193" s="132"/>
    </row>
    <row r="194" spans="1:17" x14ac:dyDescent="0.3">
      <c r="A194">
        <f t="shared" si="24"/>
        <v>2.5299999999999896</v>
      </c>
      <c r="B194">
        <f>Main!$B$20/A194</f>
        <v>1.9762845849802453</v>
      </c>
      <c r="D194" s="132">
        <f t="shared" si="17"/>
        <v>1.9762845849802453</v>
      </c>
      <c r="E194" s="132">
        <f>-B194*Main!$B$19-2*Main!$B$19*loop_gain!$B$17*loop_gain!$B$18</f>
        <v>-99.315415019762952</v>
      </c>
      <c r="F194" s="132">
        <f>2*Main!$B$19*loop_gain!$B$17*loop_gain!$B$18*Helper_calcs!$B$26*Current_limit!B194</f>
        <v>575.21739130435026</v>
      </c>
      <c r="G194" s="132">
        <f t="shared" si="19"/>
        <v>6.6796842839863197</v>
      </c>
      <c r="H194" s="132">
        <f>(Main!$B$19-Current_limit!G194)*Current_limit!G194/(Main!$B$19*loop_gain!$B$17*loop_gain!$B$18)</f>
        <v>0.94015950460587294</v>
      </c>
      <c r="I194" s="132">
        <f t="shared" si="20"/>
        <v>2.9098404953941275</v>
      </c>
      <c r="J194" s="132"/>
      <c r="K194" s="133">
        <f>IF(A194&gt;$B$15,IF(I194&gt;Helper_calcs!$B$27,23,3),0)</f>
        <v>0</v>
      </c>
      <c r="L194">
        <f t="shared" si="18"/>
        <v>0</v>
      </c>
      <c r="M194">
        <f t="shared" si="21"/>
        <v>0</v>
      </c>
      <c r="N194" s="132">
        <f t="shared" si="22"/>
        <v>2.5299999999999896</v>
      </c>
      <c r="O194" s="132">
        <f t="shared" si="23"/>
        <v>5</v>
      </c>
      <c r="P194" s="134">
        <f>IF(OR(M194=0,M194=3),loop_gain!$B$18,IF(Current_limit!M194=1,Current_limit!$B$12/(2*(Current_limit!N194-Helper_calcs!$B$27)),IF(OR(M194=2,M194=23),(Main!$B$19-Current_limit!O194)*Current_limit!O194/(Main!$B$19*loop_gain!$B$17*(Helper_calcs!$B$26-Helper_calcs!$B$27)),x)))</f>
        <v>2100000</v>
      </c>
      <c r="Q194" s="132"/>
    </row>
    <row r="195" spans="1:17" x14ac:dyDescent="0.3">
      <c r="A195">
        <f t="shared" si="24"/>
        <v>2.5399999999999894</v>
      </c>
      <c r="B195">
        <f>Main!$B$20/A195</f>
        <v>1.9685039370078823</v>
      </c>
      <c r="D195" s="132">
        <f t="shared" si="17"/>
        <v>1.9685039370078823</v>
      </c>
      <c r="E195" s="132">
        <f>-B195*Main!$B$19-2*Main!$B$19*loop_gain!$B$17*loop_gain!$B$18</f>
        <v>-99.222047244094597</v>
      </c>
      <c r="F195" s="132">
        <f>2*Main!$B$19*loop_gain!$B$17*loop_gain!$B$18*Helper_calcs!$B$26*Current_limit!B195</f>
        <v>572.95275590551432</v>
      </c>
      <c r="G195" s="132">
        <f t="shared" si="19"/>
        <v>6.6524413542240266</v>
      </c>
      <c r="H195" s="132">
        <f>(Main!$B$19-Current_limit!G195)*Current_limit!G195/(Main!$B$19*loop_gain!$B$17*loop_gain!$B$18)</f>
        <v>0.941119584108421</v>
      </c>
      <c r="I195" s="132">
        <f t="shared" si="20"/>
        <v>2.9088804158915811</v>
      </c>
      <c r="J195" s="132"/>
      <c r="K195" s="133">
        <f>IF(A195&gt;$B$15,IF(I195&gt;Helper_calcs!$B$27,23,3),0)</f>
        <v>0</v>
      </c>
      <c r="L195">
        <f t="shared" si="18"/>
        <v>0</v>
      </c>
      <c r="M195">
        <f t="shared" si="21"/>
        <v>0</v>
      </c>
      <c r="N195" s="132">
        <f t="shared" si="22"/>
        <v>2.5399999999999894</v>
      </c>
      <c r="O195" s="132">
        <f t="shared" si="23"/>
        <v>5</v>
      </c>
      <c r="P195" s="134">
        <f>IF(OR(M195=0,M195=3),loop_gain!$B$18,IF(Current_limit!M195=1,Current_limit!$B$12/(2*(Current_limit!N195-Helper_calcs!$B$27)),IF(OR(M195=2,M195=23),(Main!$B$19-Current_limit!O195)*Current_limit!O195/(Main!$B$19*loop_gain!$B$17*(Helper_calcs!$B$26-Helper_calcs!$B$27)),x)))</f>
        <v>2100000</v>
      </c>
      <c r="Q195" s="132"/>
    </row>
    <row r="196" spans="1:17" x14ac:dyDescent="0.3">
      <c r="A196">
        <f t="shared" si="24"/>
        <v>2.5499999999999892</v>
      </c>
      <c r="B196">
        <f>Main!$B$20/A196</f>
        <v>1.9607843137254986</v>
      </c>
      <c r="D196" s="132">
        <f t="shared" si="17"/>
        <v>1.9607843137254986</v>
      </c>
      <c r="E196" s="132">
        <f>-B196*Main!$B$19-2*Main!$B$19*loop_gain!$B$17*loop_gain!$B$18</f>
        <v>-99.129411764705992</v>
      </c>
      <c r="F196" s="132">
        <f>2*Main!$B$19*loop_gain!$B$17*loop_gain!$B$18*Helper_calcs!$B$26*Current_limit!B196</f>
        <v>570.70588235294372</v>
      </c>
      <c r="G196" s="132">
        <f t="shared" si="19"/>
        <v>6.6254590470896204</v>
      </c>
      <c r="H196" s="132">
        <f>(Main!$B$19-Current_limit!G196)*Current_limit!G196/(Main!$B$19*loop_gain!$B$17*loop_gain!$B$18)</f>
        <v>0.94203177196861754</v>
      </c>
      <c r="I196" s="132">
        <f t="shared" si="20"/>
        <v>2.9079682280313834</v>
      </c>
      <c r="J196" s="132"/>
      <c r="K196" s="133">
        <f>IF(A196&gt;$B$15,IF(I196&gt;Helper_calcs!$B$27,23,3),0)</f>
        <v>0</v>
      </c>
      <c r="L196">
        <f t="shared" si="18"/>
        <v>0</v>
      </c>
      <c r="M196">
        <f t="shared" si="21"/>
        <v>0</v>
      </c>
      <c r="N196" s="132">
        <f t="shared" si="22"/>
        <v>2.5499999999999892</v>
      </c>
      <c r="O196" s="132">
        <f t="shared" si="23"/>
        <v>5</v>
      </c>
      <c r="P196" s="134">
        <f>IF(OR(M196=0,M196=3),loop_gain!$B$18,IF(Current_limit!M196=1,Current_limit!$B$12/(2*(Current_limit!N196-Helper_calcs!$B$27)),IF(OR(M196=2,M196=23),(Main!$B$19-Current_limit!O196)*Current_limit!O196/(Main!$B$19*loop_gain!$B$17*(Helper_calcs!$B$26-Helper_calcs!$B$27)),x)))</f>
        <v>2100000</v>
      </c>
      <c r="Q196" s="132"/>
    </row>
    <row r="197" spans="1:17" x14ac:dyDescent="0.3">
      <c r="A197">
        <f t="shared" si="24"/>
        <v>2.559999999999989</v>
      </c>
      <c r="B197">
        <f>Main!$B$20/A197</f>
        <v>1.9531250000000084</v>
      </c>
      <c r="D197" s="132">
        <f t="shared" si="17"/>
        <v>1.9531250000000084</v>
      </c>
      <c r="E197" s="132">
        <f>-B197*Main!$B$19-2*Main!$B$19*loop_gain!$B$17*loop_gain!$B$18</f>
        <v>-99.037500000000108</v>
      </c>
      <c r="F197" s="132">
        <f>2*Main!$B$19*loop_gain!$B$17*loop_gain!$B$18*Helper_calcs!$B$26*Current_limit!B197</f>
        <v>568.47656250000261</v>
      </c>
      <c r="G197" s="132">
        <f t="shared" si="19"/>
        <v>6.5987330860494042</v>
      </c>
      <c r="H197" s="132">
        <f>(Main!$B$19-Current_limit!G197)*Current_limit!G197/(Main!$B$19*loop_gain!$B$17*loop_gain!$B$18)</f>
        <v>0.94289731988544323</v>
      </c>
      <c r="I197" s="132">
        <f t="shared" si="20"/>
        <v>2.907102680114559</v>
      </c>
      <c r="J197" s="132"/>
      <c r="K197" s="133">
        <f>IF(A197&gt;$B$15,IF(I197&gt;Helper_calcs!$B$27,23,3),0)</f>
        <v>0</v>
      </c>
      <c r="L197">
        <f t="shared" si="18"/>
        <v>0</v>
      </c>
      <c r="M197">
        <f t="shared" si="21"/>
        <v>0</v>
      </c>
      <c r="N197" s="132">
        <f t="shared" si="22"/>
        <v>2.559999999999989</v>
      </c>
      <c r="O197" s="132">
        <f t="shared" si="23"/>
        <v>5</v>
      </c>
      <c r="P197" s="134">
        <f>IF(OR(M197=0,M197=3),loop_gain!$B$18,IF(Current_limit!M197=1,Current_limit!$B$12/(2*(Current_limit!N197-Helper_calcs!$B$27)),IF(OR(M197=2,M197=23),(Main!$B$19-Current_limit!O197)*Current_limit!O197/(Main!$B$19*loop_gain!$B$17*(Helper_calcs!$B$26-Helper_calcs!$B$27)),x)))</f>
        <v>2100000</v>
      </c>
      <c r="Q197" s="132"/>
    </row>
    <row r="198" spans="1:17" x14ac:dyDescent="0.3">
      <c r="A198">
        <f t="shared" si="24"/>
        <v>2.5699999999999887</v>
      </c>
      <c r="B198">
        <f>Main!$B$20/A198</f>
        <v>1.9455252918288024</v>
      </c>
      <c r="D198" s="132">
        <f t="shared" si="17"/>
        <v>1.9455252918288024</v>
      </c>
      <c r="E198" s="132">
        <f>-B198*Main!$B$19-2*Main!$B$19*loop_gain!$B$17*loop_gain!$B$18</f>
        <v>-98.946303501945636</v>
      </c>
      <c r="F198" s="132">
        <f>2*Main!$B$19*loop_gain!$B$17*loop_gain!$B$18*Helper_calcs!$B$26*Current_limit!B198</f>
        <v>566.26459143969134</v>
      </c>
      <c r="G198" s="132">
        <f t="shared" si="19"/>
        <v>6.5722592979667338</v>
      </c>
      <c r="H198" s="132">
        <f>(Main!$B$19-Current_limit!G198)*Current_limit!G198/(Main!$B$19*loop_gain!$B$17*loop_gain!$B$18)</f>
        <v>0.94371744169022798</v>
      </c>
      <c r="I198" s="132">
        <f t="shared" si="20"/>
        <v>2.9062825583097722</v>
      </c>
      <c r="J198" s="132"/>
      <c r="K198" s="133">
        <f>IF(A198&gt;$B$15,IF(I198&gt;Helper_calcs!$B$27,23,3),0)</f>
        <v>0</v>
      </c>
      <c r="L198">
        <f t="shared" si="18"/>
        <v>0</v>
      </c>
      <c r="M198">
        <f t="shared" si="21"/>
        <v>0</v>
      </c>
      <c r="N198" s="132">
        <f t="shared" si="22"/>
        <v>2.5699999999999887</v>
      </c>
      <c r="O198" s="132">
        <f t="shared" si="23"/>
        <v>5</v>
      </c>
      <c r="P198" s="134">
        <f>IF(OR(M198=0,M198=3),loop_gain!$B$18,IF(Current_limit!M198=1,Current_limit!$B$12/(2*(Current_limit!N198-Helper_calcs!$B$27)),IF(OR(M198=2,M198=23),(Main!$B$19-Current_limit!O198)*Current_limit!O198/(Main!$B$19*loop_gain!$B$17*(Helper_calcs!$B$26-Helper_calcs!$B$27)),x)))</f>
        <v>2100000</v>
      </c>
      <c r="Q198" s="132"/>
    </row>
    <row r="199" spans="1:17" x14ac:dyDescent="0.3">
      <c r="A199">
        <f t="shared" si="24"/>
        <v>2.5799999999999885</v>
      </c>
      <c r="B199">
        <f>Main!$B$20/A199</f>
        <v>1.9379844961240396</v>
      </c>
      <c r="D199" s="132">
        <f t="shared" si="17"/>
        <v>1.9379844961240396</v>
      </c>
      <c r="E199" s="132">
        <f>-B199*Main!$B$19-2*Main!$B$19*loop_gain!$B$17*loop_gain!$B$18</f>
        <v>-98.855813953488479</v>
      </c>
      <c r="F199" s="132">
        <f>2*Main!$B$19*loop_gain!$B$17*loop_gain!$B$18*Helper_calcs!$B$26*Current_limit!B199</f>
        <v>564.06976744186306</v>
      </c>
      <c r="G199" s="132">
        <f t="shared" si="19"/>
        <v>6.5460336097519578</v>
      </c>
      <c r="H199" s="132">
        <f>(Main!$B$19-Current_limit!G199)*Current_limit!G199/(Main!$B$19*loop_gain!$B$17*loop_gain!$B$18)</f>
        <v>0.94449331473601172</v>
      </c>
      <c r="I199" s="132">
        <f t="shared" si="20"/>
        <v>2.9055066852639895</v>
      </c>
      <c r="J199" s="132"/>
      <c r="K199" s="133">
        <f>IF(A199&gt;$B$15,IF(I199&gt;Helper_calcs!$B$27,23,3),0)</f>
        <v>0</v>
      </c>
      <c r="L199">
        <f t="shared" si="18"/>
        <v>0</v>
      </c>
      <c r="M199">
        <f t="shared" si="21"/>
        <v>0</v>
      </c>
      <c r="N199" s="132">
        <f t="shared" si="22"/>
        <v>2.5799999999999885</v>
      </c>
      <c r="O199" s="132">
        <f t="shared" si="23"/>
        <v>5</v>
      </c>
      <c r="P199" s="134">
        <f>IF(OR(M199=0,M199=3),loop_gain!$B$18,IF(Current_limit!M199=1,Current_limit!$B$12/(2*(Current_limit!N199-Helper_calcs!$B$27)),IF(OR(M199=2,M199=23),(Main!$B$19-Current_limit!O199)*Current_limit!O199/(Main!$B$19*loop_gain!$B$17*(Helper_calcs!$B$26-Helper_calcs!$B$27)),x)))</f>
        <v>2100000</v>
      </c>
      <c r="Q199" s="132"/>
    </row>
    <row r="200" spans="1:17" x14ac:dyDescent="0.3">
      <c r="A200">
        <f t="shared" si="24"/>
        <v>2.5899999999999883</v>
      </c>
      <c r="B200">
        <f>Main!$B$20/A200</f>
        <v>1.9305019305019393</v>
      </c>
      <c r="D200" s="132">
        <f t="shared" si="17"/>
        <v>1.9305019305019393</v>
      </c>
      <c r="E200" s="132">
        <f>-B200*Main!$B$19-2*Main!$B$19*loop_gain!$B$17*loop_gain!$B$18</f>
        <v>-98.766023166023274</v>
      </c>
      <c r="F200" s="132">
        <f>2*Main!$B$19*loop_gain!$B$17*loop_gain!$B$18*Helper_calcs!$B$26*Current_limit!B200</f>
        <v>561.8918918918946</v>
      </c>
      <c r="G200" s="132">
        <f t="shared" si="19"/>
        <v>6.5200520451488408</v>
      </c>
      <c r="H200" s="132">
        <f>(Main!$B$19-Current_limit!G200)*Current_limit!G200/(Main!$B$19*loop_gain!$B$17*loop_gain!$B$18)</f>
        <v>0.9452260812258334</v>
      </c>
      <c r="I200" s="132">
        <f t="shared" si="20"/>
        <v>2.9047739187741675</v>
      </c>
      <c r="J200" s="132"/>
      <c r="K200" s="133">
        <f>IF(A200&gt;$B$15,IF(I200&gt;Helper_calcs!$B$27,23,3),0)</f>
        <v>0</v>
      </c>
      <c r="L200">
        <f t="shared" si="18"/>
        <v>0</v>
      </c>
      <c r="M200">
        <f t="shared" si="21"/>
        <v>0</v>
      </c>
      <c r="N200" s="132">
        <f t="shared" si="22"/>
        <v>2.5899999999999883</v>
      </c>
      <c r="O200" s="132">
        <f t="shared" si="23"/>
        <v>5</v>
      </c>
      <c r="P200" s="134">
        <f>IF(OR(M200=0,M200=3),loop_gain!$B$18,IF(Current_limit!M200=1,Current_limit!$B$12/(2*(Current_limit!N200-Helper_calcs!$B$27)),IF(OR(M200=2,M200=23),(Main!$B$19-Current_limit!O200)*Current_limit!O200/(Main!$B$19*loop_gain!$B$17*(Helper_calcs!$B$26-Helper_calcs!$B$27)),x)))</f>
        <v>2100000</v>
      </c>
      <c r="Q200" s="132"/>
    </row>
    <row r="201" spans="1:17" x14ac:dyDescent="0.3">
      <c r="A201">
        <f t="shared" si="24"/>
        <v>2.5999999999999881</v>
      </c>
      <c r="B201">
        <f>Main!$B$20/A201</f>
        <v>1.9230769230769318</v>
      </c>
      <c r="D201" s="132">
        <f t="shared" si="17"/>
        <v>1.9230769230769318</v>
      </c>
      <c r="E201" s="132">
        <f>-B201*Main!$B$19-2*Main!$B$19*loop_gain!$B$17*loop_gain!$B$18</f>
        <v>-98.676923076923188</v>
      </c>
      <c r="F201" s="132">
        <f>2*Main!$B$19*loop_gain!$B$17*loop_gain!$B$18*Helper_calcs!$B$26*Current_limit!B201</f>
        <v>559.7307692307719</v>
      </c>
      <c r="G201" s="132">
        <f t="shared" si="19"/>
        <v>6.4943107216509022</v>
      </c>
      <c r="H201" s="132">
        <f>(Main!$B$19-Current_limit!G201)*Current_limit!G201/(Main!$B$19*loop_gain!$B$17*loop_gain!$B$18)</f>
        <v>0.94591684948309418</v>
      </c>
      <c r="I201" s="132">
        <f t="shared" si="20"/>
        <v>2.9040831505169069</v>
      </c>
      <c r="J201" s="132"/>
      <c r="K201" s="133">
        <f>IF(A201&gt;$B$15,IF(I201&gt;Helper_calcs!$B$27,23,3),0)</f>
        <v>0</v>
      </c>
      <c r="L201">
        <f t="shared" si="18"/>
        <v>0</v>
      </c>
      <c r="M201">
        <f t="shared" si="21"/>
        <v>0</v>
      </c>
      <c r="N201" s="132">
        <f t="shared" si="22"/>
        <v>2.5999999999999881</v>
      </c>
      <c r="O201" s="132">
        <f t="shared" si="23"/>
        <v>5</v>
      </c>
      <c r="P201" s="134">
        <f>IF(OR(M201=0,M201=3),loop_gain!$B$18,IF(Current_limit!M201=1,Current_limit!$B$12/(2*(Current_limit!N201-Helper_calcs!$B$27)),IF(OR(M201=2,M201=23),(Main!$B$19-Current_limit!O201)*Current_limit!O201/(Main!$B$19*loop_gain!$B$17*(Helper_calcs!$B$26-Helper_calcs!$B$27)),x)))</f>
        <v>2100000</v>
      </c>
      <c r="Q201" s="132"/>
    </row>
    <row r="202" spans="1:17" x14ac:dyDescent="0.3">
      <c r="A202">
        <f t="shared" si="24"/>
        <v>2.6099999999999879</v>
      </c>
      <c r="B202">
        <f>Main!$B$20/A202</f>
        <v>1.9157088122605452</v>
      </c>
      <c r="D202" s="132">
        <f t="shared" si="17"/>
        <v>1.9157088122605452</v>
      </c>
      <c r="E202" s="132">
        <f>-B202*Main!$B$19-2*Main!$B$19*loop_gain!$B$17*loop_gain!$B$18</f>
        <v>-98.588505747126547</v>
      </c>
      <c r="F202" s="132">
        <f>2*Main!$B$19*loop_gain!$B$17*loop_gain!$B$18*Helper_calcs!$B$26*Current_limit!B202</f>
        <v>557.58620689655436</v>
      </c>
      <c r="G202" s="132">
        <f t="shared" si="19"/>
        <v>6.4688058475412546</v>
      </c>
      <c r="H202" s="132">
        <f>(Main!$B$19-Current_limit!G202)*Current_limit!G202/(Main!$B$19*loop_gain!$B$17*loop_gain!$B$18)</f>
        <v>0.9465666951669609</v>
      </c>
      <c r="I202" s="132">
        <f t="shared" si="20"/>
        <v>2.903433304833039</v>
      </c>
      <c r="J202" s="132"/>
      <c r="K202" s="133">
        <f>IF(A202&gt;$B$15,IF(I202&gt;Helper_calcs!$B$27,23,3),0)</f>
        <v>0</v>
      </c>
      <c r="L202">
        <f t="shared" si="18"/>
        <v>0</v>
      </c>
      <c r="M202">
        <f t="shared" si="21"/>
        <v>0</v>
      </c>
      <c r="N202" s="132">
        <f t="shared" si="22"/>
        <v>2.6099999999999879</v>
      </c>
      <c r="O202" s="132">
        <f t="shared" si="23"/>
        <v>5</v>
      </c>
      <c r="P202" s="134">
        <f>IF(OR(M202=0,M202=3),loop_gain!$B$18,IF(Current_limit!M202=1,Current_limit!$B$12/(2*(Current_limit!N202-Helper_calcs!$B$27)),IF(OR(M202=2,M202=23),(Main!$B$19-Current_limit!O202)*Current_limit!O202/(Main!$B$19*loop_gain!$B$17*(Helper_calcs!$B$26-Helper_calcs!$B$27)),x)))</f>
        <v>2100000</v>
      </c>
      <c r="Q202" s="132"/>
    </row>
    <row r="203" spans="1:17" x14ac:dyDescent="0.3">
      <c r="A203">
        <f t="shared" si="24"/>
        <v>2.6199999999999877</v>
      </c>
      <c r="B203">
        <f>Main!$B$20/A203</f>
        <v>1.9083969465648944</v>
      </c>
      <c r="D203" s="132">
        <f t="shared" si="17"/>
        <v>1.9083969465648944</v>
      </c>
      <c r="E203" s="132">
        <f>-B203*Main!$B$19-2*Main!$B$19*loop_gain!$B$17*loop_gain!$B$18</f>
        <v>-98.500763358778741</v>
      </c>
      <c r="F203" s="132">
        <f>2*Main!$B$19*loop_gain!$B$17*loop_gain!$B$18*Helper_calcs!$B$26*Current_limit!B203</f>
        <v>555.45801526717833</v>
      </c>
      <c r="G203" s="132">
        <f t="shared" si="19"/>
        <v>6.4435337190500315</v>
      </c>
      <c r="H203" s="132">
        <f>(Main!$B$19-Current_limit!G203)*Current_limit!G203/(Main!$B$19*loop_gain!$B$17*loop_gain!$B$18)</f>
        <v>0.94717666243559906</v>
      </c>
      <c r="I203" s="132">
        <f t="shared" si="20"/>
        <v>2.902823337564401</v>
      </c>
      <c r="J203" s="132"/>
      <c r="K203" s="133">
        <f>IF(A203&gt;$B$15,IF(I203&gt;Helper_calcs!$B$27,23,3),0)</f>
        <v>0</v>
      </c>
      <c r="L203">
        <f t="shared" si="18"/>
        <v>0</v>
      </c>
      <c r="M203">
        <f t="shared" si="21"/>
        <v>0</v>
      </c>
      <c r="N203" s="132">
        <f t="shared" si="22"/>
        <v>2.6199999999999877</v>
      </c>
      <c r="O203" s="132">
        <f t="shared" si="23"/>
        <v>5</v>
      </c>
      <c r="P203" s="134">
        <f>IF(OR(M203=0,M203=3),loop_gain!$B$18,IF(Current_limit!M203=1,Current_limit!$B$12/(2*(Current_limit!N203-Helper_calcs!$B$27)),IF(OR(M203=2,M203=23),(Main!$B$19-Current_limit!O203)*Current_limit!O203/(Main!$B$19*loop_gain!$B$17*(Helper_calcs!$B$26-Helper_calcs!$B$27)),x)))</f>
        <v>2100000</v>
      </c>
      <c r="Q203" s="132"/>
    </row>
    <row r="204" spans="1:17" x14ac:dyDescent="0.3">
      <c r="A204">
        <f t="shared" si="24"/>
        <v>2.6299999999999875</v>
      </c>
      <c r="B204">
        <f>Main!$B$20/A204</f>
        <v>1.9011406844106555</v>
      </c>
      <c r="D204" s="132">
        <f t="shared" si="17"/>
        <v>1.9011406844106555</v>
      </c>
      <c r="E204" s="132">
        <f>-B204*Main!$B$19-2*Main!$B$19*loop_gain!$B$17*loop_gain!$B$18</f>
        <v>-98.413688212927866</v>
      </c>
      <c r="F204" s="132">
        <f>2*Main!$B$19*loop_gain!$B$17*loop_gain!$B$18*Helper_calcs!$B$26*Current_limit!B204</f>
        <v>553.34600760456556</v>
      </c>
      <c r="G204" s="132">
        <f t="shared" si="19"/>
        <v>6.4184907176237394</v>
      </c>
      <c r="H204" s="132">
        <f>(Main!$B$19-Current_limit!G204)*Current_limit!G204/(Main!$B$19*loop_gain!$B$17*loop_gain!$B$18)</f>
        <v>0.94774776505986136</v>
      </c>
      <c r="I204" s="132">
        <f t="shared" si="20"/>
        <v>2.9022522349401401</v>
      </c>
      <c r="J204" s="132"/>
      <c r="K204" s="133">
        <f>IF(A204&gt;$B$15,IF(I204&gt;Helper_calcs!$B$27,23,3),0)</f>
        <v>0</v>
      </c>
      <c r="L204">
        <f t="shared" si="18"/>
        <v>0</v>
      </c>
      <c r="M204">
        <f t="shared" si="21"/>
        <v>0</v>
      </c>
      <c r="N204" s="132">
        <f t="shared" si="22"/>
        <v>2.6299999999999875</v>
      </c>
      <c r="O204" s="132">
        <f t="shared" si="23"/>
        <v>5</v>
      </c>
      <c r="P204" s="134">
        <f>IF(OR(M204=0,M204=3),loop_gain!$B$18,IF(Current_limit!M204=1,Current_limit!$B$12/(2*(Current_limit!N204-Helper_calcs!$B$27)),IF(OR(M204=2,M204=23),(Main!$B$19-Current_limit!O204)*Current_limit!O204/(Main!$B$19*loop_gain!$B$17*(Helper_calcs!$B$26-Helper_calcs!$B$27)),x)))</f>
        <v>2100000</v>
      </c>
      <c r="Q204" s="132"/>
    </row>
    <row r="205" spans="1:17" x14ac:dyDescent="0.3">
      <c r="A205">
        <f t="shared" si="24"/>
        <v>2.6399999999999872</v>
      </c>
      <c r="B205">
        <f>Main!$B$20/A205</f>
        <v>1.8939393939394031</v>
      </c>
      <c r="D205" s="132">
        <f t="shared" si="17"/>
        <v>1.8939393939394031</v>
      </c>
      <c r="E205" s="132">
        <f>-B205*Main!$B$19-2*Main!$B$19*loop_gain!$B$17*loop_gain!$B$18</f>
        <v>-98.327272727272842</v>
      </c>
      <c r="F205" s="132">
        <f>2*Main!$B$19*loop_gain!$B$17*loop_gain!$B$18*Helper_calcs!$B$26*Current_limit!B205</f>
        <v>551.25000000000284</v>
      </c>
      <c r="G205" s="132">
        <f t="shared" si="19"/>
        <v>6.393673307301257</v>
      </c>
      <c r="H205" s="132">
        <f>(Main!$B$19-Current_limit!G205)*Current_limit!G205/(Main!$B$19*loop_gain!$B$17*loop_gain!$B$18)</f>
        <v>0.94828098748990697</v>
      </c>
      <c r="I205" s="132">
        <f t="shared" si="20"/>
        <v>2.9017190125100938</v>
      </c>
      <c r="J205" s="132"/>
      <c r="K205" s="133">
        <f>IF(A205&gt;$B$15,IF(I205&gt;Helper_calcs!$B$27,23,3),0)</f>
        <v>0</v>
      </c>
      <c r="L205">
        <f t="shared" si="18"/>
        <v>0</v>
      </c>
      <c r="M205">
        <f t="shared" si="21"/>
        <v>0</v>
      </c>
      <c r="N205" s="132">
        <f t="shared" si="22"/>
        <v>2.6399999999999872</v>
      </c>
      <c r="O205" s="132">
        <f t="shared" si="23"/>
        <v>5</v>
      </c>
      <c r="P205" s="134">
        <f>IF(OR(M205=0,M205=3),loop_gain!$B$18,IF(Current_limit!M205=1,Current_limit!$B$12/(2*(Current_limit!N205-Helper_calcs!$B$27)),IF(OR(M205=2,M205=23),(Main!$B$19-Current_limit!O205)*Current_limit!O205/(Main!$B$19*loop_gain!$B$17*(Helper_calcs!$B$26-Helper_calcs!$B$27)),x)))</f>
        <v>2100000</v>
      </c>
      <c r="Q205" s="132"/>
    </row>
    <row r="206" spans="1:17" x14ac:dyDescent="0.3">
      <c r="A206">
        <f t="shared" si="24"/>
        <v>2.649999999999987</v>
      </c>
      <c r="B206">
        <f>Main!$B$20/A206</f>
        <v>1.8867924528301978</v>
      </c>
      <c r="D206" s="132">
        <f t="shared" si="17"/>
        <v>1.8867924528301978</v>
      </c>
      <c r="E206" s="132">
        <f>-B206*Main!$B$19-2*Main!$B$19*loop_gain!$B$17*loop_gain!$B$18</f>
        <v>-98.241509433962378</v>
      </c>
      <c r="F206" s="132">
        <f>2*Main!$B$19*loop_gain!$B$17*loop_gain!$B$18*Helper_calcs!$B$26*Current_limit!B206</f>
        <v>549.1698113207575</v>
      </c>
      <c r="G206" s="132">
        <f t="shared" si="19"/>
        <v>6.3690780321914646</v>
      </c>
      <c r="H206" s="132">
        <f>(Main!$B$19-Current_limit!G206)*Current_limit!G206/(Main!$B$19*loop_gain!$B$17*loop_gain!$B$18)</f>
        <v>0.94877728587708132</v>
      </c>
      <c r="I206" s="132">
        <f t="shared" si="20"/>
        <v>2.9012227141229197</v>
      </c>
      <c r="J206" s="132"/>
      <c r="K206" s="133">
        <f>IF(A206&gt;$B$15,IF(I206&gt;Helper_calcs!$B$27,23,3),0)</f>
        <v>0</v>
      </c>
      <c r="L206">
        <f t="shared" si="18"/>
        <v>0</v>
      </c>
      <c r="M206">
        <f t="shared" si="21"/>
        <v>0</v>
      </c>
      <c r="N206" s="132">
        <f t="shared" si="22"/>
        <v>2.649999999999987</v>
      </c>
      <c r="O206" s="132">
        <f t="shared" si="23"/>
        <v>5</v>
      </c>
      <c r="P206" s="134">
        <f>IF(OR(M206=0,M206=3),loop_gain!$B$18,IF(Current_limit!M206=1,Current_limit!$B$12/(2*(Current_limit!N206-Helper_calcs!$B$27)),IF(OR(M206=2,M206=23),(Main!$B$19-Current_limit!O206)*Current_limit!O206/(Main!$B$19*loop_gain!$B$17*(Helper_calcs!$B$26-Helper_calcs!$B$27)),x)))</f>
        <v>2100000</v>
      </c>
      <c r="Q206" s="132"/>
    </row>
    <row r="207" spans="1:17" x14ac:dyDescent="0.3">
      <c r="A207">
        <f t="shared" si="24"/>
        <v>2.6599999999999868</v>
      </c>
      <c r="B207">
        <f>Main!$B$20/A207</f>
        <v>1.8796992481203101</v>
      </c>
      <c r="D207" s="132">
        <f t="shared" si="17"/>
        <v>1.8796992481203101</v>
      </c>
      <c r="E207" s="132">
        <f>-B207*Main!$B$19-2*Main!$B$19*loop_gain!$B$17*loop_gain!$B$18</f>
        <v>-98.156390977443721</v>
      </c>
      <c r="F207" s="132">
        <f>2*Main!$B$19*loop_gain!$B$17*loop_gain!$B$18*Helper_calcs!$B$26*Current_limit!B207</f>
        <v>547.10526315789753</v>
      </c>
      <c r="G207" s="132">
        <f t="shared" si="19"/>
        <v>6.3447015140477205</v>
      </c>
      <c r="H207" s="132">
        <f>(Main!$B$19-Current_limit!G207)*Current_limit!G207/(Main!$B$19*loop_gain!$B$17*loop_gain!$B$18)</f>
        <v>0.94923758905325928</v>
      </c>
      <c r="I207" s="132">
        <f t="shared" si="20"/>
        <v>2.9007624109467409</v>
      </c>
      <c r="J207" s="132"/>
      <c r="K207" s="133">
        <f>IF(A207&gt;$B$15,IF(I207&gt;Helper_calcs!$B$27,23,3),0)</f>
        <v>0</v>
      </c>
      <c r="L207">
        <f t="shared" si="18"/>
        <v>0</v>
      </c>
      <c r="M207">
        <f t="shared" si="21"/>
        <v>0</v>
      </c>
      <c r="N207" s="132">
        <f t="shared" si="22"/>
        <v>2.6599999999999868</v>
      </c>
      <c r="O207" s="132">
        <f t="shared" si="23"/>
        <v>5</v>
      </c>
      <c r="P207" s="134">
        <f>IF(OR(M207=0,M207=3),loop_gain!$B$18,IF(Current_limit!M207=1,Current_limit!$B$12/(2*(Current_limit!N207-Helper_calcs!$B$27)),IF(OR(M207=2,M207=23),(Main!$B$19-Current_limit!O207)*Current_limit!O207/(Main!$B$19*loop_gain!$B$17*(Helper_calcs!$B$26-Helper_calcs!$B$27)),x)))</f>
        <v>2100000</v>
      </c>
      <c r="Q207" s="132"/>
    </row>
    <row r="208" spans="1:17" x14ac:dyDescent="0.3">
      <c r="A208">
        <f t="shared" si="24"/>
        <v>2.6699999999999866</v>
      </c>
      <c r="B208">
        <f>Main!$B$20/A208</f>
        <v>1.872659176029972</v>
      </c>
      <c r="D208" s="132">
        <f t="shared" si="17"/>
        <v>1.872659176029972</v>
      </c>
      <c r="E208" s="132">
        <f>-B208*Main!$B$19-2*Main!$B$19*loop_gain!$B$17*loop_gain!$B$18</f>
        <v>-98.071910112359674</v>
      </c>
      <c r="F208" s="132">
        <f>2*Main!$B$19*loop_gain!$B$17*loop_gain!$B$18*Helper_calcs!$B$26*Current_limit!B208</f>
        <v>545.05617977528379</v>
      </c>
      <c r="G208" s="132">
        <f t="shared" si="19"/>
        <v>6.3205404499347484</v>
      </c>
      <c r="H208" s="132">
        <f>(Main!$B$19-Current_limit!G208)*Current_limit!G208/(Main!$B$19*loop_gain!$B$17*loop_gain!$B$18)</f>
        <v>0.94966279946972554</v>
      </c>
      <c r="I208" s="132">
        <f t="shared" si="20"/>
        <v>2.9003372005302754</v>
      </c>
      <c r="J208" s="132"/>
      <c r="K208" s="133">
        <f>IF(A208&gt;$B$15,IF(I208&gt;Helper_calcs!$B$27,23,3),0)</f>
        <v>0</v>
      </c>
      <c r="L208">
        <f t="shared" si="18"/>
        <v>0</v>
      </c>
      <c r="M208">
        <f t="shared" si="21"/>
        <v>0</v>
      </c>
      <c r="N208" s="132">
        <f t="shared" si="22"/>
        <v>2.6699999999999866</v>
      </c>
      <c r="O208" s="132">
        <f t="shared" si="23"/>
        <v>5</v>
      </c>
      <c r="P208" s="134">
        <f>IF(OR(M208=0,M208=3),loop_gain!$B$18,IF(Current_limit!M208=1,Current_limit!$B$12/(2*(Current_limit!N208-Helper_calcs!$B$27)),IF(OR(M208=2,M208=23),(Main!$B$19-Current_limit!O208)*Current_limit!O208/(Main!$B$19*loop_gain!$B$17*(Helper_calcs!$B$26-Helper_calcs!$B$27)),x)))</f>
        <v>2100000</v>
      </c>
      <c r="Q208" s="132"/>
    </row>
    <row r="209" spans="1:17" x14ac:dyDescent="0.3">
      <c r="A209">
        <f t="shared" si="24"/>
        <v>2.6799999999999864</v>
      </c>
      <c r="B209">
        <f>Main!$B$20/A209</f>
        <v>1.8656716417910542</v>
      </c>
      <c r="D209" s="132">
        <f t="shared" si="17"/>
        <v>1.8656716417910542</v>
      </c>
      <c r="E209" s="132">
        <f>-B209*Main!$B$19-2*Main!$B$19*loop_gain!$B$17*loop_gain!$B$18</f>
        <v>-97.988059701492659</v>
      </c>
      <c r="F209" s="132">
        <f>2*Main!$B$19*loop_gain!$B$17*loop_gain!$B$18*Helper_calcs!$B$26*Current_limit!B209</f>
        <v>543.02238805970433</v>
      </c>
      <c r="G209" s="132">
        <f t="shared" si="19"/>
        <v>6.296591609983663</v>
      </c>
      <c r="H209" s="132">
        <f>(Main!$B$19-Current_limit!G209)*Current_limit!G209/(Main!$B$19*loop_gain!$B$17*loop_gain!$B$18)</f>
        <v>0.95005379409754742</v>
      </c>
      <c r="I209" s="132">
        <f t="shared" si="20"/>
        <v>2.8999462059024528</v>
      </c>
      <c r="J209" s="132"/>
      <c r="K209" s="133">
        <f>IF(A209&gt;$B$15,IF(I209&gt;Helper_calcs!$B$27,23,3),0)</f>
        <v>0</v>
      </c>
      <c r="L209">
        <f t="shared" si="18"/>
        <v>0</v>
      </c>
      <c r="M209">
        <f t="shared" si="21"/>
        <v>0</v>
      </c>
      <c r="N209" s="132">
        <f t="shared" si="22"/>
        <v>2.6799999999999864</v>
      </c>
      <c r="O209" s="132">
        <f t="shared" si="23"/>
        <v>5</v>
      </c>
      <c r="P209" s="134">
        <f>IF(OR(M209=0,M209=3),loop_gain!$B$18,IF(Current_limit!M209=1,Current_limit!$B$12/(2*(Current_limit!N209-Helper_calcs!$B$27)),IF(OR(M209=2,M209=23),(Main!$B$19-Current_limit!O209)*Current_limit!O209/(Main!$B$19*loop_gain!$B$17*(Helper_calcs!$B$26-Helper_calcs!$B$27)),x)))</f>
        <v>2100000</v>
      </c>
      <c r="Q209" s="132"/>
    </row>
    <row r="210" spans="1:17" x14ac:dyDescent="0.3">
      <c r="A210">
        <f t="shared" si="24"/>
        <v>2.6899999999999862</v>
      </c>
      <c r="B210">
        <f>Main!$B$20/A210</f>
        <v>1.8587360594795634</v>
      </c>
      <c r="D210" s="132">
        <f t="shared" si="17"/>
        <v>1.8587360594795634</v>
      </c>
      <c r="E210" s="132">
        <f>-B210*Main!$B$19-2*Main!$B$19*loop_gain!$B$17*loop_gain!$B$18</f>
        <v>-97.904832713754772</v>
      </c>
      <c r="F210" s="132">
        <f>2*Main!$B$19*loop_gain!$B$17*loop_gain!$B$18*Helper_calcs!$B$26*Current_limit!B210</f>
        <v>541.00371747212182</v>
      </c>
      <c r="G210" s="132">
        <f t="shared" si="19"/>
        <v>6.2728518352311697</v>
      </c>
      <c r="H210" s="132">
        <f>(Main!$B$19-Current_limit!G210)*Current_limit!G210/(Main!$B$19*loop_gain!$B$17*loop_gain!$B$18)</f>
        <v>0.95041142529129574</v>
      </c>
      <c r="I210" s="132">
        <f t="shared" si="20"/>
        <v>2.8995885747087042</v>
      </c>
      <c r="J210" s="132"/>
      <c r="K210" s="133">
        <f>IF(A210&gt;$B$15,IF(I210&gt;Helper_calcs!$B$27,23,3),0)</f>
        <v>0</v>
      </c>
      <c r="L210">
        <f t="shared" si="18"/>
        <v>0</v>
      </c>
      <c r="M210">
        <f t="shared" si="21"/>
        <v>0</v>
      </c>
      <c r="N210" s="132">
        <f t="shared" si="22"/>
        <v>2.6899999999999862</v>
      </c>
      <c r="O210" s="132">
        <f t="shared" si="23"/>
        <v>5</v>
      </c>
      <c r="P210" s="134">
        <f>IF(OR(M210=0,M210=3),loop_gain!$B$18,IF(Current_limit!M210=1,Current_limit!$B$12/(2*(Current_limit!N210-Helper_calcs!$B$27)),IF(OR(M210=2,M210=23),(Main!$B$19-Current_limit!O210)*Current_limit!O210/(Main!$B$19*loop_gain!$B$17*(Helper_calcs!$B$26-Helper_calcs!$B$27)),x)))</f>
        <v>2100000</v>
      </c>
      <c r="Q210" s="132"/>
    </row>
    <row r="211" spans="1:17" x14ac:dyDescent="0.3">
      <c r="A211">
        <f t="shared" si="24"/>
        <v>2.699999999999986</v>
      </c>
      <c r="B211">
        <f>Main!$B$20/A211</f>
        <v>1.8518518518518614</v>
      </c>
      <c r="D211" s="132">
        <f t="shared" si="17"/>
        <v>1.8518518518518614</v>
      </c>
      <c r="E211" s="132">
        <f>-B211*Main!$B$19-2*Main!$B$19*loop_gain!$B$17*loop_gain!$B$18</f>
        <v>-97.822222222222337</v>
      </c>
      <c r="F211" s="132">
        <f>2*Main!$B$19*loop_gain!$B$17*loop_gain!$B$18*Helper_calcs!$B$26*Current_limit!B211</f>
        <v>539.00000000000284</v>
      </c>
      <c r="G211" s="132">
        <f t="shared" si="19"/>
        <v>6.2493180355390576</v>
      </c>
      <c r="H211" s="132">
        <f>(Main!$B$19-Current_limit!G211)*Current_limit!G211/(Main!$B$19*loop_gain!$B$17*loop_gain!$B$18)</f>
        <v>0.9507365216178556</v>
      </c>
      <c r="I211" s="132">
        <f t="shared" si="20"/>
        <v>2.8992634783821458</v>
      </c>
      <c r="J211" s="132"/>
      <c r="K211" s="133">
        <f>IF(A211&gt;$B$15,IF(I211&gt;Helper_calcs!$B$27,23,3),0)</f>
        <v>0</v>
      </c>
      <c r="L211">
        <f t="shared" si="18"/>
        <v>0</v>
      </c>
      <c r="M211">
        <f t="shared" si="21"/>
        <v>0</v>
      </c>
      <c r="N211" s="132">
        <f t="shared" si="22"/>
        <v>2.699999999999986</v>
      </c>
      <c r="O211" s="132">
        <f t="shared" si="23"/>
        <v>5</v>
      </c>
      <c r="P211" s="134">
        <f>IF(OR(M211=0,M211=3),loop_gain!$B$18,IF(Current_limit!M211=1,Current_limit!$B$12/(2*(Current_limit!N211-Helper_calcs!$B$27)),IF(OR(M211=2,M211=23),(Main!$B$19-Current_limit!O211)*Current_limit!O211/(Main!$B$19*loop_gain!$B$17*(Helper_calcs!$B$26-Helper_calcs!$B$27)),x)))</f>
        <v>2100000</v>
      </c>
      <c r="Q211" s="132"/>
    </row>
    <row r="212" spans="1:17" x14ac:dyDescent="0.3">
      <c r="A212">
        <f t="shared" si="24"/>
        <v>2.7099999999999858</v>
      </c>
      <c r="B212">
        <f>Main!$B$20/A212</f>
        <v>1.8450184501845115</v>
      </c>
      <c r="D212" s="132">
        <f t="shared" si="17"/>
        <v>1.8450184501845115</v>
      </c>
      <c r="E212" s="132">
        <f>-B212*Main!$B$19-2*Main!$B$19*loop_gain!$B$17*loop_gain!$B$18</f>
        <v>-97.740221402214146</v>
      </c>
      <c r="F212" s="132">
        <f>2*Main!$B$19*loop_gain!$B$17*loop_gain!$B$18*Helper_calcs!$B$26*Current_limit!B212</f>
        <v>537.01107011070405</v>
      </c>
      <c r="G212" s="132">
        <f t="shared" si="19"/>
        <v>6.2259871875904542</v>
      </c>
      <c r="H212" s="132">
        <f>(Main!$B$19-Current_limit!G212)*Current_limit!G212/(Main!$B$19*loop_gain!$B$17*loop_gain!$B$18)</f>
        <v>0.95102988865198279</v>
      </c>
      <c r="I212" s="132">
        <f t="shared" si="20"/>
        <v>2.8989701113480173</v>
      </c>
      <c r="J212" s="132"/>
      <c r="K212" s="133">
        <f>IF(A212&gt;$B$15,IF(I212&gt;Helper_calcs!$B$27,23,3),0)</f>
        <v>0</v>
      </c>
      <c r="L212">
        <f t="shared" si="18"/>
        <v>0</v>
      </c>
      <c r="M212">
        <f t="shared" si="21"/>
        <v>0</v>
      </c>
      <c r="N212" s="132">
        <f t="shared" si="22"/>
        <v>2.7099999999999858</v>
      </c>
      <c r="O212" s="132">
        <f t="shared" si="23"/>
        <v>5</v>
      </c>
      <c r="P212" s="134">
        <f>IF(OR(M212=0,M212=3),loop_gain!$B$18,IF(Current_limit!M212=1,Current_limit!$B$12/(2*(Current_limit!N212-Helper_calcs!$B$27)),IF(OR(M212=2,M212=23),(Main!$B$19-Current_limit!O212)*Current_limit!O212/(Main!$B$19*loop_gain!$B$17*(Helper_calcs!$B$26-Helper_calcs!$B$27)),x)))</f>
        <v>2100000</v>
      </c>
      <c r="Q212" s="132"/>
    </row>
    <row r="213" spans="1:17" x14ac:dyDescent="0.3">
      <c r="A213">
        <f t="shared" si="24"/>
        <v>2.7199999999999855</v>
      </c>
      <c r="B213">
        <f>Main!$B$20/A213</f>
        <v>1.8382352941176567</v>
      </c>
      <c r="D213" s="132">
        <f t="shared" si="17"/>
        <v>1.8382352941176567</v>
      </c>
      <c r="E213" s="132">
        <f>-B213*Main!$B$19-2*Main!$B$19*loop_gain!$B$17*loop_gain!$B$18</f>
        <v>-97.65882352941189</v>
      </c>
      <c r="F213" s="132">
        <f>2*Main!$B$19*loop_gain!$B$17*loop_gain!$B$18*Helper_calcs!$B$26*Current_limit!B213</f>
        <v>535.03676470588528</v>
      </c>
      <c r="G213" s="132">
        <f t="shared" si="19"/>
        <v>6.2028563329594384</v>
      </c>
      <c r="H213" s="132">
        <f>(Main!$B$19-Current_limit!G213)*Current_limit!G213/(Main!$B$19*loop_gain!$B$17*loop_gain!$B$18)</f>
        <v>0.95129230974016532</v>
      </c>
      <c r="I213" s="132">
        <f t="shared" si="20"/>
        <v>2.8987076902598341</v>
      </c>
      <c r="J213" s="132"/>
      <c r="K213" s="133">
        <f>IF(A213&gt;$B$15,IF(I213&gt;Helper_calcs!$B$27,23,3),0)</f>
        <v>0</v>
      </c>
      <c r="L213">
        <f t="shared" si="18"/>
        <v>0</v>
      </c>
      <c r="M213">
        <f t="shared" si="21"/>
        <v>0</v>
      </c>
      <c r="N213" s="132">
        <f t="shared" si="22"/>
        <v>2.7199999999999855</v>
      </c>
      <c r="O213" s="132">
        <f t="shared" si="23"/>
        <v>5</v>
      </c>
      <c r="P213" s="134">
        <f>IF(OR(M213=0,M213=3),loop_gain!$B$18,IF(Current_limit!M213=1,Current_limit!$B$12/(2*(Current_limit!N213-Helper_calcs!$B$27)),IF(OR(M213=2,M213=23),(Main!$B$19-Current_limit!O213)*Current_limit!O213/(Main!$B$19*loop_gain!$B$17*(Helper_calcs!$B$26-Helper_calcs!$B$27)),x)))</f>
        <v>2100000</v>
      </c>
      <c r="Q213" s="132"/>
    </row>
    <row r="214" spans="1:17" x14ac:dyDescent="0.3">
      <c r="A214">
        <f t="shared" si="24"/>
        <v>2.7299999999999853</v>
      </c>
      <c r="B214">
        <f>Main!$B$20/A214</f>
        <v>1.8315018315018414</v>
      </c>
      <c r="D214" s="132">
        <f t="shared" si="17"/>
        <v>1.8315018315018414</v>
      </c>
      <c r="E214" s="132">
        <f>-B214*Main!$B$19-2*Main!$B$19*loop_gain!$B$17*loop_gain!$B$18</f>
        <v>-97.578021978022107</v>
      </c>
      <c r="F214" s="132">
        <f>2*Main!$B$19*loop_gain!$B$17*loop_gain!$B$18*Helper_calcs!$B$26*Current_limit!B214</f>
        <v>533.07692307692605</v>
      </c>
      <c r="G214" s="132">
        <f t="shared" si="19"/>
        <v>6.1799225762507035</v>
      </c>
      <c r="H214" s="132">
        <f>(Main!$B$19-Current_limit!G214)*Current_limit!G214/(Main!$B$19*loop_gain!$B$17*loop_gain!$B$18)</f>
        <v>0.95152454673426734</v>
      </c>
      <c r="I214" s="132">
        <f t="shared" si="20"/>
        <v>2.898475453265732</v>
      </c>
      <c r="J214" s="132"/>
      <c r="K214" s="133">
        <f>IF(A214&gt;$B$15,IF(I214&gt;Helper_calcs!$B$27,23,3),0)</f>
        <v>0</v>
      </c>
      <c r="L214">
        <f t="shared" si="18"/>
        <v>0</v>
      </c>
      <c r="M214">
        <f t="shared" si="21"/>
        <v>0</v>
      </c>
      <c r="N214" s="132">
        <f t="shared" si="22"/>
        <v>2.7299999999999853</v>
      </c>
      <c r="O214" s="132">
        <f t="shared" si="23"/>
        <v>5</v>
      </c>
      <c r="P214" s="134">
        <f>IF(OR(M214=0,M214=3),loop_gain!$B$18,IF(Current_limit!M214=1,Current_limit!$B$12/(2*(Current_limit!N214-Helper_calcs!$B$27)),IF(OR(M214=2,M214=23),(Main!$B$19-Current_limit!O214)*Current_limit!O214/(Main!$B$19*loop_gain!$B$17*(Helper_calcs!$B$26-Helper_calcs!$B$27)),x)))</f>
        <v>2100000</v>
      </c>
      <c r="Q214" s="132"/>
    </row>
    <row r="215" spans="1:17" x14ac:dyDescent="0.3">
      <c r="A215">
        <f t="shared" si="24"/>
        <v>2.7399999999999851</v>
      </c>
      <c r="B215">
        <f>Main!$B$20/A215</f>
        <v>1.8248175182481852</v>
      </c>
      <c r="D215" s="132">
        <f t="shared" ref="D215:D278" si="25">B215</f>
        <v>1.8248175182481852</v>
      </c>
      <c r="E215" s="132">
        <f>-B215*Main!$B$19-2*Main!$B$19*loop_gain!$B$17*loop_gain!$B$18</f>
        <v>-97.497810218978231</v>
      </c>
      <c r="F215" s="132">
        <f>2*Main!$B$19*loop_gain!$B$17*loop_gain!$B$18*Helper_calcs!$B$26*Current_limit!B215</f>
        <v>531.13138686131686</v>
      </c>
      <c r="G215" s="132">
        <f t="shared" si="19"/>
        <v>6.1571830833062773</v>
      </c>
      <c r="H215" s="132">
        <f>(Main!$B$19-Current_limit!G215)*Current_limit!G215/(Main!$B$19*loop_gain!$B$17*loop_gain!$B$18)</f>
        <v>0.951727340696358</v>
      </c>
      <c r="I215" s="132">
        <f t="shared" si="20"/>
        <v>2.8982726593036423</v>
      </c>
      <c r="J215" s="132"/>
      <c r="K215" s="133">
        <f>IF(A215&gt;$B$15,IF(I215&gt;Helper_calcs!$B$27,23,3),0)</f>
        <v>0</v>
      </c>
      <c r="L215">
        <f t="shared" ref="L215:L278" si="26">IF(A215&gt;$B$13,IF(A215&gt;$B$14,2,1),0)</f>
        <v>0</v>
      </c>
      <c r="M215">
        <f t="shared" si="21"/>
        <v>0</v>
      </c>
      <c r="N215" s="132">
        <f t="shared" si="22"/>
        <v>2.7399999999999851</v>
      </c>
      <c r="O215" s="132">
        <f t="shared" si="23"/>
        <v>5</v>
      </c>
      <c r="P215" s="134">
        <f>IF(OR(M215=0,M215=3),loop_gain!$B$18,IF(Current_limit!M215=1,Current_limit!$B$12/(2*(Current_limit!N215-Helper_calcs!$B$27)),IF(OR(M215=2,M215=23),(Main!$B$19-Current_limit!O215)*Current_limit!O215/(Main!$B$19*loop_gain!$B$17*(Helper_calcs!$B$26-Helper_calcs!$B$27)),x)))</f>
        <v>2100000</v>
      </c>
      <c r="Q215" s="132"/>
    </row>
    <row r="216" spans="1:17" x14ac:dyDescent="0.3">
      <c r="A216">
        <f t="shared" si="24"/>
        <v>2.7499999999999849</v>
      </c>
      <c r="B216">
        <f>Main!$B$20/A216</f>
        <v>1.8181818181818281</v>
      </c>
      <c r="D216" s="132">
        <f t="shared" si="25"/>
        <v>1.8181818181818281</v>
      </c>
      <c r="E216" s="132">
        <f>-B216*Main!$B$19-2*Main!$B$19*loop_gain!$B$17*loop_gain!$B$18</f>
        <v>-97.418181818181949</v>
      </c>
      <c r="F216" s="132">
        <f>2*Main!$B$19*loop_gain!$B$17*loop_gain!$B$18*Helper_calcs!$B$26*Current_limit!B216</f>
        <v>529.200000000003</v>
      </c>
      <c r="G216" s="132">
        <f t="shared" ref="G216:G279" si="27">(-E216-SQRT(E216^2-4*D216*F216))/(2*D216)</f>
        <v>6.13463507947636</v>
      </c>
      <c r="H216" s="132">
        <f>(Main!$B$19-Current_limit!G216)*Current_limit!G216/(Main!$B$19*loop_gain!$B$17*loop_gain!$B$18)</f>
        <v>0.95190141257604199</v>
      </c>
      <c r="I216" s="132">
        <f t="shared" ref="I216:I279" si="28">(G216/B216)-0.5*H216</f>
        <v>2.8980985874239584</v>
      </c>
      <c r="J216" s="132"/>
      <c r="K216" s="133">
        <f>IF(A216&gt;$B$15,IF(I216&gt;Helper_calcs!$B$27,23,3),0)</f>
        <v>0</v>
      </c>
      <c r="L216">
        <f t="shared" si="26"/>
        <v>0</v>
      </c>
      <c r="M216">
        <f t="shared" ref="M216:M279" si="29">IF($B$16="N",L216,K216)</f>
        <v>0</v>
      </c>
      <c r="N216" s="132">
        <f t="shared" ref="N216:N279" si="30">IF(OR(M216=0,M216=1),A216,IF(OR(M216=2,M216=23),$B$14,G216/B216))</f>
        <v>2.7499999999999849</v>
      </c>
      <c r="O216" s="132">
        <f t="shared" ref="O216:O279" si="31">N216*B216</f>
        <v>5</v>
      </c>
      <c r="P216" s="134">
        <f>IF(OR(M216=0,M216=3),loop_gain!$B$18,IF(Current_limit!M216=1,Current_limit!$B$12/(2*(Current_limit!N216-Helper_calcs!$B$27)),IF(OR(M216=2,M216=23),(Main!$B$19-Current_limit!O216)*Current_limit!O216/(Main!$B$19*loop_gain!$B$17*(Helper_calcs!$B$26-Helper_calcs!$B$27)),x)))</f>
        <v>2100000</v>
      </c>
      <c r="Q216" s="132"/>
    </row>
    <row r="217" spans="1:17" x14ac:dyDescent="0.3">
      <c r="A217">
        <f t="shared" si="24"/>
        <v>2.7599999999999847</v>
      </c>
      <c r="B217">
        <f>Main!$B$20/A217</f>
        <v>1.8115942028985608</v>
      </c>
      <c r="D217" s="132">
        <f t="shared" si="25"/>
        <v>1.8115942028985608</v>
      </c>
      <c r="E217" s="132">
        <f>-B217*Main!$B$19-2*Main!$B$19*loop_gain!$B$17*loop_gain!$B$18</f>
        <v>-97.339130434782732</v>
      </c>
      <c r="F217" s="132">
        <f>2*Main!$B$19*loop_gain!$B$17*loop_gain!$B$18*Helper_calcs!$B$26*Current_limit!B217</f>
        <v>527.2826086956552</v>
      </c>
      <c r="G217" s="132">
        <f t="shared" si="27"/>
        <v>6.1122758479515262</v>
      </c>
      <c r="H217" s="132">
        <f>(Main!$B$19-Current_limit!G217)*Current_limit!G217/(Main!$B$19*loop_gain!$B$17*loop_gain!$B$18)</f>
        <v>0.95204746386155459</v>
      </c>
      <c r="I217" s="132">
        <f t="shared" si="28"/>
        <v>2.8979525361384462</v>
      </c>
      <c r="J217" s="132"/>
      <c r="K217" s="133">
        <f>IF(A217&gt;$B$15,IF(I217&gt;Helper_calcs!$B$27,23,3),0)</f>
        <v>0</v>
      </c>
      <c r="L217">
        <f t="shared" si="26"/>
        <v>0</v>
      </c>
      <c r="M217">
        <f t="shared" si="29"/>
        <v>0</v>
      </c>
      <c r="N217" s="132">
        <f t="shared" si="30"/>
        <v>2.7599999999999847</v>
      </c>
      <c r="O217" s="132">
        <f t="shared" si="31"/>
        <v>5</v>
      </c>
      <c r="P217" s="134">
        <f>IF(OR(M217=0,M217=3),loop_gain!$B$18,IF(Current_limit!M217=1,Current_limit!$B$12/(2*(Current_limit!N217-Helper_calcs!$B$27)),IF(OR(M217=2,M217=23),(Main!$B$19-Current_limit!O217)*Current_limit!O217/(Main!$B$19*loop_gain!$B$17*(Helper_calcs!$B$26-Helper_calcs!$B$27)),x)))</f>
        <v>2100000</v>
      </c>
      <c r="Q217" s="132"/>
    </row>
    <row r="218" spans="1:17" x14ac:dyDescent="0.3">
      <c r="A218">
        <f t="shared" si="24"/>
        <v>2.7699999999999845</v>
      </c>
      <c r="B218">
        <f>Main!$B$20/A218</f>
        <v>1.8050541516245588</v>
      </c>
      <c r="D218" s="132">
        <f t="shared" si="25"/>
        <v>1.8050541516245588</v>
      </c>
      <c r="E218" s="132">
        <f>-B218*Main!$B$19-2*Main!$B$19*loop_gain!$B$17*loop_gain!$B$18</f>
        <v>-97.260649819494716</v>
      </c>
      <c r="F218" s="132">
        <f>2*Main!$B$19*loop_gain!$B$17*loop_gain!$B$18*Helper_calcs!$B$26*Current_limit!B218</f>
        <v>525.37906137184416</v>
      </c>
      <c r="G218" s="132">
        <f t="shared" si="27"/>
        <v>6.0901027281536422</v>
      </c>
      <c r="H218" s="132">
        <f>(Main!$B$19-Current_limit!G218)*Current_limit!G218/(Main!$B$19*loop_gain!$B$17*loop_gain!$B$18)</f>
        <v>0.95216617720580077</v>
      </c>
      <c r="I218" s="132">
        <f t="shared" si="28"/>
        <v>2.8978338227941984</v>
      </c>
      <c r="J218" s="132"/>
      <c r="K218" s="133">
        <f>IF(A218&gt;$B$15,IF(I218&gt;Helper_calcs!$B$27,23,3),0)</f>
        <v>0</v>
      </c>
      <c r="L218">
        <f t="shared" si="26"/>
        <v>0</v>
      </c>
      <c r="M218">
        <f t="shared" si="29"/>
        <v>0</v>
      </c>
      <c r="N218" s="132">
        <f t="shared" si="30"/>
        <v>2.7699999999999845</v>
      </c>
      <c r="O218" s="132">
        <f t="shared" si="31"/>
        <v>5</v>
      </c>
      <c r="P218" s="134">
        <f>IF(OR(M218=0,M218=3),loop_gain!$B$18,IF(Current_limit!M218=1,Current_limit!$B$12/(2*(Current_limit!N218-Helper_calcs!$B$27)),IF(OR(M218=2,M218=23),(Main!$B$19-Current_limit!O218)*Current_limit!O218/(Main!$B$19*loop_gain!$B$17*(Helper_calcs!$B$26-Helper_calcs!$B$27)),x)))</f>
        <v>2100000</v>
      </c>
      <c r="Q218" s="132"/>
    </row>
    <row r="219" spans="1:17" x14ac:dyDescent="0.3">
      <c r="A219">
        <f t="shared" si="24"/>
        <v>2.7799999999999843</v>
      </c>
      <c r="B219">
        <f>Main!$B$20/A219</f>
        <v>1.7985611510791468</v>
      </c>
      <c r="D219" s="132">
        <f t="shared" si="25"/>
        <v>1.7985611510791468</v>
      </c>
      <c r="E219" s="132">
        <f>-B219*Main!$B$19-2*Main!$B$19*loop_gain!$B$17*loop_gain!$B$18</f>
        <v>-97.182733812949778</v>
      </c>
      <c r="F219" s="132">
        <f>2*Main!$B$19*loop_gain!$B$17*loop_gain!$B$18*Helper_calcs!$B$26*Current_limit!B219</f>
        <v>523.48920863309661</v>
      </c>
      <c r="G219" s="132">
        <f t="shared" si="27"/>
        <v>6.0681131141830633</v>
      </c>
      <c r="H219" s="132">
        <f>(Main!$B$19-Current_limit!G219)*Current_limit!G219/(Main!$B$19*loop_gain!$B$17*loop_gain!$B$18)</f>
        <v>0.95225821702847291</v>
      </c>
      <c r="I219" s="132">
        <f t="shared" si="28"/>
        <v>2.8977417829715275</v>
      </c>
      <c r="J219" s="132"/>
      <c r="K219" s="133">
        <f>IF(A219&gt;$B$15,IF(I219&gt;Helper_calcs!$B$27,23,3),0)</f>
        <v>0</v>
      </c>
      <c r="L219">
        <f t="shared" si="26"/>
        <v>0</v>
      </c>
      <c r="M219">
        <f t="shared" si="29"/>
        <v>0</v>
      </c>
      <c r="N219" s="132">
        <f t="shared" si="30"/>
        <v>2.7799999999999843</v>
      </c>
      <c r="O219" s="132">
        <f t="shared" si="31"/>
        <v>5</v>
      </c>
      <c r="P219" s="134">
        <f>IF(OR(M219=0,M219=3),loop_gain!$B$18,IF(Current_limit!M219=1,Current_limit!$B$12/(2*(Current_limit!N219-Helper_calcs!$B$27)),IF(OR(M219=2,M219=23),(Main!$B$19-Current_limit!O219)*Current_limit!O219/(Main!$B$19*loop_gain!$B$17*(Helper_calcs!$B$26-Helper_calcs!$B$27)),x)))</f>
        <v>2100000</v>
      </c>
      <c r="Q219" s="132"/>
    </row>
    <row r="220" spans="1:17" x14ac:dyDescent="0.3">
      <c r="A220">
        <f t="shared" si="24"/>
        <v>2.789999999999984</v>
      </c>
      <c r="B220">
        <f>Main!$B$20/A220</f>
        <v>1.792114695340512</v>
      </c>
      <c r="D220" s="132">
        <f t="shared" si="25"/>
        <v>1.792114695340512</v>
      </c>
      <c r="E220" s="132">
        <f>-B220*Main!$B$19-2*Main!$B$19*loop_gain!$B$17*loop_gain!$B$18</f>
        <v>-97.105376344086153</v>
      </c>
      <c r="F220" s="132">
        <f>2*Main!$B$19*loop_gain!$B$17*loop_gain!$B$18*Helper_calcs!$B$26*Current_limit!B220</f>
        <v>521.61290322580953</v>
      </c>
      <c r="G220" s="132">
        <f t="shared" si="27"/>
        <v>6.0463044533196513</v>
      </c>
      <c r="H220" s="132">
        <f>(Main!$B$19-Current_limit!G220)*Current_limit!G220/(Main!$B$19*loop_gain!$B$17*loop_gain!$B$18)</f>
        <v>0.9523242300953112</v>
      </c>
      <c r="I220" s="132">
        <f t="shared" si="28"/>
        <v>2.8976757699046907</v>
      </c>
      <c r="J220" s="132"/>
      <c r="K220" s="133">
        <f>IF(A220&gt;$B$15,IF(I220&gt;Helper_calcs!$B$27,23,3),0)</f>
        <v>0</v>
      </c>
      <c r="L220">
        <f t="shared" si="26"/>
        <v>0</v>
      </c>
      <c r="M220">
        <f t="shared" si="29"/>
        <v>0</v>
      </c>
      <c r="N220" s="132">
        <f t="shared" si="30"/>
        <v>2.789999999999984</v>
      </c>
      <c r="O220" s="132">
        <f t="shared" si="31"/>
        <v>5</v>
      </c>
      <c r="P220" s="134">
        <f>IF(OR(M220=0,M220=3),loop_gain!$B$18,IF(Current_limit!M220=1,Current_limit!$B$12/(2*(Current_limit!N220-Helper_calcs!$B$27)),IF(OR(M220=2,M220=23),(Main!$B$19-Current_limit!O220)*Current_limit!O220/(Main!$B$19*loop_gain!$B$17*(Helper_calcs!$B$26-Helper_calcs!$B$27)),x)))</f>
        <v>2100000</v>
      </c>
      <c r="Q220" s="132"/>
    </row>
    <row r="221" spans="1:17" x14ac:dyDescent="0.3">
      <c r="A221">
        <f t="shared" si="24"/>
        <v>2.7999999999999838</v>
      </c>
      <c r="B221">
        <f>Main!$B$20/A221</f>
        <v>1.785714285714296</v>
      </c>
      <c r="D221" s="132">
        <f t="shared" si="25"/>
        <v>1.785714285714296</v>
      </c>
      <c r="E221" s="132">
        <f>-B221*Main!$B$19-2*Main!$B$19*loop_gain!$B$17*loop_gain!$B$18</f>
        <v>-97.028571428571553</v>
      </c>
      <c r="F221" s="132">
        <f>2*Main!$B$19*loop_gain!$B$17*loop_gain!$B$18*Helper_calcs!$B$26*Current_limit!B221</f>
        <v>519.75000000000307</v>
      </c>
      <c r="G221" s="132">
        <f t="shared" si="27"/>
        <v>6.0246742445754649</v>
      </c>
      <c r="H221" s="132">
        <f>(Main!$B$19-Current_limit!G221)*Current_limit!G221/(Main!$B$19*loop_gain!$B$17*loop_gain!$B$18)</f>
        <v>0.95236484607551919</v>
      </c>
      <c r="I221" s="132">
        <f t="shared" si="28"/>
        <v>2.8976351539244813</v>
      </c>
      <c r="J221" s="132"/>
      <c r="K221" s="133">
        <f>IF(A221&gt;$B$15,IF(I221&gt;Helper_calcs!$B$27,23,3),0)</f>
        <v>0</v>
      </c>
      <c r="L221">
        <f t="shared" si="26"/>
        <v>0</v>
      </c>
      <c r="M221">
        <f t="shared" si="29"/>
        <v>0</v>
      </c>
      <c r="N221" s="132">
        <f t="shared" si="30"/>
        <v>2.7999999999999838</v>
      </c>
      <c r="O221" s="132">
        <f t="shared" si="31"/>
        <v>5</v>
      </c>
      <c r="P221" s="134">
        <f>IF(OR(M221=0,M221=3),loop_gain!$B$18,IF(Current_limit!M221=1,Current_limit!$B$12/(2*(Current_limit!N221-Helper_calcs!$B$27)),IF(OR(M221=2,M221=23),(Main!$B$19-Current_limit!O221)*Current_limit!O221/(Main!$B$19*loop_gain!$B$17*(Helper_calcs!$B$26-Helper_calcs!$B$27)),x)))</f>
        <v>2100000</v>
      </c>
      <c r="Q221" s="132"/>
    </row>
    <row r="222" spans="1:17" x14ac:dyDescent="0.3">
      <c r="A222">
        <f t="shared" si="24"/>
        <v>2.8099999999999836</v>
      </c>
      <c r="B222">
        <f>Main!$B$20/A222</f>
        <v>1.7793594306049927</v>
      </c>
      <c r="D222" s="132">
        <f t="shared" si="25"/>
        <v>1.7793594306049927</v>
      </c>
      <c r="E222" s="132">
        <f>-B222*Main!$B$19-2*Main!$B$19*loop_gain!$B$17*loop_gain!$B$18</f>
        <v>-96.952313167259916</v>
      </c>
      <c r="F222" s="132">
        <f>2*Main!$B$19*loop_gain!$B$17*loop_gain!$B$18*Helper_calcs!$B$26*Current_limit!B222</f>
        <v>517.90035587188925</v>
      </c>
      <c r="G222" s="132">
        <f t="shared" si="27"/>
        <v>6.0032200372969236</v>
      </c>
      <c r="H222" s="132">
        <f>(Main!$B$19-Current_limit!G222)*Current_limit!G222/(Main!$B$19*loop_gain!$B$17*loop_gain!$B$18)</f>
        <v>0.95238067807830151</v>
      </c>
      <c r="I222" s="132">
        <f t="shared" si="28"/>
        <v>2.8976193219217001</v>
      </c>
      <c r="J222" s="132"/>
      <c r="K222" s="133">
        <f>IF(A222&gt;$B$15,IF(I222&gt;Helper_calcs!$B$27,23,3),0)</f>
        <v>0</v>
      </c>
      <c r="L222">
        <f t="shared" si="26"/>
        <v>0</v>
      </c>
      <c r="M222">
        <f t="shared" si="29"/>
        <v>0</v>
      </c>
      <c r="N222" s="132">
        <f t="shared" si="30"/>
        <v>2.8099999999999836</v>
      </c>
      <c r="O222" s="132">
        <f t="shared" si="31"/>
        <v>5</v>
      </c>
      <c r="P222" s="134">
        <f>IF(OR(M222=0,M222=3),loop_gain!$B$18,IF(Current_limit!M222=1,Current_limit!$B$12/(2*(Current_limit!N222-Helper_calcs!$B$27)),IF(OR(M222=2,M222=23),(Main!$B$19-Current_limit!O222)*Current_limit!O222/(Main!$B$19*loop_gain!$B$17*(Helper_calcs!$B$26-Helper_calcs!$B$27)),x)))</f>
        <v>2100000</v>
      </c>
      <c r="Q222" s="132"/>
    </row>
    <row r="223" spans="1:17" x14ac:dyDescent="0.3">
      <c r="A223">
        <f t="shared" si="24"/>
        <v>2.8199999999999834</v>
      </c>
      <c r="B223">
        <f>Main!$B$20/A223</f>
        <v>1.7730496453900813</v>
      </c>
      <c r="D223" s="132">
        <f t="shared" si="25"/>
        <v>1.7730496453900813</v>
      </c>
      <c r="E223" s="132">
        <f>-B223*Main!$B$19-2*Main!$B$19*loop_gain!$B$17*loop_gain!$B$18</f>
        <v>-96.876595744680984</v>
      </c>
      <c r="F223" s="132">
        <f>2*Main!$B$19*loop_gain!$B$17*loop_gain!$B$18*Helper_calcs!$B$26*Current_limit!B223</f>
        <v>516.06382978723718</v>
      </c>
      <c r="G223" s="132">
        <f t="shared" si="27"/>
        <v>5.9819394298143669</v>
      </c>
      <c r="H223" s="132">
        <f>(Main!$B$19-Current_limit!G223)*Current_limit!G223/(Main!$B$19*loop_gain!$B$17*loop_gain!$B$18)</f>
        <v>0.95237232316943299</v>
      </c>
      <c r="I223" s="132">
        <f t="shared" si="28"/>
        <v>2.8976276768305667</v>
      </c>
      <c r="J223" s="132"/>
      <c r="K223" s="133">
        <f>IF(A223&gt;$B$15,IF(I223&gt;Helper_calcs!$B$27,23,3),0)</f>
        <v>0</v>
      </c>
      <c r="L223">
        <f t="shared" si="26"/>
        <v>0</v>
      </c>
      <c r="M223">
        <f t="shared" si="29"/>
        <v>0</v>
      </c>
      <c r="N223" s="132">
        <f t="shared" si="30"/>
        <v>2.8199999999999834</v>
      </c>
      <c r="O223" s="132">
        <f t="shared" si="31"/>
        <v>5</v>
      </c>
      <c r="P223" s="134">
        <f>IF(OR(M223=0,M223=3),loop_gain!$B$18,IF(Current_limit!M223=1,Current_limit!$B$12/(2*(Current_limit!N223-Helper_calcs!$B$27)),IF(OR(M223=2,M223=23),(Main!$B$19-Current_limit!O223)*Current_limit!O223/(Main!$B$19*loop_gain!$B$17*(Helper_calcs!$B$26-Helper_calcs!$B$27)),x)))</f>
        <v>2100000</v>
      </c>
      <c r="Q223" s="132"/>
    </row>
    <row r="224" spans="1:17" x14ac:dyDescent="0.3">
      <c r="A224">
        <f t="shared" si="24"/>
        <v>2.8299999999999832</v>
      </c>
      <c r="B224">
        <f>Main!$B$20/A224</f>
        <v>1.7667844522968303</v>
      </c>
      <c r="D224" s="132">
        <f t="shared" si="25"/>
        <v>1.7667844522968303</v>
      </c>
      <c r="E224" s="132">
        <f>-B224*Main!$B$19-2*Main!$B$19*loop_gain!$B$17*loop_gain!$B$18</f>
        <v>-96.801413427561968</v>
      </c>
      <c r="F224" s="132">
        <f>2*Main!$B$19*loop_gain!$B$17*loop_gain!$B$18*Helper_calcs!$B$26*Current_limit!B224</f>
        <v>514.24028268551558</v>
      </c>
      <c r="G224" s="132">
        <f t="shared" si="27"/>
        <v>5.960830068137204</v>
      </c>
      <c r="H224" s="132">
        <f>(Main!$B$19-Current_limit!G224)*Current_limit!G224/(Main!$B$19*loop_gain!$B$17*loop_gain!$B$18)</f>
        <v>0.95234036286872648</v>
      </c>
      <c r="I224" s="132">
        <f t="shared" si="28"/>
        <v>2.8976596371312739</v>
      </c>
      <c r="J224" s="132"/>
      <c r="K224" s="133">
        <f>IF(A224&gt;$B$15,IF(I224&gt;Helper_calcs!$B$27,23,3),0)</f>
        <v>0</v>
      </c>
      <c r="L224">
        <f t="shared" si="26"/>
        <v>0</v>
      </c>
      <c r="M224">
        <f t="shared" si="29"/>
        <v>0</v>
      </c>
      <c r="N224" s="132">
        <f t="shared" si="30"/>
        <v>2.8299999999999832</v>
      </c>
      <c r="O224" s="132">
        <f t="shared" si="31"/>
        <v>5</v>
      </c>
      <c r="P224" s="134">
        <f>IF(OR(M224=0,M224=3),loop_gain!$B$18,IF(Current_limit!M224=1,Current_limit!$B$12/(2*(Current_limit!N224-Helper_calcs!$B$27)),IF(OR(M224=2,M224=23),(Main!$B$19-Current_limit!O224)*Current_limit!O224/(Main!$B$19*loop_gain!$B$17*(Helper_calcs!$B$26-Helper_calcs!$B$27)),x)))</f>
        <v>2100000</v>
      </c>
      <c r="Q224" s="132"/>
    </row>
    <row r="225" spans="1:17" x14ac:dyDescent="0.3">
      <c r="A225">
        <f t="shared" ref="A225:A288" si="32">A224+0.01</f>
        <v>2.839999999999983</v>
      </c>
      <c r="B225">
        <f>Main!$B$20/A225</f>
        <v>1.7605633802817007</v>
      </c>
      <c r="D225" s="132">
        <f t="shared" si="25"/>
        <v>1.7605633802817007</v>
      </c>
      <c r="E225" s="132">
        <f>-B225*Main!$B$19-2*Main!$B$19*loop_gain!$B$17*loop_gain!$B$18</f>
        <v>-96.726760563380424</v>
      </c>
      <c r="F225" s="132">
        <f>2*Main!$B$19*loop_gain!$B$17*loop_gain!$B$18*Helper_calcs!$B$26*Current_limit!B225</f>
        <v>512.42957746479192</v>
      </c>
      <c r="G225" s="132">
        <f t="shared" si="27"/>
        <v>5.9398896446926148</v>
      </c>
      <c r="H225" s="132">
        <f>(Main!$B$19-Current_limit!G225)*Current_limit!G225/(Main!$B$19*loop_gain!$B$17*loop_gain!$B$18)</f>
        <v>0.952285363629228</v>
      </c>
      <c r="I225" s="132">
        <f t="shared" si="28"/>
        <v>2.8977146363707709</v>
      </c>
      <c r="J225" s="132"/>
      <c r="K225" s="133">
        <f>IF(A225&gt;$B$15,IF(I225&gt;Helper_calcs!$B$27,23,3),0)</f>
        <v>0</v>
      </c>
      <c r="L225">
        <f t="shared" si="26"/>
        <v>0</v>
      </c>
      <c r="M225">
        <f t="shared" si="29"/>
        <v>0</v>
      </c>
      <c r="N225" s="132">
        <f t="shared" si="30"/>
        <v>2.839999999999983</v>
      </c>
      <c r="O225" s="132">
        <f t="shared" si="31"/>
        <v>5</v>
      </c>
      <c r="P225" s="134">
        <f>IF(OR(M225=0,M225=3),loop_gain!$B$18,IF(Current_limit!M225=1,Current_limit!$B$12/(2*(Current_limit!N225-Helper_calcs!$B$27)),IF(OR(M225=2,M225=23),(Main!$B$19-Current_limit!O225)*Current_limit!O225/(Main!$B$19*loop_gain!$B$17*(Helper_calcs!$B$26-Helper_calcs!$B$27)),x)))</f>
        <v>2100000</v>
      </c>
      <c r="Q225" s="132"/>
    </row>
    <row r="226" spans="1:17" x14ac:dyDescent="0.3">
      <c r="A226">
        <f t="shared" si="32"/>
        <v>2.8499999999999828</v>
      </c>
      <c r="B226">
        <f>Main!$B$20/A226</f>
        <v>1.7543859649122913</v>
      </c>
      <c r="D226" s="132">
        <f t="shared" si="25"/>
        <v>1.7543859649122913</v>
      </c>
      <c r="E226" s="132">
        <f>-B226*Main!$B$19-2*Main!$B$19*loop_gain!$B$17*loop_gain!$B$18</f>
        <v>-96.652631578947506</v>
      </c>
      <c r="F226" s="132">
        <f>2*Main!$B$19*loop_gain!$B$17*loop_gain!$B$18*Helper_calcs!$B$26*Current_limit!B226</f>
        <v>510.63157894737162</v>
      </c>
      <c r="G226" s="132">
        <f t="shared" si="27"/>
        <v>5.9191158971062494</v>
      </c>
      <c r="H226" s="132">
        <f>(Main!$B$19-Current_limit!G226)*Current_limit!G226/(Main!$B$19*loop_gain!$B$17*loop_gain!$B$18)</f>
        <v>0.9522078772989172</v>
      </c>
      <c r="I226" s="132">
        <f t="shared" si="28"/>
        <v>2.897792122701083</v>
      </c>
      <c r="J226" s="132"/>
      <c r="K226" s="133">
        <f>IF(A226&gt;$B$15,IF(I226&gt;Helper_calcs!$B$27,23,3),0)</f>
        <v>0</v>
      </c>
      <c r="L226">
        <f t="shared" si="26"/>
        <v>0</v>
      </c>
      <c r="M226">
        <f t="shared" si="29"/>
        <v>0</v>
      </c>
      <c r="N226" s="132">
        <f t="shared" si="30"/>
        <v>2.8499999999999828</v>
      </c>
      <c r="O226" s="132">
        <f t="shared" si="31"/>
        <v>5</v>
      </c>
      <c r="P226" s="134">
        <f>IF(OR(M226=0,M226=3),loop_gain!$B$18,IF(Current_limit!M226=1,Current_limit!$B$12/(2*(Current_limit!N226-Helper_calcs!$B$27)),IF(OR(M226=2,M226=23),(Main!$B$19-Current_limit!O226)*Current_limit!O226/(Main!$B$19*loop_gain!$B$17*(Helper_calcs!$B$26-Helper_calcs!$B$27)),x)))</f>
        <v>2100000</v>
      </c>
      <c r="Q226" s="132"/>
    </row>
    <row r="227" spans="1:17" x14ac:dyDescent="0.3">
      <c r="A227">
        <f t="shared" si="32"/>
        <v>2.8599999999999826</v>
      </c>
      <c r="B227">
        <f>Main!$B$20/A227</f>
        <v>1.748251748251759</v>
      </c>
      <c r="D227" s="132">
        <f t="shared" si="25"/>
        <v>1.748251748251759</v>
      </c>
      <c r="E227" s="132">
        <f>-B227*Main!$B$19-2*Main!$B$19*loop_gain!$B$17*loop_gain!$B$18</f>
        <v>-96.579020979021124</v>
      </c>
      <c r="F227" s="132">
        <f>2*Main!$B$19*loop_gain!$B$17*loop_gain!$B$18*Helper_calcs!$B$26*Current_limit!B227</f>
        <v>508.84615384615705</v>
      </c>
      <c r="G227" s="132">
        <f t="shared" si="27"/>
        <v>5.8985066070230578</v>
      </c>
      <c r="H227" s="132">
        <f>(Main!$B$19-Current_limit!G227)*Current_limit!G227/(Main!$B$19*loop_gain!$B$17*loop_gain!$B$18)</f>
        <v>0.95210844156566199</v>
      </c>
      <c r="I227" s="132">
        <f t="shared" si="28"/>
        <v>2.8978915584343374</v>
      </c>
      <c r="J227" s="132"/>
      <c r="K227" s="133">
        <f>IF(A227&gt;$B$15,IF(I227&gt;Helper_calcs!$B$27,23,3),0)</f>
        <v>0</v>
      </c>
      <c r="L227">
        <f t="shared" si="26"/>
        <v>0</v>
      </c>
      <c r="M227">
        <f t="shared" si="29"/>
        <v>0</v>
      </c>
      <c r="N227" s="132">
        <f t="shared" si="30"/>
        <v>2.8599999999999826</v>
      </c>
      <c r="O227" s="132">
        <f t="shared" si="31"/>
        <v>5</v>
      </c>
      <c r="P227" s="134">
        <f>IF(OR(M227=0,M227=3),loop_gain!$B$18,IF(Current_limit!M227=1,Current_limit!$B$12/(2*(Current_limit!N227-Helper_calcs!$B$27)),IF(OR(M227=2,M227=23),(Main!$B$19-Current_limit!O227)*Current_limit!O227/(Main!$B$19*loop_gain!$B$17*(Helper_calcs!$B$26-Helper_calcs!$B$27)),x)))</f>
        <v>2100000</v>
      </c>
      <c r="Q227" s="132"/>
    </row>
    <row r="228" spans="1:17" x14ac:dyDescent="0.3">
      <c r="A228">
        <f t="shared" si="32"/>
        <v>2.8699999999999823</v>
      </c>
      <c r="B228">
        <f>Main!$B$20/A228</f>
        <v>1.7421602787456554</v>
      </c>
      <c r="D228" s="132">
        <f t="shared" si="25"/>
        <v>1.7421602787456554</v>
      </c>
      <c r="E228" s="132">
        <f>-B228*Main!$B$19-2*Main!$B$19*loop_gain!$B$17*loop_gain!$B$18</f>
        <v>-96.505923344947874</v>
      </c>
      <c r="F228" s="132">
        <f>2*Main!$B$19*loop_gain!$B$17*loop_gain!$B$18*Helper_calcs!$B$26*Current_limit!B228</f>
        <v>507.07317073171055</v>
      </c>
      <c r="G228" s="132">
        <f t="shared" si="27"/>
        <v>5.8780595989668187</v>
      </c>
      <c r="H228" s="132">
        <f>(Main!$B$19-Current_limit!G228)*Current_limit!G228/(Main!$B$19*loop_gain!$B$17*loop_gain!$B$18)</f>
        <v>0.95198758038613396</v>
      </c>
      <c r="I228" s="132">
        <f t="shared" si="28"/>
        <v>2.8980124196138664</v>
      </c>
      <c r="J228" s="132"/>
      <c r="K228" s="133">
        <f>IF(A228&gt;$B$15,IF(I228&gt;Helper_calcs!$B$27,23,3),0)</f>
        <v>0</v>
      </c>
      <c r="L228">
        <f t="shared" si="26"/>
        <v>0</v>
      </c>
      <c r="M228">
        <f t="shared" si="29"/>
        <v>0</v>
      </c>
      <c r="N228" s="132">
        <f t="shared" si="30"/>
        <v>2.8699999999999823</v>
      </c>
      <c r="O228" s="132">
        <f t="shared" si="31"/>
        <v>5</v>
      </c>
      <c r="P228" s="134">
        <f>IF(OR(M228=0,M228=3),loop_gain!$B$18,IF(Current_limit!M228=1,Current_limit!$B$12/(2*(Current_limit!N228-Helper_calcs!$B$27)),IF(OR(M228=2,M228=23),(Main!$B$19-Current_limit!O228)*Current_limit!O228/(Main!$B$19*loop_gain!$B$17*(Helper_calcs!$B$26-Helper_calcs!$B$27)),x)))</f>
        <v>2100000</v>
      </c>
      <c r="Q228" s="132"/>
    </row>
    <row r="229" spans="1:17" x14ac:dyDescent="0.3">
      <c r="A229">
        <f t="shared" si="32"/>
        <v>2.8799999999999821</v>
      </c>
      <c r="B229">
        <f>Main!$B$20/A229</f>
        <v>1.7361111111111218</v>
      </c>
      <c r="D229" s="132">
        <f t="shared" si="25"/>
        <v>1.7361111111111218</v>
      </c>
      <c r="E229" s="132">
        <f>-B229*Main!$B$19-2*Main!$B$19*loop_gain!$B$17*loop_gain!$B$18</f>
        <v>-96.433333333333479</v>
      </c>
      <c r="F229" s="132">
        <f>2*Main!$B$19*loop_gain!$B$17*loop_gain!$B$18*Helper_calcs!$B$26*Current_limit!B229</f>
        <v>505.31250000000324</v>
      </c>
      <c r="G229" s="132">
        <f t="shared" si="27"/>
        <v>5.8577727392367045</v>
      </c>
      <c r="H229" s="132">
        <f>(Main!$B$19-Current_limit!G229)*Current_limit!G229/(Main!$B$19*loop_gain!$B$17*loop_gain!$B$18)</f>
        <v>0.95184580439935884</v>
      </c>
      <c r="I229" s="132">
        <f t="shared" si="28"/>
        <v>2.8981541956006414</v>
      </c>
      <c r="J229" s="132"/>
      <c r="K229" s="133">
        <f>IF(A229&gt;$B$15,IF(I229&gt;Helper_calcs!$B$27,23,3),0)</f>
        <v>0</v>
      </c>
      <c r="L229">
        <f t="shared" si="26"/>
        <v>0</v>
      </c>
      <c r="M229">
        <f t="shared" si="29"/>
        <v>0</v>
      </c>
      <c r="N229" s="132">
        <f t="shared" si="30"/>
        <v>2.8799999999999821</v>
      </c>
      <c r="O229" s="132">
        <f t="shared" si="31"/>
        <v>5</v>
      </c>
      <c r="P229" s="134">
        <f>IF(OR(M229=0,M229=3),loop_gain!$B$18,IF(Current_limit!M229=1,Current_limit!$B$12/(2*(Current_limit!N229-Helper_calcs!$B$27)),IF(OR(M229=2,M229=23),(Main!$B$19-Current_limit!O229)*Current_limit!O229/(Main!$B$19*loop_gain!$B$17*(Helper_calcs!$B$26-Helper_calcs!$B$27)),x)))</f>
        <v>2100000</v>
      </c>
      <c r="Q229" s="132"/>
    </row>
    <row r="230" spans="1:17" x14ac:dyDescent="0.3">
      <c r="A230">
        <f t="shared" si="32"/>
        <v>2.8899999999999819</v>
      </c>
      <c r="B230">
        <f>Main!$B$20/A230</f>
        <v>1.7301038062283844</v>
      </c>
      <c r="D230" s="132">
        <f t="shared" si="25"/>
        <v>1.7301038062283844</v>
      </c>
      <c r="E230" s="132">
        <f>-B230*Main!$B$19-2*Main!$B$19*loop_gain!$B$17*loop_gain!$B$18</f>
        <v>-96.361245674740616</v>
      </c>
      <c r="F230" s="132">
        <f>2*Main!$B$19*loop_gain!$B$17*loop_gain!$B$18*Helper_calcs!$B$26*Current_limit!B230</f>
        <v>503.5640138408337</v>
      </c>
      <c r="G230" s="132">
        <f t="shared" si="27"/>
        <v>5.8376439348395319</v>
      </c>
      <c r="H230" s="132">
        <f>(Main!$B$19-Current_limit!G230)*Current_limit!G230/(Main!$B$19*loop_gain!$B$17*loop_gain!$B$18)</f>
        <v>0.95168361132554513</v>
      </c>
      <c r="I230" s="132">
        <f t="shared" si="28"/>
        <v>2.8983163886744561</v>
      </c>
      <c r="J230" s="132"/>
      <c r="K230" s="133">
        <f>IF(A230&gt;$B$15,IF(I230&gt;Helper_calcs!$B$27,23,3),0)</f>
        <v>0</v>
      </c>
      <c r="L230">
        <f t="shared" si="26"/>
        <v>0</v>
      </c>
      <c r="M230">
        <f t="shared" si="29"/>
        <v>0</v>
      </c>
      <c r="N230" s="132">
        <f t="shared" si="30"/>
        <v>2.8899999999999819</v>
      </c>
      <c r="O230" s="132">
        <f t="shared" si="31"/>
        <v>5</v>
      </c>
      <c r="P230" s="134">
        <f>IF(OR(M230=0,M230=3),loop_gain!$B$18,IF(Current_limit!M230=1,Current_limit!$B$12/(2*(Current_limit!N230-Helper_calcs!$B$27)),IF(OR(M230=2,M230=23),(Main!$B$19-Current_limit!O230)*Current_limit!O230/(Main!$B$19*loop_gain!$B$17*(Helper_calcs!$B$26-Helper_calcs!$B$27)),x)))</f>
        <v>2100000</v>
      </c>
      <c r="Q230" s="132"/>
    </row>
    <row r="231" spans="1:17" x14ac:dyDescent="0.3">
      <c r="A231">
        <f t="shared" si="32"/>
        <v>2.8999999999999817</v>
      </c>
      <c r="B231">
        <f>Main!$B$20/A231</f>
        <v>1.7241379310344935</v>
      </c>
      <c r="D231" s="132">
        <f t="shared" si="25"/>
        <v>1.7241379310344935</v>
      </c>
      <c r="E231" s="132">
        <f>-B231*Main!$B$19-2*Main!$B$19*loop_gain!$B$17*loop_gain!$B$18</f>
        <v>-96.28965517241393</v>
      </c>
      <c r="F231" s="132">
        <f>2*Main!$B$19*loop_gain!$B$17*loop_gain!$B$18*Helper_calcs!$B$26*Current_limit!B231</f>
        <v>501.82758620689981</v>
      </c>
      <c r="G231" s="132">
        <f t="shared" si="27"/>
        <v>5.8176711324562458</v>
      </c>
      <c r="H231" s="132">
        <f>(Main!$B$19-Current_limit!G231)*Current_limit!G231/(Main!$B$19*loop_gain!$B$17*loop_gain!$B$18)</f>
        <v>0.95150148635079912</v>
      </c>
      <c r="I231" s="132">
        <f t="shared" si="28"/>
        <v>2.8984985136492019</v>
      </c>
      <c r="J231" s="132"/>
      <c r="K231" s="133">
        <f>IF(A231&gt;$B$15,IF(I231&gt;Helper_calcs!$B$27,23,3),0)</f>
        <v>0</v>
      </c>
      <c r="L231">
        <f t="shared" si="26"/>
        <v>0</v>
      </c>
      <c r="M231">
        <f t="shared" si="29"/>
        <v>0</v>
      </c>
      <c r="N231" s="132">
        <f t="shared" si="30"/>
        <v>2.8999999999999817</v>
      </c>
      <c r="O231" s="132">
        <f t="shared" si="31"/>
        <v>5</v>
      </c>
      <c r="P231" s="134">
        <f>IF(OR(M231=0,M231=3),loop_gain!$B$18,IF(Current_limit!M231=1,Current_limit!$B$12/(2*(Current_limit!N231-Helper_calcs!$B$27)),IF(OR(M231=2,M231=23),(Main!$B$19-Current_limit!O231)*Current_limit!O231/(Main!$B$19*loop_gain!$B$17*(Helper_calcs!$B$26-Helper_calcs!$B$27)),x)))</f>
        <v>2100000</v>
      </c>
      <c r="Q231" s="132"/>
    </row>
    <row r="232" spans="1:17" x14ac:dyDescent="0.3">
      <c r="A232">
        <f t="shared" si="32"/>
        <v>2.9099999999999815</v>
      </c>
      <c r="B232">
        <f>Main!$B$20/A232</f>
        <v>1.718213058419255</v>
      </c>
      <c r="D232" s="132">
        <f t="shared" si="25"/>
        <v>1.718213058419255</v>
      </c>
      <c r="E232" s="132">
        <f>-B232*Main!$B$19-2*Main!$B$19*loop_gain!$B$17*loop_gain!$B$18</f>
        <v>-96.218556701031076</v>
      </c>
      <c r="F232" s="132">
        <f>2*Main!$B$19*loop_gain!$B$17*loop_gain!$B$18*Helper_calcs!$B$26*Current_limit!B232</f>
        <v>500.10309278350843</v>
      </c>
      <c r="G232" s="132">
        <f t="shared" si="27"/>
        <v>5.7978523174413512</v>
      </c>
      <c r="H232" s="132">
        <f>(Main!$B$19-Current_limit!G232)*Current_limit!G232/(Main!$B$19*loop_gain!$B$17*loop_gain!$B$18)</f>
        <v>0.95129990249831109</v>
      </c>
      <c r="I232" s="132">
        <f t="shared" si="28"/>
        <v>2.8987000975016892</v>
      </c>
      <c r="J232" s="132"/>
      <c r="K232" s="133">
        <f>IF(A232&gt;$B$15,IF(I232&gt;Helper_calcs!$B$27,23,3),0)</f>
        <v>0</v>
      </c>
      <c r="L232">
        <f t="shared" si="26"/>
        <v>0</v>
      </c>
      <c r="M232">
        <f t="shared" si="29"/>
        <v>0</v>
      </c>
      <c r="N232" s="132">
        <f t="shared" si="30"/>
        <v>2.9099999999999815</v>
      </c>
      <c r="O232" s="132">
        <f t="shared" si="31"/>
        <v>5</v>
      </c>
      <c r="P232" s="134">
        <f>IF(OR(M232=0,M232=3),loop_gain!$B$18,IF(Current_limit!M232=1,Current_limit!$B$12/(2*(Current_limit!N232-Helper_calcs!$B$27)),IF(OR(M232=2,M232=23),(Main!$B$19-Current_limit!O232)*Current_limit!O232/(Main!$B$19*loop_gain!$B$17*(Helper_calcs!$B$26-Helper_calcs!$B$27)),x)))</f>
        <v>2100000</v>
      </c>
      <c r="Q232" s="132"/>
    </row>
    <row r="233" spans="1:17" x14ac:dyDescent="0.3">
      <c r="A233">
        <f t="shared" si="32"/>
        <v>2.9199999999999813</v>
      </c>
      <c r="B233">
        <f>Main!$B$20/A233</f>
        <v>1.7123287671232987</v>
      </c>
      <c r="D233" s="132">
        <f t="shared" si="25"/>
        <v>1.7123287671232987</v>
      </c>
      <c r="E233" s="132">
        <f>-B233*Main!$B$19-2*Main!$B$19*loop_gain!$B$17*loop_gain!$B$18</f>
        <v>-96.147945205479601</v>
      </c>
      <c r="F233" s="132">
        <f>2*Main!$B$19*loop_gain!$B$17*loop_gain!$B$18*Helper_calcs!$B$26*Current_limit!B233</f>
        <v>498.39041095890741</v>
      </c>
      <c r="G233" s="132">
        <f t="shared" si="27"/>
        <v>5.7781855128540043</v>
      </c>
      <c r="H233" s="132">
        <f>(Main!$B$19-Current_limit!G233)*Current_limit!G233/(Main!$B$19*loop_gain!$B$17*loop_gain!$B$18)</f>
        <v>0.95107932098656489</v>
      </c>
      <c r="I233" s="132">
        <f t="shared" si="28"/>
        <v>2.8989206790134343</v>
      </c>
      <c r="J233" s="132"/>
      <c r="K233" s="133">
        <f>IF(A233&gt;$B$15,IF(I233&gt;Helper_calcs!$B$27,23,3),0)</f>
        <v>0</v>
      </c>
      <c r="L233">
        <f t="shared" si="26"/>
        <v>0</v>
      </c>
      <c r="M233">
        <f t="shared" si="29"/>
        <v>0</v>
      </c>
      <c r="N233" s="132">
        <f t="shared" si="30"/>
        <v>2.9199999999999813</v>
      </c>
      <c r="O233" s="132">
        <f t="shared" si="31"/>
        <v>5</v>
      </c>
      <c r="P233" s="134">
        <f>IF(OR(M233=0,M233=3),loop_gain!$B$18,IF(Current_limit!M233=1,Current_limit!$B$12/(2*(Current_limit!N233-Helper_calcs!$B$27)),IF(OR(M233=2,M233=23),(Main!$B$19-Current_limit!O233)*Current_limit!O233/(Main!$B$19*loop_gain!$B$17*(Helper_calcs!$B$26-Helper_calcs!$B$27)),x)))</f>
        <v>2100000</v>
      </c>
      <c r="Q233" s="132"/>
    </row>
    <row r="234" spans="1:17" x14ac:dyDescent="0.3">
      <c r="A234">
        <f t="shared" si="32"/>
        <v>2.9299999999999811</v>
      </c>
      <c r="B234">
        <f>Main!$B$20/A234</f>
        <v>1.7064846416382362</v>
      </c>
      <c r="D234" s="132">
        <f t="shared" si="25"/>
        <v>1.7064846416382362</v>
      </c>
      <c r="E234" s="132">
        <f>-B234*Main!$B$19-2*Main!$B$19*loop_gain!$B$17*loop_gain!$B$18</f>
        <v>-96.077815699658842</v>
      </c>
      <c r="F234" s="132">
        <f>2*Main!$B$19*loop_gain!$B$17*loop_gain!$B$18*Helper_calcs!$B$26*Current_limit!B234</f>
        <v>496.68941979522515</v>
      </c>
      <c r="G234" s="132">
        <f t="shared" si="27"/>
        <v>5.7586687785195751</v>
      </c>
      <c r="H234" s="132">
        <f>(Main!$B$19-Current_limit!G234)*Current_limit!G234/(Main!$B$19*loop_gain!$B$17*loop_gain!$B$18)</f>
        <v>0.95084019157509958</v>
      </c>
      <c r="I234" s="132">
        <f t="shared" si="28"/>
        <v>2.8991598084249</v>
      </c>
      <c r="J234" s="132"/>
      <c r="K234" s="133">
        <f>IF(A234&gt;$B$15,IF(I234&gt;Helper_calcs!$B$27,23,3),0)</f>
        <v>0</v>
      </c>
      <c r="L234">
        <f t="shared" si="26"/>
        <v>0</v>
      </c>
      <c r="M234">
        <f t="shared" si="29"/>
        <v>0</v>
      </c>
      <c r="N234" s="132">
        <f t="shared" si="30"/>
        <v>2.9299999999999811</v>
      </c>
      <c r="O234" s="132">
        <f t="shared" si="31"/>
        <v>5</v>
      </c>
      <c r="P234" s="134">
        <f>IF(OR(M234=0,M234=3),loop_gain!$B$18,IF(Current_limit!M234=1,Current_limit!$B$12/(2*(Current_limit!N234-Helper_calcs!$B$27)),IF(OR(M234=2,M234=23),(Main!$B$19-Current_limit!O234)*Current_limit!O234/(Main!$B$19*loop_gain!$B$17*(Helper_calcs!$B$26-Helper_calcs!$B$27)),x)))</f>
        <v>2100000</v>
      </c>
      <c r="Q234" s="132"/>
    </row>
    <row r="235" spans="1:17" x14ac:dyDescent="0.3">
      <c r="A235">
        <f t="shared" si="32"/>
        <v>2.9399999999999809</v>
      </c>
      <c r="B235">
        <f>Main!$B$20/A235</f>
        <v>1.7006802721088545</v>
      </c>
      <c r="D235" s="132">
        <f t="shared" si="25"/>
        <v>1.7006802721088545</v>
      </c>
      <c r="E235" s="132">
        <f>-B235*Main!$B$19-2*Main!$B$19*loop_gain!$B$17*loop_gain!$B$18</f>
        <v>-96.008163265306266</v>
      </c>
      <c r="F235" s="132">
        <f>2*Main!$B$19*loop_gain!$B$17*loop_gain!$B$18*Helper_calcs!$B$26*Current_limit!B235</f>
        <v>495.0000000000033</v>
      </c>
      <c r="G235" s="132">
        <f t="shared" si="27"/>
        <v>5.7393002101205077</v>
      </c>
      <c r="H235" s="132">
        <f>(Main!$B$19-Current_limit!G235)*Current_limit!G235/(Main!$B$19*loop_gain!$B$17*loop_gain!$B$18)</f>
        <v>0.9505829528983275</v>
      </c>
      <c r="I235" s="132">
        <f t="shared" si="28"/>
        <v>2.8994170471016734</v>
      </c>
      <c r="J235" s="132"/>
      <c r="K235" s="133">
        <f>IF(A235&gt;$B$15,IF(I235&gt;Helper_calcs!$B$27,23,3),0)</f>
        <v>0</v>
      </c>
      <c r="L235">
        <f t="shared" si="26"/>
        <v>0</v>
      </c>
      <c r="M235">
        <f t="shared" si="29"/>
        <v>0</v>
      </c>
      <c r="N235" s="132">
        <f t="shared" si="30"/>
        <v>2.9399999999999809</v>
      </c>
      <c r="O235" s="132">
        <f t="shared" si="31"/>
        <v>5</v>
      </c>
      <c r="P235" s="134">
        <f>IF(OR(M235=0,M235=3),loop_gain!$B$18,IF(Current_limit!M235=1,Current_limit!$B$12/(2*(Current_limit!N235-Helper_calcs!$B$27)),IF(OR(M235=2,M235=23),(Main!$B$19-Current_limit!O235)*Current_limit!O235/(Main!$B$19*loop_gain!$B$17*(Helper_calcs!$B$26-Helper_calcs!$B$27)),x)))</f>
        <v>2100000</v>
      </c>
      <c r="Q235" s="132"/>
    </row>
    <row r="236" spans="1:17" x14ac:dyDescent="0.3">
      <c r="A236">
        <f t="shared" si="32"/>
        <v>2.9499999999999806</v>
      </c>
      <c r="B236">
        <f>Main!$B$20/A236</f>
        <v>1.6949152542372992</v>
      </c>
      <c r="D236" s="132">
        <f t="shared" si="25"/>
        <v>1.6949152542372992</v>
      </c>
      <c r="E236" s="132">
        <f>-B236*Main!$B$19-2*Main!$B$19*loop_gain!$B$17*loop_gain!$B$18</f>
        <v>-95.938983050847597</v>
      </c>
      <c r="F236" s="132">
        <f>2*Main!$B$19*loop_gain!$B$17*loop_gain!$B$18*Helper_calcs!$B$26*Current_limit!B236</f>
        <v>493.3220338983084</v>
      </c>
      <c r="G236" s="132">
        <f t="shared" si="27"/>
        <v>5.7200779383153852</v>
      </c>
      <c r="H236" s="132">
        <f>(Main!$B$19-Current_limit!G236)*Current_limit!G236/(Main!$B$19*loop_gain!$B$17*loop_gain!$B$18)</f>
        <v>0.95030803278788967</v>
      </c>
      <c r="I236" s="132">
        <f t="shared" si="28"/>
        <v>2.8996919672121106</v>
      </c>
      <c r="J236" s="132"/>
      <c r="K236" s="133">
        <f>IF(A236&gt;$B$15,IF(I236&gt;Helper_calcs!$B$27,23,3),0)</f>
        <v>0</v>
      </c>
      <c r="L236">
        <f t="shared" si="26"/>
        <v>0</v>
      </c>
      <c r="M236">
        <f t="shared" si="29"/>
        <v>0</v>
      </c>
      <c r="N236" s="132">
        <f t="shared" si="30"/>
        <v>2.9499999999999806</v>
      </c>
      <c r="O236" s="132">
        <f t="shared" si="31"/>
        <v>5</v>
      </c>
      <c r="P236" s="134">
        <f>IF(OR(M236=0,M236=3),loop_gain!$B$18,IF(Current_limit!M236=1,Current_limit!$B$12/(2*(Current_limit!N236-Helper_calcs!$B$27)),IF(OR(M236=2,M236=23),(Main!$B$19-Current_limit!O236)*Current_limit!O236/(Main!$B$19*loop_gain!$B$17*(Helper_calcs!$B$26-Helper_calcs!$B$27)),x)))</f>
        <v>2100000</v>
      </c>
      <c r="Q236" s="132"/>
    </row>
    <row r="237" spans="1:17" x14ac:dyDescent="0.3">
      <c r="A237">
        <f t="shared" si="32"/>
        <v>2.9599999999999804</v>
      </c>
      <c r="B237">
        <f>Main!$B$20/A237</f>
        <v>1.6891891891892004</v>
      </c>
      <c r="D237" s="132">
        <f t="shared" si="25"/>
        <v>1.6891891891892004</v>
      </c>
      <c r="E237" s="132">
        <f>-B237*Main!$B$19-2*Main!$B$19*loop_gain!$B$17*loop_gain!$B$18</f>
        <v>-95.87027027027041</v>
      </c>
      <c r="F237" s="132">
        <f>2*Main!$B$19*loop_gain!$B$17*loop_gain!$B$18*Helper_calcs!$B$26*Current_limit!B237</f>
        <v>491.65540540540877</v>
      </c>
      <c r="G237" s="132">
        <f t="shared" si="27"/>
        <v>5.7010001278851714</v>
      </c>
      <c r="H237" s="132">
        <f>(Main!$B$19-Current_limit!G237)*Current_limit!G237/(Main!$B$19*loop_gain!$B$17*loop_gain!$B$18)</f>
        <v>0.9500158485840029</v>
      </c>
      <c r="I237" s="132">
        <f t="shared" si="28"/>
        <v>2.8999841514159979</v>
      </c>
      <c r="J237" s="132"/>
      <c r="K237" s="133">
        <f>IF(A237&gt;$B$15,IF(I237&gt;Helper_calcs!$B$27,23,3),0)</f>
        <v>0</v>
      </c>
      <c r="L237">
        <f t="shared" si="26"/>
        <v>0</v>
      </c>
      <c r="M237">
        <f t="shared" si="29"/>
        <v>0</v>
      </c>
      <c r="N237" s="132">
        <f t="shared" si="30"/>
        <v>2.9599999999999804</v>
      </c>
      <c r="O237" s="132">
        <f t="shared" si="31"/>
        <v>5</v>
      </c>
      <c r="P237" s="134">
        <f>IF(OR(M237=0,M237=3),loop_gain!$B$18,IF(Current_limit!M237=1,Current_limit!$B$12/(2*(Current_limit!N237-Helper_calcs!$B$27)),IF(OR(M237=2,M237=23),(Main!$B$19-Current_limit!O237)*Current_limit!O237/(Main!$B$19*loop_gain!$B$17*(Helper_calcs!$B$26-Helper_calcs!$B$27)),x)))</f>
        <v>2100000</v>
      </c>
      <c r="Q237" s="132"/>
    </row>
    <row r="238" spans="1:17" x14ac:dyDescent="0.3">
      <c r="A238">
        <f t="shared" si="32"/>
        <v>2.9699999999999802</v>
      </c>
      <c r="B238">
        <f>Main!$B$20/A238</f>
        <v>1.6835016835016947</v>
      </c>
      <c r="D238" s="132">
        <f t="shared" si="25"/>
        <v>1.6835016835016947</v>
      </c>
      <c r="E238" s="132">
        <f>-B238*Main!$B$19-2*Main!$B$19*loop_gain!$B$17*loop_gain!$B$18</f>
        <v>-95.802020202020344</v>
      </c>
      <c r="F238" s="132">
        <f>2*Main!$B$19*loop_gain!$B$17*loop_gain!$B$18*Helper_calcs!$B$26*Current_limit!B238</f>
        <v>490.00000000000335</v>
      </c>
      <c r="G238" s="132">
        <f t="shared" si="27"/>
        <v>5.6820649769055596</v>
      </c>
      <c r="H238" s="132">
        <f>(Main!$B$19-Current_limit!G238)*Current_limit!G238/(Main!$B$19*loop_gain!$B$17*loop_gain!$B$18)</f>
        <v>0.9497068074362417</v>
      </c>
      <c r="I238" s="132">
        <f t="shared" si="28"/>
        <v>2.9002931925637592</v>
      </c>
      <c r="J238" s="132"/>
      <c r="K238" s="133">
        <f>IF(A238&gt;$B$15,IF(I238&gt;Helper_calcs!$B$27,23,3),0)</f>
        <v>0</v>
      </c>
      <c r="L238">
        <f t="shared" si="26"/>
        <v>0</v>
      </c>
      <c r="M238">
        <f t="shared" si="29"/>
        <v>0</v>
      </c>
      <c r="N238" s="132">
        <f t="shared" si="30"/>
        <v>2.9699999999999802</v>
      </c>
      <c r="O238" s="132">
        <f t="shared" si="31"/>
        <v>5</v>
      </c>
      <c r="P238" s="134">
        <f>IF(OR(M238=0,M238=3),loop_gain!$B$18,IF(Current_limit!M238=1,Current_limit!$B$12/(2*(Current_limit!N238-Helper_calcs!$B$27)),IF(OR(M238=2,M238=23),(Main!$B$19-Current_limit!O238)*Current_limit!O238/(Main!$B$19*loop_gain!$B$17*(Helper_calcs!$B$26-Helper_calcs!$B$27)),x)))</f>
        <v>2100000</v>
      </c>
      <c r="Q238" s="132"/>
    </row>
    <row r="239" spans="1:17" x14ac:dyDescent="0.3">
      <c r="A239">
        <f t="shared" si="32"/>
        <v>2.97999999999998</v>
      </c>
      <c r="B239">
        <f>Main!$B$20/A239</f>
        <v>1.6778523489932999</v>
      </c>
      <c r="D239" s="132">
        <f t="shared" si="25"/>
        <v>1.6778523489932999</v>
      </c>
      <c r="E239" s="132">
        <f>-B239*Main!$B$19-2*Main!$B$19*loop_gain!$B$17*loop_gain!$B$18</f>
        <v>-95.734228187919612</v>
      </c>
      <c r="F239" s="132">
        <f>2*Main!$B$19*loop_gain!$B$17*loop_gain!$B$18*Helper_calcs!$B$26*Current_limit!B239</f>
        <v>488.35570469799001</v>
      </c>
      <c r="G239" s="132">
        <f t="shared" si="27"/>
        <v>5.6632707159445257</v>
      </c>
      <c r="H239" s="132">
        <f>(Main!$B$19-Current_limit!G239)*Current_limit!G239/(Main!$B$19*loop_gain!$B$17*loop_gain!$B$18)</f>
        <v>0.9493813065941662</v>
      </c>
      <c r="I239" s="132">
        <f t="shared" si="28"/>
        <v>2.9006186934058316</v>
      </c>
      <c r="J239" s="132"/>
      <c r="K239" s="133">
        <f>IF(A239&gt;$B$15,IF(I239&gt;Helper_calcs!$B$27,23,3),0)</f>
        <v>0</v>
      </c>
      <c r="L239">
        <f t="shared" si="26"/>
        <v>0</v>
      </c>
      <c r="M239">
        <f t="shared" si="29"/>
        <v>0</v>
      </c>
      <c r="N239" s="132">
        <f t="shared" si="30"/>
        <v>2.97999999999998</v>
      </c>
      <c r="O239" s="132">
        <f t="shared" si="31"/>
        <v>5</v>
      </c>
      <c r="P239" s="134">
        <f>IF(OR(M239=0,M239=3),loop_gain!$B$18,IF(Current_limit!M239=1,Current_limit!$B$12/(2*(Current_limit!N239-Helper_calcs!$B$27)),IF(OR(M239=2,M239=23),(Main!$B$19-Current_limit!O239)*Current_limit!O239/(Main!$B$19*loop_gain!$B$17*(Helper_calcs!$B$26-Helper_calcs!$B$27)),x)))</f>
        <v>2100000</v>
      </c>
      <c r="Q239" s="132"/>
    </row>
    <row r="240" spans="1:17" x14ac:dyDescent="0.3">
      <c r="A240">
        <f t="shared" si="32"/>
        <v>2.9899999999999798</v>
      </c>
      <c r="B240">
        <f>Main!$B$20/A240</f>
        <v>1.6722408026755966</v>
      </c>
      <c r="D240" s="132">
        <f t="shared" si="25"/>
        <v>1.6722408026755966</v>
      </c>
      <c r="E240" s="132">
        <f>-B240*Main!$B$19-2*Main!$B$19*loop_gain!$B$17*loop_gain!$B$18</f>
        <v>-95.666889632107171</v>
      </c>
      <c r="F240" s="132">
        <f>2*Main!$B$19*loop_gain!$B$17*loop_gain!$B$18*Helper_calcs!$B$26*Current_limit!B240</f>
        <v>486.72240802675924</v>
      </c>
      <c r="G240" s="132">
        <f t="shared" si="27"/>
        <v>5.6446156072841509</v>
      </c>
      <c r="H240" s="132">
        <f>(Main!$B$19-Current_limit!G240)*Current_limit!G240/(Main!$B$19*loop_gain!$B$17*loop_gain!$B$18)</f>
        <v>0.94903973368820072</v>
      </c>
      <c r="I240" s="132">
        <f t="shared" si="28"/>
        <v>2.9009602663117988</v>
      </c>
      <c r="J240" s="132"/>
      <c r="K240" s="133">
        <f>IF(A240&gt;$B$15,IF(I240&gt;Helper_calcs!$B$27,23,3),0)</f>
        <v>0</v>
      </c>
      <c r="L240">
        <f t="shared" si="26"/>
        <v>0</v>
      </c>
      <c r="M240">
        <f t="shared" si="29"/>
        <v>0</v>
      </c>
      <c r="N240" s="132">
        <f t="shared" si="30"/>
        <v>2.9899999999999798</v>
      </c>
      <c r="O240" s="132">
        <f t="shared" si="31"/>
        <v>5</v>
      </c>
      <c r="P240" s="134">
        <f>IF(OR(M240=0,M240=3),loop_gain!$B$18,IF(Current_limit!M240=1,Current_limit!$B$12/(2*(Current_limit!N240-Helper_calcs!$B$27)),IF(OR(M240=2,M240=23),(Main!$B$19-Current_limit!O240)*Current_limit!O240/(Main!$B$19*loop_gain!$B$17*(Helper_calcs!$B$26-Helper_calcs!$B$27)),x)))</f>
        <v>2100000</v>
      </c>
      <c r="Q240" s="132"/>
    </row>
    <row r="241" spans="1:17" x14ac:dyDescent="0.3">
      <c r="A241">
        <f t="shared" si="32"/>
        <v>2.9999999999999796</v>
      </c>
      <c r="B241">
        <f>Main!$B$20/A241</f>
        <v>1.6666666666666781</v>
      </c>
      <c r="D241" s="132">
        <f t="shared" si="25"/>
        <v>1.6666666666666781</v>
      </c>
      <c r="E241" s="132">
        <f>-B241*Main!$B$19-2*Main!$B$19*loop_gain!$B$17*loop_gain!$B$18</f>
        <v>-95.600000000000136</v>
      </c>
      <c r="F241" s="132">
        <f>2*Main!$B$19*loop_gain!$B$17*loop_gain!$B$18*Helper_calcs!$B$26*Current_limit!B241</f>
        <v>485.10000000000343</v>
      </c>
      <c r="G241" s="132">
        <f t="shared" si="27"/>
        <v>5.6260979441657621</v>
      </c>
      <c r="H241" s="132">
        <f>(Main!$B$19-Current_limit!G241)*Current_limit!G241/(Main!$B$19*loop_gain!$B$17*loop_gain!$B$18)</f>
        <v>0.94868246700113568</v>
      </c>
      <c r="I241" s="132">
        <f t="shared" si="28"/>
        <v>2.9013175329988665</v>
      </c>
      <c r="J241" s="132"/>
      <c r="K241" s="133">
        <f>IF(A241&gt;$B$15,IF(I241&gt;Helper_calcs!$B$27,23,3),0)</f>
        <v>0</v>
      </c>
      <c r="L241">
        <f t="shared" si="26"/>
        <v>0</v>
      </c>
      <c r="M241">
        <f t="shared" si="29"/>
        <v>0</v>
      </c>
      <c r="N241" s="132">
        <f t="shared" si="30"/>
        <v>2.9999999999999796</v>
      </c>
      <c r="O241" s="132">
        <f t="shared" si="31"/>
        <v>5</v>
      </c>
      <c r="P241" s="134">
        <f>IF(OR(M241=0,M241=3),loop_gain!$B$18,IF(Current_limit!M241=1,Current_limit!$B$12/(2*(Current_limit!N241-Helper_calcs!$B$27)),IF(OR(M241=2,M241=23),(Main!$B$19-Current_limit!O241)*Current_limit!O241/(Main!$B$19*loop_gain!$B$17*(Helper_calcs!$B$26-Helper_calcs!$B$27)),x)))</f>
        <v>2100000</v>
      </c>
      <c r="Q241" s="132"/>
    </row>
    <row r="242" spans="1:17" x14ac:dyDescent="0.3">
      <c r="A242">
        <f t="shared" si="32"/>
        <v>3.0099999999999794</v>
      </c>
      <c r="B242">
        <f>Main!$B$20/A242</f>
        <v>1.6611295681063236</v>
      </c>
      <c r="D242" s="132">
        <f t="shared" si="25"/>
        <v>1.6611295681063236</v>
      </c>
      <c r="E242" s="132">
        <f>-B242*Main!$B$19-2*Main!$B$19*loop_gain!$B$17*loop_gain!$B$18</f>
        <v>-95.533554817275899</v>
      </c>
      <c r="F242" s="132">
        <f>2*Main!$B$19*loop_gain!$B$17*loop_gain!$B$18*Helper_calcs!$B$26*Current_limit!B242</f>
        <v>483.48837209302667</v>
      </c>
      <c r="G242" s="132">
        <f t="shared" si="27"/>
        <v>5.6077160500576566</v>
      </c>
      <c r="H242" s="132">
        <f>(Main!$B$19-Current_limit!G242)*Current_limit!G242/(Main!$B$19*loop_gain!$B$17*loop_gain!$B$18)</f>
        <v>0.94830987573062508</v>
      </c>
      <c r="I242" s="132">
        <f t="shared" si="28"/>
        <v>2.9016901242693738</v>
      </c>
      <c r="J242" s="132"/>
      <c r="K242" s="133">
        <f>IF(A242&gt;$B$15,IF(I242&gt;Helper_calcs!$B$27,23,3),0)</f>
        <v>0</v>
      </c>
      <c r="L242">
        <f t="shared" si="26"/>
        <v>0</v>
      </c>
      <c r="M242">
        <f t="shared" si="29"/>
        <v>0</v>
      </c>
      <c r="N242" s="132">
        <f t="shared" si="30"/>
        <v>3.0099999999999794</v>
      </c>
      <c r="O242" s="132">
        <f t="shared" si="31"/>
        <v>5</v>
      </c>
      <c r="P242" s="134">
        <f>IF(OR(M242=0,M242=3),loop_gain!$B$18,IF(Current_limit!M242=1,Current_limit!$B$12/(2*(Current_limit!N242-Helper_calcs!$B$27)),IF(OR(M242=2,M242=23),(Main!$B$19-Current_limit!O242)*Current_limit!O242/(Main!$B$19*loop_gain!$B$17*(Helper_calcs!$B$26-Helper_calcs!$B$27)),x)))</f>
        <v>2100000</v>
      </c>
      <c r="Q242" s="132"/>
    </row>
    <row r="243" spans="1:17" x14ac:dyDescent="0.3">
      <c r="A243">
        <f t="shared" si="32"/>
        <v>3.0199999999999791</v>
      </c>
      <c r="B243">
        <f>Main!$B$20/A243</f>
        <v>1.655629139072859</v>
      </c>
      <c r="D243" s="132">
        <f t="shared" si="25"/>
        <v>1.655629139072859</v>
      </c>
      <c r="E243" s="132">
        <f>-B243*Main!$B$19-2*Main!$B$19*loop_gain!$B$17*loop_gain!$B$18</f>
        <v>-95.467549668874312</v>
      </c>
      <c r="F243" s="132">
        <f>2*Main!$B$19*loop_gain!$B$17*loop_gain!$B$18*Helper_calcs!$B$26*Current_limit!B243</f>
        <v>481.88741721854643</v>
      </c>
      <c r="G243" s="132">
        <f t="shared" si="27"/>
        <v>5.5894682779445573</v>
      </c>
      <c r="H243" s="132">
        <f>(Main!$B$19-Current_limit!G243)*Current_limit!G243/(Main!$B$19*loop_gain!$B$17*loop_gain!$B$18)</f>
        <v>0.94792232024302092</v>
      </c>
      <c r="I243" s="132">
        <f t="shared" si="28"/>
        <v>2.9020776797569789</v>
      </c>
      <c r="J243" s="132"/>
      <c r="K243" s="133">
        <f>IF(A243&gt;$B$15,IF(I243&gt;Helper_calcs!$B$27,23,3),0)</f>
        <v>0</v>
      </c>
      <c r="L243">
        <f t="shared" si="26"/>
        <v>0</v>
      </c>
      <c r="M243">
        <f t="shared" si="29"/>
        <v>0</v>
      </c>
      <c r="N243" s="132">
        <f t="shared" si="30"/>
        <v>3.0199999999999791</v>
      </c>
      <c r="O243" s="132">
        <f t="shared" si="31"/>
        <v>5</v>
      </c>
      <c r="P243" s="134">
        <f>IF(OR(M243=0,M243=3),loop_gain!$B$18,IF(Current_limit!M243=1,Current_limit!$B$12/(2*(Current_limit!N243-Helper_calcs!$B$27)),IF(OR(M243=2,M243=23),(Main!$B$19-Current_limit!O243)*Current_limit!O243/(Main!$B$19*loop_gain!$B$17*(Helper_calcs!$B$26-Helper_calcs!$B$27)),x)))</f>
        <v>2100000</v>
      </c>
      <c r="Q243" s="132"/>
    </row>
    <row r="244" spans="1:17" x14ac:dyDescent="0.3">
      <c r="A244">
        <f t="shared" si="32"/>
        <v>3.0299999999999789</v>
      </c>
      <c r="B244">
        <f>Main!$B$20/A244</f>
        <v>1.6501650165016617</v>
      </c>
      <c r="D244" s="132">
        <f t="shared" si="25"/>
        <v>1.6501650165016617</v>
      </c>
      <c r="E244" s="132">
        <f>-B244*Main!$B$19-2*Main!$B$19*loop_gain!$B$17*loop_gain!$B$18</f>
        <v>-95.401980198019942</v>
      </c>
      <c r="F244" s="132">
        <f>2*Main!$B$19*loop_gain!$B$17*loop_gain!$B$18*Helper_calcs!$B$26*Current_limit!B244</f>
        <v>480.29702970297376</v>
      </c>
      <c r="G244" s="132">
        <f t="shared" si="27"/>
        <v>5.5713530096379271</v>
      </c>
      <c r="H244" s="132">
        <f>(Main!$B$19-Current_limit!G244)*Current_limit!G244/(Main!$B$19*loop_gain!$B$17*loop_gain!$B$18)</f>
        <v>0.94752015231887654</v>
      </c>
      <c r="I244" s="132">
        <f t="shared" si="28"/>
        <v>2.9024798476811218</v>
      </c>
      <c r="J244" s="132"/>
      <c r="K244" s="133">
        <f>IF(A244&gt;$B$15,IF(I244&gt;Helper_calcs!$B$27,23,3),0)</f>
        <v>0</v>
      </c>
      <c r="L244">
        <f t="shared" si="26"/>
        <v>0</v>
      </c>
      <c r="M244">
        <f t="shared" si="29"/>
        <v>0</v>
      </c>
      <c r="N244" s="132">
        <f t="shared" si="30"/>
        <v>3.0299999999999789</v>
      </c>
      <c r="O244" s="132">
        <f t="shared" si="31"/>
        <v>5</v>
      </c>
      <c r="P244" s="134">
        <f>IF(OR(M244=0,M244=3),loop_gain!$B$18,IF(Current_limit!M244=1,Current_limit!$B$12/(2*(Current_limit!N244-Helper_calcs!$B$27)),IF(OR(M244=2,M244=23),(Main!$B$19-Current_limit!O244)*Current_limit!O244/(Main!$B$19*loop_gain!$B$17*(Helper_calcs!$B$26-Helper_calcs!$B$27)),x)))</f>
        <v>2100000</v>
      </c>
      <c r="Q244" s="132"/>
    </row>
    <row r="245" spans="1:17" x14ac:dyDescent="0.3">
      <c r="A245">
        <f t="shared" si="32"/>
        <v>3.0399999999999787</v>
      </c>
      <c r="B245">
        <f>Main!$B$20/A245</f>
        <v>1.6447368421052746</v>
      </c>
      <c r="D245" s="132">
        <f t="shared" si="25"/>
        <v>1.6447368421052746</v>
      </c>
      <c r="E245" s="132">
        <f>-B245*Main!$B$19-2*Main!$B$19*loop_gain!$B$17*loop_gain!$B$18</f>
        <v>-95.336842105263301</v>
      </c>
      <c r="F245" s="132">
        <f>2*Main!$B$19*loop_gain!$B$17*loop_gain!$B$18*Helper_calcs!$B$26*Current_limit!B245</f>
        <v>478.71710526316133</v>
      </c>
      <c r="G245" s="132">
        <f t="shared" si="27"/>
        <v>5.5533686551065831</v>
      </c>
      <c r="H245" s="132">
        <f>(Main!$B$19-Current_limit!G245)*Current_limit!G245/(Main!$B$19*loop_gain!$B$17*loop_gain!$B$18)</f>
        <v>0.94710371539044169</v>
      </c>
      <c r="I245" s="132">
        <f t="shared" si="28"/>
        <v>2.9028962846095583</v>
      </c>
      <c r="J245" s="132"/>
      <c r="K245" s="133">
        <f>IF(A245&gt;$B$15,IF(I245&gt;Helper_calcs!$B$27,23,3),0)</f>
        <v>0</v>
      </c>
      <c r="L245">
        <f t="shared" si="26"/>
        <v>0</v>
      </c>
      <c r="M245">
        <f t="shared" si="29"/>
        <v>0</v>
      </c>
      <c r="N245" s="132">
        <f t="shared" si="30"/>
        <v>3.0399999999999787</v>
      </c>
      <c r="O245" s="132">
        <f t="shared" si="31"/>
        <v>5</v>
      </c>
      <c r="P245" s="134">
        <f>IF(OR(M245=0,M245=3),loop_gain!$B$18,IF(Current_limit!M245=1,Current_limit!$B$12/(2*(Current_limit!N245-Helper_calcs!$B$27)),IF(OR(M245=2,M245=23),(Main!$B$19-Current_limit!O245)*Current_limit!O245/(Main!$B$19*loop_gain!$B$17*(Helper_calcs!$B$26-Helper_calcs!$B$27)),x)))</f>
        <v>2100000</v>
      </c>
      <c r="Q245" s="132"/>
    </row>
    <row r="246" spans="1:17" x14ac:dyDescent="0.3">
      <c r="A246">
        <f t="shared" si="32"/>
        <v>3.0499999999999785</v>
      </c>
      <c r="B246">
        <f>Main!$B$20/A246</f>
        <v>1.6393442622950936</v>
      </c>
      <c r="D246" s="132">
        <f t="shared" si="25"/>
        <v>1.6393442622950936</v>
      </c>
      <c r="E246" s="132">
        <f>-B246*Main!$B$19-2*Main!$B$19*loop_gain!$B$17*loop_gain!$B$18</f>
        <v>-95.272131147541131</v>
      </c>
      <c r="F246" s="132">
        <f>2*Main!$B$19*loop_gain!$B$17*loop_gain!$B$18*Helper_calcs!$B$26*Current_limit!B246</f>
        <v>477.14754098361004</v>
      </c>
      <c r="G246" s="132">
        <f t="shared" si="27"/>
        <v>5.5355136518267223</v>
      </c>
      <c r="H246" s="132">
        <f>(Main!$B$19-Current_limit!G246)*Current_limit!G246/(Main!$B$19*loop_gain!$B$17*loop_gain!$B$18)</f>
        <v>0.94667334477144571</v>
      </c>
      <c r="I246" s="132">
        <f t="shared" si="28"/>
        <v>2.9033266552285539</v>
      </c>
      <c r="J246" s="132"/>
      <c r="K246" s="133">
        <f>IF(A246&gt;$B$15,IF(I246&gt;Helper_calcs!$B$27,23,3),0)</f>
        <v>0</v>
      </c>
      <c r="L246">
        <f t="shared" si="26"/>
        <v>0</v>
      </c>
      <c r="M246">
        <f t="shared" si="29"/>
        <v>0</v>
      </c>
      <c r="N246" s="132">
        <f t="shared" si="30"/>
        <v>3.0499999999999785</v>
      </c>
      <c r="O246" s="132">
        <f t="shared" si="31"/>
        <v>5</v>
      </c>
      <c r="P246" s="134">
        <f>IF(OR(M246=0,M246=3),loop_gain!$B$18,IF(Current_limit!M246=1,Current_limit!$B$12/(2*(Current_limit!N246-Helper_calcs!$B$27)),IF(OR(M246=2,M246=23),(Main!$B$19-Current_limit!O246)*Current_limit!O246/(Main!$B$19*loop_gain!$B$17*(Helper_calcs!$B$26-Helper_calcs!$B$27)),x)))</f>
        <v>2100000</v>
      </c>
      <c r="Q246" s="132"/>
    </row>
    <row r="247" spans="1:17" x14ac:dyDescent="0.3">
      <c r="A247">
        <f t="shared" si="32"/>
        <v>3.0599999999999783</v>
      </c>
      <c r="B247">
        <f>Main!$B$20/A247</f>
        <v>1.6339869281045867</v>
      </c>
      <c r="D247" s="132">
        <f t="shared" si="25"/>
        <v>1.6339869281045867</v>
      </c>
      <c r="E247" s="132">
        <f>-B247*Main!$B$19-2*Main!$B$19*loop_gain!$B$17*loop_gain!$B$18</f>
        <v>-95.207843137255054</v>
      </c>
      <c r="F247" s="132">
        <f>2*Main!$B$19*loop_gain!$B$17*loop_gain!$B$18*Helper_calcs!$B$26*Current_limit!B247</f>
        <v>475.58823529412109</v>
      </c>
      <c r="G247" s="132">
        <f t="shared" si="27"/>
        <v>5.5177864641508023</v>
      </c>
      <c r="H247" s="132">
        <f>(Main!$B$19-Current_limit!G247)*Current_limit!G247/(Main!$B$19*loop_gain!$B$17*loop_gain!$B$18)</f>
        <v>0.94622936787946588</v>
      </c>
      <c r="I247" s="132">
        <f t="shared" si="28"/>
        <v>2.9037706321205343</v>
      </c>
      <c r="J247" s="132"/>
      <c r="K247" s="133">
        <f>IF(A247&gt;$B$15,IF(I247&gt;Helper_calcs!$B$27,23,3),0)</f>
        <v>0</v>
      </c>
      <c r="L247">
        <f t="shared" si="26"/>
        <v>0</v>
      </c>
      <c r="M247">
        <f t="shared" si="29"/>
        <v>0</v>
      </c>
      <c r="N247" s="132">
        <f t="shared" si="30"/>
        <v>3.0599999999999783</v>
      </c>
      <c r="O247" s="132">
        <f t="shared" si="31"/>
        <v>5</v>
      </c>
      <c r="P247" s="134">
        <f>IF(OR(M247=0,M247=3),loop_gain!$B$18,IF(Current_limit!M247=1,Current_limit!$B$12/(2*(Current_limit!N247-Helper_calcs!$B$27)),IF(OR(M247=2,M247=23),(Main!$B$19-Current_limit!O247)*Current_limit!O247/(Main!$B$19*loop_gain!$B$17*(Helper_calcs!$B$26-Helper_calcs!$B$27)),x)))</f>
        <v>2100000</v>
      </c>
      <c r="Q247" s="132"/>
    </row>
    <row r="248" spans="1:17" x14ac:dyDescent="0.3">
      <c r="A248">
        <f t="shared" si="32"/>
        <v>3.0699999999999781</v>
      </c>
      <c r="B248">
        <f>Main!$B$20/A248</f>
        <v>1.6286644951140181</v>
      </c>
      <c r="D248" s="132">
        <f t="shared" si="25"/>
        <v>1.6286644951140181</v>
      </c>
      <c r="E248" s="132">
        <f>-B248*Main!$B$19-2*Main!$B$19*loop_gain!$B$17*loop_gain!$B$18</f>
        <v>-95.14397394136823</v>
      </c>
      <c r="F248" s="132">
        <f>2*Main!$B$19*loop_gain!$B$17*loop_gain!$B$18*Helper_calcs!$B$26*Current_limit!B248</f>
        <v>474.03908794788623</v>
      </c>
      <c r="G248" s="132">
        <f t="shared" si="27"/>
        <v>5.5001855826945407</v>
      </c>
      <c r="H248" s="132">
        <f>(Main!$B$19-Current_limit!G248)*Current_limit!G248/(Main!$B$19*loop_gain!$B$17*loop_gain!$B$18)</f>
        <v>0.94577210445115345</v>
      </c>
      <c r="I248" s="132">
        <f t="shared" si="28"/>
        <v>2.9042278955488472</v>
      </c>
      <c r="J248" s="132"/>
      <c r="K248" s="133">
        <f>IF(A248&gt;$B$15,IF(I248&gt;Helper_calcs!$B$27,23,3),0)</f>
        <v>0</v>
      </c>
      <c r="L248">
        <f t="shared" si="26"/>
        <v>0</v>
      </c>
      <c r="M248">
        <f t="shared" si="29"/>
        <v>0</v>
      </c>
      <c r="N248" s="132">
        <f t="shared" si="30"/>
        <v>3.0699999999999781</v>
      </c>
      <c r="O248" s="132">
        <f t="shared" si="31"/>
        <v>5</v>
      </c>
      <c r="P248" s="134">
        <f>IF(OR(M248=0,M248=3),loop_gain!$B$18,IF(Current_limit!M248=1,Current_limit!$B$12/(2*(Current_limit!N248-Helper_calcs!$B$27)),IF(OR(M248=2,M248=23),(Main!$B$19-Current_limit!O248)*Current_limit!O248/(Main!$B$19*loop_gain!$B$17*(Helper_calcs!$B$26-Helper_calcs!$B$27)),x)))</f>
        <v>2100000</v>
      </c>
      <c r="Q248" s="132"/>
    </row>
    <row r="249" spans="1:17" x14ac:dyDescent="0.3">
      <c r="A249">
        <f t="shared" si="32"/>
        <v>3.0799999999999779</v>
      </c>
      <c r="B249">
        <f>Main!$B$20/A249</f>
        <v>1.6233766233766351</v>
      </c>
      <c r="D249" s="132">
        <f t="shared" si="25"/>
        <v>1.6233766233766351</v>
      </c>
      <c r="E249" s="132">
        <f>-B249*Main!$B$19-2*Main!$B$19*loop_gain!$B$17*loop_gain!$B$18</f>
        <v>-95.080519480519627</v>
      </c>
      <c r="F249" s="132">
        <f>2*Main!$B$19*loop_gain!$B$17*loop_gain!$B$18*Helper_calcs!$B$26*Current_limit!B249</f>
        <v>472.50000000000352</v>
      </c>
      <c r="G249" s="132">
        <f t="shared" si="27"/>
        <v>5.4827095237414465</v>
      </c>
      <c r="H249" s="132">
        <f>(Main!$B$19-Current_limit!G249)*Current_limit!G249/(Main!$B$19*loop_gain!$B$17*loop_gain!$B$18)</f>
        <v>0.94530186675058725</v>
      </c>
      <c r="I249" s="132">
        <f t="shared" si="28"/>
        <v>2.9046981332494131</v>
      </c>
      <c r="J249" s="132"/>
      <c r="K249" s="133">
        <f>IF(A249&gt;$B$15,IF(I249&gt;Helper_calcs!$B$27,23,3),0)</f>
        <v>0</v>
      </c>
      <c r="L249">
        <f t="shared" si="26"/>
        <v>0</v>
      </c>
      <c r="M249">
        <f t="shared" si="29"/>
        <v>0</v>
      </c>
      <c r="N249" s="132">
        <f t="shared" si="30"/>
        <v>3.0799999999999779</v>
      </c>
      <c r="O249" s="132">
        <f t="shared" si="31"/>
        <v>5</v>
      </c>
      <c r="P249" s="134">
        <f>IF(OR(M249=0,M249=3),loop_gain!$B$18,IF(Current_limit!M249=1,Current_limit!$B$12/(2*(Current_limit!N249-Helper_calcs!$B$27)),IF(OR(M249=2,M249=23),(Main!$B$19-Current_limit!O249)*Current_limit!O249/(Main!$B$19*loop_gain!$B$17*(Helper_calcs!$B$26-Helper_calcs!$B$27)),x)))</f>
        <v>2100000</v>
      </c>
      <c r="Q249" s="132"/>
    </row>
    <row r="250" spans="1:17" x14ac:dyDescent="0.3">
      <c r="A250">
        <f t="shared" si="32"/>
        <v>3.0899999999999777</v>
      </c>
      <c r="B250">
        <f>Main!$B$20/A250</f>
        <v>1.61812297734629</v>
      </c>
      <c r="D250" s="132">
        <f t="shared" si="25"/>
        <v>1.61812297734629</v>
      </c>
      <c r="E250" s="132">
        <f>-B250*Main!$B$19-2*Main!$B$19*loop_gain!$B$17*loop_gain!$B$18</f>
        <v>-95.017475728155489</v>
      </c>
      <c r="F250" s="132">
        <f>2*Main!$B$19*loop_gain!$B$17*loop_gain!$B$18*Helper_calcs!$B$26*Current_limit!B250</f>
        <v>470.97087378641123</v>
      </c>
      <c r="G250" s="132">
        <f t="shared" si="27"/>
        <v>5.4653568286642731</v>
      </c>
      <c r="H250" s="132">
        <f>(Main!$B$19-Current_limit!G250)*Current_limit!G250/(Main!$B$19*loop_gain!$B$17*loop_gain!$B$18)</f>
        <v>0.94481895977100727</v>
      </c>
      <c r="I250" s="132">
        <f t="shared" si="28"/>
        <v>2.9051810402289928</v>
      </c>
      <c r="J250" s="132"/>
      <c r="K250" s="133">
        <f>IF(A250&gt;$B$15,IF(I250&gt;Helper_calcs!$B$27,23,3),0)</f>
        <v>0</v>
      </c>
      <c r="L250">
        <f t="shared" si="26"/>
        <v>0</v>
      </c>
      <c r="M250">
        <f t="shared" si="29"/>
        <v>0</v>
      </c>
      <c r="N250" s="132">
        <f t="shared" si="30"/>
        <v>3.0899999999999777</v>
      </c>
      <c r="O250" s="132">
        <f t="shared" si="31"/>
        <v>5</v>
      </c>
      <c r="P250" s="134">
        <f>IF(OR(M250=0,M250=3),loop_gain!$B$18,IF(Current_limit!M250=1,Current_limit!$B$12/(2*(Current_limit!N250-Helper_calcs!$B$27)),IF(OR(M250=2,M250=23),(Main!$B$19-Current_limit!O250)*Current_limit!O250/(Main!$B$19*loop_gain!$B$17*(Helper_calcs!$B$26-Helper_calcs!$B$27)),x)))</f>
        <v>2100000</v>
      </c>
      <c r="Q250" s="132"/>
    </row>
    <row r="251" spans="1:17" x14ac:dyDescent="0.3">
      <c r="A251">
        <f t="shared" si="32"/>
        <v>3.0999999999999774</v>
      </c>
      <c r="B251">
        <f>Main!$B$20/A251</f>
        <v>1.6129032258064633</v>
      </c>
      <c r="D251" s="132">
        <f t="shared" si="25"/>
        <v>1.6129032258064633</v>
      </c>
      <c r="E251" s="132">
        <f>-B251*Main!$B$19-2*Main!$B$19*loop_gain!$B$17*loop_gain!$B$18</f>
        <v>-94.954838709677574</v>
      </c>
      <c r="F251" s="132">
        <f>2*Main!$B$19*loop_gain!$B$17*loop_gain!$B$18*Helper_calcs!$B$26*Current_limit!B251</f>
        <v>469.45161290322932</v>
      </c>
      <c r="G251" s="132">
        <f t="shared" si="27"/>
        <v>5.4481260633628015</v>
      </c>
      <c r="H251" s="132">
        <f>(Main!$B$19-Current_limit!G251)*Current_limit!G251/(Main!$B$19*loop_gain!$B$17*loop_gain!$B$18)</f>
        <v>0.94432368143017353</v>
      </c>
      <c r="I251" s="132">
        <f t="shared" si="28"/>
        <v>2.9056763185698258</v>
      </c>
      <c r="J251" s="132"/>
      <c r="K251" s="133">
        <f>IF(A251&gt;$B$15,IF(I251&gt;Helper_calcs!$B$27,23,3),0)</f>
        <v>0</v>
      </c>
      <c r="L251">
        <f t="shared" si="26"/>
        <v>0</v>
      </c>
      <c r="M251">
        <f t="shared" si="29"/>
        <v>0</v>
      </c>
      <c r="N251" s="132">
        <f t="shared" si="30"/>
        <v>3.0999999999999774</v>
      </c>
      <c r="O251" s="132">
        <f t="shared" si="31"/>
        <v>5</v>
      </c>
      <c r="P251" s="134">
        <f>IF(OR(M251=0,M251=3),loop_gain!$B$18,IF(Current_limit!M251=1,Current_limit!$B$12/(2*(Current_limit!N251-Helper_calcs!$B$27)),IF(OR(M251=2,M251=23),(Main!$B$19-Current_limit!O251)*Current_limit!O251/(Main!$B$19*loop_gain!$B$17*(Helper_calcs!$B$26-Helper_calcs!$B$27)),x)))</f>
        <v>2100000</v>
      </c>
      <c r="Q251" s="132"/>
    </row>
    <row r="252" spans="1:17" x14ac:dyDescent="0.3">
      <c r="A252">
        <f t="shared" si="32"/>
        <v>3.1099999999999772</v>
      </c>
      <c r="B252">
        <f>Main!$B$20/A252</f>
        <v>1.6077170418006548</v>
      </c>
      <c r="D252" s="132">
        <f t="shared" si="25"/>
        <v>1.6077170418006548</v>
      </c>
      <c r="E252" s="132">
        <f>-B252*Main!$B$19-2*Main!$B$19*loop_gain!$B$17*loop_gain!$B$18</f>
        <v>-94.892604501607863</v>
      </c>
      <c r="F252" s="132">
        <f>2*Main!$B$19*loop_gain!$B$17*loop_gain!$B$18*Helper_calcs!$B$26*Current_limit!B252</f>
        <v>467.94212218649869</v>
      </c>
      <c r="G252" s="132">
        <f t="shared" si="27"/>
        <v>5.4310158177174168</v>
      </c>
      <c r="H252" s="132">
        <f>(Main!$B$19-Current_limit!G252)*Current_limit!G252/(Main!$B$19*loop_gain!$B$17*loop_gain!$B$18)</f>
        <v>0.94381632275958238</v>
      </c>
      <c r="I252" s="132">
        <f t="shared" si="28"/>
        <v>2.9061836772404175</v>
      </c>
      <c r="J252" s="132"/>
      <c r="K252" s="133">
        <f>IF(A252&gt;$B$15,IF(I252&gt;Helper_calcs!$B$27,23,3),0)</f>
        <v>0</v>
      </c>
      <c r="L252">
        <f t="shared" si="26"/>
        <v>0</v>
      </c>
      <c r="M252">
        <f t="shared" si="29"/>
        <v>0</v>
      </c>
      <c r="N252" s="132">
        <f t="shared" si="30"/>
        <v>3.1099999999999772</v>
      </c>
      <c r="O252" s="132">
        <f t="shared" si="31"/>
        <v>5</v>
      </c>
      <c r="P252" s="134">
        <f>IF(OR(M252=0,M252=3),loop_gain!$B$18,IF(Current_limit!M252=1,Current_limit!$B$12/(2*(Current_limit!N252-Helper_calcs!$B$27)),IF(OR(M252=2,M252=23),(Main!$B$19-Current_limit!O252)*Current_limit!O252/(Main!$B$19*loop_gain!$B$17*(Helper_calcs!$B$26-Helper_calcs!$B$27)),x)))</f>
        <v>2100000</v>
      </c>
      <c r="Q252" s="132"/>
    </row>
    <row r="253" spans="1:17" x14ac:dyDescent="0.3">
      <c r="A253">
        <f t="shared" si="32"/>
        <v>3.119999999999977</v>
      </c>
      <c r="B253">
        <f>Main!$B$20/A253</f>
        <v>1.6025641025641144</v>
      </c>
      <c r="D253" s="132">
        <f t="shared" si="25"/>
        <v>1.6025641025641144</v>
      </c>
      <c r="E253" s="132">
        <f>-B253*Main!$B$19-2*Main!$B$19*loop_gain!$B$17*loop_gain!$B$18</f>
        <v>-94.830769230769377</v>
      </c>
      <c r="F253" s="132">
        <f>2*Main!$B$19*loop_gain!$B$17*loop_gain!$B$18*Helper_calcs!$B$26*Current_limit!B253</f>
        <v>466.44230769231126</v>
      </c>
      <c r="G253" s="132">
        <f t="shared" si="27"/>
        <v>5.4140247050579218</v>
      </c>
      <c r="H253" s="132">
        <f>(Main!$B$19-Current_limit!G253)*Current_limit!G253/(Main!$B$19*loop_gain!$B$17*loop_gain!$B$18)</f>
        <v>0.94329716808776576</v>
      </c>
      <c r="I253" s="132">
        <f t="shared" si="28"/>
        <v>2.9067028319122352</v>
      </c>
      <c r="J253" s="132"/>
      <c r="K253" s="133">
        <f>IF(A253&gt;$B$15,IF(I253&gt;Helper_calcs!$B$27,23,3),0)</f>
        <v>0</v>
      </c>
      <c r="L253">
        <f t="shared" si="26"/>
        <v>0</v>
      </c>
      <c r="M253">
        <f t="shared" si="29"/>
        <v>0</v>
      </c>
      <c r="N253" s="132">
        <f t="shared" si="30"/>
        <v>3.119999999999977</v>
      </c>
      <c r="O253" s="132">
        <f t="shared" si="31"/>
        <v>5</v>
      </c>
      <c r="P253" s="134">
        <f>IF(OR(M253=0,M253=3),loop_gain!$B$18,IF(Current_limit!M253=1,Current_limit!$B$12/(2*(Current_limit!N253-Helper_calcs!$B$27)),IF(OR(M253=2,M253=23),(Main!$B$19-Current_limit!O253)*Current_limit!O253/(Main!$B$19*loop_gain!$B$17*(Helper_calcs!$B$26-Helper_calcs!$B$27)),x)))</f>
        <v>2100000</v>
      </c>
      <c r="Q253" s="132"/>
    </row>
    <row r="254" spans="1:17" x14ac:dyDescent="0.3">
      <c r="A254">
        <f t="shared" si="32"/>
        <v>3.1299999999999768</v>
      </c>
      <c r="B254">
        <f>Main!$B$20/A254</f>
        <v>1.5974440894568809</v>
      </c>
      <c r="D254" s="132">
        <f t="shared" si="25"/>
        <v>1.5974440894568809</v>
      </c>
      <c r="E254" s="132">
        <f>-B254*Main!$B$19-2*Main!$B$19*loop_gain!$B$17*loop_gain!$B$18</f>
        <v>-94.769329073482581</v>
      </c>
      <c r="F254" s="132">
        <f>2*Main!$B$19*loop_gain!$B$17*loop_gain!$B$18*Helper_calcs!$B$26*Current_limit!B254</f>
        <v>464.95207667731984</v>
      </c>
      <c r="G254" s="132">
        <f t="shared" si="27"/>
        <v>5.3971513616470954</v>
      </c>
      <c r="H254" s="132">
        <f>(Main!$B$19-Current_limit!G254)*Current_limit!G254/(Main!$B$19*loop_gain!$B$17*loop_gain!$B$18)</f>
        <v>0.94276649521788491</v>
      </c>
      <c r="I254" s="132">
        <f t="shared" si="28"/>
        <v>2.9072335047821141</v>
      </c>
      <c r="J254" s="132"/>
      <c r="K254" s="133">
        <f>IF(A254&gt;$B$15,IF(I254&gt;Helper_calcs!$B$27,23,3),0)</f>
        <v>0</v>
      </c>
      <c r="L254">
        <f t="shared" si="26"/>
        <v>0</v>
      </c>
      <c r="M254">
        <f t="shared" si="29"/>
        <v>0</v>
      </c>
      <c r="N254" s="132">
        <f t="shared" si="30"/>
        <v>3.1299999999999768</v>
      </c>
      <c r="O254" s="132">
        <f t="shared" si="31"/>
        <v>5</v>
      </c>
      <c r="P254" s="134">
        <f>IF(OR(M254=0,M254=3),loop_gain!$B$18,IF(Current_limit!M254=1,Current_limit!$B$12/(2*(Current_limit!N254-Helper_calcs!$B$27)),IF(OR(M254=2,M254=23),(Main!$B$19-Current_limit!O254)*Current_limit!O254/(Main!$B$19*loop_gain!$B$17*(Helper_calcs!$B$26-Helper_calcs!$B$27)),x)))</f>
        <v>2100000</v>
      </c>
      <c r="Q254" s="132"/>
    </row>
    <row r="255" spans="1:17" x14ac:dyDescent="0.3">
      <c r="A255">
        <f t="shared" si="32"/>
        <v>3.1399999999999766</v>
      </c>
      <c r="B255">
        <f>Main!$B$20/A255</f>
        <v>1.592356687898101</v>
      </c>
      <c r="D255" s="132">
        <f t="shared" si="25"/>
        <v>1.592356687898101</v>
      </c>
      <c r="E255" s="132">
        <f>-B255*Main!$B$19-2*Main!$B$19*loop_gain!$B$17*loop_gain!$B$18</f>
        <v>-94.708280254777222</v>
      </c>
      <c r="F255" s="132">
        <f>2*Main!$B$19*loop_gain!$B$17*loop_gain!$B$18*Helper_calcs!$B$26*Current_limit!B255</f>
        <v>463.47133757962138</v>
      </c>
      <c r="G255" s="132">
        <f t="shared" si="27"/>
        <v>5.3803944461785189</v>
      </c>
      <c r="H255" s="132">
        <f>(Main!$B$19-Current_limit!G255)*Current_limit!G255/(Main!$B$19*loop_gain!$B$17*loop_gain!$B$18)</f>
        <v>0.94222457559982997</v>
      </c>
      <c r="I255" s="132">
        <f t="shared" si="28"/>
        <v>2.9077754244001701</v>
      </c>
      <c r="J255" s="132"/>
      <c r="K255" s="133">
        <f>IF(A255&gt;$B$15,IF(I255&gt;Helper_calcs!$B$27,23,3),0)</f>
        <v>0</v>
      </c>
      <c r="L255">
        <f t="shared" si="26"/>
        <v>0</v>
      </c>
      <c r="M255">
        <f t="shared" si="29"/>
        <v>0</v>
      </c>
      <c r="N255" s="132">
        <f t="shared" si="30"/>
        <v>3.1399999999999766</v>
      </c>
      <c r="O255" s="132">
        <f t="shared" si="31"/>
        <v>5</v>
      </c>
      <c r="P255" s="134">
        <f>IF(OR(M255=0,M255=3),loop_gain!$B$18,IF(Current_limit!M255=1,Current_limit!$B$12/(2*(Current_limit!N255-Helper_calcs!$B$27)),IF(OR(M255=2,M255=23),(Main!$B$19-Current_limit!O255)*Current_limit!O255/(Main!$B$19*loop_gain!$B$17*(Helper_calcs!$B$26-Helper_calcs!$B$27)),x)))</f>
        <v>2100000</v>
      </c>
      <c r="Q255" s="132"/>
    </row>
    <row r="256" spans="1:17" x14ac:dyDescent="0.3">
      <c r="A256">
        <f t="shared" si="32"/>
        <v>3.1499999999999764</v>
      </c>
      <c r="B256">
        <f>Main!$B$20/A256</f>
        <v>1.5873015873015992</v>
      </c>
      <c r="D256" s="132">
        <f t="shared" si="25"/>
        <v>1.5873015873015992</v>
      </c>
      <c r="E256" s="132">
        <f>-B256*Main!$B$19-2*Main!$B$19*loop_gain!$B$17*loop_gain!$B$18</f>
        <v>-94.647619047619202</v>
      </c>
      <c r="F256" s="132">
        <f>2*Main!$B$19*loop_gain!$B$17*loop_gain!$B$18*Helper_calcs!$B$26*Current_limit!B256</f>
        <v>462.00000000000358</v>
      </c>
      <c r="G256" s="132">
        <f t="shared" si="27"/>
        <v>5.3637526392881218</v>
      </c>
      <c r="H256" s="132">
        <f>(Main!$B$19-Current_limit!G256)*Current_limit!G256/(Main!$B$19*loop_gain!$B$17*loop_gain!$B$18)</f>
        <v>0.94167167449701494</v>
      </c>
      <c r="I256" s="132">
        <f t="shared" si="28"/>
        <v>2.9083283255029837</v>
      </c>
      <c r="J256" s="132"/>
      <c r="K256" s="133">
        <f>IF(A256&gt;$B$15,IF(I256&gt;Helper_calcs!$B$27,23,3),0)</f>
        <v>0</v>
      </c>
      <c r="L256">
        <f t="shared" si="26"/>
        <v>0</v>
      </c>
      <c r="M256">
        <f t="shared" si="29"/>
        <v>0</v>
      </c>
      <c r="N256" s="132">
        <f t="shared" si="30"/>
        <v>3.1499999999999764</v>
      </c>
      <c r="O256" s="132">
        <f t="shared" si="31"/>
        <v>5</v>
      </c>
      <c r="P256" s="134">
        <f>IF(OR(M256=0,M256=3),loop_gain!$B$18,IF(Current_limit!M256=1,Current_limit!$B$12/(2*(Current_limit!N256-Helper_calcs!$B$27)),IF(OR(M256=2,M256=23),(Main!$B$19-Current_limit!O256)*Current_limit!O256/(Main!$B$19*loop_gain!$B$17*(Helper_calcs!$B$26-Helper_calcs!$B$27)),x)))</f>
        <v>2100000</v>
      </c>
      <c r="Q256" s="132"/>
    </row>
    <row r="257" spans="1:17" x14ac:dyDescent="0.3">
      <c r="A257">
        <f t="shared" si="32"/>
        <v>3.1599999999999762</v>
      </c>
      <c r="B257">
        <f>Main!$B$20/A257</f>
        <v>1.5822784810126702</v>
      </c>
      <c r="D257" s="132">
        <f t="shared" si="25"/>
        <v>1.5822784810126702</v>
      </c>
      <c r="E257" s="132">
        <f>-B257*Main!$B$19-2*Main!$B$19*loop_gain!$B$17*loop_gain!$B$18</f>
        <v>-94.587341772152058</v>
      </c>
      <c r="F257" s="132">
        <f>2*Main!$B$19*loop_gain!$B$17*loop_gain!$B$18*Helper_calcs!$B$26*Current_limit!B257</f>
        <v>460.53797468354787</v>
      </c>
      <c r="G257" s="132">
        <f t="shared" si="27"/>
        <v>5.3472246430791044</v>
      </c>
      <c r="H257" s="132">
        <f>(Main!$B$19-Current_limit!G257)*Current_limit!G257/(Main!$B$19*loop_gain!$B$17*loop_gain!$B$18)</f>
        <v>0.94110805114806328</v>
      </c>
      <c r="I257" s="132">
        <f t="shared" si="28"/>
        <v>2.9088919488519367</v>
      </c>
      <c r="J257" s="132"/>
      <c r="K257" s="133">
        <f>IF(A257&gt;$B$15,IF(I257&gt;Helper_calcs!$B$27,23,3),0)</f>
        <v>0</v>
      </c>
      <c r="L257">
        <f t="shared" si="26"/>
        <v>0</v>
      </c>
      <c r="M257">
        <f t="shared" si="29"/>
        <v>0</v>
      </c>
      <c r="N257" s="132">
        <f t="shared" si="30"/>
        <v>3.1599999999999762</v>
      </c>
      <c r="O257" s="132">
        <f t="shared" si="31"/>
        <v>5</v>
      </c>
      <c r="P257" s="134">
        <f>IF(OR(M257=0,M257=3),loop_gain!$B$18,IF(Current_limit!M257=1,Current_limit!$B$12/(2*(Current_limit!N257-Helper_calcs!$B$27)),IF(OR(M257=2,M257=23),(Main!$B$19-Current_limit!O257)*Current_limit!O257/(Main!$B$19*loop_gain!$B$17*(Helper_calcs!$B$26-Helper_calcs!$B$27)),x)))</f>
        <v>2100000</v>
      </c>
      <c r="Q257" s="132"/>
    </row>
    <row r="258" spans="1:17" x14ac:dyDescent="0.3">
      <c r="A258">
        <f t="shared" si="32"/>
        <v>3.1699999999999759</v>
      </c>
      <c r="B258">
        <f>Main!$B$20/A258</f>
        <v>1.5772870662460687</v>
      </c>
      <c r="D258" s="132">
        <f t="shared" si="25"/>
        <v>1.5772870662460687</v>
      </c>
      <c r="E258" s="132">
        <f>-B258*Main!$B$19-2*Main!$B$19*loop_gain!$B$17*loop_gain!$B$18</f>
        <v>-94.527444794952828</v>
      </c>
      <c r="F258" s="132">
        <f>2*Main!$B$19*loop_gain!$B$17*loop_gain!$B$18*Helper_calcs!$B$26*Current_limit!B258</f>
        <v>459.08517350158087</v>
      </c>
      <c r="G258" s="132">
        <f t="shared" si="27"/>
        <v>5.3308091806596902</v>
      </c>
      <c r="H258" s="132">
        <f>(Main!$B$19-Current_limit!G258)*Current_limit!G258/(Main!$B$19*loop_gain!$B$17*loop_gain!$B$18)</f>
        <v>0.94053395892356184</v>
      </c>
      <c r="I258" s="132">
        <f t="shared" si="28"/>
        <v>2.909466041076437</v>
      </c>
      <c r="J258" s="132"/>
      <c r="K258" s="133">
        <f>IF(A258&gt;$B$15,IF(I258&gt;Helper_calcs!$B$27,23,3),0)</f>
        <v>0</v>
      </c>
      <c r="L258">
        <f t="shared" si="26"/>
        <v>0</v>
      </c>
      <c r="M258">
        <f t="shared" si="29"/>
        <v>0</v>
      </c>
      <c r="N258" s="132">
        <f t="shared" si="30"/>
        <v>3.1699999999999759</v>
      </c>
      <c r="O258" s="132">
        <f t="shared" si="31"/>
        <v>5</v>
      </c>
      <c r="P258" s="134">
        <f>IF(OR(M258=0,M258=3),loop_gain!$B$18,IF(Current_limit!M258=1,Current_limit!$B$12/(2*(Current_limit!N258-Helper_calcs!$B$27)),IF(OR(M258=2,M258=23),(Main!$B$19-Current_limit!O258)*Current_limit!O258/(Main!$B$19*loop_gain!$B$17*(Helper_calcs!$B$26-Helper_calcs!$B$27)),x)))</f>
        <v>2100000</v>
      </c>
      <c r="Q258" s="132"/>
    </row>
    <row r="259" spans="1:17" x14ac:dyDescent="0.3">
      <c r="A259">
        <f t="shared" si="32"/>
        <v>3.1799999999999757</v>
      </c>
      <c r="B259">
        <f>Main!$B$20/A259</f>
        <v>1.5723270440251693</v>
      </c>
      <c r="D259" s="132">
        <f t="shared" si="25"/>
        <v>1.5723270440251693</v>
      </c>
      <c r="E259" s="132">
        <f>-B259*Main!$B$19-2*Main!$B$19*loop_gain!$B$17*loop_gain!$B$18</f>
        <v>-94.467924528302035</v>
      </c>
      <c r="F259" s="132">
        <f>2*Main!$B$19*loop_gain!$B$17*loop_gain!$B$18*Helper_calcs!$B$26*Current_limit!B259</f>
        <v>457.64150943396589</v>
      </c>
      <c r="G259" s="132">
        <f t="shared" si="27"/>
        <v>5.3145049956933876</v>
      </c>
      <c r="H259" s="132">
        <f>(Main!$B$19-Current_limit!G259)*Current_limit!G259/(Main!$B$19*loop_gain!$B$17*loop_gain!$B$18)</f>
        <v>0.93994964547806004</v>
      </c>
      <c r="I259" s="132">
        <f t="shared" si="28"/>
        <v>2.9100503545219385</v>
      </c>
      <c r="J259" s="132"/>
      <c r="K259" s="133">
        <f>IF(A259&gt;$B$15,IF(I259&gt;Helper_calcs!$B$27,23,3),0)</f>
        <v>0</v>
      </c>
      <c r="L259">
        <f t="shared" si="26"/>
        <v>0</v>
      </c>
      <c r="M259">
        <f t="shared" si="29"/>
        <v>0</v>
      </c>
      <c r="N259" s="132">
        <f t="shared" si="30"/>
        <v>3.1799999999999757</v>
      </c>
      <c r="O259" s="132">
        <f t="shared" si="31"/>
        <v>5</v>
      </c>
      <c r="P259" s="134">
        <f>IF(OR(M259=0,M259=3),loop_gain!$B$18,IF(Current_limit!M259=1,Current_limit!$B$12/(2*(Current_limit!N259-Helper_calcs!$B$27)),IF(OR(M259=2,M259=23),(Main!$B$19-Current_limit!O259)*Current_limit!O259/(Main!$B$19*loop_gain!$B$17*(Helper_calcs!$B$26-Helper_calcs!$B$27)),x)))</f>
        <v>2100000</v>
      </c>
      <c r="Q259" s="132"/>
    </row>
    <row r="260" spans="1:17" x14ac:dyDescent="0.3">
      <c r="A260">
        <f t="shared" si="32"/>
        <v>3.1899999999999755</v>
      </c>
      <c r="B260">
        <f>Main!$B$20/A260</f>
        <v>1.567398119122269</v>
      </c>
      <c r="D260" s="132">
        <f t="shared" si="25"/>
        <v>1.567398119122269</v>
      </c>
      <c r="E260" s="132">
        <f>-B260*Main!$B$19-2*Main!$B$19*loop_gain!$B$17*loop_gain!$B$18</f>
        <v>-94.408777429467236</v>
      </c>
      <c r="F260" s="132">
        <f>2*Main!$B$19*loop_gain!$B$17*loop_gain!$B$18*Helper_calcs!$B$26*Current_limit!B260</f>
        <v>456.20689655172771</v>
      </c>
      <c r="G260" s="132">
        <f t="shared" si="27"/>
        <v>5.2983108519612676</v>
      </c>
      <c r="H260" s="132">
        <f>(Main!$B$19-Current_limit!G260)*Current_limit!G260/(Main!$B$19*loop_gain!$B$17*loop_gain!$B$18)</f>
        <v>0.93935535289747807</v>
      </c>
      <c r="I260" s="132">
        <f t="shared" si="28"/>
        <v>2.910644647102524</v>
      </c>
      <c r="J260" s="132"/>
      <c r="K260" s="133">
        <f>IF(A260&gt;$B$15,IF(I260&gt;Helper_calcs!$B$27,23,3),0)</f>
        <v>0</v>
      </c>
      <c r="L260">
        <f t="shared" si="26"/>
        <v>0</v>
      </c>
      <c r="M260">
        <f t="shared" si="29"/>
        <v>0</v>
      </c>
      <c r="N260" s="132">
        <f t="shared" si="30"/>
        <v>3.1899999999999755</v>
      </c>
      <c r="O260" s="132">
        <f t="shared" si="31"/>
        <v>5</v>
      </c>
      <c r="P260" s="134">
        <f>IF(OR(M260=0,M260=3),loop_gain!$B$18,IF(Current_limit!M260=1,Current_limit!$B$12/(2*(Current_limit!N260-Helper_calcs!$B$27)),IF(OR(M260=2,M260=23),(Main!$B$19-Current_limit!O260)*Current_limit!O260/(Main!$B$19*loop_gain!$B$17*(Helper_calcs!$B$26-Helper_calcs!$B$27)),x)))</f>
        <v>2100000</v>
      </c>
      <c r="Q260" s="132"/>
    </row>
    <row r="261" spans="1:17" x14ac:dyDescent="0.3">
      <c r="A261">
        <f t="shared" si="32"/>
        <v>3.1999999999999753</v>
      </c>
      <c r="B261">
        <f>Main!$B$20/A261</f>
        <v>1.562500000000012</v>
      </c>
      <c r="D261" s="132">
        <f t="shared" si="25"/>
        <v>1.562500000000012</v>
      </c>
      <c r="E261" s="132">
        <f>-B261*Main!$B$19-2*Main!$B$19*loop_gain!$B$17*loop_gain!$B$18</f>
        <v>-94.350000000000151</v>
      </c>
      <c r="F261" s="132">
        <f>2*Main!$B$19*loop_gain!$B$17*loop_gain!$B$18*Helper_calcs!$B$26*Current_limit!B261</f>
        <v>454.78125000000358</v>
      </c>
      <c r="G261" s="132">
        <f t="shared" si="27"/>
        <v>5.2822255329359136</v>
      </c>
      <c r="H261" s="132">
        <f>(Main!$B$19-Current_limit!G261)*Current_limit!G261/(Main!$B$19*loop_gain!$B$17*loop_gain!$B$18)</f>
        <v>0.93875131784208621</v>
      </c>
      <c r="I261" s="132">
        <f t="shared" si="28"/>
        <v>2.911248682157916</v>
      </c>
      <c r="J261" s="132"/>
      <c r="K261" s="133">
        <f>IF(A261&gt;$B$15,IF(I261&gt;Helper_calcs!$B$27,23,3),0)</f>
        <v>0</v>
      </c>
      <c r="L261">
        <f t="shared" si="26"/>
        <v>0</v>
      </c>
      <c r="M261">
        <f t="shared" si="29"/>
        <v>0</v>
      </c>
      <c r="N261" s="132">
        <f t="shared" si="30"/>
        <v>3.1999999999999753</v>
      </c>
      <c r="O261" s="132">
        <f t="shared" si="31"/>
        <v>5</v>
      </c>
      <c r="P261" s="134">
        <f>IF(OR(M261=0,M261=3),loop_gain!$B$18,IF(Current_limit!M261=1,Current_limit!$B$12/(2*(Current_limit!N261-Helper_calcs!$B$27)),IF(OR(M261=2,M261=23),(Main!$B$19-Current_limit!O261)*Current_limit!O261/(Main!$B$19*loop_gain!$B$17*(Helper_calcs!$B$26-Helper_calcs!$B$27)),x)))</f>
        <v>2100000</v>
      </c>
      <c r="Q261" s="132"/>
    </row>
    <row r="262" spans="1:17" x14ac:dyDescent="0.3">
      <c r="A262">
        <f t="shared" si="32"/>
        <v>3.2099999999999751</v>
      </c>
      <c r="B262">
        <f>Main!$B$20/A262</f>
        <v>1.5576323987539062</v>
      </c>
      <c r="D262" s="132">
        <f t="shared" si="25"/>
        <v>1.5576323987539062</v>
      </c>
      <c r="E262" s="132">
        <f>-B262*Main!$B$19-2*Main!$B$19*loop_gain!$B$17*loop_gain!$B$18</f>
        <v>-94.291588785046883</v>
      </c>
      <c r="F262" s="132">
        <f>2*Main!$B$19*loop_gain!$B$17*loop_gain!$B$18*Helper_calcs!$B$26*Current_limit!B262</f>
        <v>453.36448598131204</v>
      </c>
      <c r="G262" s="132">
        <f t="shared" si="27"/>
        <v>5.2662478413666998</v>
      </c>
      <c r="H262" s="132">
        <f>(Main!$B$19-Current_limit!G262)*Current_limit!G262/(Main!$B$19*loop_gain!$B$17*loop_gain!$B$18)</f>
        <v>0.93813777168521084</v>
      </c>
      <c r="I262" s="132">
        <f t="shared" si="28"/>
        <v>2.9118622283147895</v>
      </c>
      <c r="J262" s="132"/>
      <c r="K262" s="133">
        <f>IF(A262&gt;$B$15,IF(I262&gt;Helper_calcs!$B$27,23,3),0)</f>
        <v>0</v>
      </c>
      <c r="L262">
        <f t="shared" si="26"/>
        <v>0</v>
      </c>
      <c r="M262">
        <f t="shared" si="29"/>
        <v>0</v>
      </c>
      <c r="N262" s="132">
        <f t="shared" si="30"/>
        <v>3.2099999999999751</v>
      </c>
      <c r="O262" s="132">
        <f t="shared" si="31"/>
        <v>5</v>
      </c>
      <c r="P262" s="134">
        <f>IF(OR(M262=0,M262=3),loop_gain!$B$18,IF(Current_limit!M262=1,Current_limit!$B$12/(2*(Current_limit!N262-Helper_calcs!$B$27)),IF(OR(M262=2,M262=23),(Main!$B$19-Current_limit!O262)*Current_limit!O262/(Main!$B$19*loop_gain!$B$17*(Helper_calcs!$B$26-Helper_calcs!$B$27)),x)))</f>
        <v>2100000</v>
      </c>
      <c r="Q262" s="132"/>
    </row>
    <row r="263" spans="1:17" x14ac:dyDescent="0.3">
      <c r="A263">
        <f t="shared" si="32"/>
        <v>3.2199999999999749</v>
      </c>
      <c r="B263">
        <f>Main!$B$20/A263</f>
        <v>1.5527950310559127</v>
      </c>
      <c r="D263" s="132">
        <f t="shared" si="25"/>
        <v>1.5527950310559127</v>
      </c>
      <c r="E263" s="132">
        <f>-B263*Main!$B$19-2*Main!$B$19*loop_gain!$B$17*loop_gain!$B$18</f>
        <v>-94.233540372670959</v>
      </c>
      <c r="F263" s="132">
        <f>2*Main!$B$19*loop_gain!$B$17*loop_gain!$B$18*Helper_calcs!$B$26*Current_limit!B263</f>
        <v>451.95652173913402</v>
      </c>
      <c r="G263" s="132">
        <f t="shared" si="27"/>
        <v>5.2503765988759685</v>
      </c>
      <c r="H263" s="132">
        <f>(Main!$B$19-Current_limit!G263)*Current_limit!G263/(Main!$B$19*loop_gain!$B$17*loop_gain!$B$18)</f>
        <v>0.93751494064781038</v>
      </c>
      <c r="I263" s="132">
        <f t="shared" si="28"/>
        <v>2.9124850593521923</v>
      </c>
      <c r="J263" s="132"/>
      <c r="K263" s="133">
        <f>IF(A263&gt;$B$15,IF(I263&gt;Helper_calcs!$B$27,23,3),0)</f>
        <v>0</v>
      </c>
      <c r="L263">
        <f t="shared" si="26"/>
        <v>0</v>
      </c>
      <c r="M263">
        <f t="shared" si="29"/>
        <v>0</v>
      </c>
      <c r="N263" s="132">
        <f t="shared" si="30"/>
        <v>3.2199999999999749</v>
      </c>
      <c r="O263" s="132">
        <f t="shared" si="31"/>
        <v>5</v>
      </c>
      <c r="P263" s="134">
        <f>IF(OR(M263=0,M263=3),loop_gain!$B$18,IF(Current_limit!M263=1,Current_limit!$B$12/(2*(Current_limit!N263-Helper_calcs!$B$27)),IF(OR(M263=2,M263=23),(Main!$B$19-Current_limit!O263)*Current_limit!O263/(Main!$B$19*loop_gain!$B$17*(Helper_calcs!$B$26-Helper_calcs!$B$27)),x)))</f>
        <v>2100000</v>
      </c>
      <c r="Q263" s="132"/>
    </row>
    <row r="264" spans="1:17" x14ac:dyDescent="0.3">
      <c r="A264">
        <f t="shared" si="32"/>
        <v>3.2299999999999747</v>
      </c>
      <c r="B264">
        <f>Main!$B$20/A264</f>
        <v>1.5479876160990833</v>
      </c>
      <c r="D264" s="132">
        <f t="shared" si="25"/>
        <v>1.5479876160990833</v>
      </c>
      <c r="E264" s="132">
        <f>-B264*Main!$B$19-2*Main!$B$19*loop_gain!$B$17*loop_gain!$B$18</f>
        <v>-94.175851393189006</v>
      </c>
      <c r="F264" s="132">
        <f>2*Main!$B$19*loop_gain!$B$17*loop_gain!$B$18*Helper_calcs!$B$26*Current_limit!B264</f>
        <v>450.5572755417993</v>
      </c>
      <c r="G264" s="132">
        <f t="shared" si="27"/>
        <v>5.2346106455657813</v>
      </c>
      <c r="H264" s="132">
        <f>(Main!$B$19-Current_limit!G264)*Current_limit!G264/(Main!$B$19*loop_gain!$B$17*loop_gain!$B$18)</f>
        <v>0.93688304592906779</v>
      </c>
      <c r="I264" s="132">
        <f t="shared" si="28"/>
        <v>2.9131169540709343</v>
      </c>
      <c r="J264" s="132"/>
      <c r="K264" s="133">
        <f>IF(A264&gt;$B$15,IF(I264&gt;Helper_calcs!$B$27,23,3),0)</f>
        <v>0</v>
      </c>
      <c r="L264">
        <f t="shared" si="26"/>
        <v>0</v>
      </c>
      <c r="M264">
        <f t="shared" si="29"/>
        <v>0</v>
      </c>
      <c r="N264" s="132">
        <f t="shared" si="30"/>
        <v>3.2299999999999747</v>
      </c>
      <c r="O264" s="132">
        <f t="shared" si="31"/>
        <v>5</v>
      </c>
      <c r="P264" s="134">
        <f>IF(OR(M264=0,M264=3),loop_gain!$B$18,IF(Current_limit!M264=1,Current_limit!$B$12/(2*(Current_limit!N264-Helper_calcs!$B$27)),IF(OR(M264=2,M264=23),(Main!$B$19-Current_limit!O264)*Current_limit!O264/(Main!$B$19*loop_gain!$B$17*(Helper_calcs!$B$26-Helper_calcs!$B$27)),x)))</f>
        <v>2100000</v>
      </c>
      <c r="Q264" s="132"/>
    </row>
    <row r="265" spans="1:17" x14ac:dyDescent="0.3">
      <c r="A265">
        <f t="shared" si="32"/>
        <v>3.2399999999999745</v>
      </c>
      <c r="B265">
        <f>Main!$B$20/A265</f>
        <v>1.5432098765432221</v>
      </c>
      <c r="D265" s="132">
        <f t="shared" si="25"/>
        <v>1.5432098765432221</v>
      </c>
      <c r="E265" s="132">
        <f>-B265*Main!$B$19-2*Main!$B$19*loop_gain!$B$17*loop_gain!$B$18</f>
        <v>-94.11851851851867</v>
      </c>
      <c r="F265" s="132">
        <f>2*Main!$B$19*loop_gain!$B$17*loop_gain!$B$18*Helper_calcs!$B$26*Current_limit!B265</f>
        <v>449.16666666667032</v>
      </c>
      <c r="G265" s="132">
        <f t="shared" si="27"/>
        <v>5.2189488396349732</v>
      </c>
      <c r="H265" s="132">
        <f>(Main!$B$19-Current_limit!G265)*Current_limit!G265/(Main!$B$19*loop_gain!$B$17*loop_gain!$B$18)</f>
        <v>0.93624230383313334</v>
      </c>
      <c r="I265" s="132">
        <f t="shared" si="28"/>
        <v>2.9137576961668694</v>
      </c>
      <c r="J265" s="132"/>
      <c r="K265" s="133">
        <f>IF(A265&gt;$B$15,IF(I265&gt;Helper_calcs!$B$27,23,3),0)</f>
        <v>0</v>
      </c>
      <c r="L265">
        <f t="shared" si="26"/>
        <v>0</v>
      </c>
      <c r="M265">
        <f t="shared" si="29"/>
        <v>0</v>
      </c>
      <c r="N265" s="132">
        <f t="shared" si="30"/>
        <v>3.2399999999999745</v>
      </c>
      <c r="O265" s="132">
        <f t="shared" si="31"/>
        <v>5</v>
      </c>
      <c r="P265" s="134">
        <f>IF(OR(M265=0,M265=3),loop_gain!$B$18,IF(Current_limit!M265=1,Current_limit!$B$12/(2*(Current_limit!N265-Helper_calcs!$B$27)),IF(OR(M265=2,M265=23),(Main!$B$19-Current_limit!O265)*Current_limit!O265/(Main!$B$19*loop_gain!$B$17*(Helper_calcs!$B$26-Helper_calcs!$B$27)),x)))</f>
        <v>2100000</v>
      </c>
      <c r="Q265" s="132"/>
    </row>
    <row r="266" spans="1:17" x14ac:dyDescent="0.3">
      <c r="A266">
        <f t="shared" si="32"/>
        <v>3.2499999999999742</v>
      </c>
      <c r="B266">
        <f>Main!$B$20/A266</f>
        <v>1.5384615384615508</v>
      </c>
      <c r="D266" s="132">
        <f t="shared" si="25"/>
        <v>1.5384615384615508</v>
      </c>
      <c r="E266" s="132">
        <f>-B266*Main!$B$19-2*Main!$B$19*loop_gain!$B$17*loop_gain!$B$18</f>
        <v>-94.061538461538618</v>
      </c>
      <c r="F266" s="132">
        <f>2*Main!$B$19*loop_gain!$B$17*loop_gain!$B$18*Helper_calcs!$B$26*Current_limit!B266</f>
        <v>447.78461538461903</v>
      </c>
      <c r="G266" s="132">
        <f t="shared" si="27"/>
        <v>5.2033900570060805</v>
      </c>
      <c r="H266" s="132">
        <f>(Main!$B$19-Current_limit!G266)*Current_limit!G266/(Main!$B$19*loop_gain!$B$17*loop_gain!$B$18)</f>
        <v>0.93559292589214871</v>
      </c>
      <c r="I266" s="132">
        <f t="shared" si="28"/>
        <v>2.9144070741078512</v>
      </c>
      <c r="J266" s="132"/>
      <c r="K266" s="133">
        <f>IF(A266&gt;$B$15,IF(I266&gt;Helper_calcs!$B$27,23,3),0)</f>
        <v>0</v>
      </c>
      <c r="L266">
        <f t="shared" si="26"/>
        <v>0</v>
      </c>
      <c r="M266">
        <f t="shared" si="29"/>
        <v>0</v>
      </c>
      <c r="N266" s="132">
        <f t="shared" si="30"/>
        <v>3.2499999999999742</v>
      </c>
      <c r="O266" s="132">
        <f t="shared" si="31"/>
        <v>5</v>
      </c>
      <c r="P266" s="134">
        <f>IF(OR(M266=0,M266=3),loop_gain!$B$18,IF(Current_limit!M266=1,Current_limit!$B$12/(2*(Current_limit!N266-Helper_calcs!$B$27)),IF(OR(M266=2,M266=23),(Main!$B$19-Current_limit!O266)*Current_limit!O266/(Main!$B$19*loop_gain!$B$17*(Helper_calcs!$B$26-Helper_calcs!$B$27)),x)))</f>
        <v>2100000</v>
      </c>
      <c r="Q266" s="132"/>
    </row>
    <row r="267" spans="1:17" x14ac:dyDescent="0.3">
      <c r="A267">
        <f t="shared" si="32"/>
        <v>3.259999999999974</v>
      </c>
      <c r="B267">
        <f>Main!$B$20/A267</f>
        <v>1.5337423312883558</v>
      </c>
      <c r="D267" s="132">
        <f t="shared" si="25"/>
        <v>1.5337423312883558</v>
      </c>
      <c r="E267" s="132">
        <f>-B267*Main!$B$19-2*Main!$B$19*loop_gain!$B$17*loop_gain!$B$18</f>
        <v>-94.00490797546027</v>
      </c>
      <c r="F267" s="132">
        <f>2*Main!$B$19*loop_gain!$B$17*loop_gain!$B$18*Helper_calcs!$B$26*Current_limit!B267</f>
        <v>446.4110429447889</v>
      </c>
      <c r="G267" s="132">
        <f t="shared" si="27"/>
        <v>5.1879331909619424</v>
      </c>
      <c r="H267" s="132">
        <f>(Main!$B$19-Current_limit!G267)*Current_limit!G267/(Main!$B$19*loop_gain!$B$17*loop_gain!$B$18)</f>
        <v>0.93493511898568105</v>
      </c>
      <c r="I267" s="132">
        <f t="shared" si="28"/>
        <v>2.9150648810143189</v>
      </c>
      <c r="J267" s="132"/>
      <c r="K267" s="133">
        <f>IF(A267&gt;$B$15,IF(I267&gt;Helper_calcs!$B$27,23,3),0)</f>
        <v>0</v>
      </c>
      <c r="L267">
        <f t="shared" si="26"/>
        <v>0</v>
      </c>
      <c r="M267">
        <f t="shared" si="29"/>
        <v>0</v>
      </c>
      <c r="N267" s="132">
        <f t="shared" si="30"/>
        <v>3.259999999999974</v>
      </c>
      <c r="O267" s="132">
        <f t="shared" si="31"/>
        <v>5</v>
      </c>
      <c r="P267" s="134">
        <f>IF(OR(M267=0,M267=3),loop_gain!$B$18,IF(Current_limit!M267=1,Current_limit!$B$12/(2*(Current_limit!N267-Helper_calcs!$B$27)),IF(OR(M267=2,M267=23),(Main!$B$19-Current_limit!O267)*Current_limit!O267/(Main!$B$19*loop_gain!$B$17*(Helper_calcs!$B$26-Helper_calcs!$B$27)),x)))</f>
        <v>2100000</v>
      </c>
      <c r="Q267" s="132"/>
    </row>
    <row r="268" spans="1:17" x14ac:dyDescent="0.3">
      <c r="A268">
        <f t="shared" si="32"/>
        <v>3.2699999999999738</v>
      </c>
      <c r="B268">
        <f>Main!$B$20/A268</f>
        <v>1.5290519877675963</v>
      </c>
      <c r="D268" s="132">
        <f t="shared" si="25"/>
        <v>1.5290519877675963</v>
      </c>
      <c r="E268" s="132">
        <f>-B268*Main!$B$19-2*Main!$B$19*loop_gain!$B$17*loop_gain!$B$18</f>
        <v>-93.94862385321116</v>
      </c>
      <c r="F268" s="132">
        <f>2*Main!$B$19*loop_gain!$B$17*loop_gain!$B$18*Helper_calcs!$B$26*Current_limit!B268</f>
        <v>445.04587155963668</v>
      </c>
      <c r="G268" s="132">
        <f t="shared" si="27"/>
        <v>5.1725771517915717</v>
      </c>
      <c r="H268" s="132">
        <f>(Main!$B$19-Current_limit!G268)*Current_limit!G268/(Main!$B$19*loop_gain!$B$17*loop_gain!$B$18)</f>
        <v>0.93426908545668375</v>
      </c>
      <c r="I268" s="132">
        <f t="shared" si="28"/>
        <v>2.9157309145433188</v>
      </c>
      <c r="J268" s="132"/>
      <c r="K268" s="133">
        <f>IF(A268&gt;$B$15,IF(I268&gt;Helper_calcs!$B$27,23,3),0)</f>
        <v>0</v>
      </c>
      <c r="L268">
        <f t="shared" si="26"/>
        <v>0</v>
      </c>
      <c r="M268">
        <f t="shared" si="29"/>
        <v>0</v>
      </c>
      <c r="N268" s="132">
        <f t="shared" si="30"/>
        <v>3.2699999999999738</v>
      </c>
      <c r="O268" s="132">
        <f t="shared" si="31"/>
        <v>5</v>
      </c>
      <c r="P268" s="134">
        <f>IF(OR(M268=0,M268=3),loop_gain!$B$18,IF(Current_limit!M268=1,Current_limit!$B$12/(2*(Current_limit!N268-Helper_calcs!$B$27)),IF(OR(M268=2,M268=23),(Main!$B$19-Current_limit!O268)*Current_limit!O268/(Main!$B$19*loop_gain!$B$17*(Helper_calcs!$B$26-Helper_calcs!$B$27)),x)))</f>
        <v>2100000</v>
      </c>
      <c r="Q268" s="132"/>
    </row>
    <row r="269" spans="1:17" x14ac:dyDescent="0.3">
      <c r="A269">
        <f t="shared" si="32"/>
        <v>3.2799999999999736</v>
      </c>
      <c r="B269">
        <f>Main!$B$20/A269</f>
        <v>1.5243902439024513</v>
      </c>
      <c r="D269" s="132">
        <f t="shared" si="25"/>
        <v>1.5243902439024513</v>
      </c>
      <c r="E269" s="132">
        <f>-B269*Main!$B$19-2*Main!$B$19*loop_gain!$B$17*loop_gain!$B$18</f>
        <v>-93.892682926829423</v>
      </c>
      <c r="F269" s="132">
        <f>2*Main!$B$19*loop_gain!$B$17*loop_gain!$B$18*Helper_calcs!$B$26*Current_limit!B269</f>
        <v>443.68902439024754</v>
      </c>
      <c r="G269" s="132">
        <f t="shared" si="27"/>
        <v>5.1573208664450849</v>
      </c>
      <c r="H269" s="132">
        <f>(Main!$B$19-Current_limit!G269)*Current_limit!G269/(Main!$B$19*loop_gain!$B$17*loop_gain!$B$18)</f>
        <v>0.93359502322410404</v>
      </c>
      <c r="I269" s="132">
        <f t="shared" si="28"/>
        <v>2.9164049767758966</v>
      </c>
      <c r="J269" s="132"/>
      <c r="K269" s="133">
        <f>IF(A269&gt;$B$15,IF(I269&gt;Helper_calcs!$B$27,23,3),0)</f>
        <v>0</v>
      </c>
      <c r="L269">
        <f t="shared" si="26"/>
        <v>0</v>
      </c>
      <c r="M269">
        <f t="shared" si="29"/>
        <v>0</v>
      </c>
      <c r="N269" s="132">
        <f t="shared" si="30"/>
        <v>3.2799999999999736</v>
      </c>
      <c r="O269" s="132">
        <f t="shared" si="31"/>
        <v>5</v>
      </c>
      <c r="P269" s="134">
        <f>IF(OR(M269=0,M269=3),loop_gain!$B$18,IF(Current_limit!M269=1,Current_limit!$B$12/(2*(Current_limit!N269-Helper_calcs!$B$27)),IF(OR(M269=2,M269=23),(Main!$B$19-Current_limit!O269)*Current_limit!O269/(Main!$B$19*loop_gain!$B$17*(Helper_calcs!$B$26-Helper_calcs!$B$27)),x)))</f>
        <v>2100000</v>
      </c>
      <c r="Q269" s="132"/>
    </row>
    <row r="270" spans="1:17" x14ac:dyDescent="0.3">
      <c r="A270">
        <f t="shared" si="32"/>
        <v>3.2899999999999734</v>
      </c>
      <c r="B270">
        <f>Main!$B$20/A270</f>
        <v>1.5197568389057874</v>
      </c>
      <c r="D270" s="132">
        <f t="shared" si="25"/>
        <v>1.5197568389057874</v>
      </c>
      <c r="E270" s="132">
        <f>-B270*Main!$B$19-2*Main!$B$19*loop_gain!$B$17*loop_gain!$B$18</f>
        <v>-93.837082066869456</v>
      </c>
      <c r="F270" s="132">
        <f>2*Main!$B$19*loop_gain!$B$17*loop_gain!$B$18*Helper_calcs!$B$26*Current_limit!B270</f>
        <v>442.34042553191858</v>
      </c>
      <c r="G270" s="132">
        <f t="shared" si="27"/>
        <v>5.1421632781974225</v>
      </c>
      <c r="H270" s="132">
        <f>(Main!$B$19-Current_limit!G270)*Current_limit!G270/(Main!$B$19*loop_gain!$B$17*loop_gain!$B$18)</f>
        <v>0.93291312589224873</v>
      </c>
      <c r="I270" s="132">
        <f t="shared" si="28"/>
        <v>2.9170868741077522</v>
      </c>
      <c r="J270" s="132"/>
      <c r="K270" s="133">
        <f>IF(A270&gt;$B$15,IF(I270&gt;Helper_calcs!$B$27,23,3),0)</f>
        <v>0</v>
      </c>
      <c r="L270">
        <f t="shared" si="26"/>
        <v>0</v>
      </c>
      <c r="M270">
        <f t="shared" si="29"/>
        <v>0</v>
      </c>
      <c r="N270" s="132">
        <f t="shared" si="30"/>
        <v>3.2899999999999734</v>
      </c>
      <c r="O270" s="132">
        <f t="shared" si="31"/>
        <v>5</v>
      </c>
      <c r="P270" s="134">
        <f>IF(OR(M270=0,M270=3),loop_gain!$B$18,IF(Current_limit!M270=1,Current_limit!$B$12/(2*(Current_limit!N270-Helper_calcs!$B$27)),IF(OR(M270=2,M270=23),(Main!$B$19-Current_limit!O270)*Current_limit!O270/(Main!$B$19*loop_gain!$B$17*(Helper_calcs!$B$26-Helper_calcs!$B$27)),x)))</f>
        <v>2100000</v>
      </c>
      <c r="Q270" s="132"/>
    </row>
    <row r="271" spans="1:17" x14ac:dyDescent="0.3">
      <c r="A271">
        <f t="shared" si="32"/>
        <v>3.2999999999999732</v>
      </c>
      <c r="B271">
        <f>Main!$B$20/A271</f>
        <v>1.5151515151515276</v>
      </c>
      <c r="D271" s="132">
        <f t="shared" si="25"/>
        <v>1.5151515151515276</v>
      </c>
      <c r="E271" s="132">
        <f>-B271*Main!$B$19-2*Main!$B$19*loop_gain!$B$17*loop_gain!$B$18</f>
        <v>-93.781818181818338</v>
      </c>
      <c r="F271" s="132">
        <f>2*Main!$B$19*loop_gain!$B$17*loop_gain!$B$18*Helper_calcs!$B$26*Current_limit!B271</f>
        <v>441.00000000000369</v>
      </c>
      <c r="G271" s="132">
        <f t="shared" si="27"/>
        <v>5.1271033463204878</v>
      </c>
      <c r="H271" s="132">
        <f>(Main!$B$19-Current_limit!G271)*Current_limit!G271/(Main!$B$19*loop_gain!$B$17*loop_gain!$B$18)</f>
        <v>0.93222358285701334</v>
      </c>
      <c r="I271" s="132">
        <f t="shared" si="28"/>
        <v>2.9177764171429876</v>
      </c>
      <c r="J271" s="132"/>
      <c r="K271" s="133">
        <f>IF(A271&gt;$B$15,IF(I271&gt;Helper_calcs!$B$27,23,3),0)</f>
        <v>0</v>
      </c>
      <c r="L271">
        <f t="shared" si="26"/>
        <v>0</v>
      </c>
      <c r="M271">
        <f t="shared" si="29"/>
        <v>0</v>
      </c>
      <c r="N271" s="132">
        <f t="shared" si="30"/>
        <v>3.2999999999999732</v>
      </c>
      <c r="O271" s="132">
        <f t="shared" si="31"/>
        <v>5</v>
      </c>
      <c r="P271" s="134">
        <f>IF(OR(M271=0,M271=3),loop_gain!$B$18,IF(Current_limit!M271=1,Current_limit!$B$12/(2*(Current_limit!N271-Helper_calcs!$B$27)),IF(OR(M271=2,M271=23),(Main!$B$19-Current_limit!O271)*Current_limit!O271/(Main!$B$19*loop_gain!$B$17*(Helper_calcs!$B$26-Helper_calcs!$B$27)),x)))</f>
        <v>2100000</v>
      </c>
      <c r="Q271" s="132"/>
    </row>
    <row r="272" spans="1:17" x14ac:dyDescent="0.3">
      <c r="A272">
        <f t="shared" si="32"/>
        <v>3.309999999999973</v>
      </c>
      <c r="B272">
        <f>Main!$B$20/A272</f>
        <v>1.5105740181269005</v>
      </c>
      <c r="D272" s="132">
        <f t="shared" si="25"/>
        <v>1.5105740181269005</v>
      </c>
      <c r="E272" s="132">
        <f>-B272*Main!$B$19-2*Main!$B$19*loop_gain!$B$17*loop_gain!$B$18</f>
        <v>-93.726888217522813</v>
      </c>
      <c r="F272" s="132">
        <f>2*Main!$B$19*loop_gain!$B$17*loop_gain!$B$18*Helper_calcs!$B$26*Current_limit!B272</f>
        <v>439.66767371601577</v>
      </c>
      <c r="G272" s="132">
        <f t="shared" si="27"/>
        <v>5.1121400457635779</v>
      </c>
      <c r="H272" s="132">
        <f>(Main!$B$19-Current_limit!G272)*Current_limit!G272/(Main!$B$19*loop_gain!$B$17*loop_gain!$B$18)</f>
        <v>0.9315265794090819</v>
      </c>
      <c r="I272" s="132">
        <f t="shared" si="28"/>
        <v>2.91847342059092</v>
      </c>
      <c r="J272" s="132"/>
      <c r="K272" s="133">
        <f>IF(A272&gt;$B$15,IF(I272&gt;Helper_calcs!$B$27,23,3),0)</f>
        <v>0</v>
      </c>
      <c r="L272">
        <f t="shared" si="26"/>
        <v>0</v>
      </c>
      <c r="M272">
        <f t="shared" si="29"/>
        <v>0</v>
      </c>
      <c r="N272" s="132">
        <f t="shared" si="30"/>
        <v>3.309999999999973</v>
      </c>
      <c r="O272" s="132">
        <f t="shared" si="31"/>
        <v>5</v>
      </c>
      <c r="P272" s="134">
        <f>IF(OR(M272=0,M272=3),loop_gain!$B$18,IF(Current_limit!M272=1,Current_limit!$B$12/(2*(Current_limit!N272-Helper_calcs!$B$27)),IF(OR(M272=2,M272=23),(Main!$B$19-Current_limit!O272)*Current_limit!O272/(Main!$B$19*loop_gain!$B$17*(Helper_calcs!$B$26-Helper_calcs!$B$27)),x)))</f>
        <v>2100000</v>
      </c>
      <c r="Q272" s="132"/>
    </row>
    <row r="273" spans="1:17" x14ac:dyDescent="0.3">
      <c r="A273">
        <f t="shared" si="32"/>
        <v>3.3199999999999728</v>
      </c>
      <c r="B273">
        <f>Main!$B$20/A273</f>
        <v>1.5060240963855545</v>
      </c>
      <c r="D273" s="132">
        <f t="shared" si="25"/>
        <v>1.5060240963855545</v>
      </c>
      <c r="E273" s="132">
        <f>-B273*Main!$B$19-2*Main!$B$19*loop_gain!$B$17*loop_gain!$B$18</f>
        <v>-93.672289156626661</v>
      </c>
      <c r="F273" s="132">
        <f>2*Main!$B$19*loop_gain!$B$17*loop_gain!$B$18*Helper_calcs!$B$26*Current_limit!B273</f>
        <v>438.34337349397958</v>
      </c>
      <c r="G273" s="132">
        <f t="shared" si="27"/>
        <v>5.0972723668417652</v>
      </c>
      <c r="H273" s="132">
        <f>(Main!$B$19-Current_limit!G273)*Current_limit!G273/(Main!$B$19*loop_gain!$B$17*loop_gain!$B$18)</f>
        <v>0.93082229683419382</v>
      </c>
      <c r="I273" s="132">
        <f t="shared" si="28"/>
        <v>2.9191777031658077</v>
      </c>
      <c r="J273" s="132"/>
      <c r="K273" s="133">
        <f>IF(A273&gt;$B$15,IF(I273&gt;Helper_calcs!$B$27,23,3),0)</f>
        <v>0</v>
      </c>
      <c r="L273">
        <f t="shared" si="26"/>
        <v>0</v>
      </c>
      <c r="M273">
        <f t="shared" si="29"/>
        <v>0</v>
      </c>
      <c r="N273" s="132">
        <f t="shared" si="30"/>
        <v>3.3199999999999728</v>
      </c>
      <c r="O273" s="132">
        <f t="shared" si="31"/>
        <v>5</v>
      </c>
      <c r="P273" s="134">
        <f>IF(OR(M273=0,M273=3),loop_gain!$B$18,IF(Current_limit!M273=1,Current_limit!$B$12/(2*(Current_limit!N273-Helper_calcs!$B$27)),IF(OR(M273=2,M273=23),(Main!$B$19-Current_limit!O273)*Current_limit!O273/(Main!$B$19*loop_gain!$B$17*(Helper_calcs!$B$26-Helper_calcs!$B$27)),x)))</f>
        <v>2100000</v>
      </c>
      <c r="Q273" s="132"/>
    </row>
    <row r="274" spans="1:17" x14ac:dyDescent="0.3">
      <c r="A274">
        <f t="shared" si="32"/>
        <v>3.3299999999999725</v>
      </c>
      <c r="B274">
        <f>Main!$B$20/A274</f>
        <v>1.5015015015015138</v>
      </c>
      <c r="D274" s="132">
        <f t="shared" si="25"/>
        <v>1.5015015015015138</v>
      </c>
      <c r="E274" s="132">
        <f>-B274*Main!$B$19-2*Main!$B$19*loop_gain!$B$17*loop_gain!$B$18</f>
        <v>-93.618018018018176</v>
      </c>
      <c r="F274" s="132">
        <f>2*Main!$B$19*loop_gain!$B$17*loop_gain!$B$18*Helper_calcs!$B$26*Current_limit!B274</f>
        <v>437.02702702703073</v>
      </c>
      <c r="G274" s="132">
        <f t="shared" si="27"/>
        <v>5.0824993149320452</v>
      </c>
      <c r="H274" s="132">
        <f>(Main!$B$19-Current_limit!G274)*Current_limit!G274/(Main!$B$19*loop_gain!$B$17*loop_gain!$B$18)</f>
        <v>0.93011091251057754</v>
      </c>
      <c r="I274" s="132">
        <f t="shared" si="28"/>
        <v>2.9198890874894254</v>
      </c>
      <c r="J274" s="132"/>
      <c r="K274" s="133">
        <f>IF(A274&gt;$B$15,IF(I274&gt;Helper_calcs!$B$27,23,3),0)</f>
        <v>0</v>
      </c>
      <c r="L274">
        <f t="shared" si="26"/>
        <v>0</v>
      </c>
      <c r="M274">
        <f t="shared" si="29"/>
        <v>0</v>
      </c>
      <c r="N274" s="132">
        <f t="shared" si="30"/>
        <v>3.3299999999999725</v>
      </c>
      <c r="O274" s="132">
        <f t="shared" si="31"/>
        <v>5</v>
      </c>
      <c r="P274" s="134">
        <f>IF(OR(M274=0,M274=3),loop_gain!$B$18,IF(Current_limit!M274=1,Current_limit!$B$12/(2*(Current_limit!N274-Helper_calcs!$B$27)),IF(OR(M274=2,M274=23),(Main!$B$19-Current_limit!O274)*Current_limit!O274/(Main!$B$19*loop_gain!$B$17*(Helper_calcs!$B$26-Helper_calcs!$B$27)),x)))</f>
        <v>2100000</v>
      </c>
      <c r="Q274" s="132"/>
    </row>
    <row r="275" spans="1:17" x14ac:dyDescent="0.3">
      <c r="A275">
        <f t="shared" si="32"/>
        <v>3.3399999999999723</v>
      </c>
      <c r="B275">
        <f>Main!$B$20/A275</f>
        <v>1.4970059880239646</v>
      </c>
      <c r="D275" s="132">
        <f t="shared" si="25"/>
        <v>1.4970059880239646</v>
      </c>
      <c r="E275" s="132">
        <f>-B275*Main!$B$19-2*Main!$B$19*loop_gain!$B$17*loop_gain!$B$18</f>
        <v>-93.564071856287583</v>
      </c>
      <c r="F275" s="132">
        <f>2*Main!$B$19*loop_gain!$B$17*loop_gain!$B$18*Helper_calcs!$B$26*Current_limit!B275</f>
        <v>435.71856287425521</v>
      </c>
      <c r="G275" s="132">
        <f t="shared" si="27"/>
        <v>5.067819910176957</v>
      </c>
      <c r="H275" s="132">
        <f>(Main!$B$19-Current_limit!G275)*Current_limit!G275/(Main!$B$19*loop_gain!$B$17*loop_gain!$B$18)</f>
        <v>0.92939260000363755</v>
      </c>
      <c r="I275" s="132">
        <f t="shared" si="28"/>
        <v>2.92060739999636</v>
      </c>
      <c r="J275" s="132"/>
      <c r="K275" s="133">
        <f>IF(A275&gt;$B$15,IF(I275&gt;Helper_calcs!$B$27,23,3),0)</f>
        <v>0</v>
      </c>
      <c r="L275">
        <f t="shared" si="26"/>
        <v>0</v>
      </c>
      <c r="M275">
        <f t="shared" si="29"/>
        <v>0</v>
      </c>
      <c r="N275" s="132">
        <f t="shared" si="30"/>
        <v>3.3399999999999723</v>
      </c>
      <c r="O275" s="132">
        <f t="shared" si="31"/>
        <v>5</v>
      </c>
      <c r="P275" s="134">
        <f>IF(OR(M275=0,M275=3),loop_gain!$B$18,IF(Current_limit!M275=1,Current_limit!$B$12/(2*(Current_limit!N275-Helper_calcs!$B$27)),IF(OR(M275=2,M275=23),(Main!$B$19-Current_limit!O275)*Current_limit!O275/(Main!$B$19*loop_gain!$B$17*(Helper_calcs!$B$26-Helper_calcs!$B$27)),x)))</f>
        <v>2100000</v>
      </c>
      <c r="Q275" s="132"/>
    </row>
    <row r="276" spans="1:17" x14ac:dyDescent="0.3">
      <c r="A276">
        <f t="shared" si="32"/>
        <v>3.3499999999999721</v>
      </c>
      <c r="B276">
        <f>Main!$B$20/A276</f>
        <v>1.4925373134328483</v>
      </c>
      <c r="D276" s="132">
        <f t="shared" si="25"/>
        <v>1.4925373134328483</v>
      </c>
      <c r="E276" s="132">
        <f>-B276*Main!$B$19-2*Main!$B$19*loop_gain!$B$17*loop_gain!$B$18</f>
        <v>-93.510447761194186</v>
      </c>
      <c r="F276" s="132">
        <f>2*Main!$B$19*loop_gain!$B$17*loop_gain!$B$18*Helper_calcs!$B$26*Current_limit!B276</f>
        <v>434.41791044776494</v>
      </c>
      <c r="G276" s="132">
        <f t="shared" si="27"/>
        <v>5.0532331871955698</v>
      </c>
      <c r="H276" s="132">
        <f>(Main!$B$19-Current_limit!G276)*Current_limit!G276/(Main!$B$19*loop_gain!$B$17*loop_gain!$B$18)</f>
        <v>0.928667529157993</v>
      </c>
      <c r="I276" s="132">
        <f t="shared" si="28"/>
        <v>2.9213324708420068</v>
      </c>
      <c r="J276" s="132"/>
      <c r="K276" s="133">
        <f>IF(A276&gt;$B$15,IF(I276&gt;Helper_calcs!$B$27,23,3),0)</f>
        <v>0</v>
      </c>
      <c r="L276">
        <f t="shared" si="26"/>
        <v>0</v>
      </c>
      <c r="M276">
        <f t="shared" si="29"/>
        <v>0</v>
      </c>
      <c r="N276" s="132">
        <f t="shared" si="30"/>
        <v>3.3499999999999721</v>
      </c>
      <c r="O276" s="132">
        <f t="shared" si="31"/>
        <v>5</v>
      </c>
      <c r="P276" s="134">
        <f>IF(OR(M276=0,M276=3),loop_gain!$B$18,IF(Current_limit!M276=1,Current_limit!$B$12/(2*(Current_limit!N276-Helper_calcs!$B$27)),IF(OR(M276=2,M276=23),(Main!$B$19-Current_limit!O276)*Current_limit!O276/(Main!$B$19*loop_gain!$B$17*(Helper_calcs!$B$26-Helper_calcs!$B$27)),x)))</f>
        <v>2100000</v>
      </c>
      <c r="Q276" s="132"/>
    </row>
    <row r="277" spans="1:17" x14ac:dyDescent="0.3">
      <c r="A277">
        <f t="shared" si="32"/>
        <v>3.3599999999999719</v>
      </c>
      <c r="B277">
        <f>Main!$B$20/A277</f>
        <v>1.4880952380952506</v>
      </c>
      <c r="D277" s="132">
        <f t="shared" si="25"/>
        <v>1.4880952380952506</v>
      </c>
      <c r="E277" s="132">
        <f>-B277*Main!$B$19-2*Main!$B$19*loop_gain!$B$17*loop_gain!$B$18</f>
        <v>-93.457142857143012</v>
      </c>
      <c r="F277" s="132">
        <f>2*Main!$B$19*loop_gain!$B$17*loop_gain!$B$18*Helper_calcs!$B$26*Current_limit!B277</f>
        <v>433.12500000000369</v>
      </c>
      <c r="G277" s="132">
        <f t="shared" si="27"/>
        <v>5.038738194801426</v>
      </c>
      <c r="H277" s="132">
        <f>(Main!$B$19-Current_limit!G277)*Current_limit!G277/(Main!$B$19*loop_gain!$B$17*loop_gain!$B$18)</f>
        <v>0.92793586618694113</v>
      </c>
      <c r="I277" s="132">
        <f t="shared" si="28"/>
        <v>2.9220641338130591</v>
      </c>
      <c r="J277" s="132"/>
      <c r="K277" s="133">
        <f>IF(A277&gt;$B$15,IF(I277&gt;Helper_calcs!$B$27,23,3),0)</f>
        <v>0</v>
      </c>
      <c r="L277">
        <f t="shared" si="26"/>
        <v>0</v>
      </c>
      <c r="M277">
        <f t="shared" si="29"/>
        <v>0</v>
      </c>
      <c r="N277" s="132">
        <f t="shared" si="30"/>
        <v>3.3599999999999719</v>
      </c>
      <c r="O277" s="132">
        <f t="shared" si="31"/>
        <v>5</v>
      </c>
      <c r="P277" s="134">
        <f>IF(OR(M277=0,M277=3),loop_gain!$B$18,IF(Current_limit!M277=1,Current_limit!$B$12/(2*(Current_limit!N277-Helper_calcs!$B$27)),IF(OR(M277=2,M277=23),(Main!$B$19-Current_limit!O277)*Current_limit!O277/(Main!$B$19*loop_gain!$B$17*(Helper_calcs!$B$26-Helper_calcs!$B$27)),x)))</f>
        <v>2100000</v>
      </c>
      <c r="Q277" s="132"/>
    </row>
    <row r="278" spans="1:17" x14ac:dyDescent="0.3">
      <c r="A278">
        <f t="shared" si="32"/>
        <v>3.3699999999999717</v>
      </c>
      <c r="B278">
        <f>Main!$B$20/A278</f>
        <v>1.4836795252225643</v>
      </c>
      <c r="D278" s="132">
        <f t="shared" si="25"/>
        <v>1.4836795252225643</v>
      </c>
      <c r="E278" s="132">
        <f>-B278*Main!$B$19-2*Main!$B$19*loop_gain!$B$17*loop_gain!$B$18</f>
        <v>-93.404154302670776</v>
      </c>
      <c r="F278" s="132">
        <f>2*Main!$B$19*loop_gain!$B$17*loop_gain!$B$18*Helper_calcs!$B$26*Current_limit!B278</f>
        <v>431.83976261127964</v>
      </c>
      <c r="G278" s="132">
        <f t="shared" si="27"/>
        <v>5.02433399572746</v>
      </c>
      <c r="H278" s="132">
        <f>(Main!$B$19-Current_limit!G278)*Current_limit!G278/(Main!$B$19*loop_gain!$B$17*loop_gain!$B$18)</f>
        <v>0.92719777375944046</v>
      </c>
      <c r="I278" s="132">
        <f t="shared" si="28"/>
        <v>2.9228022262405595</v>
      </c>
      <c r="J278" s="132"/>
      <c r="K278" s="133">
        <f>IF(A278&gt;$B$15,IF(I278&gt;Helper_calcs!$B$27,23,3),0)</f>
        <v>0</v>
      </c>
      <c r="L278">
        <f t="shared" si="26"/>
        <v>1</v>
      </c>
      <c r="M278">
        <f t="shared" si="29"/>
        <v>1</v>
      </c>
      <c r="N278" s="132">
        <f t="shared" si="30"/>
        <v>3.3699999999999717</v>
      </c>
      <c r="O278" s="132">
        <f t="shared" si="31"/>
        <v>5</v>
      </c>
      <c r="P278" s="134">
        <f>IF(OR(M278=0,M278=3),loop_gain!$B$18,IF(Current_limit!M278=1,Current_limit!$B$12/(2*(Current_limit!N278-Helper_calcs!$B$27)),IF(OR(M278=2,M278=23),(Main!$B$19-Current_limit!O278)*Current_limit!O278/(Main!$B$19*loop_gain!$B$17*(Helper_calcs!$B$26-Helper_calcs!$B$27)),x)))</f>
        <v>2068557.9196218736</v>
      </c>
      <c r="Q278" s="132"/>
    </row>
    <row r="279" spans="1:17" x14ac:dyDescent="0.3">
      <c r="A279">
        <f t="shared" si="32"/>
        <v>3.3799999999999715</v>
      </c>
      <c r="B279">
        <f>Main!$B$20/A279</f>
        <v>1.4792899408284148</v>
      </c>
      <c r="D279" s="132">
        <f t="shared" ref="D279:D342" si="33">B279</f>
        <v>1.4792899408284148</v>
      </c>
      <c r="E279" s="132">
        <f>-B279*Main!$B$19-2*Main!$B$19*loop_gain!$B$17*loop_gain!$B$18</f>
        <v>-93.351479289940983</v>
      </c>
      <c r="F279" s="132">
        <f>2*Main!$B$19*loop_gain!$B$17*loop_gain!$B$18*Helper_calcs!$B$26*Current_limit!B279</f>
        <v>430.5621301775185</v>
      </c>
      <c r="G279" s="132">
        <f t="shared" si="27"/>
        <v>5.0100196663575227</v>
      </c>
      <c r="H279" s="132">
        <f>(Main!$B$19-Current_limit!G279)*Current_limit!G279/(Main!$B$19*loop_gain!$B$17*loop_gain!$B$18)</f>
        <v>0.92645341108468582</v>
      </c>
      <c r="I279" s="132">
        <f t="shared" si="28"/>
        <v>2.9235465889153138</v>
      </c>
      <c r="J279" s="132"/>
      <c r="K279" s="133">
        <f>IF(A279&gt;$B$15,IF(I279&gt;Helper_calcs!$B$27,23,3),0)</f>
        <v>0</v>
      </c>
      <c r="L279">
        <f t="shared" ref="L279:L342" si="34">IF(A279&gt;$B$13,IF(A279&gt;$B$14,2,1),0)</f>
        <v>2</v>
      </c>
      <c r="M279">
        <f t="shared" si="29"/>
        <v>2</v>
      </c>
      <c r="N279" s="132">
        <f t="shared" si="30"/>
        <v>3.375</v>
      </c>
      <c r="O279" s="132">
        <f t="shared" si="31"/>
        <v>4.9926035502959003</v>
      </c>
      <c r="P279" s="134">
        <f>IF(OR(M279=0,M279=3),loop_gain!$B$18,IF(Current_limit!M279=1,Current_limit!$B$12/(2*(Current_limit!N279-Helper_calcs!$B$27)),IF(OR(M279=2,M279=23),(Main!$B$19-Current_limit!O279)*Current_limit!O279/(Main!$B$19*loop_gain!$B$17*(Helper_calcs!$B$26-Helper_calcs!$B$27)),x)))</f>
        <v>2045915.3446271096</v>
      </c>
      <c r="Q279" s="132"/>
    </row>
    <row r="280" spans="1:17" x14ac:dyDescent="0.3">
      <c r="A280">
        <f t="shared" si="32"/>
        <v>3.3899999999999713</v>
      </c>
      <c r="B280">
        <f>Main!$B$20/A280</f>
        <v>1.4749262536873282</v>
      </c>
      <c r="D280" s="132">
        <f t="shared" si="33"/>
        <v>1.4749262536873282</v>
      </c>
      <c r="E280" s="132">
        <f>-B280*Main!$B$19-2*Main!$B$19*loop_gain!$B$17*loop_gain!$B$18</f>
        <v>-93.299115044247941</v>
      </c>
      <c r="F280" s="132">
        <f>2*Main!$B$19*loop_gain!$B$17*loop_gain!$B$18*Helper_calcs!$B$26*Current_limit!B280</f>
        <v>429.29203539823385</v>
      </c>
      <c r="G280" s="132">
        <f t="shared" ref="G280:G343" si="35">(-E280-SQRT(E280^2-4*D280*F280))/(2*D280)</f>
        <v>4.9957942964643891</v>
      </c>
      <c r="H280" s="132">
        <f>(Main!$B$19-Current_limit!G280)*Current_limit!G280/(Main!$B$19*loop_gain!$B$17*loop_gain!$B$18)</f>
        <v>0.92570293399435299</v>
      </c>
      <c r="I280" s="132">
        <f t="shared" ref="I280:I343" si="36">(G280/B280)-0.5*H280</f>
        <v>2.9242970660056504</v>
      </c>
      <c r="J280" s="132"/>
      <c r="K280" s="133">
        <f>IF(A280&gt;$B$15,IF(I280&gt;Helper_calcs!$B$27,23,3),0)</f>
        <v>23</v>
      </c>
      <c r="L280">
        <f t="shared" si="34"/>
        <v>2</v>
      </c>
      <c r="M280">
        <f t="shared" ref="M280:M343" si="37">IF($B$16="N",L280,K280)</f>
        <v>2</v>
      </c>
      <c r="N280" s="132">
        <f t="shared" ref="N280:N343" si="38">IF(OR(M280=0,M280=1),A280,IF(OR(M280=2,M280=23),$B$14,G280/B280))</f>
        <v>3.375</v>
      </c>
      <c r="O280" s="132">
        <f t="shared" ref="O280:O343" si="39">N280*B280</f>
        <v>4.9778761061947323</v>
      </c>
      <c r="P280" s="134">
        <f>IF(OR(M280=0,M280=3),loop_gain!$B$18,IF(Current_limit!M280=1,Current_limit!$B$12/(2*(Current_limit!N280-Helper_calcs!$B$27)),IF(OR(M280=2,M280=23),(Main!$B$19-Current_limit!O280)*Current_limit!O280/(Main!$B$19*loop_gain!$B$17*(Helper_calcs!$B$26-Helper_calcs!$B$27)),x)))</f>
        <v>2044167.4120299623</v>
      </c>
      <c r="Q280" s="132"/>
    </row>
    <row r="281" spans="1:17" x14ac:dyDescent="0.3">
      <c r="A281">
        <f t="shared" si="32"/>
        <v>3.399999999999971</v>
      </c>
      <c r="B281">
        <f>Main!$B$20/A281</f>
        <v>1.4705882352941302</v>
      </c>
      <c r="D281" s="132">
        <f t="shared" si="33"/>
        <v>1.4705882352941302</v>
      </c>
      <c r="E281" s="132">
        <f>-B281*Main!$B$19-2*Main!$B$19*loop_gain!$B$17*loop_gain!$B$18</f>
        <v>-93.247058823529571</v>
      </c>
      <c r="F281" s="132">
        <f>2*Main!$B$19*loop_gain!$B$17*loop_gain!$B$18*Helper_calcs!$B$26*Current_limit!B281</f>
        <v>428.02941176470961</v>
      </c>
      <c r="G281" s="132">
        <f t="shared" si="35"/>
        <v>4.981656988954021</v>
      </c>
      <c r="H281" s="132">
        <f>(Main!$B$19-Current_limit!G281)*Current_limit!G281/(Main!$B$19*loop_gain!$B$17*loop_gain!$B$18)</f>
        <v>0.92494649502258741</v>
      </c>
      <c r="I281" s="132">
        <f t="shared" si="36"/>
        <v>2.9250535049774116</v>
      </c>
      <c r="J281" s="132"/>
      <c r="K281" s="133">
        <f>IF(A281&gt;$B$15,IF(I281&gt;Helper_calcs!$B$27,23,3),0)</f>
        <v>23</v>
      </c>
      <c r="L281">
        <f t="shared" si="34"/>
        <v>2</v>
      </c>
      <c r="M281">
        <f t="shared" si="37"/>
        <v>2</v>
      </c>
      <c r="N281" s="132">
        <f t="shared" si="38"/>
        <v>3.375</v>
      </c>
      <c r="O281" s="132">
        <f t="shared" si="39"/>
        <v>4.9632352941176894</v>
      </c>
      <c r="P281" s="134">
        <f>IF(OR(M281=0,M281=3),loop_gain!$B$18,IF(Current_limit!M281=1,Current_limit!$B$12/(2*(Current_limit!N281-Helper_calcs!$B$27)),IF(OR(M281=2,M281=23),(Main!$B$19-Current_limit!O281)*Current_limit!O281/(Main!$B$19*loop_gain!$B$17*(Helper_calcs!$B$26-Helper_calcs!$B$27)),x)))</f>
        <v>2042404.6166454246</v>
      </c>
      <c r="Q281" s="132"/>
    </row>
    <row r="282" spans="1:17" x14ac:dyDescent="0.3">
      <c r="A282">
        <f t="shared" si="32"/>
        <v>3.4099999999999708</v>
      </c>
      <c r="B282">
        <f>Main!$B$20/A282</f>
        <v>1.4662756598240594</v>
      </c>
      <c r="D282" s="132">
        <f t="shared" si="33"/>
        <v>1.4662756598240594</v>
      </c>
      <c r="E282" s="132">
        <f>-B282*Main!$B$19-2*Main!$B$19*loop_gain!$B$17*loop_gain!$B$18</f>
        <v>-93.195307917888726</v>
      </c>
      <c r="F282" s="132">
        <f>2*Main!$B$19*loop_gain!$B$17*loop_gain!$B$18*Helper_calcs!$B$26*Current_limit!B282</f>
        <v>426.77419354839083</v>
      </c>
      <c r="G282" s="132">
        <f t="shared" si="35"/>
        <v>4.9676068596160121</v>
      </c>
      <c r="H282" s="132">
        <f>(Main!$B$19-Current_limit!G282)*Current_limit!G282/(Main!$B$19*loop_gain!$B$17*loop_gain!$B$18)</f>
        <v>0.92418424348381167</v>
      </c>
      <c r="I282" s="132">
        <f t="shared" si="36"/>
        <v>2.9258157565161858</v>
      </c>
      <c r="J282" s="132"/>
      <c r="K282" s="133">
        <f>IF(A282&gt;$B$15,IF(I282&gt;Helper_calcs!$B$27,23,3),0)</f>
        <v>23</v>
      </c>
      <c r="L282">
        <f t="shared" si="34"/>
        <v>2</v>
      </c>
      <c r="M282">
        <f t="shared" si="37"/>
        <v>2</v>
      </c>
      <c r="N282" s="132">
        <f t="shared" si="38"/>
        <v>3.375</v>
      </c>
      <c r="O282" s="132">
        <f t="shared" si="39"/>
        <v>4.9486803519062006</v>
      </c>
      <c r="P282" s="134">
        <f>IF(OR(M282=0,M282=3),loop_gain!$B$18,IF(Current_limit!M282=1,Current_limit!$B$12/(2*(Current_limit!N282-Helper_calcs!$B$27)),IF(OR(M282=2,M282=23),(Main!$B$19-Current_limit!O282)*Current_limit!O282/(Main!$B$19*loop_gain!$B$17*(Helper_calcs!$B$26-Helper_calcs!$B$27)),x)))</f>
        <v>2040627.3097971887</v>
      </c>
      <c r="Q282" s="132"/>
    </row>
    <row r="283" spans="1:17" x14ac:dyDescent="0.3">
      <c r="A283">
        <f t="shared" si="32"/>
        <v>3.4199999999999706</v>
      </c>
      <c r="B283">
        <f>Main!$B$20/A283</f>
        <v>1.4619883040935797</v>
      </c>
      <c r="D283" s="132">
        <f t="shared" si="33"/>
        <v>1.4619883040935797</v>
      </c>
      <c r="E283" s="132">
        <f>-B283*Main!$B$19-2*Main!$B$19*loop_gain!$B$17*loop_gain!$B$18</f>
        <v>-93.143859649122959</v>
      </c>
      <c r="F283" s="132">
        <f>2*Main!$B$19*loop_gain!$B$17*loop_gain!$B$18*Helper_calcs!$B$26*Current_limit!B283</f>
        <v>425.52631578947739</v>
      </c>
      <c r="G283" s="132">
        <f t="shared" si="35"/>
        <v>4.9536430368798579</v>
      </c>
      <c r="H283" s="132">
        <f>(Main!$B$19-Current_limit!G283)*Current_limit!G283/(Main!$B$19*loop_gain!$B$17*loop_gain!$B$18)</f>
        <v>0.92341632554841235</v>
      </c>
      <c r="I283" s="132">
        <f t="shared" si="36"/>
        <v>2.9265836744515874</v>
      </c>
      <c r="J283" s="132"/>
      <c r="K283" s="133">
        <f>IF(A283&gt;$B$15,IF(I283&gt;Helper_calcs!$B$27,23,3),0)</f>
        <v>23</v>
      </c>
      <c r="L283">
        <f t="shared" si="34"/>
        <v>2</v>
      </c>
      <c r="M283">
        <f t="shared" si="37"/>
        <v>2</v>
      </c>
      <c r="N283" s="132">
        <f t="shared" si="38"/>
        <v>3.375</v>
      </c>
      <c r="O283" s="132">
        <f t="shared" si="39"/>
        <v>4.9342105263158311</v>
      </c>
      <c r="P283" s="134">
        <f>IF(OR(M283=0,M283=3),loop_gain!$B$18,IF(Current_limit!M283=1,Current_limit!$B$12/(2*(Current_limit!N283-Helper_calcs!$B$27)),IF(OR(M283=2,M283=23),(Main!$B$19-Current_limit!O283)*Current_limit!O283/(Main!$B$19*loop_gain!$B$17*(Helper_calcs!$B$26-Helper_calcs!$B$27)),x)))</f>
        <v>2038835.8361277205</v>
      </c>
      <c r="Q283" s="132"/>
    </row>
    <row r="284" spans="1:17" x14ac:dyDescent="0.3">
      <c r="A284">
        <f t="shared" si="32"/>
        <v>3.4299999999999704</v>
      </c>
      <c r="B284">
        <f>Main!$B$20/A284</f>
        <v>1.4577259475218785</v>
      </c>
      <c r="D284" s="132">
        <f t="shared" si="33"/>
        <v>1.4577259475218785</v>
      </c>
      <c r="E284" s="132">
        <f>-B284*Main!$B$19-2*Main!$B$19*loop_gain!$B$17*loop_gain!$B$18</f>
        <v>-93.092711370262549</v>
      </c>
      <c r="F284" s="132">
        <f>2*Main!$B$19*loop_gain!$B$17*loop_gain!$B$18*Helper_calcs!$B$26*Current_limit!B284</f>
        <v>424.28571428571803</v>
      </c>
      <c r="G284" s="132">
        <f t="shared" si="35"/>
        <v>4.9397646615770272</v>
      </c>
      <c r="H284" s="132">
        <f>(Main!$B$19-Current_limit!G284)*Current_limit!G284/(Main!$B$19*loop_gain!$B$17*loop_gain!$B$18)</f>
        <v>0.92264288431637886</v>
      </c>
      <c r="I284" s="132">
        <f t="shared" si="36"/>
        <v>2.927357115683622</v>
      </c>
      <c r="J284" s="132"/>
      <c r="K284" s="133">
        <f>IF(A284&gt;$B$15,IF(I284&gt;Helper_calcs!$B$27,23,3),0)</f>
        <v>23</v>
      </c>
      <c r="L284">
        <f t="shared" si="34"/>
        <v>2</v>
      </c>
      <c r="M284">
        <f t="shared" si="37"/>
        <v>2</v>
      </c>
      <c r="N284" s="132">
        <f t="shared" si="38"/>
        <v>3.375</v>
      </c>
      <c r="O284" s="132">
        <f t="shared" si="39"/>
        <v>4.91982507288634</v>
      </c>
      <c r="P284" s="134">
        <f>IF(OR(M284=0,M284=3),loop_gain!$B$18,IF(Current_limit!M284=1,Current_limit!$B$12/(2*(Current_limit!N284-Helper_calcs!$B$27)),IF(OR(M284=2,M284=23),(Main!$B$19-Current_limit!O284)*Current_limit!O284/(Main!$B$19*loop_gain!$B$17*(Helper_calcs!$B$26-Helper_calcs!$B$27)),x)))</f>
        <v>2037030.5337330406</v>
      </c>
      <c r="Q284" s="132"/>
    </row>
    <row r="285" spans="1:17" x14ac:dyDescent="0.3">
      <c r="A285">
        <f t="shared" si="32"/>
        <v>3.4399999999999702</v>
      </c>
      <c r="B285">
        <f>Main!$B$20/A285</f>
        <v>1.4534883720930358</v>
      </c>
      <c r="D285" s="132">
        <f t="shared" si="33"/>
        <v>1.4534883720930358</v>
      </c>
      <c r="E285" s="132">
        <f>-B285*Main!$B$19-2*Main!$B$19*loop_gain!$B$17*loop_gain!$B$18</f>
        <v>-93.041860465116443</v>
      </c>
      <c r="F285" s="132">
        <f>2*Main!$B$19*loop_gain!$B$17*loop_gain!$B$18*Helper_calcs!$B$26*Current_limit!B285</f>
        <v>423.05232558139909</v>
      </c>
      <c r="G285" s="132">
        <f t="shared" si="35"/>
        <v>4.9259708867086518</v>
      </c>
      <c r="H285" s="132">
        <f>(Main!$B$19-Current_limit!G285)*Current_limit!G285/(Main!$B$19*loop_gain!$B$17*loop_gain!$B$18)</f>
        <v>0.92186405988895748</v>
      </c>
      <c r="I285" s="132">
        <f t="shared" si="36"/>
        <v>2.9281359401110447</v>
      </c>
      <c r="J285" s="132"/>
      <c r="K285" s="133">
        <f>IF(A285&gt;$B$15,IF(I285&gt;Helper_calcs!$B$27,23,3),0)</f>
        <v>23</v>
      </c>
      <c r="L285">
        <f t="shared" si="34"/>
        <v>2</v>
      </c>
      <c r="M285">
        <f t="shared" si="37"/>
        <v>2</v>
      </c>
      <c r="N285" s="132">
        <f t="shared" si="38"/>
        <v>3.375</v>
      </c>
      <c r="O285" s="132">
        <f t="shared" si="39"/>
        <v>4.9055232558139963</v>
      </c>
      <c r="P285" s="134">
        <f>IF(OR(M285=0,M285=3),loop_gain!$B$18,IF(Current_limit!M285=1,Current_limit!$B$12/(2*(Current_limit!N285-Helper_calcs!$B$27)),IF(OR(M285=2,M285=23),(Main!$B$19-Current_limit!O285)*Current_limit!O285/(Main!$B$19*loop_gain!$B$17*(Helper_calcs!$B$26-Helper_calcs!$B$27)),x)))</f>
        <v>2035211.7342945028</v>
      </c>
      <c r="Q285" s="132"/>
    </row>
    <row r="286" spans="1:17" x14ac:dyDescent="0.3">
      <c r="A286">
        <f t="shared" si="32"/>
        <v>3.44999999999997</v>
      </c>
      <c r="B286">
        <f>Main!$B$20/A286</f>
        <v>1.4492753623188532</v>
      </c>
      <c r="D286" s="132">
        <f t="shared" si="33"/>
        <v>1.4492753623188532</v>
      </c>
      <c r="E286" s="132">
        <f>-B286*Main!$B$19-2*Main!$B$19*loop_gain!$B$17*loop_gain!$B$18</f>
        <v>-92.991304347826244</v>
      </c>
      <c r="F286" s="132">
        <f>2*Main!$B$19*loop_gain!$B$17*loop_gain!$B$18*Helper_calcs!$B$26*Current_limit!B286</f>
        <v>421.8260869565255</v>
      </c>
      <c r="G286" s="132">
        <f t="shared" si="35"/>
        <v>4.9122608772186069</v>
      </c>
      <c r="H286" s="132">
        <f>(Main!$B$19-Current_limit!G286)*Current_limit!G286/(Main!$B$19*loop_gain!$B$17*loop_gain!$B$18)</f>
        <v>0.92107998943837999</v>
      </c>
      <c r="I286" s="132">
        <f t="shared" si="36"/>
        <v>2.9289200105616193</v>
      </c>
      <c r="J286" s="132"/>
      <c r="K286" s="133">
        <f>IF(A286&gt;$B$15,IF(I286&gt;Helper_calcs!$B$27,23,3),0)</f>
        <v>23</v>
      </c>
      <c r="L286">
        <f t="shared" si="34"/>
        <v>2</v>
      </c>
      <c r="M286">
        <f t="shared" si="37"/>
        <v>2</v>
      </c>
      <c r="N286" s="132">
        <f t="shared" si="38"/>
        <v>3.375</v>
      </c>
      <c r="O286" s="132">
        <f t="shared" si="39"/>
        <v>4.8913043478261296</v>
      </c>
      <c r="P286" s="134">
        <f>IF(OR(M286=0,M286=3),loop_gain!$B$18,IF(Current_limit!M286=1,Current_limit!$B$12/(2*(Current_limit!N286-Helper_calcs!$B$27)),IF(OR(M286=2,M286=23),(Main!$B$19-Current_limit!O286)*Current_limit!O286/(Main!$B$19*loop_gain!$B$17*(Helper_calcs!$B$26-Helper_calcs!$B$27)),x)))</f>
        <v>2033379.7632076466</v>
      </c>
      <c r="Q286" s="132"/>
    </row>
    <row r="287" spans="1:17" x14ac:dyDescent="0.3">
      <c r="A287">
        <f t="shared" si="32"/>
        <v>3.4599999999999698</v>
      </c>
      <c r="B287">
        <f>Main!$B$20/A287</f>
        <v>1.4450867052023249</v>
      </c>
      <c r="D287" s="132">
        <f t="shared" si="33"/>
        <v>1.4450867052023249</v>
      </c>
      <c r="E287" s="132">
        <f>-B287*Main!$B$19-2*Main!$B$19*loop_gain!$B$17*loop_gain!$B$18</f>
        <v>-92.941040462427907</v>
      </c>
      <c r="F287" s="132">
        <f>2*Main!$B$19*loop_gain!$B$17*loop_gain!$B$18*Helper_calcs!$B$26*Current_limit!B287</f>
        <v>420.60693641618877</v>
      </c>
      <c r="G287" s="132">
        <f t="shared" si="35"/>
        <v>4.8986338097719173</v>
      </c>
      <c r="H287" s="132">
        <f>(Main!$B$19-Current_limit!G287)*Current_limit!G287/(Main!$B$19*loop_gain!$B$17*loop_gain!$B$18)</f>
        <v>0.92029080727572676</v>
      </c>
      <c r="I287" s="132">
        <f t="shared" si="36"/>
        <v>2.9297091927242738</v>
      </c>
      <c r="J287" s="132"/>
      <c r="K287" s="133">
        <f>IF(A287&gt;$B$15,IF(I287&gt;Helper_calcs!$B$27,23,3),0)</f>
        <v>23</v>
      </c>
      <c r="L287">
        <f t="shared" si="34"/>
        <v>2</v>
      </c>
      <c r="M287">
        <f t="shared" si="37"/>
        <v>2</v>
      </c>
      <c r="N287" s="132">
        <f t="shared" si="38"/>
        <v>3.375</v>
      </c>
      <c r="O287" s="132">
        <f t="shared" si="39"/>
        <v>4.8771676300578459</v>
      </c>
      <c r="P287" s="134">
        <f>IF(OR(M287=0,M287=3),loop_gain!$B$18,IF(Current_limit!M287=1,Current_limit!$B$12/(2*(Current_limit!N287-Helper_calcs!$B$27)),IF(OR(M287=2,M287=23),(Main!$B$19-Current_limit!O287)*Current_limit!O287/(Main!$B$19*loop_gain!$B$17*(Helper_calcs!$B$26-Helper_calcs!$B$27)),x)))</f>
        <v>2031534.9397081921</v>
      </c>
      <c r="Q287" s="132"/>
    </row>
    <row r="288" spans="1:17" x14ac:dyDescent="0.3">
      <c r="A288">
        <f t="shared" si="32"/>
        <v>3.4699999999999696</v>
      </c>
      <c r="B288">
        <f>Main!$B$20/A288</f>
        <v>1.4409221902017417</v>
      </c>
      <c r="D288" s="132">
        <f t="shared" si="33"/>
        <v>1.4409221902017417</v>
      </c>
      <c r="E288" s="132">
        <f>-B288*Main!$B$19-2*Main!$B$19*loop_gain!$B$17*loop_gain!$B$18</f>
        <v>-92.891066282420908</v>
      </c>
      <c r="F288" s="132">
        <f>2*Main!$B$19*loop_gain!$B$17*loop_gain!$B$18*Helper_calcs!$B$26*Current_limit!B288</f>
        <v>419.39481268011906</v>
      </c>
      <c r="G288" s="132">
        <f t="shared" si="35"/>
        <v>4.8850888725382413</v>
      </c>
      <c r="H288" s="132">
        <f>(Main!$B$19-Current_limit!G288)*Current_limit!G288/(Main!$B$19*loop_gain!$B$17*loop_gain!$B$18)</f>
        <v>0.91949664491698269</v>
      </c>
      <c r="I288" s="132">
        <f t="shared" si="36"/>
        <v>2.9305033550830184</v>
      </c>
      <c r="J288" s="132"/>
      <c r="K288" s="133">
        <f>IF(A288&gt;$B$15,IF(I288&gt;Helper_calcs!$B$27,23,3),0)</f>
        <v>23</v>
      </c>
      <c r="L288">
        <f t="shared" si="34"/>
        <v>2</v>
      </c>
      <c r="M288">
        <f t="shared" si="37"/>
        <v>2</v>
      </c>
      <c r="N288" s="132">
        <f t="shared" si="38"/>
        <v>3.375</v>
      </c>
      <c r="O288" s="132">
        <f t="shared" si="39"/>
        <v>4.8631123919308781</v>
      </c>
      <c r="P288" s="134">
        <f>IF(OR(M288=0,M288=3),loop_gain!$B$18,IF(Current_limit!M288=1,Current_limit!$B$12/(2*(Current_limit!N288-Helper_calcs!$B$27)),IF(OR(M288=2,M288=23),(Main!$B$19-Current_limit!O288)*Current_limit!O288/(Main!$B$19*loop_gain!$B$17*(Helper_calcs!$B$26-Helper_calcs!$B$27)),x)))</f>
        <v>2029677.5769952552</v>
      </c>
      <c r="Q288" s="132"/>
    </row>
    <row r="289" spans="1:17" x14ac:dyDescent="0.3">
      <c r="A289">
        <f t="shared" ref="A289:A352" si="40">A288+0.01</f>
        <v>3.4799999999999693</v>
      </c>
      <c r="B289">
        <f>Main!$B$20/A289</f>
        <v>1.4367816091954149</v>
      </c>
      <c r="D289" s="132">
        <f t="shared" si="33"/>
        <v>1.4367816091954149</v>
      </c>
      <c r="E289" s="132">
        <f>-B289*Main!$B$19-2*Main!$B$19*loop_gain!$B$17*loop_gain!$B$18</f>
        <v>-92.84137931034499</v>
      </c>
      <c r="F289" s="132">
        <f>2*Main!$B$19*loop_gain!$B$17*loop_gain!$B$18*Helper_calcs!$B$26*Current_limit!B289</f>
        <v>418.18965517241753</v>
      </c>
      <c r="G289" s="132">
        <f t="shared" si="35"/>
        <v>4.8716252649804046</v>
      </c>
      <c r="H289" s="132">
        <f>(Main!$B$19-Current_limit!G289)*Current_limit!G289/(Main!$B$19*loop_gain!$B$17*loop_gain!$B$18)</f>
        <v>0.91869763114733993</v>
      </c>
      <c r="I289" s="132">
        <f t="shared" si="36"/>
        <v>2.9313023688526623</v>
      </c>
      <c r="J289" s="132"/>
      <c r="K289" s="133">
        <f>IF(A289&gt;$B$15,IF(I289&gt;Helper_calcs!$B$27,23,3),0)</f>
        <v>23</v>
      </c>
      <c r="L289">
        <f t="shared" si="34"/>
        <v>2</v>
      </c>
      <c r="M289">
        <f t="shared" si="37"/>
        <v>2</v>
      </c>
      <c r="N289" s="132">
        <f t="shared" si="38"/>
        <v>3.375</v>
      </c>
      <c r="O289" s="132">
        <f t="shared" si="39"/>
        <v>4.8491379310345248</v>
      </c>
      <c r="P289" s="134">
        <f>IF(OR(M289=0,M289=3),loop_gain!$B$18,IF(Current_limit!M289=1,Current_limit!$B$12/(2*(Current_limit!N289-Helper_calcs!$B$27)),IF(OR(M289=2,M289=23),(Main!$B$19-Current_limit!O289)*Current_limit!O289/(Main!$B$19*loop_gain!$B$17*(Helper_calcs!$B$26-Helper_calcs!$B$27)),x)))</f>
        <v>2027807.9823518421</v>
      </c>
      <c r="Q289" s="132"/>
    </row>
    <row r="290" spans="1:17" x14ac:dyDescent="0.3">
      <c r="A290">
        <f t="shared" si="40"/>
        <v>3.4899999999999691</v>
      </c>
      <c r="B290">
        <f>Main!$B$20/A290</f>
        <v>1.4326647564470041</v>
      </c>
      <c r="D290" s="132">
        <f t="shared" si="33"/>
        <v>1.4326647564470041</v>
      </c>
      <c r="E290" s="132">
        <f>-B290*Main!$B$19-2*Main!$B$19*loop_gain!$B$17*loop_gain!$B$18</f>
        <v>-92.791977077364066</v>
      </c>
      <c r="F290" s="132">
        <f>2*Main!$B$19*loop_gain!$B$17*loop_gain!$B$18*Helper_calcs!$B$26*Current_limit!B290</f>
        <v>416.99140401146508</v>
      </c>
      <c r="G290" s="132">
        <f t="shared" si="35"/>
        <v>4.8582421976477477</v>
      </c>
      <c r="H290" s="132">
        <f>(Main!$B$19-Current_limit!G290)*Current_limit!G290/(Main!$B$19*loop_gain!$B$17*loop_gain!$B$18)</f>
        <v>0.9178938920838029</v>
      </c>
      <c r="I290" s="132">
        <f t="shared" si="36"/>
        <v>2.9321061079161965</v>
      </c>
      <c r="J290" s="132"/>
      <c r="K290" s="133">
        <f>IF(A290&gt;$B$15,IF(I290&gt;Helper_calcs!$B$27,23,3),0)</f>
        <v>23</v>
      </c>
      <c r="L290">
        <f t="shared" si="34"/>
        <v>2</v>
      </c>
      <c r="M290">
        <f t="shared" si="37"/>
        <v>2</v>
      </c>
      <c r="N290" s="132">
        <f t="shared" si="38"/>
        <v>3.375</v>
      </c>
      <c r="O290" s="132">
        <f t="shared" si="39"/>
        <v>4.8352435530086391</v>
      </c>
      <c r="P290" s="134">
        <f>IF(OR(M290=0,M290=3),loop_gain!$B$18,IF(Current_limit!M290=1,Current_limit!$B$12/(2*(Current_limit!N290-Helper_calcs!$B$27)),IF(OR(M290=2,M290=23),(Main!$B$19-Current_limit!O290)*Current_limit!O290/(Main!$B$19*loop_gain!$B$17*(Helper_calcs!$B$26-Helper_calcs!$B$27)),x)))</f>
        <v>2025926.4572626932</v>
      </c>
      <c r="Q290" s="132"/>
    </row>
    <row r="291" spans="1:17" x14ac:dyDescent="0.3">
      <c r="A291">
        <f t="shared" si="40"/>
        <v>3.4999999999999689</v>
      </c>
      <c r="B291">
        <f>Main!$B$20/A291</f>
        <v>1.4285714285714413</v>
      </c>
      <c r="D291" s="132">
        <f t="shared" si="33"/>
        <v>1.4285714285714413</v>
      </c>
      <c r="E291" s="132">
        <f>-B291*Main!$B$19-2*Main!$B$19*loop_gain!$B$17*loop_gain!$B$18</f>
        <v>-92.742857142857304</v>
      </c>
      <c r="F291" s="132">
        <f>2*Main!$B$19*loop_gain!$B$17*loop_gain!$B$18*Helper_calcs!$B$26*Current_limit!B291</f>
        <v>415.80000000000376</v>
      </c>
      <c r="G291" s="132">
        <f t="shared" si="35"/>
        <v>4.8449388919742233</v>
      </c>
      <c r="H291" s="132">
        <f>(Main!$B$19-Current_limit!G291)*Current_limit!G291/(Main!$B$19*loop_gain!$B$17*loop_gain!$B$18)</f>
        <v>0.91708555123614444</v>
      </c>
      <c r="I291" s="132">
        <f t="shared" si="36"/>
        <v>2.9329144487638539</v>
      </c>
      <c r="J291" s="132"/>
      <c r="K291" s="133">
        <f>IF(A291&gt;$B$15,IF(I291&gt;Helper_calcs!$B$27,23,3),0)</f>
        <v>23</v>
      </c>
      <c r="L291">
        <f t="shared" si="34"/>
        <v>2</v>
      </c>
      <c r="M291">
        <f t="shared" si="37"/>
        <v>2</v>
      </c>
      <c r="N291" s="132">
        <f t="shared" si="38"/>
        <v>3.375</v>
      </c>
      <c r="O291" s="132">
        <f t="shared" si="39"/>
        <v>4.8214285714286138</v>
      </c>
      <c r="P291" s="134">
        <f>IF(OR(M291=0,M291=3),loop_gain!$B$18,IF(Current_limit!M291=1,Current_limit!$B$12/(2*(Current_limit!N291-Helper_calcs!$B$27)),IF(OR(M291=2,M291=23),(Main!$B$19-Current_limit!O291)*Current_limit!O291/(Main!$B$19*loop_gain!$B$17*(Helper_calcs!$B$26-Helper_calcs!$B$27)),x)))</f>
        <v>2024033.2975295437</v>
      </c>
      <c r="Q291" s="132"/>
    </row>
    <row r="292" spans="1:17" x14ac:dyDescent="0.3">
      <c r="A292">
        <f t="shared" si="40"/>
        <v>3.5099999999999687</v>
      </c>
      <c r="B292">
        <f>Main!$B$20/A292</f>
        <v>1.4245014245014371</v>
      </c>
      <c r="D292" s="132">
        <f t="shared" si="33"/>
        <v>1.4245014245014371</v>
      </c>
      <c r="E292" s="132">
        <f>-B292*Main!$B$19-2*Main!$B$19*loop_gain!$B$17*loop_gain!$B$18</f>
        <v>-92.694017094017255</v>
      </c>
      <c r="F292" s="132">
        <f>2*Main!$B$19*loop_gain!$B$17*loop_gain!$B$18*Helper_calcs!$B$26*Current_limit!B292</f>
        <v>414.61538461538839</v>
      </c>
      <c r="G292" s="132">
        <f t="shared" si="35"/>
        <v>4.831714580081055</v>
      </c>
      <c r="H292" s="132">
        <f>(Main!$B$19-Current_limit!G292)*Current_limit!G292/(Main!$B$19*loop_gain!$B$17*loop_gain!$B$18)</f>
        <v>0.91627272956626493</v>
      </c>
      <c r="I292" s="132">
        <f t="shared" si="36"/>
        <v>2.9337272704337378</v>
      </c>
      <c r="J292" s="132"/>
      <c r="K292" s="133">
        <f>IF(A292&gt;$B$15,IF(I292&gt;Helper_calcs!$B$27,23,3),0)</f>
        <v>23</v>
      </c>
      <c r="L292">
        <f t="shared" si="34"/>
        <v>2</v>
      </c>
      <c r="M292">
        <f t="shared" si="37"/>
        <v>2</v>
      </c>
      <c r="N292" s="132">
        <f t="shared" si="38"/>
        <v>3.375</v>
      </c>
      <c r="O292" s="132">
        <f t="shared" si="39"/>
        <v>4.8076923076923501</v>
      </c>
      <c r="P292" s="134">
        <f>IF(OR(M292=0,M292=3),loop_gain!$B$18,IF(Current_limit!M292=1,Current_limit!$B$12/(2*(Current_limit!N292-Helper_calcs!$B$27)),IF(OR(M292=2,M292=23),(Main!$B$19-Current_limit!O292)*Current_limit!O292/(Main!$B$19*loop_gain!$B$17*(Helper_calcs!$B$26-Helper_calcs!$B$27)),x)))</f>
        <v>2022128.7933838596</v>
      </c>
      <c r="Q292" s="132"/>
    </row>
    <row r="293" spans="1:17" x14ac:dyDescent="0.3">
      <c r="A293">
        <f t="shared" si="40"/>
        <v>3.5199999999999685</v>
      </c>
      <c r="B293">
        <f>Main!$B$20/A293</f>
        <v>1.4204545454545581</v>
      </c>
      <c r="D293" s="132">
        <f t="shared" si="33"/>
        <v>1.4204545454545581</v>
      </c>
      <c r="E293" s="132">
        <f>-B293*Main!$B$19-2*Main!$B$19*loop_gain!$B$17*loop_gain!$B$18</f>
        <v>-92.645454545454697</v>
      </c>
      <c r="F293" s="132">
        <f>2*Main!$B$19*loop_gain!$B$17*loop_gain!$B$18*Helper_calcs!$B$26*Current_limit!B293</f>
        <v>413.43750000000375</v>
      </c>
      <c r="G293" s="132">
        <f t="shared" si="35"/>
        <v>4.818568504583852</v>
      </c>
      <c r="H293" s="132">
        <f>(Main!$B$19-Current_limit!G293)*Current_limit!G293/(Main!$B$19*loop_gain!$B$17*loop_gain!$B$18)</f>
        <v>0.91545554554599895</v>
      </c>
      <c r="I293" s="132">
        <f t="shared" si="36"/>
        <v>2.9345444544540022</v>
      </c>
      <c r="J293" s="132"/>
      <c r="K293" s="133">
        <f>IF(A293&gt;$B$15,IF(I293&gt;Helper_calcs!$B$27,23,3),0)</f>
        <v>23</v>
      </c>
      <c r="L293">
        <f t="shared" si="34"/>
        <v>2</v>
      </c>
      <c r="M293">
        <f t="shared" si="37"/>
        <v>2</v>
      </c>
      <c r="N293" s="132">
        <f t="shared" si="38"/>
        <v>3.375</v>
      </c>
      <c r="O293" s="132">
        <f t="shared" si="39"/>
        <v>4.7940340909091335</v>
      </c>
      <c r="P293" s="134">
        <f>IF(OR(M293=0,M293=3),loop_gain!$B$18,IF(Current_limit!M293=1,Current_limit!$B$12/(2*(Current_limit!N293-Helper_calcs!$B$27)),IF(OR(M293=2,M293=23),(Main!$B$19-Current_limit!O293)*Current_limit!O293/(Main!$B$19*loop_gain!$B$17*(Helper_calcs!$B$26-Helper_calcs!$B$27)),x)))</f>
        <v>2020213.2295971133</v>
      </c>
      <c r="Q293" s="132"/>
    </row>
    <row r="294" spans="1:17" x14ac:dyDescent="0.3">
      <c r="A294">
        <f t="shared" si="40"/>
        <v>3.5299999999999683</v>
      </c>
      <c r="B294">
        <f>Main!$B$20/A294</f>
        <v>1.4164305949008626</v>
      </c>
      <c r="D294" s="132">
        <f t="shared" si="33"/>
        <v>1.4164305949008626</v>
      </c>
      <c r="E294" s="132">
        <f>-B294*Main!$B$19-2*Main!$B$19*loop_gain!$B$17*loop_gain!$B$18</f>
        <v>-92.597167138810363</v>
      </c>
      <c r="F294" s="132">
        <f>2*Main!$B$19*loop_gain!$B$17*loop_gain!$B$18*Helper_calcs!$B$26*Current_limit!B294</f>
        <v>412.26628895184518</v>
      </c>
      <c r="G294" s="132">
        <f t="shared" si="35"/>
        <v>4.8054999184041352</v>
      </c>
      <c r="H294" s="132">
        <f>(Main!$B$19-Current_limit!G294)*Current_limit!G294/(Main!$B$19*loop_gain!$B$17*loop_gain!$B$18)</f>
        <v>0.91463411521342508</v>
      </c>
      <c r="I294" s="132">
        <f t="shared" si="36"/>
        <v>2.9353658847865765</v>
      </c>
      <c r="J294" s="132"/>
      <c r="K294" s="133">
        <f>IF(A294&gt;$B$15,IF(I294&gt;Helper_calcs!$B$27,23,3),0)</f>
        <v>23</v>
      </c>
      <c r="L294">
        <f t="shared" si="34"/>
        <v>2</v>
      </c>
      <c r="M294">
        <f t="shared" si="37"/>
        <v>2</v>
      </c>
      <c r="N294" s="132">
        <f t="shared" si="38"/>
        <v>3.375</v>
      </c>
      <c r="O294" s="132">
        <f t="shared" si="39"/>
        <v>4.7804532577904117</v>
      </c>
      <c r="P294" s="134">
        <f>IF(OR(M294=0,M294=3),loop_gain!$B$18,IF(Current_limit!M294=1,Current_limit!$B$12/(2*(Current_limit!N294-Helper_calcs!$B$27)),IF(OR(M294=2,M294=23),(Main!$B$19-Current_limit!O294)*Current_limit!O294/(Main!$B$19*loop_gain!$B$17*(Helper_calcs!$B$26-Helper_calcs!$B$27)),x)))</f>
        <v>2018286.8855886536</v>
      </c>
      <c r="Q294" s="132"/>
    </row>
    <row r="295" spans="1:17" x14ac:dyDescent="0.3">
      <c r="A295">
        <f t="shared" si="40"/>
        <v>3.5399999999999681</v>
      </c>
      <c r="B295">
        <f>Main!$B$20/A295</f>
        <v>1.4124293785310862</v>
      </c>
      <c r="D295" s="132">
        <f t="shared" si="33"/>
        <v>1.4124293785310862</v>
      </c>
      <c r="E295" s="132">
        <f>-B295*Main!$B$19-2*Main!$B$19*loop_gain!$B$17*loop_gain!$B$18</f>
        <v>-92.549152542373037</v>
      </c>
      <c r="F295" s="132">
        <f>2*Main!$B$19*loop_gain!$B$17*loop_gain!$B$18*Helper_calcs!$B$26*Current_limit!B295</f>
        <v>411.10169491525801</v>
      </c>
      <c r="G295" s="132">
        <f t="shared" si="35"/>
        <v>4.7925080845849992</v>
      </c>
      <c r="H295" s="132">
        <f>(Main!$B$19-Current_limit!G295)*Current_limit!G295/(Main!$B$19*loop_gain!$B$17*loop_gain!$B$18)</f>
        <v>0.91380855222770918</v>
      </c>
      <c r="I295" s="132">
        <f t="shared" si="36"/>
        <v>2.9361914477722943</v>
      </c>
      <c r="J295" s="132"/>
      <c r="K295" s="133">
        <f>IF(A295&gt;$B$15,IF(I295&gt;Helper_calcs!$B$27,23,3),0)</f>
        <v>23</v>
      </c>
      <c r="L295">
        <f t="shared" si="34"/>
        <v>2</v>
      </c>
      <c r="M295">
        <f t="shared" si="37"/>
        <v>2</v>
      </c>
      <c r="N295" s="132">
        <f t="shared" si="38"/>
        <v>3.375</v>
      </c>
      <c r="O295" s="132">
        <f t="shared" si="39"/>
        <v>4.7669491525424155</v>
      </c>
      <c r="P295" s="134">
        <f>IF(OR(M295=0,M295=3),loop_gain!$B$18,IF(Current_limit!M295=1,Current_limit!$B$12/(2*(Current_limit!N295-Helper_calcs!$B$27)),IF(OR(M295=2,M295=23),(Main!$B$19-Current_limit!O295)*Current_limit!O295/(Main!$B$19*loop_gain!$B$17*(Helper_calcs!$B$26-Helper_calcs!$B$27)),x)))</f>
        <v>2016350.0355312356</v>
      </c>
      <c r="Q295" s="132"/>
    </row>
    <row r="296" spans="1:17" x14ac:dyDescent="0.3">
      <c r="A296">
        <f t="shared" si="40"/>
        <v>3.5499999999999678</v>
      </c>
      <c r="B296">
        <f>Main!$B$20/A296</f>
        <v>1.4084507042253649</v>
      </c>
      <c r="D296" s="132">
        <f t="shared" si="33"/>
        <v>1.4084507042253649</v>
      </c>
      <c r="E296" s="132">
        <f>-B296*Main!$B$19-2*Main!$B$19*loop_gain!$B$17*loop_gain!$B$18</f>
        <v>-92.501408450704389</v>
      </c>
      <c r="F296" s="132">
        <f>2*Main!$B$19*loop_gain!$B$17*loop_gain!$B$18*Helper_calcs!$B$26*Current_limit!B296</f>
        <v>409.94366197183479</v>
      </c>
      <c r="G296" s="132">
        <f t="shared" si="35"/>
        <v>4.7795922761109333</v>
      </c>
      <c r="H296" s="132">
        <f>(Main!$B$19-Current_limit!G296)*Current_limit!G296/(Main!$B$19*loop_gain!$B$17*loop_gain!$B$18)</f>
        <v>0.91297896792253719</v>
      </c>
      <c r="I296" s="132">
        <f t="shared" si="36"/>
        <v>2.937021032077463</v>
      </c>
      <c r="J296" s="132"/>
      <c r="K296" s="133">
        <f>IF(A296&gt;$B$15,IF(I296&gt;Helper_calcs!$B$27,23,3),0)</f>
        <v>23</v>
      </c>
      <c r="L296">
        <f t="shared" si="34"/>
        <v>2</v>
      </c>
      <c r="M296">
        <f t="shared" si="37"/>
        <v>2</v>
      </c>
      <c r="N296" s="132">
        <f t="shared" si="38"/>
        <v>3.375</v>
      </c>
      <c r="O296" s="132">
        <f t="shared" si="39"/>
        <v>4.7535211267606066</v>
      </c>
      <c r="P296" s="134">
        <f>IF(OR(M296=0,M296=3),loop_gain!$B$18,IF(Current_limit!M296=1,Current_limit!$B$12/(2*(Current_limit!N296-Helper_calcs!$B$27)),IF(OR(M296=2,M296=23),(Main!$B$19-Current_limit!O296)*Current_limit!O296/(Main!$B$19*loop_gain!$B$17*(Helper_calcs!$B$26-Helper_calcs!$B$27)),x)))</f>
        <v>2014402.9484542604</v>
      </c>
      <c r="Q296" s="132"/>
    </row>
    <row r="297" spans="1:17" x14ac:dyDescent="0.3">
      <c r="A297">
        <f t="shared" si="40"/>
        <v>3.5599999999999676</v>
      </c>
      <c r="B297">
        <f>Main!$B$20/A297</f>
        <v>1.4044943820224847</v>
      </c>
      <c r="D297" s="132">
        <f t="shared" si="33"/>
        <v>1.4044943820224847</v>
      </c>
      <c r="E297" s="132">
        <f>-B297*Main!$B$19-2*Main!$B$19*loop_gain!$B$17*loop_gain!$B$18</f>
        <v>-92.453932584269822</v>
      </c>
      <c r="F297" s="132">
        <f>2*Main!$B$19*loop_gain!$B$17*loop_gain!$B$18*Helper_calcs!$B$26*Current_limit!B297</f>
        <v>408.79213483146447</v>
      </c>
      <c r="G297" s="132">
        <f t="shared" si="35"/>
        <v>4.7667517757316613</v>
      </c>
      <c r="H297" s="132">
        <f>(Main!$B$19-Current_limit!G297)*Current_limit!G297/(Main!$B$19*loop_gain!$B$17*loop_gain!$B$18)</f>
        <v>0.91214547135817414</v>
      </c>
      <c r="I297" s="132">
        <f t="shared" si="36"/>
        <v>2.9378545286418247</v>
      </c>
      <c r="J297" s="132"/>
      <c r="K297" s="133">
        <f>IF(A297&gt;$B$15,IF(I297&gt;Helper_calcs!$B$27,23,3),0)</f>
        <v>23</v>
      </c>
      <c r="L297">
        <f t="shared" si="34"/>
        <v>2</v>
      </c>
      <c r="M297">
        <f t="shared" si="37"/>
        <v>2</v>
      </c>
      <c r="N297" s="132">
        <f t="shared" si="38"/>
        <v>3.375</v>
      </c>
      <c r="O297" s="132">
        <f t="shared" si="39"/>
        <v>4.7401685393258859</v>
      </c>
      <c r="P297" s="134">
        <f>IF(OR(M297=0,M297=3),loop_gain!$B$18,IF(Current_limit!M297=1,Current_limit!$B$12/(2*(Current_limit!N297-Helper_calcs!$B$27)),IF(OR(M297=2,M297=23),(Main!$B$19-Current_limit!O297)*Current_limit!O297/(Main!$B$19*loop_gain!$B$17*(Helper_calcs!$B$26-Helper_calcs!$B$27)),x)))</f>
        <v>2012445.8883447791</v>
      </c>
      <c r="Q297" s="132"/>
    </row>
    <row r="298" spans="1:17" x14ac:dyDescent="0.3">
      <c r="A298">
        <f t="shared" si="40"/>
        <v>3.5699999999999674</v>
      </c>
      <c r="B298">
        <f>Main!$B$20/A298</f>
        <v>1.4005602240896486</v>
      </c>
      <c r="D298" s="132">
        <f t="shared" si="33"/>
        <v>1.4005602240896486</v>
      </c>
      <c r="E298" s="132">
        <f>-B298*Main!$B$19-2*Main!$B$19*loop_gain!$B$17*loop_gain!$B$18</f>
        <v>-92.406722689075792</v>
      </c>
      <c r="F298" s="132">
        <f>2*Main!$B$19*loop_gain!$B$17*loop_gain!$B$18*Helper_calcs!$B$26*Current_limit!B298</f>
        <v>407.6470588235332</v>
      </c>
      <c r="G298" s="132">
        <f t="shared" si="35"/>
        <v>4.7539858757898266</v>
      </c>
      <c r="H298" s="132">
        <f>(Main!$B$19-Current_limit!G298)*Current_limit!G298/(Main!$B$19*loop_gain!$B$17*loop_gain!$B$18)</f>
        <v>0.91130816937218906</v>
      </c>
      <c r="I298" s="132">
        <f t="shared" si="36"/>
        <v>2.9386918306278105</v>
      </c>
      <c r="J298" s="132"/>
      <c r="K298" s="133">
        <f>IF(A298&gt;$B$15,IF(I298&gt;Helper_calcs!$B$27,23,3),0)</f>
        <v>23</v>
      </c>
      <c r="L298">
        <f t="shared" si="34"/>
        <v>2</v>
      </c>
      <c r="M298">
        <f t="shared" si="37"/>
        <v>2</v>
      </c>
      <c r="N298" s="132">
        <f t="shared" si="38"/>
        <v>3.375</v>
      </c>
      <c r="O298" s="132">
        <f t="shared" si="39"/>
        <v>4.7268907563025646</v>
      </c>
      <c r="P298" s="134">
        <f>IF(OR(M298=0,M298=3),loop_gain!$B$18,IF(Current_limit!M298=1,Current_limit!$B$12/(2*(Current_limit!N298-Helper_calcs!$B$27)),IF(OR(M298=2,M298=23),(Main!$B$19-Current_limit!O298)*Current_limit!O298/(Main!$B$19*loop_gain!$B$17*(Helper_calcs!$B$26-Helper_calcs!$B$27)),x)))</f>
        <v>2010479.1142463242</v>
      </c>
      <c r="Q298" s="132"/>
    </row>
    <row r="299" spans="1:17" x14ac:dyDescent="0.3">
      <c r="A299">
        <f t="shared" si="40"/>
        <v>3.5799999999999672</v>
      </c>
      <c r="B299">
        <f>Main!$B$20/A299</f>
        <v>1.3966480446927503</v>
      </c>
      <c r="D299" s="132">
        <f t="shared" si="33"/>
        <v>1.3966480446927503</v>
      </c>
      <c r="E299" s="132">
        <f>-B299*Main!$B$19-2*Main!$B$19*loop_gain!$B$17*loop_gain!$B$18</f>
        <v>-92.359776536313007</v>
      </c>
      <c r="F299" s="132">
        <f>2*Main!$B$19*loop_gain!$B$17*loop_gain!$B$18*Helper_calcs!$B$26*Current_limit!B299</f>
        <v>406.50837988827197</v>
      </c>
      <c r="G299" s="132">
        <f t="shared" si="35"/>
        <v>4.7412938780524989</v>
      </c>
      <c r="H299" s="132">
        <f>(Main!$B$19-Current_limit!G299)*Current_limit!G299/(Main!$B$19*loop_gain!$B$17*loop_gain!$B$18)</f>
        <v>0.91046716662888572</v>
      </c>
      <c r="I299" s="132">
        <f t="shared" si="36"/>
        <v>2.939532833371115</v>
      </c>
      <c r="J299" s="132"/>
      <c r="K299" s="133">
        <f>IF(A299&gt;$B$15,IF(I299&gt;Helper_calcs!$B$27,23,3),0)</f>
        <v>23</v>
      </c>
      <c r="L299">
        <f t="shared" si="34"/>
        <v>2</v>
      </c>
      <c r="M299">
        <f t="shared" si="37"/>
        <v>2</v>
      </c>
      <c r="N299" s="132">
        <f t="shared" si="38"/>
        <v>3.375</v>
      </c>
      <c r="O299" s="132">
        <f t="shared" si="39"/>
        <v>4.713687150838032</v>
      </c>
      <c r="P299" s="134">
        <f>IF(OR(M299=0,M299=3),loop_gain!$B$18,IF(Current_limit!M299=1,Current_limit!$B$12/(2*(Current_limit!N299-Helper_calcs!$B$27)),IF(OR(M299=2,M299=23),(Main!$B$19-Current_limit!O299)*Current_limit!O299/(Main!$B$19*loop_gain!$B$17*(Helper_calcs!$B$26-Helper_calcs!$B$27)),x)))</f>
        <v>2008502.8803556031</v>
      </c>
      <c r="Q299" s="132"/>
    </row>
    <row r="300" spans="1:17" x14ac:dyDescent="0.3">
      <c r="A300">
        <f t="shared" si="40"/>
        <v>3.589999999999967</v>
      </c>
      <c r="B300">
        <f>Main!$B$20/A300</f>
        <v>1.3927576601671436</v>
      </c>
      <c r="D300" s="132">
        <f t="shared" si="33"/>
        <v>1.3927576601671436</v>
      </c>
      <c r="E300" s="132">
        <f>-B300*Main!$B$19-2*Main!$B$19*loop_gain!$B$17*loop_gain!$B$18</f>
        <v>-92.313091922005725</v>
      </c>
      <c r="F300" s="132">
        <f>2*Main!$B$19*loop_gain!$B$17*loop_gain!$B$18*Helper_calcs!$B$26*Current_limit!B300</f>
        <v>405.37604456824891</v>
      </c>
      <c r="G300" s="132">
        <f t="shared" si="35"/>
        <v>4.7286750935463706</v>
      </c>
      <c r="H300" s="132">
        <f>(Main!$B$19-Current_limit!G300)*Current_limit!G300/(Main!$B$19*loop_gain!$B$17*loop_gain!$B$18)</f>
        <v>0.9096225656674779</v>
      </c>
      <c r="I300" s="132">
        <f t="shared" si="36"/>
        <v>2.940377434332524</v>
      </c>
      <c r="J300" s="132"/>
      <c r="K300" s="133">
        <f>IF(A300&gt;$B$15,IF(I300&gt;Helper_calcs!$B$27,23,3),0)</f>
        <v>23</v>
      </c>
      <c r="L300">
        <f t="shared" si="34"/>
        <v>2</v>
      </c>
      <c r="M300">
        <f t="shared" si="37"/>
        <v>2</v>
      </c>
      <c r="N300" s="132">
        <f t="shared" si="38"/>
        <v>3.375</v>
      </c>
      <c r="O300" s="132">
        <f t="shared" si="39"/>
        <v>4.70055710306411</v>
      </c>
      <c r="P300" s="134">
        <f>IF(OR(M300=0,M300=3),loop_gain!$B$18,IF(Current_limit!M300=1,Current_limit!$B$12/(2*(Current_limit!N300-Helper_calcs!$B$27)),IF(OR(M300=2,M300=23),(Main!$B$19-Current_limit!O300)*Current_limit!O300/(Main!$B$19*loop_gain!$B$17*(Helper_calcs!$B$26-Helper_calcs!$B$27)),x)))</f>
        <v>2006517.4361171261</v>
      </c>
      <c r="Q300" s="132"/>
    </row>
    <row r="301" spans="1:17" x14ac:dyDescent="0.3">
      <c r="A301">
        <f t="shared" si="40"/>
        <v>3.5999999999999668</v>
      </c>
      <c r="B301">
        <f>Main!$B$20/A301</f>
        <v>1.3888888888889017</v>
      </c>
      <c r="D301" s="132">
        <f t="shared" si="33"/>
        <v>1.3888888888889017</v>
      </c>
      <c r="E301" s="132">
        <f>-B301*Main!$B$19-2*Main!$B$19*loop_gain!$B$17*loop_gain!$B$18</f>
        <v>-92.266666666666822</v>
      </c>
      <c r="F301" s="132">
        <f>2*Main!$B$19*loop_gain!$B$17*loop_gain!$B$18*Helper_calcs!$B$26*Current_limit!B301</f>
        <v>404.25000000000381</v>
      </c>
      <c r="G301" s="132">
        <f t="shared" si="35"/>
        <v>4.7161288423965413</v>
      </c>
      <c r="H301" s="132">
        <f>(Main!$B$19-Current_limit!G301)*Current_limit!G301/(Main!$B$19*loop_gain!$B$17*loop_gain!$B$18)</f>
        <v>0.90877446694904629</v>
      </c>
      <c r="I301" s="132">
        <f t="shared" si="36"/>
        <v>2.9412255330509556</v>
      </c>
      <c r="J301" s="132"/>
      <c r="K301" s="133">
        <f>IF(A301&gt;$B$15,IF(I301&gt;Helper_calcs!$B$27,23,3),0)</f>
        <v>23</v>
      </c>
      <c r="L301">
        <f t="shared" si="34"/>
        <v>2</v>
      </c>
      <c r="M301">
        <f t="shared" si="37"/>
        <v>2</v>
      </c>
      <c r="N301" s="132">
        <f t="shared" si="38"/>
        <v>3.375</v>
      </c>
      <c r="O301" s="132">
        <f t="shared" si="39"/>
        <v>4.6875000000000435</v>
      </c>
      <c r="P301" s="134">
        <f>IF(OR(M301=0,M301=3),loop_gain!$B$18,IF(Current_limit!M301=1,Current_limit!$B$12/(2*(Current_limit!N301-Helper_calcs!$B$27)),IF(OR(M301=2,M301=23),(Main!$B$19-Current_limit!O301)*Current_limit!O301/(Main!$B$19*loop_gain!$B$17*(Helper_calcs!$B$26-Helper_calcs!$B$27)),x)))</f>
        <v>2004523.026315796</v>
      </c>
      <c r="Q301" s="132"/>
    </row>
    <row r="302" spans="1:17" x14ac:dyDescent="0.3">
      <c r="A302">
        <f t="shared" si="40"/>
        <v>3.6099999999999666</v>
      </c>
      <c r="B302">
        <f>Main!$B$20/A302</f>
        <v>1.3850415512465502</v>
      </c>
      <c r="D302" s="132">
        <f t="shared" si="33"/>
        <v>1.3850415512465502</v>
      </c>
      <c r="E302" s="132">
        <f>-B302*Main!$B$19-2*Main!$B$19*loop_gain!$B$17*loop_gain!$B$18</f>
        <v>-92.220498614958615</v>
      </c>
      <c r="F302" s="132">
        <f>2*Main!$B$19*loop_gain!$B$17*loop_gain!$B$18*Helper_calcs!$B$26*Current_limit!B302</f>
        <v>403.13019390582099</v>
      </c>
      <c r="G302" s="132">
        <f t="shared" si="35"/>
        <v>4.7036544536688041</v>
      </c>
      <c r="H302" s="132">
        <f>(Main!$B$19-Current_limit!G302)*Current_limit!G302/(Main!$B$19*loop_gain!$B$17*loop_gain!$B$18)</f>
        <v>0.90792296890230872</v>
      </c>
      <c r="I302" s="132">
        <f t="shared" si="36"/>
        <v>2.9420770310976909</v>
      </c>
      <c r="J302" s="132"/>
      <c r="K302" s="133">
        <f>IF(A302&gt;$B$15,IF(I302&gt;Helper_calcs!$B$27,23,3),0)</f>
        <v>23</v>
      </c>
      <c r="L302">
        <f t="shared" si="34"/>
        <v>2</v>
      </c>
      <c r="M302">
        <f t="shared" si="37"/>
        <v>2</v>
      </c>
      <c r="N302" s="132">
        <f t="shared" si="38"/>
        <v>3.375</v>
      </c>
      <c r="O302" s="132">
        <f t="shared" si="39"/>
        <v>4.6745152354571067</v>
      </c>
      <c r="P302" s="134">
        <f>IF(OR(M302=0,M302=3),loop_gain!$B$18,IF(Current_limit!M302=1,Current_limit!$B$12/(2*(Current_limit!N302-Helper_calcs!$B$27)),IF(OR(M302=2,M302=23),(Main!$B$19-Current_limit!O302)*Current_limit!O302/(Main!$B$19*loop_gain!$B$17*(Helper_calcs!$B$26-Helper_calcs!$B$27)),x)))</f>
        <v>2002519.8911675243</v>
      </c>
      <c r="Q302" s="132"/>
    </row>
    <row r="303" spans="1:17" x14ac:dyDescent="0.3">
      <c r="A303">
        <f t="shared" si="40"/>
        <v>3.6199999999999664</v>
      </c>
      <c r="B303">
        <f>Main!$B$20/A303</f>
        <v>1.3812154696132726</v>
      </c>
      <c r="D303" s="132">
        <f t="shared" si="33"/>
        <v>1.3812154696132726</v>
      </c>
      <c r="E303" s="132">
        <f>-B303*Main!$B$19-2*Main!$B$19*loop_gain!$B$17*loop_gain!$B$18</f>
        <v>-92.174585635359279</v>
      </c>
      <c r="F303" s="132">
        <f>2*Main!$B$19*loop_gain!$B$17*loop_gain!$B$18*Helper_calcs!$B$26*Current_limit!B303</f>
        <v>402.0165745856392</v>
      </c>
      <c r="G303" s="132">
        <f t="shared" si="35"/>
        <v>4.6912512652153477</v>
      </c>
      <c r="H303" s="132">
        <f>(Main!$B$19-Current_limit!G303)*Current_limit!G303/(Main!$B$19*loop_gain!$B$17*loop_gain!$B$18)</f>
        <v>0.90706816796824263</v>
      </c>
      <c r="I303" s="132">
        <f t="shared" si="36"/>
        <v>2.9429318320317588</v>
      </c>
      <c r="J303" s="132"/>
      <c r="K303" s="133">
        <f>IF(A303&gt;$B$15,IF(I303&gt;Helper_calcs!$B$27,23,3),0)</f>
        <v>23</v>
      </c>
      <c r="L303">
        <f t="shared" si="34"/>
        <v>2</v>
      </c>
      <c r="M303">
        <f t="shared" si="37"/>
        <v>2</v>
      </c>
      <c r="N303" s="132">
        <f t="shared" si="38"/>
        <v>3.375</v>
      </c>
      <c r="O303" s="132">
        <f t="shared" si="39"/>
        <v>4.6616022099447951</v>
      </c>
      <c r="P303" s="134">
        <f>IF(OR(M303=0,M303=3),loop_gain!$B$18,IF(Current_limit!M303=1,Current_limit!$B$12/(2*(Current_limit!N303-Helper_calcs!$B$27)),IF(OR(M303=2,M303=23),(Main!$B$19-Current_limit!O303)*Current_limit!O303/(Main!$B$19*loop_gain!$B$17*(Helper_calcs!$B$26-Helper_calcs!$B$27)),x)))</f>
        <v>2000508.2664079147</v>
      </c>
      <c r="Q303" s="132"/>
    </row>
    <row r="304" spans="1:17" x14ac:dyDescent="0.3">
      <c r="A304">
        <f t="shared" si="40"/>
        <v>3.6299999999999661</v>
      </c>
      <c r="B304">
        <f>Main!$B$20/A304</f>
        <v>1.377410468319572</v>
      </c>
      <c r="D304" s="132">
        <f t="shared" si="33"/>
        <v>1.377410468319572</v>
      </c>
      <c r="E304" s="132">
        <f>-B304*Main!$B$19-2*Main!$B$19*loop_gain!$B$17*loop_gain!$B$18</f>
        <v>-92.128925619834874</v>
      </c>
      <c r="F304" s="132">
        <f>2*Main!$B$19*loop_gain!$B$17*loop_gain!$B$18*Helper_calcs!$B$26*Current_limit!B304</f>
        <v>400.90909090909474</v>
      </c>
      <c r="G304" s="132">
        <f t="shared" si="35"/>
        <v>4.6789186235237441</v>
      </c>
      <c r="H304" s="132">
        <f>(Main!$B$19-Current_limit!G304)*Current_limit!G304/(Main!$B$19*loop_gain!$B$17*loop_gain!$B$18)</f>
        <v>0.90621015864358712</v>
      </c>
      <c r="I304" s="132">
        <f t="shared" si="36"/>
        <v>2.9437898413564132</v>
      </c>
      <c r="J304" s="132"/>
      <c r="K304" s="133">
        <f>IF(A304&gt;$B$15,IF(I304&gt;Helper_calcs!$B$27,23,3),0)</f>
        <v>23</v>
      </c>
      <c r="L304">
        <f t="shared" si="34"/>
        <v>2</v>
      </c>
      <c r="M304">
        <f t="shared" si="37"/>
        <v>2</v>
      </c>
      <c r="N304" s="132">
        <f t="shared" si="38"/>
        <v>3.375</v>
      </c>
      <c r="O304" s="132">
        <f t="shared" si="39"/>
        <v>4.6487603305785559</v>
      </c>
      <c r="P304" s="134">
        <f>IF(OR(M304=0,M304=3),loop_gain!$B$18,IF(Current_limit!M304=1,Current_limit!$B$12/(2*(Current_limit!N304-Helper_calcs!$B$27)),IF(OR(M304=2,M304=23),(Main!$B$19-Current_limit!O304)*Current_limit!O304/(Main!$B$19*loop_gain!$B$17*(Helper_calcs!$B$26-Helper_calcs!$B$27)),x)))</f>
        <v>1998488.3833790538</v>
      </c>
      <c r="Q304" s="132"/>
    </row>
    <row r="305" spans="1:17" x14ac:dyDescent="0.3">
      <c r="A305">
        <f t="shared" si="40"/>
        <v>3.6399999999999659</v>
      </c>
      <c r="B305">
        <f>Main!$B$20/A305</f>
        <v>1.3736263736263865</v>
      </c>
      <c r="D305" s="132">
        <f t="shared" si="33"/>
        <v>1.3736263736263865</v>
      </c>
      <c r="E305" s="132">
        <f>-B305*Main!$B$19-2*Main!$B$19*loop_gain!$B$17*loop_gain!$B$18</f>
        <v>-92.083516483516647</v>
      </c>
      <c r="F305" s="132">
        <f>2*Main!$B$19*loop_gain!$B$17*loop_gain!$B$18*Helper_calcs!$B$26*Current_limit!B305</f>
        <v>399.80769230769613</v>
      </c>
      <c r="G305" s="132">
        <f t="shared" si="35"/>
        <v>4.6666558835692289</v>
      </c>
      <c r="H305" s="132">
        <f>(Main!$B$19-Current_limit!G305)*Current_limit!G305/(Main!$B$19*loop_gain!$B$17*loop_gain!$B$18)</f>
        <v>0.90534903352326557</v>
      </c>
      <c r="I305" s="132">
        <f t="shared" si="36"/>
        <v>2.944650966476734</v>
      </c>
      <c r="J305" s="132"/>
      <c r="K305" s="133">
        <f>IF(A305&gt;$B$15,IF(I305&gt;Helper_calcs!$B$27,23,3),0)</f>
        <v>23</v>
      </c>
      <c r="L305">
        <f t="shared" si="34"/>
        <v>2</v>
      </c>
      <c r="M305">
        <f t="shared" si="37"/>
        <v>2</v>
      </c>
      <c r="N305" s="132">
        <f t="shared" si="38"/>
        <v>3.375</v>
      </c>
      <c r="O305" s="132">
        <f t="shared" si="39"/>
        <v>4.6359890109890545</v>
      </c>
      <c r="P305" s="134">
        <f>IF(OR(M305=0,M305=3),loop_gain!$B$18,IF(Current_limit!M305=1,Current_limit!$B$12/(2*(Current_limit!N305-Helper_calcs!$B$27)),IF(OR(M305=2,M305=23),(Main!$B$19-Current_limit!O305)*Current_limit!O305/(Main!$B$19*loop_gain!$B$17*(Helper_calcs!$B$26-Helper_calcs!$B$27)),x)))</f>
        <v>1996460.4691144666</v>
      </c>
      <c r="Q305" s="132"/>
    </row>
    <row r="306" spans="1:17" x14ac:dyDescent="0.3">
      <c r="A306">
        <f t="shared" si="40"/>
        <v>3.6499999999999657</v>
      </c>
      <c r="B306">
        <f>Main!$B$20/A306</f>
        <v>1.3698630136986429</v>
      </c>
      <c r="D306" s="132">
        <f t="shared" si="33"/>
        <v>1.3698630136986429</v>
      </c>
      <c r="E306" s="132">
        <f>-B306*Main!$B$19-2*Main!$B$19*loop_gain!$B$17*loop_gain!$B$18</f>
        <v>-92.038356164383728</v>
      </c>
      <c r="F306" s="132">
        <f>2*Main!$B$19*loop_gain!$B$17*loop_gain!$B$18*Helper_calcs!$B$26*Current_limit!B306</f>
        <v>398.71232876712708</v>
      </c>
      <c r="G306" s="132">
        <f t="shared" si="35"/>
        <v>4.6544624086700805</v>
      </c>
      <c r="H306" s="132">
        <f>(Main!$B$19-Current_limit!G306)*Current_limit!G306/(Main!$B$19*loop_gain!$B$17*loop_gain!$B$18)</f>
        <v>0.90448488334174793</v>
      </c>
      <c r="I306" s="132">
        <f t="shared" si="36"/>
        <v>2.9455151166582527</v>
      </c>
      <c r="J306" s="132"/>
      <c r="K306" s="133">
        <f>IF(A306&gt;$B$15,IF(I306&gt;Helper_calcs!$B$27,23,3),0)</f>
        <v>23</v>
      </c>
      <c r="L306">
        <f t="shared" si="34"/>
        <v>2</v>
      </c>
      <c r="M306">
        <f t="shared" si="37"/>
        <v>2</v>
      </c>
      <c r="N306" s="132">
        <f t="shared" si="38"/>
        <v>3.375</v>
      </c>
      <c r="O306" s="132">
        <f t="shared" si="39"/>
        <v>4.6232876712329203</v>
      </c>
      <c r="P306" s="134">
        <f>IF(OR(M306=0,M306=3),loop_gain!$B$18,IF(Current_limit!M306=1,Current_limit!$B$12/(2*(Current_limit!N306-Helper_calcs!$B$27)),IF(OR(M306=2,M306=23),(Main!$B$19-Current_limit!O306)*Current_limit!O306/(Main!$B$19*loop_gain!$B$17*(Helper_calcs!$B$26-Helper_calcs!$B$27)),x)))</f>
        <v>1994424.7464222643</v>
      </c>
      <c r="Q306" s="132"/>
    </row>
    <row r="307" spans="1:17" x14ac:dyDescent="0.3">
      <c r="A307">
        <f t="shared" si="40"/>
        <v>3.6599999999999655</v>
      </c>
      <c r="B307">
        <f>Main!$B$20/A307</f>
        <v>1.3661202185792478</v>
      </c>
      <c r="D307" s="132">
        <f t="shared" si="33"/>
        <v>1.3661202185792478</v>
      </c>
      <c r="E307" s="132">
        <f>-B307*Main!$B$19-2*Main!$B$19*loop_gain!$B$17*loop_gain!$B$18</f>
        <v>-91.99344262295098</v>
      </c>
      <c r="F307" s="132">
        <f>2*Main!$B$19*loop_gain!$B$17*loop_gain!$B$18*Helper_calcs!$B$26*Current_limit!B307</f>
        <v>397.62295081967596</v>
      </c>
      <c r="G307" s="132">
        <f t="shared" si="35"/>
        <v>4.6423375703460898</v>
      </c>
      <c r="H307" s="132">
        <f>(Main!$B$19-Current_limit!G307)*Current_limit!G307/(Main!$B$19*loop_gain!$B$17*loop_gain!$B$18)</f>
        <v>0.90361779701339262</v>
      </c>
      <c r="I307" s="132">
        <f t="shared" si="36"/>
        <v>2.9463822029866096</v>
      </c>
      <c r="J307" s="132"/>
      <c r="K307" s="133">
        <f>IF(A307&gt;$B$15,IF(I307&gt;Helper_calcs!$B$27,23,3),0)</f>
        <v>23</v>
      </c>
      <c r="L307">
        <f t="shared" si="34"/>
        <v>2</v>
      </c>
      <c r="M307">
        <f t="shared" si="37"/>
        <v>2</v>
      </c>
      <c r="N307" s="132">
        <f t="shared" si="38"/>
        <v>3.375</v>
      </c>
      <c r="O307" s="132">
        <f t="shared" si="39"/>
        <v>4.6106557377049615</v>
      </c>
      <c r="P307" s="134">
        <f>IF(OR(M307=0,M307=3),loop_gain!$B$18,IF(Current_limit!M307=1,Current_limit!$B$12/(2*(Current_limit!N307-Helper_calcs!$B$27)),IF(OR(M307=2,M307=23),(Main!$B$19-Current_limit!O307)*Current_limit!O307/(Main!$B$19*loop_gain!$B$17*(Helper_calcs!$B$26-Helper_calcs!$B$27)),x)))</f>
        <v>1992381.4339665407</v>
      </c>
      <c r="Q307" s="132"/>
    </row>
    <row r="308" spans="1:17" x14ac:dyDescent="0.3">
      <c r="A308">
        <f t="shared" si="40"/>
        <v>3.6699999999999653</v>
      </c>
      <c r="B308">
        <f>Main!$B$20/A308</f>
        <v>1.3623978201635005</v>
      </c>
      <c r="D308" s="132">
        <f t="shared" si="33"/>
        <v>1.3623978201635005</v>
      </c>
      <c r="E308" s="132">
        <f>-B308*Main!$B$19-2*Main!$B$19*loop_gain!$B$17*loop_gain!$B$18</f>
        <v>-91.948773841962009</v>
      </c>
      <c r="F308" s="132">
        <f>2*Main!$B$19*loop_gain!$B$17*loop_gain!$B$18*Helper_calcs!$B$26*Current_limit!B308</f>
        <v>396.53950953678856</v>
      </c>
      <c r="G308" s="132">
        <f t="shared" si="35"/>
        <v>4.6302807481800254</v>
      </c>
      <c r="H308" s="132">
        <f>(Main!$B$19-Current_limit!G308)*Current_limit!G308/(Main!$B$19*loop_gain!$B$17*loop_gain!$B$18)</f>
        <v>0.90274786167179177</v>
      </c>
      <c r="I308" s="132">
        <f t="shared" si="36"/>
        <v>2.9472521383282109</v>
      </c>
      <c r="J308" s="132"/>
      <c r="K308" s="133">
        <f>IF(A308&gt;$B$15,IF(I308&gt;Helper_calcs!$B$27,23,3),0)</f>
        <v>23</v>
      </c>
      <c r="L308">
        <f t="shared" si="34"/>
        <v>2</v>
      </c>
      <c r="M308">
        <f t="shared" si="37"/>
        <v>2</v>
      </c>
      <c r="N308" s="132">
        <f t="shared" si="38"/>
        <v>3.375</v>
      </c>
      <c r="O308" s="132">
        <f t="shared" si="39"/>
        <v>4.5980926430518139</v>
      </c>
      <c r="P308" s="134">
        <f>IF(OR(M308=0,M308=3),loop_gain!$B$18,IF(Current_limit!M308=1,Current_limit!$B$12/(2*(Current_limit!N308-Helper_calcs!$B$27)),IF(OR(M308=2,M308=23),(Main!$B$19-Current_limit!O308)*Current_limit!O308/(Main!$B$19*loop_gain!$B$17*(Helper_calcs!$B$26-Helper_calcs!$B$27)),x)))</f>
        <v>1990330.7463470493</v>
      </c>
      <c r="Q308" s="132"/>
    </row>
    <row r="309" spans="1:17" x14ac:dyDescent="0.3">
      <c r="A309">
        <f t="shared" si="40"/>
        <v>3.6799999999999651</v>
      </c>
      <c r="B309">
        <f>Main!$B$20/A309</f>
        <v>1.358695652173926</v>
      </c>
      <c r="D309" s="132">
        <f t="shared" si="33"/>
        <v>1.358695652173926</v>
      </c>
      <c r="E309" s="132">
        <f>-B309*Main!$B$19-2*Main!$B$19*loop_gain!$B$17*loop_gain!$B$18</f>
        <v>-91.904347826087118</v>
      </c>
      <c r="F309" s="132">
        <f>2*Main!$B$19*loop_gain!$B$17*loop_gain!$B$18*Helper_calcs!$B$26*Current_limit!B309</f>
        <v>395.46195652174299</v>
      </c>
      <c r="G309" s="132">
        <f t="shared" si="35"/>
        <v>4.6182913296820107</v>
      </c>
      <c r="H309" s="132">
        <f>(Main!$B$19-Current_limit!G309)*Current_limit!G309/(Main!$B$19*loop_gain!$B$17*loop_gain!$B$18)</f>
        <v>0.90187516270815049</v>
      </c>
      <c r="I309" s="132">
        <f t="shared" si="36"/>
        <v>2.9481248372918523</v>
      </c>
      <c r="J309" s="132"/>
      <c r="K309" s="133">
        <f>IF(A309&gt;$B$15,IF(I309&gt;Helper_calcs!$B$27,23,3),0)</f>
        <v>23</v>
      </c>
      <c r="L309">
        <f t="shared" si="34"/>
        <v>2</v>
      </c>
      <c r="M309">
        <f t="shared" si="37"/>
        <v>2</v>
      </c>
      <c r="N309" s="132">
        <f t="shared" si="38"/>
        <v>3.375</v>
      </c>
      <c r="O309" s="132">
        <f t="shared" si="39"/>
        <v>4.5855978260870005</v>
      </c>
      <c r="P309" s="134">
        <f>IF(OR(M309=0,M309=3),loop_gain!$B$18,IF(Current_limit!M309=1,Current_limit!$B$12/(2*(Current_limit!N309-Helper_calcs!$B$27)),IF(OR(M309=2,M309=23),(Main!$B$19-Current_limit!O309)*Current_limit!O309/(Main!$B$19*loop_gain!$B$17*(Helper_calcs!$B$26-Helper_calcs!$B$27)),x)))</f>
        <v>1988272.8941772033</v>
      </c>
      <c r="Q309" s="132"/>
    </row>
    <row r="310" spans="1:17" x14ac:dyDescent="0.3">
      <c r="A310">
        <f t="shared" si="40"/>
        <v>3.6899999999999649</v>
      </c>
      <c r="B310">
        <f>Main!$B$20/A310</f>
        <v>1.3550135501355143</v>
      </c>
      <c r="D310" s="132">
        <f t="shared" si="33"/>
        <v>1.3550135501355143</v>
      </c>
      <c r="E310" s="132">
        <f>-B310*Main!$B$19-2*Main!$B$19*loop_gain!$B$17*loop_gain!$B$18</f>
        <v>-91.860162601626172</v>
      </c>
      <c r="F310" s="132">
        <f>2*Main!$B$19*loop_gain!$B$17*loop_gain!$B$18*Helper_calcs!$B$26*Current_limit!B310</f>
        <v>394.39024390244288</v>
      </c>
      <c r="G310" s="132">
        <f t="shared" si="35"/>
        <v>4.6063687101567368</v>
      </c>
      <c r="H310" s="132">
        <f>(Main!$B$19-Current_limit!G310)*Current_limit!G310/(Main!$B$19*loop_gain!$B$17*loop_gain!$B$18)</f>
        <v>0.90099978380872481</v>
      </c>
      <c r="I310" s="132">
        <f t="shared" si="36"/>
        <v>2.9490002161912767</v>
      </c>
      <c r="J310" s="132"/>
      <c r="K310" s="133">
        <f>IF(A310&gt;$B$15,IF(I310&gt;Helper_calcs!$B$27,23,3),0)</f>
        <v>23</v>
      </c>
      <c r="L310">
        <f t="shared" si="34"/>
        <v>2</v>
      </c>
      <c r="M310">
        <f t="shared" si="37"/>
        <v>2</v>
      </c>
      <c r="N310" s="132">
        <f t="shared" si="38"/>
        <v>3.375</v>
      </c>
      <c r="O310" s="132">
        <f t="shared" si="39"/>
        <v>4.5731707317073607</v>
      </c>
      <c r="P310" s="134">
        <f>IF(OR(M310=0,M310=3),loop_gain!$B$18,IF(Current_limit!M310=1,Current_limit!$B$12/(2*(Current_limit!N310-Helper_calcs!$B$27)),IF(OR(M310=2,M310=23),(Main!$B$19-Current_limit!O310)*Current_limit!O310/(Main!$B$19*loop_gain!$B$17*(Helper_calcs!$B$26-Helper_calcs!$B$27)),x)))</f>
        <v>1986208.084160438</v>
      </c>
      <c r="Q310" s="132"/>
    </row>
    <row r="311" spans="1:17" x14ac:dyDescent="0.3">
      <c r="A311">
        <f t="shared" si="40"/>
        <v>3.6999999999999647</v>
      </c>
      <c r="B311">
        <f>Main!$B$20/A311</f>
        <v>1.3513513513513642</v>
      </c>
      <c r="D311" s="132">
        <f t="shared" si="33"/>
        <v>1.3513513513513642</v>
      </c>
      <c r="E311" s="132">
        <f>-B311*Main!$B$19-2*Main!$B$19*loop_gain!$B$17*loop_gain!$B$18</f>
        <v>-91.816216216216375</v>
      </c>
      <c r="F311" s="132">
        <f>2*Main!$B$19*loop_gain!$B$17*loop_gain!$B$18*Helper_calcs!$B$26*Current_limit!B311</f>
        <v>393.32432432432813</v>
      </c>
      <c r="G311" s="132">
        <f t="shared" si="35"/>
        <v>4.5945122925734605</v>
      </c>
      <c r="H311" s="132">
        <f>(Main!$B$19-Current_limit!G311)*Current_limit!G311/(Main!$B$19*loop_gain!$B$17*loop_gain!$B$18)</f>
        <v>0.90012180699134625</v>
      </c>
      <c r="I311" s="132">
        <f t="shared" si="36"/>
        <v>2.9498781930086553</v>
      </c>
      <c r="J311" s="132"/>
      <c r="K311" s="133">
        <f>IF(A311&gt;$B$15,IF(I311&gt;Helper_calcs!$B$27,23,3),0)</f>
        <v>23</v>
      </c>
      <c r="L311">
        <f t="shared" si="34"/>
        <v>2</v>
      </c>
      <c r="M311">
        <f t="shared" si="37"/>
        <v>2</v>
      </c>
      <c r="N311" s="132">
        <f t="shared" si="38"/>
        <v>3.375</v>
      </c>
      <c r="O311" s="132">
        <f t="shared" si="39"/>
        <v>4.560810810810854</v>
      </c>
      <c r="P311" s="134">
        <f>IF(OR(M311=0,M311=3),loop_gain!$B$18,IF(Current_limit!M311=1,Current_limit!$B$12/(2*(Current_limit!N311-Helper_calcs!$B$27)),IF(OR(M311=2,M311=23),(Main!$B$19-Current_limit!O311)*Current_limit!O311/(Main!$B$19*loop_gain!$B$17*(Helper_calcs!$B$26-Helper_calcs!$B$27)),x)))</f>
        <v>1984136.5191649755</v>
      </c>
      <c r="Q311" s="132"/>
    </row>
    <row r="312" spans="1:17" x14ac:dyDescent="0.3">
      <c r="A312">
        <f t="shared" si="40"/>
        <v>3.7099999999999644</v>
      </c>
      <c r="B312">
        <f>Main!$B$20/A312</f>
        <v>1.347708894878719</v>
      </c>
      <c r="D312" s="132">
        <f t="shared" si="33"/>
        <v>1.347708894878719</v>
      </c>
      <c r="E312" s="132">
        <f>-B312*Main!$B$19-2*Main!$B$19*loop_gain!$B$17*loop_gain!$B$18</f>
        <v>-91.772506738544635</v>
      </c>
      <c r="F312" s="132">
        <f>2*Main!$B$19*loop_gain!$B$17*loop_gain!$B$18*Helper_calcs!$B$26*Current_limit!B312</f>
        <v>392.26415094340007</v>
      </c>
      <c r="G312" s="132">
        <f t="shared" si="35"/>
        <v>4.5827214874386843</v>
      </c>
      <c r="H312" s="132">
        <f>(Main!$B$19-Current_limit!G312)*Current_limit!G312/(Main!$B$19*loop_gain!$B$17*loop_gain!$B$18)</f>
        <v>0.89924131264105767</v>
      </c>
      <c r="I312" s="132">
        <f t="shared" si="36"/>
        <v>2.9507586873589426</v>
      </c>
      <c r="J312" s="132"/>
      <c r="K312" s="133">
        <f>IF(A312&gt;$B$15,IF(I312&gt;Helper_calcs!$B$27,23,3),0)</f>
        <v>23</v>
      </c>
      <c r="L312">
        <f t="shared" si="34"/>
        <v>2</v>
      </c>
      <c r="M312">
        <f t="shared" si="37"/>
        <v>2</v>
      </c>
      <c r="N312" s="132">
        <f t="shared" si="38"/>
        <v>3.375</v>
      </c>
      <c r="O312" s="132">
        <f t="shared" si="39"/>
        <v>4.5485175202156771</v>
      </c>
      <c r="P312" s="134">
        <f>IF(OR(M312=0,M312=3),loop_gain!$B$18,IF(Current_limit!M312=1,Current_limit!$B$12/(2*(Current_limit!N312-Helper_calcs!$B$27)),IF(OR(M312=2,M312=23),(Main!$B$19-Current_limit!O312)*Current_limit!O312/(Main!$B$19*loop_gain!$B$17*(Helper_calcs!$B$26-Helper_calcs!$B$27)),x)))</f>
        <v>1982058.3982970263</v>
      </c>
      <c r="Q312" s="132"/>
    </row>
    <row r="313" spans="1:17" x14ac:dyDescent="0.3">
      <c r="A313">
        <f t="shared" si="40"/>
        <v>3.7199999999999642</v>
      </c>
      <c r="B313">
        <f>Main!$B$20/A313</f>
        <v>1.3440860215053894</v>
      </c>
      <c r="D313" s="132">
        <f t="shared" si="33"/>
        <v>1.3440860215053894</v>
      </c>
      <c r="E313" s="132">
        <f>-B313*Main!$B$19-2*Main!$B$19*loop_gain!$B$17*loop_gain!$B$18</f>
        <v>-91.729032258064677</v>
      </c>
      <c r="F313" s="132">
        <f>2*Main!$B$19*loop_gain!$B$17*loop_gain!$B$18*Helper_calcs!$B$26*Current_limit!B313</f>
        <v>391.20967741935868</v>
      </c>
      <c r="G313" s="132">
        <f t="shared" si="35"/>
        <v>4.5709957126714951</v>
      </c>
      <c r="H313" s="132">
        <f>(Main!$B$19-Current_limit!G313)*Current_limit!G313/(Main!$B$19*loop_gain!$B$17*loop_gain!$B$18)</f>
        <v>0.89835837954488751</v>
      </c>
      <c r="I313" s="132">
        <f t="shared" si="36"/>
        <v>2.9516416204551152</v>
      </c>
      <c r="J313" s="132"/>
      <c r="K313" s="133">
        <f>IF(A313&gt;$B$15,IF(I313&gt;Helper_calcs!$B$27,23,3),0)</f>
        <v>23</v>
      </c>
      <c r="L313">
        <f t="shared" si="34"/>
        <v>2</v>
      </c>
      <c r="M313">
        <f t="shared" si="37"/>
        <v>2</v>
      </c>
      <c r="N313" s="132">
        <f t="shared" si="38"/>
        <v>3.375</v>
      </c>
      <c r="O313" s="132">
        <f t="shared" si="39"/>
        <v>4.5362903225806894</v>
      </c>
      <c r="P313" s="134">
        <f>IF(OR(M313=0,M313=3),loop_gain!$B$18,IF(Current_limit!M313=1,Current_limit!$B$12/(2*(Current_limit!N313-Helper_calcs!$B$27)),IF(OR(M313=2,M313=23),(Main!$B$19-Current_limit!O313)*Current_limit!O313/(Main!$B$19*loop_gain!$B$17*(Helper_calcs!$B$26-Helper_calcs!$B$27)),x)))</f>
        <v>1979973.9169724591</v>
      </c>
      <c r="Q313" s="132"/>
    </row>
    <row r="314" spans="1:17" x14ac:dyDescent="0.3">
      <c r="A314">
        <f t="shared" si="40"/>
        <v>3.729999999999964</v>
      </c>
      <c r="B314">
        <f>Main!$B$20/A314</f>
        <v>1.3404825737265544</v>
      </c>
      <c r="D314" s="132">
        <f t="shared" si="33"/>
        <v>1.3404825737265544</v>
      </c>
      <c r="E314" s="132">
        <f>-B314*Main!$B$19-2*Main!$B$19*loop_gain!$B$17*loop_gain!$B$18</f>
        <v>-91.685790884718671</v>
      </c>
      <c r="F314" s="132">
        <f>2*Main!$B$19*loop_gain!$B$17*loop_gain!$B$18*Helper_calcs!$B$26*Current_limit!B314</f>
        <v>390.16085790885103</v>
      </c>
      <c r="G314" s="132">
        <f t="shared" si="35"/>
        <v>4.559334393481425</v>
      </c>
      <c r="H314" s="132">
        <f>(Main!$B$19-Current_limit!G314)*Current_limit!G314/(Main!$B$19*loop_gain!$B$17*loop_gain!$B$18)</f>
        <v>0.89747308492577949</v>
      </c>
      <c r="I314" s="132">
        <f t="shared" si="36"/>
        <v>2.9525269150742206</v>
      </c>
      <c r="J314" s="132"/>
      <c r="K314" s="133">
        <f>IF(A314&gt;$B$15,IF(I314&gt;Helper_calcs!$B$27,23,3),0)</f>
        <v>23</v>
      </c>
      <c r="L314">
        <f t="shared" si="34"/>
        <v>2</v>
      </c>
      <c r="M314">
        <f t="shared" si="37"/>
        <v>2</v>
      </c>
      <c r="N314" s="132">
        <f t="shared" si="38"/>
        <v>3.375</v>
      </c>
      <c r="O314" s="132">
        <f t="shared" si="39"/>
        <v>4.5241286863271215</v>
      </c>
      <c r="P314" s="134">
        <f>IF(OR(M314=0,M314=3),loop_gain!$B$18,IF(Current_limit!M314=1,Current_limit!$B$12/(2*(Current_limit!N314-Helper_calcs!$B$27)),IF(OR(M314=2,M314=23),(Main!$B$19-Current_limit!O314)*Current_limit!O314/(Main!$B$19*loop_gain!$B$17*(Helper_calcs!$B$26-Helper_calcs!$B$27)),x)))</f>
        <v>1977883.2669869876</v>
      </c>
      <c r="Q314" s="132"/>
    </row>
    <row r="315" spans="1:17" x14ac:dyDescent="0.3">
      <c r="A315">
        <f t="shared" si="40"/>
        <v>3.7399999999999638</v>
      </c>
      <c r="B315">
        <f>Main!$B$20/A315</f>
        <v>1.336898395721938</v>
      </c>
      <c r="D315" s="132">
        <f t="shared" si="33"/>
        <v>1.336898395721938</v>
      </c>
      <c r="E315" s="132">
        <f>-B315*Main!$B$19-2*Main!$B$19*loop_gain!$B$17*loop_gain!$B$18</f>
        <v>-91.642780748663256</v>
      </c>
      <c r="F315" s="132">
        <f>2*Main!$B$19*loop_gain!$B$17*loop_gain!$B$18*Helper_calcs!$B$26*Current_limit!B315</f>
        <v>389.11764705882734</v>
      </c>
      <c r="G315" s="132">
        <f t="shared" si="35"/>
        <v>4.5477369622489014</v>
      </c>
      <c r="H315" s="132">
        <f>(Main!$B$19-Current_limit!G315)*Current_limit!G315/(Main!$B$19*loop_gain!$B$17*loop_gain!$B$18)</f>
        <v>0.89658550447571284</v>
      </c>
      <c r="I315" s="132">
        <f t="shared" si="36"/>
        <v>2.9534144955242891</v>
      </c>
      <c r="J315" s="132"/>
      <c r="K315" s="133">
        <f>IF(A315&gt;$B$15,IF(I315&gt;Helper_calcs!$B$27,23,3),0)</f>
        <v>23</v>
      </c>
      <c r="L315">
        <f t="shared" si="34"/>
        <v>2</v>
      </c>
      <c r="M315">
        <f t="shared" si="37"/>
        <v>2</v>
      </c>
      <c r="N315" s="132">
        <f t="shared" si="38"/>
        <v>3.375</v>
      </c>
      <c r="O315" s="132">
        <f t="shared" si="39"/>
        <v>4.5120320855615406</v>
      </c>
      <c r="P315" s="134">
        <f>IF(OR(M315=0,M315=3),loop_gain!$B$18,IF(Current_limit!M315=1,Current_limit!$B$12/(2*(Current_limit!N315-Helper_calcs!$B$27)),IF(OR(M315=2,M315=23),(Main!$B$19-Current_limit!O315)*Current_limit!O315/(Main!$B$19*loop_gain!$B$17*(Helper_calcs!$B$26-Helper_calcs!$B$27)),x)))</f>
        <v>1975786.6365848924</v>
      </c>
      <c r="Q315" s="132"/>
    </row>
    <row r="316" spans="1:17" x14ac:dyDescent="0.3">
      <c r="A316">
        <f t="shared" si="40"/>
        <v>3.7499999999999636</v>
      </c>
      <c r="B316">
        <f>Main!$B$20/A316</f>
        <v>1.3333333333333464</v>
      </c>
      <c r="D316" s="132">
        <f t="shared" si="33"/>
        <v>1.3333333333333464</v>
      </c>
      <c r="E316" s="132">
        <f>-B316*Main!$B$19-2*Main!$B$19*loop_gain!$B$17*loop_gain!$B$18</f>
        <v>-91.600000000000165</v>
      </c>
      <c r="F316" s="132">
        <f>2*Main!$B$19*loop_gain!$B$17*loop_gain!$B$18*Helper_calcs!$B$26*Current_limit!B316</f>
        <v>388.08000000000385</v>
      </c>
      <c r="G316" s="132">
        <f t="shared" si="35"/>
        <v>4.5362028584080285</v>
      </c>
      <c r="H316" s="132">
        <f>(Main!$B$19-Current_limit!G316)*Current_limit!G316/(Main!$B$19*loop_gain!$B$17*loop_gain!$B$18)</f>
        <v>0.89569571238802037</v>
      </c>
      <c r="I316" s="132">
        <f t="shared" si="36"/>
        <v>2.9543042876119778</v>
      </c>
      <c r="J316" s="132"/>
      <c r="K316" s="133">
        <f>IF(A316&gt;$B$15,IF(I316&gt;Helper_calcs!$B$27,23,3),0)</f>
        <v>23</v>
      </c>
      <c r="L316">
        <f t="shared" si="34"/>
        <v>2</v>
      </c>
      <c r="M316">
        <f t="shared" si="37"/>
        <v>2</v>
      </c>
      <c r="N316" s="132">
        <f t="shared" si="38"/>
        <v>3.375</v>
      </c>
      <c r="O316" s="132">
        <f t="shared" si="39"/>
        <v>4.5000000000000444</v>
      </c>
      <c r="P316" s="134">
        <f>IF(OR(M316=0,M316=3),loop_gain!$B$18,IF(Current_limit!M316=1,Current_limit!$B$12/(2*(Current_limit!N316-Helper_calcs!$B$27)),IF(OR(M316=2,M316=23),(Main!$B$19-Current_limit!O316)*Current_limit!O316/(Main!$B$19*loop_gain!$B$17*(Helper_calcs!$B$26-Helper_calcs!$B$27)),x)))</f>
        <v>1973684.2105263234</v>
      </c>
      <c r="Q316" s="132"/>
    </row>
    <row r="317" spans="1:17" x14ac:dyDescent="0.3">
      <c r="A317">
        <f t="shared" si="40"/>
        <v>3.7599999999999634</v>
      </c>
      <c r="B317">
        <f>Main!$B$20/A317</f>
        <v>1.329787234042566</v>
      </c>
      <c r="D317" s="132">
        <f t="shared" si="33"/>
        <v>1.329787234042566</v>
      </c>
      <c r="E317" s="132">
        <f>-B317*Main!$B$19-2*Main!$B$19*loop_gain!$B$17*loop_gain!$B$18</f>
        <v>-91.557446808510804</v>
      </c>
      <c r="F317" s="132">
        <f>2*Main!$B$19*loop_gain!$B$17*loop_gain!$B$18*Helper_calcs!$B$26*Current_limit!B317</f>
        <v>387.04787234042936</v>
      </c>
      <c r="G317" s="132">
        <f t="shared" si="35"/>
        <v>4.5247315283318672</v>
      </c>
      <c r="H317" s="132">
        <f>(Main!$B$19-Current_limit!G317)*Current_limit!G317/(Main!$B$19*loop_gain!$B$17*loop_gain!$B$18)</f>
        <v>0.8948037813889409</v>
      </c>
      <c r="I317" s="132">
        <f t="shared" si="36"/>
        <v>2.9551962186110607</v>
      </c>
      <c r="J317" s="132"/>
      <c r="K317" s="133">
        <f>IF(A317&gt;$B$15,IF(I317&gt;Helper_calcs!$B$27,23,3),0)</f>
        <v>23</v>
      </c>
      <c r="L317">
        <f t="shared" si="34"/>
        <v>2</v>
      </c>
      <c r="M317">
        <f t="shared" si="37"/>
        <v>2</v>
      </c>
      <c r="N317" s="132">
        <f t="shared" si="38"/>
        <v>3.375</v>
      </c>
      <c r="O317" s="132">
        <f t="shared" si="39"/>
        <v>4.4880319148936607</v>
      </c>
      <c r="P317" s="134">
        <f>IF(OR(M317=0,M317=3),loop_gain!$B$18,IF(Current_limit!M317=1,Current_limit!$B$12/(2*(Current_limit!N317-Helper_calcs!$B$27)),IF(OR(M317=2,M317=23),(Main!$B$19-Current_limit!O317)*Current_limit!O317/(Main!$B$19*loop_gain!$B$17*(Helper_calcs!$B$26-Helper_calcs!$B$27)),x)))</f>
        <v>1971576.1701532085</v>
      </c>
      <c r="Q317" s="132"/>
    </row>
    <row r="318" spans="1:17" x14ac:dyDescent="0.3">
      <c r="A318">
        <f t="shared" si="40"/>
        <v>3.7699999999999632</v>
      </c>
      <c r="B318">
        <f>Main!$B$20/A318</f>
        <v>1.326259946949615</v>
      </c>
      <c r="D318" s="132">
        <f t="shared" si="33"/>
        <v>1.326259946949615</v>
      </c>
      <c r="E318" s="132">
        <f>-B318*Main!$B$19-2*Main!$B$19*loop_gain!$B$17*loop_gain!$B$18</f>
        <v>-91.515119363395385</v>
      </c>
      <c r="F318" s="132">
        <f>2*Main!$B$19*loop_gain!$B$17*loop_gain!$B$18*Helper_calcs!$B$26*Current_limit!B318</f>
        <v>386.02122015915501</v>
      </c>
      <c r="G318" s="132">
        <f t="shared" si="35"/>
        <v>4.51332242521993</v>
      </c>
      <c r="H318" s="132">
        <f>(Main!$B$19-Current_limit!G318)*Current_limit!G318/(Main!$B$19*loop_gain!$B$17*loop_gain!$B$18)</f>
        <v>0.89390978276841382</v>
      </c>
      <c r="I318" s="132">
        <f t="shared" si="36"/>
        <v>2.9560902172315875</v>
      </c>
      <c r="J318" s="132"/>
      <c r="K318" s="133">
        <f>IF(A318&gt;$B$15,IF(I318&gt;Helper_calcs!$B$27,23,3),0)</f>
        <v>23</v>
      </c>
      <c r="L318">
        <f t="shared" si="34"/>
        <v>2</v>
      </c>
      <c r="M318">
        <f t="shared" si="37"/>
        <v>2</v>
      </c>
      <c r="N318" s="132">
        <f t="shared" si="38"/>
        <v>3.375</v>
      </c>
      <c r="O318" s="132">
        <f t="shared" si="39"/>
        <v>4.4761273209549506</v>
      </c>
      <c r="P318" s="134">
        <f>IF(OR(M318=0,M318=3),loop_gain!$B$18,IF(Current_limit!M318=1,Current_limit!$B$12/(2*(Current_limit!N318-Helper_calcs!$B$27)),IF(OR(M318=2,M318=23),(Main!$B$19-Current_limit!O318)*Current_limit!O318/(Main!$B$19*loop_gain!$B$17*(Helper_calcs!$B$26-Helper_calcs!$B$27)),x)))</f>
        <v>1969462.6934538046</v>
      </c>
      <c r="Q318" s="132"/>
    </row>
    <row r="319" spans="1:17" x14ac:dyDescent="0.3">
      <c r="A319">
        <f t="shared" si="40"/>
        <v>3.7799999999999629</v>
      </c>
      <c r="B319">
        <f>Main!$B$20/A319</f>
        <v>1.3227513227513357</v>
      </c>
      <c r="D319" s="132">
        <f t="shared" si="33"/>
        <v>1.3227513227513357</v>
      </c>
      <c r="E319" s="132">
        <f>-B319*Main!$B$19-2*Main!$B$19*loop_gain!$B$17*loop_gain!$B$18</f>
        <v>-91.473015873016038</v>
      </c>
      <c r="F319" s="132">
        <f>2*Main!$B$19*loop_gain!$B$17*loop_gain!$B$18*Helper_calcs!$B$26*Current_limit!B319</f>
        <v>385.00000000000387</v>
      </c>
      <c r="G319" s="132">
        <f t="shared" si="35"/>
        <v>4.5019750089880413</v>
      </c>
      <c r="H319" s="132">
        <f>(Main!$B$19-Current_limit!G319)*Current_limit!G319/(Main!$B$19*loop_gain!$B$17*loop_gain!$B$18)</f>
        <v>0.8930137864101485</v>
      </c>
      <c r="I319" s="132">
        <f t="shared" si="36"/>
        <v>2.9569862135898517</v>
      </c>
      <c r="J319" s="132"/>
      <c r="K319" s="133">
        <f>IF(A319&gt;$B$15,IF(I319&gt;Helper_calcs!$B$27,23,3),0)</f>
        <v>23</v>
      </c>
      <c r="L319">
        <f t="shared" si="34"/>
        <v>2</v>
      </c>
      <c r="M319">
        <f t="shared" si="37"/>
        <v>2</v>
      </c>
      <c r="N319" s="132">
        <f t="shared" si="38"/>
        <v>3.375</v>
      </c>
      <c r="O319" s="132">
        <f t="shared" si="39"/>
        <v>4.4642857142857579</v>
      </c>
      <c r="P319" s="134">
        <f>IF(OR(M319=0,M319=3),loop_gain!$B$18,IF(Current_limit!M319=1,Current_limit!$B$12/(2*(Current_limit!N319-Helper_calcs!$B$27)),IF(OR(M319=2,M319=23),(Main!$B$19-Current_limit!O319)*Current_limit!O319/(Main!$B$19*loop_gain!$B$17*(Helper_calcs!$B$26-Helper_calcs!$B$27)),x)))</f>
        <v>1967343.9551259174</v>
      </c>
      <c r="Q319" s="132"/>
    </row>
    <row r="320" spans="1:17" x14ac:dyDescent="0.3">
      <c r="A320">
        <f t="shared" si="40"/>
        <v>3.7899999999999627</v>
      </c>
      <c r="B320">
        <f>Main!$B$20/A320</f>
        <v>1.3192612137203297</v>
      </c>
      <c r="D320" s="132">
        <f t="shared" si="33"/>
        <v>1.3192612137203297</v>
      </c>
      <c r="E320" s="132">
        <f>-B320*Main!$B$19-2*Main!$B$19*loop_gain!$B$17*loop_gain!$B$18</f>
        <v>-91.431134564643969</v>
      </c>
      <c r="F320" s="132">
        <f>2*Main!$B$19*loop_gain!$B$17*loop_gain!$B$18*Helper_calcs!$B$26*Current_limit!B320</f>
        <v>383.98416886543924</v>
      </c>
      <c r="G320" s="132">
        <f t="shared" si="35"/>
        <v>4.49068874616035</v>
      </c>
      <c r="H320" s="132">
        <f>(Main!$B$19-Current_limit!G320)*Current_limit!G320/(Main!$B$19*loop_gain!$B$17*loop_gain!$B$18)</f>
        <v>0.89211586082097838</v>
      </c>
      <c r="I320" s="132">
        <f t="shared" si="36"/>
        <v>2.9578841391790225</v>
      </c>
      <c r="J320" s="132"/>
      <c r="K320" s="133">
        <f>IF(A320&gt;$B$15,IF(I320&gt;Helper_calcs!$B$27,23,3),0)</f>
        <v>23</v>
      </c>
      <c r="L320">
        <f t="shared" si="34"/>
        <v>2</v>
      </c>
      <c r="M320">
        <f t="shared" si="37"/>
        <v>2</v>
      </c>
      <c r="N320" s="132">
        <f t="shared" si="38"/>
        <v>3.375</v>
      </c>
      <c r="O320" s="132">
        <f t="shared" si="39"/>
        <v>4.4525065963061126</v>
      </c>
      <c r="P320" s="134">
        <f>IF(OR(M320=0,M320=3),loop_gain!$B$18,IF(Current_limit!M320=1,Current_limit!$B$12/(2*(Current_limit!N320-Helper_calcs!$B$27)),IF(OR(M320=2,M320=23),(Main!$B$19-Current_limit!O320)*Current_limit!O320/(Main!$B$19*loop_gain!$B$17*(Helper_calcs!$B$26-Helper_calcs!$B$27)),x)))</f>
        <v>1965220.1266388246</v>
      </c>
      <c r="Q320" s="132"/>
    </row>
    <row r="321" spans="1:17" x14ac:dyDescent="0.3">
      <c r="A321">
        <f t="shared" si="40"/>
        <v>3.7999999999999625</v>
      </c>
      <c r="B321">
        <f>Main!$B$20/A321</f>
        <v>1.3157894736842235</v>
      </c>
      <c r="D321" s="132">
        <f t="shared" si="33"/>
        <v>1.3157894736842235</v>
      </c>
      <c r="E321" s="132">
        <f>-B321*Main!$B$19-2*Main!$B$19*loop_gain!$B$17*loop_gain!$B$18</f>
        <v>-91.389473684210685</v>
      </c>
      <c r="F321" s="132">
        <f>2*Main!$B$19*loop_gain!$B$17*loop_gain!$B$18*Helper_calcs!$B$26*Current_limit!B321</f>
        <v>382.97368421053017</v>
      </c>
      <c r="G321" s="132">
        <f t="shared" si="35"/>
        <v>4.4794631097635182</v>
      </c>
      <c r="H321" s="132">
        <f>(Main!$B$19-Current_limit!G321)*Current_limit!G321/(Main!$B$19*loop_gain!$B$17*loop_gain!$B$18)</f>
        <v>0.891216073159523</v>
      </c>
      <c r="I321" s="132">
        <f t="shared" si="36"/>
        <v>2.958783926840479</v>
      </c>
      <c r="J321" s="132"/>
      <c r="K321" s="133">
        <f>IF(A321&gt;$B$15,IF(I321&gt;Helper_calcs!$B$27,23,3),0)</f>
        <v>23</v>
      </c>
      <c r="L321">
        <f t="shared" si="34"/>
        <v>2</v>
      </c>
      <c r="M321">
        <f t="shared" si="37"/>
        <v>2</v>
      </c>
      <c r="N321" s="132">
        <f t="shared" si="38"/>
        <v>3.375</v>
      </c>
      <c r="O321" s="132">
        <f t="shared" si="39"/>
        <v>4.4407894736842541</v>
      </c>
      <c r="P321" s="134">
        <f>IF(OR(M321=0,M321=3),loop_gain!$B$18,IF(Current_limit!M321=1,Current_limit!$B$12/(2*(Current_limit!N321-Helper_calcs!$B$27)),IF(OR(M321=2,M321=23),(Main!$B$19-Current_limit!O321)*Current_limit!O321/(Main!$B$19*loop_gain!$B$17*(Helper_calcs!$B$26-Helper_calcs!$B$27)),x)))</f>
        <v>1963091.3762939281</v>
      </c>
      <c r="Q321" s="132"/>
    </row>
    <row r="322" spans="1:17" x14ac:dyDescent="0.3">
      <c r="A322">
        <f t="shared" si="40"/>
        <v>3.8099999999999623</v>
      </c>
      <c r="B322">
        <f>Main!$B$20/A322</f>
        <v>1.3123359580052623</v>
      </c>
      <c r="D322" s="132">
        <f t="shared" si="33"/>
        <v>1.3123359580052623</v>
      </c>
      <c r="E322" s="132">
        <f>-B322*Main!$B$19-2*Main!$B$19*loop_gain!$B$17*loop_gain!$B$18</f>
        <v>-91.348031496063157</v>
      </c>
      <c r="F322" s="132">
        <f>2*Main!$B$19*loop_gain!$B$17*loop_gain!$B$18*Helper_calcs!$B$26*Current_limit!B322</f>
        <v>381.96850393701169</v>
      </c>
      <c r="G322" s="132">
        <f t="shared" si="35"/>
        <v>4.4682975792230266</v>
      </c>
      <c r="H322" s="132">
        <f>(Main!$B$19-Current_limit!G322)*Current_limit!G322/(Main!$B$19*loop_gain!$B$17*loop_gain!$B$18)</f>
        <v>0.89031448926417878</v>
      </c>
      <c r="I322" s="132">
        <f t="shared" si="36"/>
        <v>2.9596855107358233</v>
      </c>
      <c r="J322" s="132"/>
      <c r="K322" s="133">
        <f>IF(A322&gt;$B$15,IF(I322&gt;Helper_calcs!$B$27,23,3),0)</f>
        <v>23</v>
      </c>
      <c r="L322">
        <f t="shared" si="34"/>
        <v>2</v>
      </c>
      <c r="M322">
        <f t="shared" si="37"/>
        <v>2</v>
      </c>
      <c r="N322" s="132">
        <f t="shared" si="38"/>
        <v>3.375</v>
      </c>
      <c r="O322" s="132">
        <f t="shared" si="39"/>
        <v>4.4291338582677602</v>
      </c>
      <c r="P322" s="134">
        <f>IF(OR(M322=0,M322=3),loop_gain!$B$18,IF(Current_limit!M322=1,Current_limit!$B$12/(2*(Current_limit!N322-Helper_calcs!$B$27)),IF(OR(M322=2,M322=23),(Main!$B$19-Current_limit!O322)*Current_limit!O322/(Main!$B$19*loop_gain!$B$17*(Helper_calcs!$B$26-Helper_calcs!$B$27)),x)))</f>
        <v>1960957.8692841674</v>
      </c>
      <c r="Q322" s="132"/>
    </row>
    <row r="323" spans="1:17" x14ac:dyDescent="0.3">
      <c r="A323">
        <f t="shared" si="40"/>
        <v>3.8199999999999621</v>
      </c>
      <c r="B323">
        <f>Main!$B$20/A323</f>
        <v>1.3089005235602225</v>
      </c>
      <c r="D323" s="132">
        <f t="shared" si="33"/>
        <v>1.3089005235602225</v>
      </c>
      <c r="E323" s="132">
        <f>-B323*Main!$B$19-2*Main!$B$19*loop_gain!$B$17*loop_gain!$B$18</f>
        <v>-91.306806282722675</v>
      </c>
      <c r="F323" s="132">
        <f>2*Main!$B$19*loop_gain!$B$17*loop_gain!$B$18*Helper_calcs!$B$26*Current_limit!B323</f>
        <v>380.96858638743845</v>
      </c>
      <c r="G323" s="132">
        <f t="shared" si="35"/>
        <v>4.4571916402615317</v>
      </c>
      <c r="H323" s="132">
        <f>(Main!$B$19-Current_limit!G323)*Current_limit!G323/(Main!$B$19*loop_gain!$B$17*loop_gain!$B$18)</f>
        <v>0.88941117368045219</v>
      </c>
      <c r="I323" s="132">
        <f t="shared" si="36"/>
        <v>2.9605888263195501</v>
      </c>
      <c r="J323" s="132"/>
      <c r="K323" s="133">
        <f>IF(A323&gt;$B$15,IF(I323&gt;Helper_calcs!$B$27,23,3),0)</f>
        <v>23</v>
      </c>
      <c r="L323">
        <f t="shared" si="34"/>
        <v>2</v>
      </c>
      <c r="M323">
        <f t="shared" si="37"/>
        <v>2</v>
      </c>
      <c r="N323" s="132">
        <f t="shared" si="38"/>
        <v>3.375</v>
      </c>
      <c r="O323" s="132">
        <f t="shared" si="39"/>
        <v>4.4175392670157505</v>
      </c>
      <c r="P323" s="134">
        <f>IF(OR(M323=0,M323=3),loop_gain!$B$18,IF(Current_limit!M323=1,Current_limit!$B$12/(2*(Current_limit!N323-Helper_calcs!$B$27)),IF(OR(M323=2,M323=23),(Main!$B$19-Current_limit!O323)*Current_limit!O323/(Main!$B$19*loop_gain!$B$17*(Helper_calcs!$B$26-Helper_calcs!$B$27)),x)))</f>
        <v>1958819.767752219</v>
      </c>
      <c r="Q323" s="132"/>
    </row>
    <row r="324" spans="1:17" x14ac:dyDescent="0.3">
      <c r="A324">
        <f t="shared" si="40"/>
        <v>3.8299999999999619</v>
      </c>
      <c r="B324">
        <f>Main!$B$20/A324</f>
        <v>1.3054830287206396</v>
      </c>
      <c r="D324" s="132">
        <f t="shared" si="33"/>
        <v>1.3054830287206396</v>
      </c>
      <c r="E324" s="132">
        <f>-B324*Main!$B$19-2*Main!$B$19*loop_gain!$B$17*loop_gain!$B$18</f>
        <v>-91.265796344647683</v>
      </c>
      <c r="F324" s="132">
        <f>2*Main!$B$19*loop_gain!$B$17*loop_gain!$B$18*Helper_calcs!$B$26*Current_limit!B324</f>
        <v>379.97389033942943</v>
      </c>
      <c r="G324" s="132">
        <f t="shared" si="35"/>
        <v>4.4461447847992241</v>
      </c>
      <c r="H324" s="132">
        <f>(Main!$B$19-Current_limit!G324)*Current_limit!G324/(Main!$B$19*loop_gain!$B$17*loop_gain!$B$18)</f>
        <v>0.88850618968765471</v>
      </c>
      <c r="I324" s="132">
        <f t="shared" si="36"/>
        <v>2.9614938103123447</v>
      </c>
      <c r="J324" s="132"/>
      <c r="K324" s="133">
        <f>IF(A324&gt;$B$15,IF(I324&gt;Helper_calcs!$B$27,23,3),0)</f>
        <v>23</v>
      </c>
      <c r="L324">
        <f t="shared" si="34"/>
        <v>2</v>
      </c>
      <c r="M324">
        <f t="shared" si="37"/>
        <v>2</v>
      </c>
      <c r="N324" s="132">
        <f t="shared" si="38"/>
        <v>3.375</v>
      </c>
      <c r="O324" s="132">
        <f t="shared" si="39"/>
        <v>4.4060052219321584</v>
      </c>
      <c r="P324" s="134">
        <f>IF(OR(M324=0,M324=3),loop_gain!$B$18,IF(Current_limit!M324=1,Current_limit!$B$12/(2*(Current_limit!N324-Helper_calcs!$B$27)),IF(OR(M324=2,M324=23),(Main!$B$19-Current_limit!O324)*Current_limit!O324/(Main!$B$19*loop_gain!$B$17*(Helper_calcs!$B$26-Helper_calcs!$B$27)),x)))</f>
        <v>1956677.2308475117</v>
      </c>
      <c r="Q324" s="132"/>
    </row>
    <row r="325" spans="1:17" x14ac:dyDescent="0.3">
      <c r="A325">
        <f t="shared" si="40"/>
        <v>3.8399999999999617</v>
      </c>
      <c r="B325">
        <f>Main!$B$20/A325</f>
        <v>1.3020833333333464</v>
      </c>
      <c r="D325" s="132">
        <f t="shared" si="33"/>
        <v>1.3020833333333464</v>
      </c>
      <c r="E325" s="132">
        <f>-B325*Main!$B$19-2*Main!$B$19*loop_gain!$B$17*loop_gain!$B$18</f>
        <v>-91.225000000000165</v>
      </c>
      <c r="F325" s="132">
        <f>2*Main!$B$19*loop_gain!$B$17*loop_gain!$B$18*Helper_calcs!$B$26*Current_limit!B325</f>
        <v>378.98437500000387</v>
      </c>
      <c r="G325" s="132">
        <f t="shared" si="35"/>
        <v>4.4351565108561797</v>
      </c>
      <c r="H325" s="132">
        <f>(Main!$B$19-Current_limit!G325)*Current_limit!G325/(Main!$B$19*loop_gain!$B$17*loop_gain!$B$18)</f>
        <v>0.88759959932497856</v>
      </c>
      <c r="I325" s="132">
        <f t="shared" si="36"/>
        <v>2.9624004006750226</v>
      </c>
      <c r="J325" s="132"/>
      <c r="K325" s="133">
        <f>IF(A325&gt;$B$15,IF(I325&gt;Helper_calcs!$B$27,23,3),0)</f>
        <v>23</v>
      </c>
      <c r="L325">
        <f t="shared" si="34"/>
        <v>2</v>
      </c>
      <c r="M325">
        <f t="shared" si="37"/>
        <v>2</v>
      </c>
      <c r="N325" s="132">
        <f t="shared" si="38"/>
        <v>3.375</v>
      </c>
      <c r="O325" s="132">
        <f t="shared" si="39"/>
        <v>4.3945312500000444</v>
      </c>
      <c r="P325" s="134">
        <f>IF(OR(M325=0,M325=3),loop_gain!$B$18,IF(Current_limit!M325=1,Current_limit!$B$12/(2*(Current_limit!N325-Helper_calcs!$B$27)),IF(OR(M325=2,M325=23),(Main!$B$19-Current_limit!O325)*Current_limit!O325/(Main!$B$19*loop_gain!$B$17*(Helper_calcs!$B$26-Helper_calcs!$B$27)),x)))</f>
        <v>1954530.4147820803</v>
      </c>
      <c r="Q325" s="132"/>
    </row>
    <row r="326" spans="1:17" x14ac:dyDescent="0.3">
      <c r="A326">
        <f t="shared" si="40"/>
        <v>3.8499999999999615</v>
      </c>
      <c r="B326">
        <f>Main!$B$20/A326</f>
        <v>1.2987012987013118</v>
      </c>
      <c r="D326" s="132">
        <f t="shared" si="33"/>
        <v>1.2987012987013118</v>
      </c>
      <c r="E326" s="132">
        <f>-B326*Main!$B$19-2*Main!$B$19*loop_gain!$B$17*loop_gain!$B$18</f>
        <v>-91.184415584415746</v>
      </c>
      <c r="F326" s="132">
        <f>2*Main!$B$19*loop_gain!$B$17*loop_gain!$B$18*Helper_calcs!$B$26*Current_limit!B326</f>
        <v>378.00000000000387</v>
      </c>
      <c r="G326" s="132">
        <f t="shared" si="35"/>
        <v>4.4242263224565619</v>
      </c>
      <c r="H326" s="132">
        <f>(Main!$B$19-Current_limit!G326)*Current_limit!G326/(Main!$B$19*loop_gain!$B$17*loop_gain!$B$18)</f>
        <v>0.88669146341696359</v>
      </c>
      <c r="I326" s="132">
        <f t="shared" si="36"/>
        <v>2.9633085365830367</v>
      </c>
      <c r="J326" s="132"/>
      <c r="K326" s="133">
        <f>IF(A326&gt;$B$15,IF(I326&gt;Helper_calcs!$B$27,23,3),0)</f>
        <v>23</v>
      </c>
      <c r="L326">
        <f t="shared" si="34"/>
        <v>2</v>
      </c>
      <c r="M326">
        <f t="shared" si="37"/>
        <v>2</v>
      </c>
      <c r="N326" s="132">
        <f t="shared" si="38"/>
        <v>3.375</v>
      </c>
      <c r="O326" s="132">
        <f t="shared" si="39"/>
        <v>4.3831168831169274</v>
      </c>
      <c r="P326" s="134">
        <f>IF(OR(M326=0,M326=3),loop_gain!$B$18,IF(Current_limit!M326=1,Current_limit!$B$12/(2*(Current_limit!N326-Helper_calcs!$B$27)),IF(OR(M326=2,M326=23),(Main!$B$19-Current_limit!O326)*Current_limit!O326/(Main!$B$19*loop_gain!$B$17*(Helper_calcs!$B$26-Helper_calcs!$B$27)),x)))</f>
        <v>1952379.4728852909</v>
      </c>
      <c r="Q326" s="132"/>
    </row>
    <row r="327" spans="1:17" x14ac:dyDescent="0.3">
      <c r="A327">
        <f t="shared" si="40"/>
        <v>3.8599999999999612</v>
      </c>
      <c r="B327">
        <f>Main!$B$20/A327</f>
        <v>1.2953367875647799</v>
      </c>
      <c r="D327" s="132">
        <f t="shared" si="33"/>
        <v>1.2953367875647799</v>
      </c>
      <c r="E327" s="132">
        <f>-B327*Main!$B$19-2*Main!$B$19*loop_gain!$B$17*loop_gain!$B$18</f>
        <v>-91.144041450777365</v>
      </c>
      <c r="F327" s="132">
        <f>2*Main!$B$19*loop_gain!$B$17*loop_gain!$B$18*Helper_calcs!$B$26*Current_limit!B327</f>
        <v>377.02072538860489</v>
      </c>
      <c r="G327" s="132">
        <f t="shared" si="35"/>
        <v>4.4133537295347711</v>
      </c>
      <c r="H327" s="132">
        <f>(Main!$B$19-Current_limit!G327)*Current_limit!G327/(Main!$B$19*loop_gain!$B$17*loop_gain!$B$18)</f>
        <v>0.88578184159838025</v>
      </c>
      <c r="I327" s="132">
        <f t="shared" si="36"/>
        <v>2.9642181584016192</v>
      </c>
      <c r="J327" s="132"/>
      <c r="K327" s="133">
        <f>IF(A327&gt;$B$15,IF(I327&gt;Helper_calcs!$B$27,23,3),0)</f>
        <v>23</v>
      </c>
      <c r="L327">
        <f t="shared" si="34"/>
        <v>2</v>
      </c>
      <c r="M327">
        <f t="shared" si="37"/>
        <v>2</v>
      </c>
      <c r="N327" s="132">
        <f t="shared" si="38"/>
        <v>3.375</v>
      </c>
      <c r="O327" s="132">
        <f t="shared" si="39"/>
        <v>4.371761658031132</v>
      </c>
      <c r="P327" s="134">
        <f>IF(OR(M327=0,M327=3),loop_gain!$B$18,IF(Current_limit!M327=1,Current_limit!$B$12/(2*(Current_limit!N327-Helper_calcs!$B$27)),IF(OR(M327=2,M327=23),(Main!$B$19-Current_limit!O327)*Current_limit!O327/(Main!$B$19*loop_gain!$B$17*(Helper_calcs!$B$26-Helper_calcs!$B$27)),x)))</f>
        <v>1950224.5556574543</v>
      </c>
      <c r="Q327" s="132"/>
    </row>
    <row r="328" spans="1:17" x14ac:dyDescent="0.3">
      <c r="A328">
        <f t="shared" si="40"/>
        <v>3.869999999999961</v>
      </c>
      <c r="B328">
        <f>Main!$B$20/A328</f>
        <v>1.2919896640827004</v>
      </c>
      <c r="D328" s="132">
        <f t="shared" si="33"/>
        <v>1.2919896640827004</v>
      </c>
      <c r="E328" s="132">
        <f>-B328*Main!$B$19-2*Main!$B$19*loop_gain!$B$17*loop_gain!$B$18</f>
        <v>-91.103875968992412</v>
      </c>
      <c r="F328" s="132">
        <f>2*Main!$B$19*loop_gain!$B$17*loop_gain!$B$18*Helper_calcs!$B$26*Current_limit!B328</f>
        <v>376.04651162791089</v>
      </c>
      <c r="G328" s="132">
        <f t="shared" si="35"/>
        <v>4.4025382478433714</v>
      </c>
      <c r="H328" s="132">
        <f>(Main!$B$19-Current_limit!G328)*Current_limit!G328/(Main!$B$19*loop_gain!$B$17*loop_gain!$B$18)</f>
        <v>0.88487079233853627</v>
      </c>
      <c r="I328" s="132">
        <f t="shared" si="36"/>
        <v>2.9651292076614668</v>
      </c>
      <c r="J328" s="132"/>
      <c r="K328" s="133">
        <f>IF(A328&gt;$B$15,IF(I328&gt;Helper_calcs!$B$27,23,3),0)</f>
        <v>23</v>
      </c>
      <c r="L328">
        <f t="shared" si="34"/>
        <v>2</v>
      </c>
      <c r="M328">
        <f t="shared" si="37"/>
        <v>2</v>
      </c>
      <c r="N328" s="132">
        <f t="shared" si="38"/>
        <v>3.375</v>
      </c>
      <c r="O328" s="132">
        <f t="shared" si="39"/>
        <v>4.3604651162791139</v>
      </c>
      <c r="P328" s="134">
        <f>IF(OR(M328=0,M328=3),loop_gain!$B$18,IF(Current_limit!M328=1,Current_limit!$B$12/(2*(Current_limit!N328-Helper_calcs!$B$27)),IF(OR(M328=2,M328=23),(Main!$B$19-Current_limit!O328)*Current_limit!O328/(Main!$B$19*loop_gain!$B$17*(Helper_calcs!$B$26-Helper_calcs!$B$27)),x)))</f>
        <v>1948065.8108223591</v>
      </c>
      <c r="Q328" s="132"/>
    </row>
    <row r="329" spans="1:17" x14ac:dyDescent="0.3">
      <c r="A329">
        <f t="shared" si="40"/>
        <v>3.8799999999999608</v>
      </c>
      <c r="B329">
        <f>Main!$B$20/A329</f>
        <v>1.288659793814446</v>
      </c>
      <c r="D329" s="132">
        <f t="shared" si="33"/>
        <v>1.288659793814446</v>
      </c>
      <c r="E329" s="132">
        <f>-B329*Main!$B$19-2*Main!$B$19*loop_gain!$B$17*loop_gain!$B$18</f>
        <v>-91.063917525773363</v>
      </c>
      <c r="F329" s="132">
        <f>2*Main!$B$19*loop_gain!$B$17*loop_gain!$B$18*Helper_calcs!$B$26*Current_limit!B329</f>
        <v>375.0773195876327</v>
      </c>
      <c r="G329" s="132">
        <f t="shared" si="35"/>
        <v>4.3917793988627931</v>
      </c>
      <c r="H329" s="132">
        <f>(Main!$B$19-Current_limit!G329)*Current_limit!G329/(Main!$B$19*loop_gain!$B$17*loop_gain!$B$18)</f>
        <v>0.88395837296502322</v>
      </c>
      <c r="I329" s="132">
        <f t="shared" si="36"/>
        <v>2.9660416270349814</v>
      </c>
      <c r="J329" s="132"/>
      <c r="K329" s="133">
        <f>IF(A329&gt;$B$15,IF(I329&gt;Helper_calcs!$B$27,23,3),0)</f>
        <v>23</v>
      </c>
      <c r="L329">
        <f t="shared" si="34"/>
        <v>2</v>
      </c>
      <c r="M329">
        <f t="shared" si="37"/>
        <v>2</v>
      </c>
      <c r="N329" s="132">
        <f t="shared" si="38"/>
        <v>3.375</v>
      </c>
      <c r="O329" s="132">
        <f t="shared" si="39"/>
        <v>4.349226804123755</v>
      </c>
      <c r="P329" s="134">
        <f>IF(OR(M329=0,M329=3),loop_gain!$B$18,IF(Current_limit!M329=1,Current_limit!$B$12/(2*(Current_limit!N329-Helper_calcs!$B$27)),IF(OR(M329=2,M329=23),(Main!$B$19-Current_limit!O329)*Current_limit!O329/(Main!$B$19*loop_gain!$B$17*(Helper_calcs!$B$26-Helper_calcs!$B$27)),x)))</f>
        <v>1945903.3833787444</v>
      </c>
      <c r="Q329" s="132"/>
    </row>
    <row r="330" spans="1:17" x14ac:dyDescent="0.3">
      <c r="A330">
        <f t="shared" si="40"/>
        <v>3.8899999999999606</v>
      </c>
      <c r="B330">
        <f>Main!$B$20/A330</f>
        <v>1.2853470437018124</v>
      </c>
      <c r="D330" s="132">
        <f t="shared" si="33"/>
        <v>1.2853470437018124</v>
      </c>
      <c r="E330" s="132">
        <f>-B330*Main!$B$19-2*Main!$B$19*loop_gain!$B$17*loop_gain!$B$18</f>
        <v>-91.024164524421764</v>
      </c>
      <c r="F330" s="132">
        <f>2*Main!$B$19*loop_gain!$B$17*loop_gain!$B$18*Helper_calcs!$B$26*Current_limit!B330</f>
        <v>374.11311053984957</v>
      </c>
      <c r="G330" s="132">
        <f t="shared" si="35"/>
        <v>4.3810767097128167</v>
      </c>
      <c r="H330" s="132">
        <f>(Main!$B$19-Current_limit!G330)*Current_limit!G330/(Main!$B$19*loop_gain!$B$17*loop_gain!$B$18)</f>
        <v>0.8830446396869237</v>
      </c>
      <c r="I330" s="132">
        <f t="shared" si="36"/>
        <v>2.9669553603130754</v>
      </c>
      <c r="J330" s="132"/>
      <c r="K330" s="133">
        <f>IF(A330&gt;$B$15,IF(I330&gt;Helper_calcs!$B$27,23,3),0)</f>
        <v>23</v>
      </c>
      <c r="L330">
        <f t="shared" si="34"/>
        <v>2</v>
      </c>
      <c r="M330">
        <f t="shared" si="37"/>
        <v>2</v>
      </c>
      <c r="N330" s="132">
        <f t="shared" si="38"/>
        <v>3.375</v>
      </c>
      <c r="O330" s="132">
        <f t="shared" si="39"/>
        <v>4.3380462724936173</v>
      </c>
      <c r="P330" s="134">
        <f>IF(OR(M330=0,M330=3),loop_gain!$B$18,IF(Current_limit!M330=1,Current_limit!$B$12/(2*(Current_limit!N330-Helper_calcs!$B$27)),IF(OR(M330=2,M330=23),(Main!$B$19-Current_limit!O330)*Current_limit!O330/(Main!$B$19*loop_gain!$B$17*(Helper_calcs!$B$26-Helper_calcs!$B$27)),x)))</f>
        <v>1943737.4156507389</v>
      </c>
      <c r="Q330" s="132"/>
    </row>
    <row r="331" spans="1:17" x14ac:dyDescent="0.3">
      <c r="A331">
        <f t="shared" si="40"/>
        <v>3.8999999999999604</v>
      </c>
      <c r="B331">
        <f>Main!$B$20/A331</f>
        <v>1.282051282051295</v>
      </c>
      <c r="D331" s="132">
        <f t="shared" si="33"/>
        <v>1.282051282051295</v>
      </c>
      <c r="E331" s="132">
        <f>-B331*Main!$B$19-2*Main!$B$19*loop_gain!$B$17*loop_gain!$B$18</f>
        <v>-90.984615384615552</v>
      </c>
      <c r="F331" s="132">
        <f>2*Main!$B$19*loop_gain!$B$17*loop_gain!$B$18*Helper_calcs!$B$26*Current_limit!B331</f>
        <v>373.15384615385</v>
      </c>
      <c r="G331" s="132">
        <f t="shared" si="35"/>
        <v>4.3704297130657563</v>
      </c>
      <c r="H331" s="132">
        <f>(Main!$B$19-Current_limit!G331)*Current_limit!G331/(Main!$B$19*loop_gain!$B$17*loop_gain!$B$18)</f>
        <v>0.88212964761748802</v>
      </c>
      <c r="I331" s="132">
        <f t="shared" si="36"/>
        <v>2.9678703523825112</v>
      </c>
      <c r="J331" s="132"/>
      <c r="K331" s="133">
        <f>IF(A331&gt;$B$15,IF(I331&gt;Helper_calcs!$B$27,23,3),0)</f>
        <v>23</v>
      </c>
      <c r="L331">
        <f t="shared" si="34"/>
        <v>2</v>
      </c>
      <c r="M331">
        <f t="shared" si="37"/>
        <v>2</v>
      </c>
      <c r="N331" s="132">
        <f t="shared" si="38"/>
        <v>3.375</v>
      </c>
      <c r="O331" s="132">
        <f t="shared" si="39"/>
        <v>4.3269230769231211</v>
      </c>
      <c r="P331" s="134">
        <f>IF(OR(M331=0,M331=3),loop_gain!$B$18,IF(Current_limit!M331=1,Current_limit!$B$12/(2*(Current_limit!N331-Helper_calcs!$B$27)),IF(OR(M331=2,M331=23),(Main!$B$19-Current_limit!O331)*Current_limit!O331/(Main!$B$19*loop_gain!$B$17*(Helper_calcs!$B$26-Helper_calcs!$B$27)),x)))</f>
        <v>1941568.0473372864</v>
      </c>
      <c r="Q331" s="132"/>
    </row>
    <row r="332" spans="1:17" x14ac:dyDescent="0.3">
      <c r="A332">
        <f t="shared" si="40"/>
        <v>3.9099999999999602</v>
      </c>
      <c r="B332">
        <f>Main!$B$20/A332</f>
        <v>1.2787723785166372</v>
      </c>
      <c r="D332" s="132">
        <f t="shared" si="33"/>
        <v>1.2787723785166372</v>
      </c>
      <c r="E332" s="132">
        <f>-B332*Main!$B$19-2*Main!$B$19*loop_gain!$B$17*loop_gain!$B$18</f>
        <v>-90.945268542199656</v>
      </c>
      <c r="F332" s="132">
        <f>2*Main!$B$19*loop_gain!$B$17*loop_gain!$B$18*Helper_calcs!$B$26*Current_limit!B332</f>
        <v>372.19948849105248</v>
      </c>
      <c r="G332" s="132">
        <f t="shared" si="35"/>
        <v>4.3598379470612443</v>
      </c>
      <c r="H332" s="132">
        <f>(Main!$B$19-Current_limit!G332)*Current_limit!G332/(Main!$B$19*loop_gain!$B$17*loop_gain!$B$18)</f>
        <v>0.88121345079628899</v>
      </c>
      <c r="I332" s="132">
        <f t="shared" si="36"/>
        <v>2.9687865492037133</v>
      </c>
      <c r="J332" s="132"/>
      <c r="K332" s="133">
        <f>IF(A332&gt;$B$15,IF(I332&gt;Helper_calcs!$B$27,23,3),0)</f>
        <v>23</v>
      </c>
      <c r="L332">
        <f t="shared" si="34"/>
        <v>2</v>
      </c>
      <c r="M332">
        <f t="shared" si="37"/>
        <v>2</v>
      </c>
      <c r="N332" s="132">
        <f t="shared" si="38"/>
        <v>3.375</v>
      </c>
      <c r="O332" s="132">
        <f t="shared" si="39"/>
        <v>4.31585677749365</v>
      </c>
      <c r="P332" s="134">
        <f>IF(OR(M332=0,M332=3),loop_gain!$B$18,IF(Current_limit!M332=1,Current_limit!$B$12/(2*(Current_limit!N332-Helper_calcs!$B$27)),IF(OR(M332=2,M332=23),(Main!$B$19-Current_limit!O332)*Current_limit!O332/(Main!$B$19*loop_gain!$B$17*(Helper_calcs!$B$26-Helper_calcs!$B$27)),x)))</f>
        <v>1939395.4155605801</v>
      </c>
      <c r="Q332" s="132"/>
    </row>
    <row r="333" spans="1:17" x14ac:dyDescent="0.3">
      <c r="A333">
        <f t="shared" si="40"/>
        <v>3.91999999999996</v>
      </c>
      <c r="B333">
        <f>Main!$B$20/A333</f>
        <v>1.2755102040816457</v>
      </c>
      <c r="D333" s="132">
        <f t="shared" si="33"/>
        <v>1.2755102040816457</v>
      </c>
      <c r="E333" s="132">
        <f>-B333*Main!$B$19-2*Main!$B$19*loop_gain!$B$17*loop_gain!$B$18</f>
        <v>-90.906122448979758</v>
      </c>
      <c r="F333" s="132">
        <f>2*Main!$B$19*loop_gain!$B$17*loop_gain!$B$18*Helper_calcs!$B$26*Current_limit!B333</f>
        <v>371.25000000000387</v>
      </c>
      <c r="G333" s="132">
        <f t="shared" si="35"/>
        <v>4.3493009552227004</v>
      </c>
      <c r="H333" s="132">
        <f>(Main!$B$19-Current_limit!G333)*Current_limit!G333/(Main!$B$19*loop_gain!$B$17*loop_gain!$B$18)</f>
        <v>0.88029610221088117</v>
      </c>
      <c r="I333" s="132">
        <f t="shared" si="36"/>
        <v>2.9697038977891217</v>
      </c>
      <c r="J333" s="132"/>
      <c r="K333" s="133">
        <f>IF(A333&gt;$B$15,IF(I333&gt;Helper_calcs!$B$27,23,3),0)</f>
        <v>23</v>
      </c>
      <c r="L333">
        <f t="shared" si="34"/>
        <v>2</v>
      </c>
      <c r="M333">
        <f t="shared" si="37"/>
        <v>2</v>
      </c>
      <c r="N333" s="132">
        <f t="shared" si="38"/>
        <v>3.375</v>
      </c>
      <c r="O333" s="132">
        <f t="shared" si="39"/>
        <v>4.3048469387755546</v>
      </c>
      <c r="P333" s="134">
        <f>IF(OR(M333=0,M333=3),loop_gain!$B$18,IF(Current_limit!M333=1,Current_limit!$B$12/(2*(Current_limit!N333-Helper_calcs!$B$27)),IF(OR(M333=2,M333=23),(Main!$B$19-Current_limit!O333)*Current_limit!O333/(Main!$B$19*loop_gain!$B$17*(Helper_calcs!$B$26-Helper_calcs!$B$27)),x)))</f>
        <v>1937219.6549135314</v>
      </c>
      <c r="Q333" s="132"/>
    </row>
    <row r="334" spans="1:17" x14ac:dyDescent="0.3">
      <c r="A334">
        <f t="shared" si="40"/>
        <v>3.9299999999999597</v>
      </c>
      <c r="B334">
        <f>Main!$B$20/A334</f>
        <v>1.2722646310432699</v>
      </c>
      <c r="D334" s="132">
        <f t="shared" si="33"/>
        <v>1.2722646310432699</v>
      </c>
      <c r="E334" s="132">
        <f>-B334*Main!$B$19-2*Main!$B$19*loop_gain!$B$17*loop_gain!$B$18</f>
        <v>-90.867175572519244</v>
      </c>
      <c r="F334" s="132">
        <f>2*Main!$B$19*loop_gain!$B$17*loop_gain!$B$18*Helper_calcs!$B$26*Current_limit!B334</f>
        <v>370.30534351145423</v>
      </c>
      <c r="G334" s="132">
        <f t="shared" si="35"/>
        <v>4.3388182863753828</v>
      </c>
      <c r="H334" s="132">
        <f>(Main!$B$19-Current_limit!G334)*Current_limit!G334/(Main!$B$19*loop_gain!$B$17*loop_gain!$B$18)</f>
        <v>0.87937765381796751</v>
      </c>
      <c r="I334" s="132">
        <f t="shared" si="36"/>
        <v>2.9706223461820325</v>
      </c>
      <c r="J334" s="132"/>
      <c r="K334" s="133">
        <f>IF(A334&gt;$B$15,IF(I334&gt;Helper_calcs!$B$27,23,3),0)</f>
        <v>23</v>
      </c>
      <c r="L334">
        <f t="shared" si="34"/>
        <v>2</v>
      </c>
      <c r="M334">
        <f t="shared" si="37"/>
        <v>2</v>
      </c>
      <c r="N334" s="132">
        <f t="shared" si="38"/>
        <v>3.375</v>
      </c>
      <c r="O334" s="132">
        <f t="shared" si="39"/>
        <v>4.2938931297710363</v>
      </c>
      <c r="P334" s="134">
        <f>IF(OR(M334=0,M334=3),loop_gain!$B$18,IF(Current_limit!M334=1,Current_limit!$B$12/(2*(Current_limit!N334-Helper_calcs!$B$27)),IF(OR(M334=2,M334=23),(Main!$B$19-Current_limit!O334)*Current_limit!O334/(Main!$B$19*loop_gain!$B$17*(Helper_calcs!$B$26-Helper_calcs!$B$27)),x)))</f>
        <v>1935040.897506288</v>
      </c>
      <c r="Q334" s="132"/>
    </row>
    <row r="335" spans="1:17" x14ac:dyDescent="0.3">
      <c r="A335">
        <f t="shared" si="40"/>
        <v>3.9399999999999595</v>
      </c>
      <c r="B335">
        <f>Main!$B$20/A335</f>
        <v>1.269035532994937</v>
      </c>
      <c r="D335" s="132">
        <f t="shared" si="33"/>
        <v>1.269035532994937</v>
      </c>
      <c r="E335" s="132">
        <f>-B335*Main!$B$19-2*Main!$B$19*loop_gain!$B$17*loop_gain!$B$18</f>
        <v>-90.82842639593926</v>
      </c>
      <c r="F335" s="132">
        <f>2*Main!$B$19*loop_gain!$B$17*loop_gain!$B$18*Helper_calcs!$B$26*Current_limit!B335</f>
        <v>369.36548223350644</v>
      </c>
      <c r="G335" s="132">
        <f t="shared" si="35"/>
        <v>4.3283894945659753</v>
      </c>
      <c r="H335" s="132">
        <f>(Main!$B$19-Current_limit!G335)*Current_limit!G335/(Main!$B$19*loop_gain!$B$17*loop_gain!$B$18)</f>
        <v>0.87845815656408999</v>
      </c>
      <c r="I335" s="132">
        <f t="shared" si="36"/>
        <v>2.9715418434359084</v>
      </c>
      <c r="J335" s="132"/>
      <c r="K335" s="133">
        <f>IF(A335&gt;$B$15,IF(I335&gt;Helper_calcs!$B$27,23,3),0)</f>
        <v>23</v>
      </c>
      <c r="L335">
        <f t="shared" si="34"/>
        <v>2</v>
      </c>
      <c r="M335">
        <f t="shared" si="37"/>
        <v>2</v>
      </c>
      <c r="N335" s="132">
        <f t="shared" si="38"/>
        <v>3.375</v>
      </c>
      <c r="O335" s="132">
        <f t="shared" si="39"/>
        <v>4.2829949238579124</v>
      </c>
      <c r="P335" s="134">
        <f>IF(OR(M335=0,M335=3),loop_gain!$B$18,IF(Current_limit!M335=1,Current_limit!$B$12/(2*(Current_limit!N335-Helper_calcs!$B$27)),IF(OR(M335=2,M335=23),(Main!$B$19-Current_limit!O335)*Current_limit!O335/(Main!$B$19*loop_gain!$B$17*(Helper_calcs!$B$26-Helper_calcs!$B$27)),x)))</f>
        <v>1932859.2730118302</v>
      </c>
      <c r="Q335" s="132"/>
    </row>
    <row r="336" spans="1:17" x14ac:dyDescent="0.3">
      <c r="A336">
        <f t="shared" si="40"/>
        <v>3.9499999999999593</v>
      </c>
      <c r="B336">
        <f>Main!$B$20/A336</f>
        <v>1.2658227848101395</v>
      </c>
      <c r="D336" s="132">
        <f t="shared" si="33"/>
        <v>1.2658227848101395</v>
      </c>
      <c r="E336" s="132">
        <f>-B336*Main!$B$19-2*Main!$B$19*loop_gain!$B$17*loop_gain!$B$18</f>
        <v>-90.78987341772168</v>
      </c>
      <c r="F336" s="132">
        <f>2*Main!$B$19*loop_gain!$B$17*loop_gain!$B$18*Helper_calcs!$B$26*Current_limit!B336</f>
        <v>368.43037974683926</v>
      </c>
      <c r="G336" s="132">
        <f t="shared" si="35"/>
        <v>4.3180141389836786</v>
      </c>
      <c r="H336" s="132">
        <f>(Main!$B$19-Current_limit!G336)*Current_limit!G336/(Main!$B$19*loop_gain!$B$17*loop_gain!$B$18)</f>
        <v>0.87753766040585135</v>
      </c>
      <c r="I336" s="132">
        <f t="shared" si="36"/>
        <v>2.9724623395941454</v>
      </c>
      <c r="J336" s="132"/>
      <c r="K336" s="133">
        <f>IF(A336&gt;$B$15,IF(I336&gt;Helper_calcs!$B$27,23,3),0)</f>
        <v>23</v>
      </c>
      <c r="L336">
        <f t="shared" si="34"/>
        <v>2</v>
      </c>
      <c r="M336">
        <f t="shared" si="37"/>
        <v>2</v>
      </c>
      <c r="N336" s="132">
        <f t="shared" si="38"/>
        <v>3.375</v>
      </c>
      <c r="O336" s="132">
        <f t="shared" si="39"/>
        <v>4.2721518987342213</v>
      </c>
      <c r="P336" s="134">
        <f>IF(OR(M336=0,M336=3),loop_gain!$B$18,IF(Current_limit!M336=1,Current_limit!$B$12/(2*(Current_limit!N336-Helper_calcs!$B$27)),IF(OR(M336=2,M336=23),(Main!$B$19-Current_limit!O336)*Current_limit!O336/(Main!$B$19*loop_gain!$B$17*(Helper_calcs!$B$26-Helper_calcs!$B$27)),x)))</f>
        <v>1930674.9087106574</v>
      </c>
      <c r="Q336" s="132"/>
    </row>
    <row r="337" spans="1:17" x14ac:dyDescent="0.3">
      <c r="A337">
        <f t="shared" si="40"/>
        <v>3.9599999999999591</v>
      </c>
      <c r="B337">
        <f>Main!$B$20/A337</f>
        <v>1.2626262626262756</v>
      </c>
      <c r="D337" s="132">
        <f t="shared" si="33"/>
        <v>1.2626262626262756</v>
      </c>
      <c r="E337" s="132">
        <f>-B337*Main!$B$19-2*Main!$B$19*loop_gain!$B$17*loop_gain!$B$18</f>
        <v>-90.751515151515321</v>
      </c>
      <c r="F337" s="132">
        <f>2*Main!$B$19*loop_gain!$B$17*loop_gain!$B$18*Helper_calcs!$B$26*Current_limit!B337</f>
        <v>367.50000000000387</v>
      </c>
      <c r="G337" s="132">
        <f t="shared" si="35"/>
        <v>4.3076917838828113</v>
      </c>
      <c r="H337" s="132">
        <f>(Main!$B$19-Current_limit!G337)*Current_limit!G337/(Main!$B$19*loop_gain!$B$17*loop_gain!$B$18)</f>
        <v>0.87661621432968928</v>
      </c>
      <c r="I337" s="132">
        <f t="shared" si="36"/>
        <v>2.9733837856703067</v>
      </c>
      <c r="J337" s="132"/>
      <c r="K337" s="133">
        <f>IF(A337&gt;$B$15,IF(I337&gt;Helper_calcs!$B$27,23,3),0)</f>
        <v>23</v>
      </c>
      <c r="L337">
        <f t="shared" si="34"/>
        <v>2</v>
      </c>
      <c r="M337">
        <f t="shared" si="37"/>
        <v>2</v>
      </c>
      <c r="N337" s="132">
        <f t="shared" si="38"/>
        <v>3.375</v>
      </c>
      <c r="O337" s="132">
        <f t="shared" si="39"/>
        <v>4.2613636363636802</v>
      </c>
      <c r="P337" s="134">
        <f>IF(OR(M337=0,M337=3),loop_gain!$B$18,IF(Current_limit!M337=1,Current_limit!$B$12/(2*(Current_limit!N337-Helper_calcs!$B$27)),IF(OR(M337=2,M337=23),(Main!$B$19-Current_limit!O337)*Current_limit!O337/(Main!$B$19*loop_gain!$B$17*(Helper_calcs!$B$26-Helper_calcs!$B$27)),x)))</f>
        <v>1928487.9295345889</v>
      </c>
      <c r="Q337" s="132"/>
    </row>
    <row r="338" spans="1:17" x14ac:dyDescent="0.3">
      <c r="A338">
        <f t="shared" si="40"/>
        <v>3.9699999999999589</v>
      </c>
      <c r="B338">
        <f>Main!$B$20/A338</f>
        <v>1.2594458438287284</v>
      </c>
      <c r="D338" s="132">
        <f t="shared" si="33"/>
        <v>1.2594458438287284</v>
      </c>
      <c r="E338" s="132">
        <f>-B338*Main!$B$19-2*Main!$B$19*loop_gain!$B$17*loop_gain!$B$18</f>
        <v>-90.713350125944743</v>
      </c>
      <c r="F338" s="132">
        <f>2*Main!$B$19*loop_gain!$B$17*loop_gain!$B$18*Helper_calcs!$B$26*Current_limit!B338</f>
        <v>366.57430730478973</v>
      </c>
      <c r="G338" s="132">
        <f t="shared" si="35"/>
        <v>4.2974219985068407</v>
      </c>
      <c r="H338" s="132">
        <f>(Main!$B$19-Current_limit!G338)*Current_limit!G338/(Main!$B$19*loop_gain!$B$17*loop_gain!$B$18)</f>
        <v>0.87569386637120517</v>
      </c>
      <c r="I338" s="132">
        <f t="shared" si="36"/>
        <v>2.9743061336287937</v>
      </c>
      <c r="J338" s="132"/>
      <c r="K338" s="133">
        <f>IF(A338&gt;$B$15,IF(I338&gt;Helper_calcs!$B$27,23,3),0)</f>
        <v>23</v>
      </c>
      <c r="L338">
        <f t="shared" si="34"/>
        <v>2</v>
      </c>
      <c r="M338">
        <f t="shared" si="37"/>
        <v>2</v>
      </c>
      <c r="N338" s="132">
        <f t="shared" si="38"/>
        <v>3.375</v>
      </c>
      <c r="O338" s="132">
        <f t="shared" si="39"/>
        <v>4.2506297229219578</v>
      </c>
      <c r="P338" s="134">
        <f>IF(OR(M338=0,M338=3),loop_gain!$B$18,IF(Current_limit!M338=1,Current_limit!$B$12/(2*(Current_limit!N338-Helper_calcs!$B$27)),IF(OR(M338=2,M338=23),(Main!$B$19-Current_limit!O338)*Current_limit!O338/(Main!$B$19*loop_gain!$B$17*(Helper_calcs!$B$26-Helper_calcs!$B$27)),x)))</f>
        <v>1926298.4581097013</v>
      </c>
      <c r="Q338" s="132"/>
    </row>
    <row r="339" spans="1:17" x14ac:dyDescent="0.3">
      <c r="A339">
        <f t="shared" si="40"/>
        <v>3.9799999999999587</v>
      </c>
      <c r="B339">
        <f>Main!$B$20/A339</f>
        <v>1.2562814070351889</v>
      </c>
      <c r="D339" s="132">
        <f t="shared" si="33"/>
        <v>1.2562814070351889</v>
      </c>
      <c r="E339" s="132">
        <f>-B339*Main!$B$19-2*Main!$B$19*loop_gain!$B$17*loop_gain!$B$18</f>
        <v>-90.675376884422278</v>
      </c>
      <c r="F339" s="132">
        <f>2*Main!$B$19*loop_gain!$B$17*loop_gain!$B$18*Helper_calcs!$B$26*Current_limit!B339</f>
        <v>365.65326633166217</v>
      </c>
      <c r="G339" s="132">
        <f t="shared" si="35"/>
        <v>4.2872043570138247</v>
      </c>
      <c r="H339" s="132">
        <f>(Main!$B$19-Current_limit!G339)*Current_limit!G339/(Main!$B$19*loop_gain!$B$17*loop_gain!$B$18)</f>
        <v>0.87477066363406264</v>
      </c>
      <c r="I339" s="132">
        <f t="shared" si="36"/>
        <v>2.9752293363659374</v>
      </c>
      <c r="J339" s="132"/>
      <c r="K339" s="133">
        <f>IF(A339&gt;$B$15,IF(I339&gt;Helper_calcs!$B$27,23,3),0)</f>
        <v>23</v>
      </c>
      <c r="L339">
        <f t="shared" si="34"/>
        <v>2</v>
      </c>
      <c r="M339">
        <f t="shared" si="37"/>
        <v>2</v>
      </c>
      <c r="N339" s="132">
        <f t="shared" si="38"/>
        <v>3.375</v>
      </c>
      <c r="O339" s="132">
        <f t="shared" si="39"/>
        <v>4.2399497487437623</v>
      </c>
      <c r="P339" s="134">
        <f>IF(OR(M339=0,M339=3),loop_gain!$B$18,IF(Current_limit!M339=1,Current_limit!$B$12/(2*(Current_limit!N339-Helper_calcs!$B$27)),IF(OR(M339=2,M339=23),(Main!$B$19-Current_limit!O339)*Current_limit!O339/(Main!$B$19*loop_gain!$B$17*(Helper_calcs!$B$26-Helper_calcs!$B$27)),x)))</f>
        <v>1924106.6147984124</v>
      </c>
      <c r="Q339" s="132"/>
    </row>
    <row r="340" spans="1:17" x14ac:dyDescent="0.3">
      <c r="A340">
        <f t="shared" si="40"/>
        <v>3.9899999999999585</v>
      </c>
      <c r="B340">
        <f>Main!$B$20/A340</f>
        <v>1.2531328320802135</v>
      </c>
      <c r="D340" s="132">
        <f t="shared" si="33"/>
        <v>1.2531328320802135</v>
      </c>
      <c r="E340" s="132">
        <f>-B340*Main!$B$19-2*Main!$B$19*loop_gain!$B$17*loop_gain!$B$18</f>
        <v>-90.637593984962564</v>
      </c>
      <c r="F340" s="132">
        <f>2*Main!$B$19*loop_gain!$B$17*loop_gain!$B$18*Helper_calcs!$B$26*Current_limit!B340</f>
        <v>364.73684210526704</v>
      </c>
      <c r="G340" s="132">
        <f t="shared" si="35"/>
        <v>4.2770384384032578</v>
      </c>
      <c r="H340" s="132">
        <f>(Main!$B$19-Current_limit!G340)*Current_limit!G340/(Main!$B$19*loop_gain!$B$17*loop_gain!$B$18)</f>
        <v>0.8738466523084687</v>
      </c>
      <c r="I340" s="132">
        <f t="shared" si="36"/>
        <v>2.9761533476915298</v>
      </c>
      <c r="J340" s="132"/>
      <c r="K340" s="133">
        <f>IF(A340&gt;$B$15,IF(I340&gt;Helper_calcs!$B$27,23,3),0)</f>
        <v>23</v>
      </c>
      <c r="L340">
        <f t="shared" si="34"/>
        <v>2</v>
      </c>
      <c r="M340">
        <f t="shared" si="37"/>
        <v>2</v>
      </c>
      <c r="N340" s="132">
        <f t="shared" si="38"/>
        <v>3.375</v>
      </c>
      <c r="O340" s="132">
        <f t="shared" si="39"/>
        <v>4.2293233082707209</v>
      </c>
      <c r="P340" s="134">
        <f>IF(OR(M340=0,M340=3),loop_gain!$B$18,IF(Current_limit!M340=1,Current_limit!$B$12/(2*(Current_limit!N340-Helper_calcs!$B$27)),IF(OR(M340=2,M340=23),(Main!$B$19-Current_limit!O340)*Current_limit!O340/(Main!$B$19*loop_gain!$B$17*(Helper_calcs!$B$26-Helper_calcs!$B$27)),x)))</f>
        <v>1921912.51774074</v>
      </c>
      <c r="Q340" s="132"/>
    </row>
    <row r="341" spans="1:17" x14ac:dyDescent="0.3">
      <c r="A341">
        <f t="shared" si="40"/>
        <v>3.9999999999999583</v>
      </c>
      <c r="B341">
        <f>Main!$B$20/A341</f>
        <v>1.2500000000000131</v>
      </c>
      <c r="D341" s="132">
        <f t="shared" si="33"/>
        <v>1.2500000000000131</v>
      </c>
      <c r="E341" s="132">
        <f>-B341*Main!$B$19-2*Main!$B$19*loop_gain!$B$17*loop_gain!$B$18</f>
        <v>-90.600000000000165</v>
      </c>
      <c r="F341" s="132">
        <f>2*Main!$B$19*loop_gain!$B$17*loop_gain!$B$18*Helper_calcs!$B$26*Current_limit!B341</f>
        <v>363.82500000000391</v>
      </c>
      <c r="G341" s="132">
        <f t="shared" si="35"/>
        <v>4.2669238264442644</v>
      </c>
      <c r="H341" s="132">
        <f>(Main!$B$19-Current_limit!G341)*Current_limit!G341/(Main!$B$19*loop_gain!$B$17*loop_gain!$B$18)</f>
        <v>0.87292187768924356</v>
      </c>
      <c r="I341" s="132">
        <f t="shared" si="36"/>
        <v>2.9770781223107536</v>
      </c>
      <c r="J341" s="132"/>
      <c r="K341" s="133">
        <f>IF(A341&gt;$B$15,IF(I341&gt;Helper_calcs!$B$27,23,3),0)</f>
        <v>23</v>
      </c>
      <c r="L341">
        <f t="shared" si="34"/>
        <v>2</v>
      </c>
      <c r="M341">
        <f t="shared" si="37"/>
        <v>2</v>
      </c>
      <c r="N341" s="132">
        <f t="shared" si="38"/>
        <v>3.375</v>
      </c>
      <c r="O341" s="132">
        <f t="shared" si="39"/>
        <v>4.2187500000000444</v>
      </c>
      <c r="P341" s="134">
        <f>IF(OR(M341=0,M341=3),loop_gain!$B$18,IF(Current_limit!M341=1,Current_limit!$B$12/(2*(Current_limit!N341-Helper_calcs!$B$27)),IF(OR(M341=2,M341=23),(Main!$B$19-Current_limit!O341)*Current_limit!O341/(Main!$B$19*loop_gain!$B$17*(Helper_calcs!$B$26-Helper_calcs!$B$27)),x)))</f>
        <v>1919716.2828947457</v>
      </c>
      <c r="Q341" s="132"/>
    </row>
    <row r="342" spans="1:17" x14ac:dyDescent="0.3">
      <c r="A342">
        <f t="shared" si="40"/>
        <v>4.009999999999958</v>
      </c>
      <c r="B342">
        <f>Main!$B$20/A342</f>
        <v>1.2468827930174695</v>
      </c>
      <c r="D342" s="132">
        <f t="shared" si="33"/>
        <v>1.2468827930174695</v>
      </c>
      <c r="E342" s="132">
        <f>-B342*Main!$B$19-2*Main!$B$19*loop_gain!$B$17*loop_gain!$B$18</f>
        <v>-90.562593516209645</v>
      </c>
      <c r="F342" s="132">
        <f>2*Main!$B$19*loop_gain!$B$17*loop_gain!$B$18*Helper_calcs!$B$26*Current_limit!B342</f>
        <v>362.91770573566475</v>
      </c>
      <c r="G342" s="132">
        <f t="shared" si="35"/>
        <v>4.2568601096050962</v>
      </c>
      <c r="H342" s="132">
        <f>(Main!$B$19-Current_limit!G342)*Current_limit!G342/(Main!$B$19*loop_gain!$B$17*loop_gain!$B$18)</f>
        <v>0.87199638419349312</v>
      </c>
      <c r="I342" s="132">
        <f t="shared" si="36"/>
        <v>2.9780036158065046</v>
      </c>
      <c r="J342" s="132"/>
      <c r="K342" s="133">
        <f>IF(A342&gt;$B$15,IF(I342&gt;Helper_calcs!$B$27,23,3),0)</f>
        <v>23</v>
      </c>
      <c r="L342">
        <f t="shared" si="34"/>
        <v>2</v>
      </c>
      <c r="M342">
        <f t="shared" si="37"/>
        <v>2</v>
      </c>
      <c r="N342" s="132">
        <f t="shared" si="38"/>
        <v>3.375</v>
      </c>
      <c r="O342" s="132">
        <f t="shared" si="39"/>
        <v>4.2082294264339595</v>
      </c>
      <c r="P342" s="134">
        <f>IF(OR(M342=0,M342=3),loop_gain!$B$18,IF(Current_limit!M342=1,Current_limit!$B$12/(2*(Current_limit!N342-Helper_calcs!$B$27)),IF(OR(M342=2,M342=23),(Main!$B$19-Current_limit!O342)*Current_limit!O342/(Main!$B$19*loop_gain!$B$17*(Helper_calcs!$B$26-Helper_calcs!$B$27)),x)))</f>
        <v>1917518.0240761884</v>
      </c>
      <c r="Q342" s="132"/>
    </row>
    <row r="343" spans="1:17" x14ac:dyDescent="0.3">
      <c r="A343">
        <f t="shared" si="40"/>
        <v>4.0199999999999578</v>
      </c>
      <c r="B343">
        <f>Main!$B$20/A343</f>
        <v>1.2437810945273762</v>
      </c>
      <c r="D343" s="132">
        <f t="shared" ref="D343:D406" si="41">B343</f>
        <v>1.2437810945273762</v>
      </c>
      <c r="E343" s="132">
        <f>-B343*Main!$B$19-2*Main!$B$19*loop_gain!$B$17*loop_gain!$B$18</f>
        <v>-90.525373134328518</v>
      </c>
      <c r="F343" s="132">
        <f>2*Main!$B$19*loop_gain!$B$17*loop_gain!$B$18*Helper_calcs!$B$26*Current_limit!B343</f>
        <v>362.01492537313817</v>
      </c>
      <c r="G343" s="132">
        <f t="shared" si="35"/>
        <v>4.2468468809839459</v>
      </c>
      <c r="H343" s="132">
        <f>(Main!$B$19-Current_limit!G343)*Current_limit!G343/(Main!$B$19*loop_gain!$B$17*loop_gain!$B$18)</f>
        <v>0.87107021537789098</v>
      </c>
      <c r="I343" s="132">
        <f t="shared" si="36"/>
        <v>2.9789297846221112</v>
      </c>
      <c r="J343" s="132"/>
      <c r="K343" s="133">
        <f>IF(A343&gt;$B$15,IF(I343&gt;Helper_calcs!$B$27,23,3),0)</f>
        <v>23</v>
      </c>
      <c r="L343">
        <f t="shared" ref="L343:L406" si="42">IF(A343&gt;$B$13,IF(A343&gt;$B$14,2,1),0)</f>
        <v>2</v>
      </c>
      <c r="M343">
        <f t="shared" si="37"/>
        <v>2</v>
      </c>
      <c r="N343" s="132">
        <f t="shared" si="38"/>
        <v>3.375</v>
      </c>
      <c r="O343" s="132">
        <f t="shared" si="39"/>
        <v>4.1977611940298942</v>
      </c>
      <c r="P343" s="134">
        <f>IF(OR(M343=0,M343=3),loop_gain!$B$18,IF(Current_limit!M343=1,Current_limit!$B$12/(2*(Current_limit!N343-Helper_calcs!$B$27)),IF(OR(M343=2,M343=23),(Main!$B$19-Current_limit!O343)*Current_limit!O343/(Main!$B$19*loop_gain!$B$17*(Helper_calcs!$B$26-Helper_calcs!$B$27)),x)))</f>
        <v>1915317.8529973943</v>
      </c>
      <c r="Q343" s="132"/>
    </row>
    <row r="344" spans="1:17" x14ac:dyDescent="0.3">
      <c r="A344">
        <f t="shared" si="40"/>
        <v>4.0299999999999576</v>
      </c>
      <c r="B344">
        <f>Main!$B$20/A344</f>
        <v>1.2406947890818989</v>
      </c>
      <c r="D344" s="132">
        <f t="shared" si="41"/>
        <v>1.2406947890818989</v>
      </c>
      <c r="E344" s="132">
        <f>-B344*Main!$B$19-2*Main!$B$19*loop_gain!$B$17*loop_gain!$B$18</f>
        <v>-90.488337468982792</v>
      </c>
      <c r="F344" s="132">
        <f>2*Main!$B$19*loop_gain!$B$17*loop_gain!$B$18*Helper_calcs!$B$26*Current_limit!B344</f>
        <v>361.11662531017754</v>
      </c>
      <c r="G344" s="132">
        <f t="shared" ref="G344:G407" si="43">(-E344-SQRT(E344^2-4*D344*F344))/(2*D344)</f>
        <v>4.2368837382409996</v>
      </c>
      <c r="H344" s="132">
        <f>(Main!$B$19-Current_limit!G344)*Current_limit!G344/(Main!$B$19*loop_gain!$B$17*loop_gain!$B$18)</f>
        <v>0.87014341395558115</v>
      </c>
      <c r="I344" s="132">
        <f t="shared" ref="I344:I407" si="44">(G344/B344)-0.5*H344</f>
        <v>2.9798565860444191</v>
      </c>
      <c r="J344" s="132"/>
      <c r="K344" s="133">
        <f>IF(A344&gt;$B$15,IF(I344&gt;Helper_calcs!$B$27,23,3),0)</f>
        <v>23</v>
      </c>
      <c r="L344">
        <f t="shared" si="42"/>
        <v>2</v>
      </c>
      <c r="M344">
        <f t="shared" ref="M344:M407" si="45">IF($B$16="N",L344,K344)</f>
        <v>2</v>
      </c>
      <c r="N344" s="132">
        <f t="shared" ref="N344:N407" si="46">IF(OR(M344=0,M344=1),A344,IF(OR(M344=2,M344=23),$B$14,G344/B344))</f>
        <v>3.375</v>
      </c>
      <c r="O344" s="132">
        <f t="shared" ref="O344:O407" si="47">N344*B344</f>
        <v>4.1873449131514091</v>
      </c>
      <c r="P344" s="134">
        <f>IF(OR(M344=0,M344=3),loop_gain!$B$18,IF(Current_limit!M344=1,Current_limit!$B$12/(2*(Current_limit!N344-Helper_calcs!$B$27)),IF(OR(M344=2,M344=23),(Main!$B$19-Current_limit!O344)*Current_limit!O344/(Main!$B$19*loop_gain!$B$17*(Helper_calcs!$B$26-Helper_calcs!$B$27)),x)))</f>
        <v>1913115.8793053757</v>
      </c>
      <c r="Q344" s="132"/>
    </row>
    <row r="345" spans="1:17" x14ac:dyDescent="0.3">
      <c r="A345">
        <f t="shared" si="40"/>
        <v>4.0399999999999574</v>
      </c>
      <c r="B345">
        <f>Main!$B$20/A345</f>
        <v>1.2376237623762507</v>
      </c>
      <c r="D345" s="132">
        <f t="shared" si="41"/>
        <v>1.2376237623762507</v>
      </c>
      <c r="E345" s="132">
        <f>-B345*Main!$B$19-2*Main!$B$19*loop_gain!$B$17*loop_gain!$B$18</f>
        <v>-90.451485148515019</v>
      </c>
      <c r="F345" s="132">
        <f>2*Main!$B$19*loop_gain!$B$17*loop_gain!$B$18*Helper_calcs!$B$26*Current_limit!B345</f>
        <v>360.22277227723163</v>
      </c>
      <c r="G345" s="132">
        <f t="shared" si="43"/>
        <v>4.2269702835317844</v>
      </c>
      <c r="H345" s="132">
        <f>(Main!$B$19-Current_limit!G345)*Current_limit!G345/(Main!$B$19*loop_gain!$B$17*loop_gain!$B$18)</f>
        <v>0.86921602181271529</v>
      </c>
      <c r="I345" s="132">
        <f t="shared" si="44"/>
        <v>2.9807839781872882</v>
      </c>
      <c r="J345" s="132"/>
      <c r="K345" s="133">
        <f>IF(A345&gt;$B$15,IF(I345&gt;Helper_calcs!$B$27,23,3),0)</f>
        <v>23</v>
      </c>
      <c r="L345">
        <f t="shared" si="42"/>
        <v>2</v>
      </c>
      <c r="M345">
        <f t="shared" si="45"/>
        <v>2</v>
      </c>
      <c r="N345" s="132">
        <f t="shared" si="46"/>
        <v>3.375</v>
      </c>
      <c r="O345" s="132">
        <f t="shared" si="47"/>
        <v>4.1769801980198462</v>
      </c>
      <c r="P345" s="134">
        <f>IF(OR(M345=0,M345=3),loop_gain!$B$18,IF(Current_limit!M345=1,Current_limit!$B$12/(2*(Current_limit!N345-Helper_calcs!$B$27)),IF(OR(M345=2,M345=23),(Main!$B$19-Current_limit!O345)*Current_limit!O345/(Main!$B$19*loop_gain!$B$17*(Helper_calcs!$B$26-Helper_calcs!$B$27)),x)))</f>
        <v>1910912.2106191951</v>
      </c>
      <c r="Q345" s="132"/>
    </row>
    <row r="346" spans="1:17" x14ac:dyDescent="0.3">
      <c r="A346">
        <f t="shared" si="40"/>
        <v>4.0499999999999572</v>
      </c>
      <c r="B346">
        <f>Main!$B$20/A346</f>
        <v>1.2345679012345809</v>
      </c>
      <c r="D346" s="132">
        <f t="shared" si="41"/>
        <v>1.2345679012345809</v>
      </c>
      <c r="E346" s="132">
        <f>-B346*Main!$B$19-2*Main!$B$19*loop_gain!$B$17*loop_gain!$B$18</f>
        <v>-90.414814814814974</v>
      </c>
      <c r="F346" s="132">
        <f>2*Main!$B$19*loop_gain!$B$17*loop_gain!$B$18*Helper_calcs!$B$26*Current_limit!B346</f>
        <v>359.33333333333718</v>
      </c>
      <c r="G346" s="132">
        <f t="shared" si="43"/>
        <v>4.2171061234416349</v>
      </c>
      <c r="H346" s="132">
        <f>(Main!$B$19-Current_limit!G346)*Current_limit!G346/(Main!$B$19*loop_gain!$B$17*loop_gain!$B$18)</f>
        <v>0.8682880800246211</v>
      </c>
      <c r="I346" s="132">
        <f t="shared" si="44"/>
        <v>2.9817119199753774</v>
      </c>
      <c r="J346" s="132"/>
      <c r="K346" s="133">
        <f>IF(A346&gt;$B$15,IF(I346&gt;Helper_calcs!$B$27,23,3),0)</f>
        <v>23</v>
      </c>
      <c r="L346">
        <f t="shared" si="42"/>
        <v>2</v>
      </c>
      <c r="M346">
        <f t="shared" si="45"/>
        <v>2</v>
      </c>
      <c r="N346" s="132">
        <f t="shared" si="46"/>
        <v>3.375</v>
      </c>
      <c r="O346" s="132">
        <f t="shared" si="47"/>
        <v>4.1666666666667105</v>
      </c>
      <c r="P346" s="134">
        <f>IF(OR(M346=0,M346=3),loop_gain!$B$18,IF(Current_limit!M346=1,Current_limit!$B$12/(2*(Current_limit!N346-Helper_calcs!$B$27)),IF(OR(M346=2,M346=23),(Main!$B$19-Current_limit!O346)*Current_limit!O346/(Main!$B$19*loop_gain!$B$17*(Helper_calcs!$B$26-Helper_calcs!$B$27)),x)))</f>
        <v>1908706.9525666109</v>
      </c>
      <c r="Q346" s="132"/>
    </row>
    <row r="347" spans="1:17" x14ac:dyDescent="0.3">
      <c r="A347">
        <f t="shared" si="40"/>
        <v>4.059999999999957</v>
      </c>
      <c r="B347">
        <f>Main!$B$20/A347</f>
        <v>1.2315270935960723</v>
      </c>
      <c r="D347" s="132">
        <f t="shared" si="41"/>
        <v>1.2315270935960723</v>
      </c>
      <c r="E347" s="132">
        <f>-B347*Main!$B$19-2*Main!$B$19*loop_gain!$B$17*loop_gain!$B$18</f>
        <v>-90.378325123152877</v>
      </c>
      <c r="F347" s="132">
        <f>2*Main!$B$19*loop_gain!$B$17*loop_gain!$B$18*Helper_calcs!$B$26*Current_limit!B347</f>
        <v>358.44827586207288</v>
      </c>
      <c r="G347" s="132">
        <f t="shared" si="43"/>
        <v>4.2072908689214561</v>
      </c>
      <c r="H347" s="132">
        <f>(Main!$B$19-Current_limit!G347)*Current_limit!G347/(Main!$B$19*loop_gain!$B$17*loop_gain!$B$18)</f>
        <v>0.86735962887162987</v>
      </c>
      <c r="I347" s="132">
        <f t="shared" si="44"/>
        <v>2.9826403711283711</v>
      </c>
      <c r="J347" s="132"/>
      <c r="K347" s="133">
        <f>IF(A347&gt;$B$15,IF(I347&gt;Helper_calcs!$B$27,23,3),0)</f>
        <v>23</v>
      </c>
      <c r="L347">
        <f t="shared" si="42"/>
        <v>2</v>
      </c>
      <c r="M347">
        <f t="shared" si="45"/>
        <v>2</v>
      </c>
      <c r="N347" s="132">
        <f t="shared" si="46"/>
        <v>3.375</v>
      </c>
      <c r="O347" s="132">
        <f t="shared" si="47"/>
        <v>4.1564039408867437</v>
      </c>
      <c r="P347" s="134">
        <f>IF(OR(M347=0,M347=3),loop_gain!$B$18,IF(Current_limit!M347=1,Current_limit!$B$12/(2*(Current_limit!N347-Helper_calcs!$B$27)),IF(OR(M347=2,M347=23),(Main!$B$19-Current_limit!O347)*Current_limit!O347/(Main!$B$19*loop_gain!$B$17*(Helper_calcs!$B$26-Helper_calcs!$B$27)),x)))</f>
        <v>1906500.2088200038</v>
      </c>
      <c r="Q347" s="132"/>
    </row>
    <row r="348" spans="1:17" x14ac:dyDescent="0.3">
      <c r="A348">
        <f t="shared" si="40"/>
        <v>4.0699999999999568</v>
      </c>
      <c r="B348">
        <f>Main!$B$20/A348</f>
        <v>1.2285012285012415</v>
      </c>
      <c r="D348" s="132">
        <f t="shared" si="41"/>
        <v>1.2285012285012415</v>
      </c>
      <c r="E348" s="132">
        <f>-B348*Main!$B$19-2*Main!$B$19*loop_gain!$B$17*loop_gain!$B$18</f>
        <v>-90.342014742014911</v>
      </c>
      <c r="F348" s="132">
        <f>2*Main!$B$19*loop_gain!$B$17*loop_gain!$B$18*Helper_calcs!$B$26*Current_limit!B348</f>
        <v>357.56756756757142</v>
      </c>
      <c r="G348" s="132">
        <f t="shared" si="43"/>
        <v>4.1975241352245236</v>
      </c>
      <c r="H348" s="132">
        <f>(Main!$B$19-Current_limit!G348)*Current_limit!G348/(Main!$B$19*loop_gain!$B$17*loop_gain!$B$18)</f>
        <v>0.86643070785454745</v>
      </c>
      <c r="I348" s="132">
        <f t="shared" si="44"/>
        <v>2.983569292145452</v>
      </c>
      <c r="J348" s="132"/>
      <c r="K348" s="133">
        <f>IF(A348&gt;$B$15,IF(I348&gt;Helper_calcs!$B$27,23,3),0)</f>
        <v>23</v>
      </c>
      <c r="L348">
        <f t="shared" si="42"/>
        <v>2</v>
      </c>
      <c r="M348">
        <f t="shared" si="45"/>
        <v>2</v>
      </c>
      <c r="N348" s="132">
        <f t="shared" si="46"/>
        <v>3.375</v>
      </c>
      <c r="O348" s="132">
        <f t="shared" si="47"/>
        <v>4.1461916461916903</v>
      </c>
      <c r="P348" s="134">
        <f>IF(OR(M348=0,M348=3),loop_gain!$B$18,IF(Current_limit!M348=1,Current_limit!$B$12/(2*(Current_limit!N348-Helper_calcs!$B$27)),IF(OR(M348=2,M348=23),(Main!$B$19-Current_limit!O348)*Current_limit!O348/(Main!$B$19*loop_gain!$B$17*(Helper_calcs!$B$26-Helper_calcs!$B$27)),x)))</f>
        <v>1904292.0811316092</v>
      </c>
      <c r="Q348" s="132"/>
    </row>
    <row r="349" spans="1:17" x14ac:dyDescent="0.3">
      <c r="A349">
        <f t="shared" si="40"/>
        <v>4.0799999999999566</v>
      </c>
      <c r="B349">
        <f>Main!$B$20/A349</f>
        <v>1.2254901960784443</v>
      </c>
      <c r="D349" s="132">
        <f t="shared" si="41"/>
        <v>1.2254901960784443</v>
      </c>
      <c r="E349" s="132">
        <f>-B349*Main!$B$19-2*Main!$B$19*loop_gain!$B$17*loop_gain!$B$18</f>
        <v>-90.305882352941339</v>
      </c>
      <c r="F349" s="132">
        <f>2*Main!$B$19*loop_gain!$B$17*loop_gain!$B$18*Helper_calcs!$B$26*Current_limit!B349</f>
        <v>356.6911764705921</v>
      </c>
      <c r="G349" s="132">
        <f t="shared" si="43"/>
        <v>4.1878055418445257</v>
      </c>
      <c r="H349" s="132">
        <f>(Main!$B$19-Current_limit!G349)*Current_limit!G349/(Main!$B$19*loop_gain!$B$17*loop_gain!$B$18)</f>
        <v>0.8655013557098038</v>
      </c>
      <c r="I349" s="132">
        <f t="shared" si="44"/>
        <v>2.9844986442901948</v>
      </c>
      <c r="J349" s="132"/>
      <c r="K349" s="133">
        <f>IF(A349&gt;$B$15,IF(I349&gt;Helper_calcs!$B$27,23,3),0)</f>
        <v>23</v>
      </c>
      <c r="L349">
        <f t="shared" si="42"/>
        <v>2</v>
      </c>
      <c r="M349">
        <f t="shared" si="45"/>
        <v>2</v>
      </c>
      <c r="N349" s="132">
        <f t="shared" si="46"/>
        <v>3.375</v>
      </c>
      <c r="O349" s="132">
        <f t="shared" si="47"/>
        <v>4.13602941176475</v>
      </c>
      <c r="P349" s="134">
        <f>IF(OR(M349=0,M349=3),loop_gain!$B$18,IF(Current_limit!M349=1,Current_limit!$B$12/(2*(Current_limit!N349-Helper_calcs!$B$27)),IF(OR(M349=2,M349=23),(Main!$B$19-Current_limit!O349)*Current_limit!O349/(Main!$B$19*loop_gain!$B$17*(Helper_calcs!$B$26-Helper_calcs!$B$27)),x)))</f>
        <v>1902082.6693680664</v>
      </c>
      <c r="Q349" s="132"/>
    </row>
    <row r="350" spans="1:17" x14ac:dyDescent="0.3">
      <c r="A350">
        <f t="shared" si="40"/>
        <v>4.0899999999999563</v>
      </c>
      <c r="B350">
        <f>Main!$B$20/A350</f>
        <v>1.2224938875305753</v>
      </c>
      <c r="D350" s="132">
        <f t="shared" si="41"/>
        <v>1.2224938875305753</v>
      </c>
      <c r="E350" s="132">
        <f>-B350*Main!$B$19-2*Main!$B$19*loop_gain!$B$17*loop_gain!$B$18</f>
        <v>-90.269926650366912</v>
      </c>
      <c r="F350" s="132">
        <f>2*Main!$B$19*loop_gain!$B$17*loop_gain!$B$18*Helper_calcs!$B$26*Current_limit!B350</f>
        <v>355.81907090464932</v>
      </c>
      <c r="G350" s="132">
        <f t="shared" si="43"/>
        <v>4.1781347124546482</v>
      </c>
      <c r="H350" s="132">
        <f>(Main!$B$19-Current_limit!G350)*Current_limit!G350/(Main!$B$19*loop_gain!$B$17*loop_gain!$B$18)</f>
        <v>0.864571610424267</v>
      </c>
      <c r="I350" s="132">
        <f t="shared" si="44"/>
        <v>2.9854283895757323</v>
      </c>
      <c r="J350" s="132"/>
      <c r="K350" s="133">
        <f>IF(A350&gt;$B$15,IF(I350&gt;Helper_calcs!$B$27,23,3),0)</f>
        <v>23</v>
      </c>
      <c r="L350">
        <f t="shared" si="42"/>
        <v>2</v>
      </c>
      <c r="M350">
        <f t="shared" si="45"/>
        <v>2</v>
      </c>
      <c r="N350" s="132">
        <f t="shared" si="46"/>
        <v>3.375</v>
      </c>
      <c r="O350" s="132">
        <f t="shared" si="47"/>
        <v>4.1259168704156917</v>
      </c>
      <c r="P350" s="134">
        <f>IF(OR(M350=0,M350=3),loop_gain!$B$18,IF(Current_limit!M350=1,Current_limit!$B$12/(2*(Current_limit!N350-Helper_calcs!$B$27)),IF(OR(M350=2,M350=23),(Main!$B$19-Current_limit!O350)*Current_limit!O350/(Main!$B$19*loop_gain!$B$17*(Helper_calcs!$B$26-Helper_calcs!$B$27)),x)))</f>
        <v>1899872.071544297</v>
      </c>
      <c r="Q350" s="132"/>
    </row>
    <row r="351" spans="1:17" x14ac:dyDescent="0.3">
      <c r="A351">
        <f t="shared" si="40"/>
        <v>4.0999999999999561</v>
      </c>
      <c r="B351">
        <f>Main!$B$20/A351</f>
        <v>1.2195121951219643</v>
      </c>
      <c r="D351" s="132">
        <f t="shared" si="41"/>
        <v>1.2195121951219643</v>
      </c>
      <c r="E351" s="132">
        <f>-B351*Main!$B$19-2*Main!$B$19*loop_gain!$B$17*loop_gain!$B$18</f>
        <v>-90.234146341463585</v>
      </c>
      <c r="F351" s="132">
        <f>2*Main!$B$19*loop_gain!$B$17*loop_gain!$B$18*Helper_calcs!$B$26*Current_limit!B351</f>
        <v>354.95121951219897</v>
      </c>
      <c r="G351" s="132">
        <f t="shared" si="43"/>
        <v>4.1685112748477646</v>
      </c>
      <c r="H351" s="132">
        <f>(Main!$B$19-Current_limit!G351)*Current_limit!G351/(Main!$B$19*loop_gain!$B$17*loop_gain!$B$18)</f>
        <v>0.8636415092497417</v>
      </c>
      <c r="I351" s="132">
        <f t="shared" si="44"/>
        <v>2.9863584907502596</v>
      </c>
      <c r="J351" s="132"/>
      <c r="K351" s="133">
        <f>IF(A351&gt;$B$15,IF(I351&gt;Helper_calcs!$B$27,23,3),0)</f>
        <v>23</v>
      </c>
      <c r="L351">
        <f t="shared" si="42"/>
        <v>2</v>
      </c>
      <c r="M351">
        <f t="shared" si="45"/>
        <v>2</v>
      </c>
      <c r="N351" s="132">
        <f t="shared" si="46"/>
        <v>3.375</v>
      </c>
      <c r="O351" s="132">
        <f t="shared" si="47"/>
        <v>4.1158536585366292</v>
      </c>
      <c r="P351" s="134">
        <f>IF(OR(M351=0,M351=3),loop_gain!$B$18,IF(Current_limit!M351=1,Current_limit!$B$12/(2*(Current_limit!N351-Helper_calcs!$B$27)),IF(OR(M351=2,M351=23),(Main!$B$19-Current_limit!O351)*Current_limit!O351/(Main!$B$19*loop_gain!$B$17*(Helper_calcs!$B$26-Helper_calcs!$B$27)),x)))</f>
        <v>1897660.3838567364</v>
      </c>
      <c r="Q351" s="132"/>
    </row>
    <row r="352" spans="1:17" x14ac:dyDescent="0.3">
      <c r="A352">
        <f t="shared" si="40"/>
        <v>4.1099999999999559</v>
      </c>
      <c r="B352">
        <f>Main!$B$20/A352</f>
        <v>1.2165450121654631</v>
      </c>
      <c r="D352" s="132">
        <f t="shared" si="41"/>
        <v>1.2165450121654631</v>
      </c>
      <c r="E352" s="132">
        <f>-B352*Main!$B$19-2*Main!$B$19*loop_gain!$B$17*loop_gain!$B$18</f>
        <v>-90.198540145985561</v>
      </c>
      <c r="F352" s="132">
        <f>2*Main!$B$19*loop_gain!$B$17*loop_gain!$B$18*Helper_calcs!$B$26*Current_limit!B352</f>
        <v>354.08759124087976</v>
      </c>
      <c r="G352" s="132">
        <f t="shared" si="43"/>
        <v>4.1589348608776904</v>
      </c>
      <c r="H352" s="132">
        <f>(Main!$B$19-Current_limit!G352)*Current_limit!G352/(Main!$B$19*loop_gain!$B$17*loop_gain!$B$18)</f>
        <v>0.86271108871715729</v>
      </c>
      <c r="I352" s="132">
        <f t="shared" si="44"/>
        <v>2.9872889112828465</v>
      </c>
      <c r="J352" s="132"/>
      <c r="K352" s="133">
        <f>IF(A352&gt;$B$15,IF(I352&gt;Helper_calcs!$B$27,23,3),0)</f>
        <v>23</v>
      </c>
      <c r="L352">
        <f t="shared" si="42"/>
        <v>2</v>
      </c>
      <c r="M352">
        <f t="shared" si="45"/>
        <v>2</v>
      </c>
      <c r="N352" s="132">
        <f t="shared" si="46"/>
        <v>3.375</v>
      </c>
      <c r="O352" s="132">
        <f t="shared" si="47"/>
        <v>4.1058394160584379</v>
      </c>
      <c r="P352" s="134">
        <f>IF(OR(M352=0,M352=3),loop_gain!$B$18,IF(Current_limit!M352=1,Current_limit!$B$12/(2*(Current_limit!N352-Helper_calcs!$B$27)),IF(OR(M352=2,M352=23),(Main!$B$19-Current_limit!O352)*Current_limit!O352/(Main!$B$19*loop_gain!$B$17*(Helper_calcs!$B$26-Helper_calcs!$B$27)),x)))</f>
        <v>1895447.7007159155</v>
      </c>
      <c r="Q352" s="132"/>
    </row>
    <row r="353" spans="1:17" x14ac:dyDescent="0.3">
      <c r="A353">
        <f t="shared" ref="A353:A416" si="48">A352+0.01</f>
        <v>4.1199999999999557</v>
      </c>
      <c r="B353">
        <f>Main!$B$20/A353</f>
        <v>1.2135922330097217</v>
      </c>
      <c r="D353" s="132">
        <f t="shared" si="41"/>
        <v>1.2135922330097217</v>
      </c>
      <c r="E353" s="132">
        <f>-B353*Main!$B$19-2*Main!$B$19*loop_gain!$B$17*loop_gain!$B$18</f>
        <v>-90.163106796116665</v>
      </c>
      <c r="F353" s="132">
        <f>2*Main!$B$19*loop_gain!$B$17*loop_gain!$B$18*Helper_calcs!$B$26*Current_limit!B353</f>
        <v>353.22815533980969</v>
      </c>
      <c r="G353" s="132">
        <f t="shared" si="43"/>
        <v>4.1494051064014688</v>
      </c>
      <c r="H353" s="132">
        <f>(Main!$B$19-Current_limit!G353)*Current_limit!G353/(Main!$B$19*loop_gain!$B$17*loop_gain!$B$18)</f>
        <v>0.8617803846504507</v>
      </c>
      <c r="I353" s="132">
        <f t="shared" si="44"/>
        <v>2.9882196153495482</v>
      </c>
      <c r="J353" s="132"/>
      <c r="K353" s="133">
        <f>IF(A353&gt;$B$15,IF(I353&gt;Helper_calcs!$B$27,23,3),0)</f>
        <v>23</v>
      </c>
      <c r="L353">
        <f t="shared" si="42"/>
        <v>2</v>
      </c>
      <c r="M353">
        <f t="shared" si="45"/>
        <v>2</v>
      </c>
      <c r="N353" s="132">
        <f t="shared" si="46"/>
        <v>3.375</v>
      </c>
      <c r="O353" s="132">
        <f t="shared" si="47"/>
        <v>4.095873786407811</v>
      </c>
      <c r="P353" s="134">
        <f>IF(OR(M353=0,M353=3),loop_gain!$B$18,IF(Current_limit!M353=1,Current_limit!$B$12/(2*(Current_limit!N353-Helper_calcs!$B$27)),IF(OR(M353=2,M353=23),(Main!$B$19-Current_limit!O353)*Current_limit!O353/(Main!$B$19*loop_gain!$B$17*(Helper_calcs!$B$26-Helper_calcs!$B$27)),x)))</f>
        <v>1893234.1147784251</v>
      </c>
      <c r="Q353" s="132"/>
    </row>
    <row r="354" spans="1:17" x14ac:dyDescent="0.3">
      <c r="A354">
        <f t="shared" si="48"/>
        <v>4.1299999999999555</v>
      </c>
      <c r="B354">
        <f>Main!$B$20/A354</f>
        <v>1.2106537530266475</v>
      </c>
      <c r="D354" s="132">
        <f t="shared" si="41"/>
        <v>1.2106537530266475</v>
      </c>
      <c r="E354" s="132">
        <f>-B354*Main!$B$19-2*Main!$B$19*loop_gain!$B$17*loop_gain!$B$18</f>
        <v>-90.127845036319783</v>
      </c>
      <c r="F354" s="132">
        <f>2*Main!$B$19*loop_gain!$B$17*loop_gain!$B$18*Helper_calcs!$B$26*Current_limit!B354</f>
        <v>352.3728813559361</v>
      </c>
      <c r="G354" s="132">
        <f t="shared" si="43"/>
        <v>4.1399216512227106</v>
      </c>
      <c r="H354" s="132">
        <f>(Main!$B$19-Current_limit!G354)*Current_limit!G354/(Main!$B$19*loop_gain!$B$17*loop_gain!$B$18)</f>
        <v>0.86084943218015741</v>
      </c>
      <c r="I354" s="132">
        <f t="shared" si="44"/>
        <v>2.9891505678198431</v>
      </c>
      <c r="J354" s="132"/>
      <c r="K354" s="133">
        <f>IF(A354&gt;$B$15,IF(I354&gt;Helper_calcs!$B$27,23,3),0)</f>
        <v>23</v>
      </c>
      <c r="L354">
        <f t="shared" si="42"/>
        <v>2</v>
      </c>
      <c r="M354">
        <f t="shared" si="45"/>
        <v>2</v>
      </c>
      <c r="N354" s="132">
        <f t="shared" si="46"/>
        <v>3.375</v>
      </c>
      <c r="O354" s="132">
        <f t="shared" si="47"/>
        <v>4.0859564164649349</v>
      </c>
      <c r="P354" s="134">
        <f>IF(OR(M354=0,M354=3),loop_gain!$B$18,IF(Current_limit!M354=1,Current_limit!$B$12/(2*(Current_limit!N354-Helper_calcs!$B$27)),IF(OR(M354=2,M354=23),(Main!$B$19-Current_limit!O354)*Current_limit!O354/(Main!$B$19*loop_gain!$B$17*(Helper_calcs!$B$26-Helper_calcs!$B$27)),x)))</f>
        <v>1891019.7169782596</v>
      </c>
      <c r="Q354" s="132"/>
    </row>
    <row r="355" spans="1:17" x14ac:dyDescent="0.3">
      <c r="A355">
        <f t="shared" si="48"/>
        <v>4.1399999999999553</v>
      </c>
      <c r="B355">
        <f>Main!$B$20/A355</f>
        <v>1.207729468599047</v>
      </c>
      <c r="D355" s="132">
        <f t="shared" si="41"/>
        <v>1.207729468599047</v>
      </c>
      <c r="E355" s="132">
        <f>-B355*Main!$B$19-2*Main!$B$19*loop_gain!$B$17*loop_gain!$B$18</f>
        <v>-90.092753623188571</v>
      </c>
      <c r="F355" s="132">
        <f>2*Main!$B$19*loop_gain!$B$17*loop_gain!$B$18*Helper_calcs!$B$26*Current_limit!B355</f>
        <v>351.52173913043868</v>
      </c>
      <c r="G355" s="132">
        <f t="shared" si="43"/>
        <v>4.1304841390358504</v>
      </c>
      <c r="H355" s="132">
        <f>(Main!$B$19-Current_limit!G355)*Current_limit!G355/(Main!$B$19*loop_gain!$B$17*loop_gain!$B$18)</f>
        <v>0.85991826575670549</v>
      </c>
      <c r="I355" s="132">
        <f t="shared" si="44"/>
        <v>2.9900817342432946</v>
      </c>
      <c r="J355" s="132"/>
      <c r="K355" s="133">
        <f>IF(A355&gt;$B$15,IF(I355&gt;Helper_calcs!$B$27,23,3),0)</f>
        <v>23</v>
      </c>
      <c r="L355">
        <f t="shared" si="42"/>
        <v>2</v>
      </c>
      <c r="M355">
        <f t="shared" si="45"/>
        <v>2</v>
      </c>
      <c r="N355" s="132">
        <f t="shared" si="46"/>
        <v>3.375</v>
      </c>
      <c r="O355" s="132">
        <f t="shared" si="47"/>
        <v>4.0760869565217837</v>
      </c>
      <c r="P355" s="134">
        <f>IF(OR(M355=0,M355=3),loop_gain!$B$18,IF(Current_limit!M355=1,Current_limit!$B$12/(2*(Current_limit!N355-Helper_calcs!$B$27)),IF(OR(M355=2,M355=23),(Main!$B$19-Current_limit!O355)*Current_limit!O355/(Main!$B$19*loop_gain!$B$17*(Helper_calcs!$B$26-Helper_calcs!$B$27)),x)))</f>
        <v>1888804.5965575664</v>
      </c>
      <c r="Q355" s="132"/>
    </row>
    <row r="356" spans="1:17" x14ac:dyDescent="0.3">
      <c r="A356">
        <f t="shared" si="48"/>
        <v>4.1499999999999551</v>
      </c>
      <c r="B356">
        <f>Main!$B$20/A356</f>
        <v>1.2048192771084467</v>
      </c>
      <c r="D356" s="132">
        <f t="shared" si="41"/>
        <v>1.2048192771084467</v>
      </c>
      <c r="E356" s="132">
        <f>-B356*Main!$B$19-2*Main!$B$19*loop_gain!$B$17*loop_gain!$B$18</f>
        <v>-90.057831325301365</v>
      </c>
      <c r="F356" s="132">
        <f>2*Main!$B$19*loop_gain!$B$17*loop_gain!$B$18*Helper_calcs!$B$26*Current_limit!B356</f>
        <v>350.67469879518455</v>
      </c>
      <c r="G356" s="132">
        <f t="shared" si="43"/>
        <v>4.1210922173714692</v>
      </c>
      <c r="H356" s="132">
        <f>(Main!$B$19-Current_limit!G356)*Current_limit!G356/(Main!$B$19*loop_gain!$B$17*loop_gain!$B$18)</f>
        <v>0.85898691916343739</v>
      </c>
      <c r="I356" s="132">
        <f t="shared" si="44"/>
        <v>2.9910130808365638</v>
      </c>
      <c r="J356" s="132"/>
      <c r="K356" s="133">
        <f>IF(A356&gt;$B$15,IF(I356&gt;Helper_calcs!$B$27,23,3),0)</f>
        <v>23</v>
      </c>
      <c r="L356">
        <f t="shared" si="42"/>
        <v>2</v>
      </c>
      <c r="M356">
        <f t="shared" si="45"/>
        <v>2</v>
      </c>
      <c r="N356" s="132">
        <f t="shared" si="46"/>
        <v>3.375</v>
      </c>
      <c r="O356" s="132">
        <f t="shared" si="47"/>
        <v>4.0662650602410073</v>
      </c>
      <c r="P356" s="134">
        <f>IF(OR(M356=0,M356=3),loop_gain!$B$18,IF(Current_limit!M356=1,Current_limit!$B$12/(2*(Current_limit!N356-Helper_calcs!$B$27)),IF(OR(M356=2,M356=23),(Main!$B$19-Current_limit!O356)*Current_limit!O356/(Main!$B$19*loop_gain!$B$17*(Helper_calcs!$B$26-Helper_calcs!$B$27)),x)))</f>
        <v>1886588.8410968001</v>
      </c>
      <c r="Q356" s="132"/>
    </row>
    <row r="357" spans="1:17" x14ac:dyDescent="0.3">
      <c r="A357">
        <f t="shared" si="48"/>
        <v>4.1599999999999548</v>
      </c>
      <c r="B357">
        <f>Main!$B$20/A357</f>
        <v>1.20192307692309</v>
      </c>
      <c r="D357" s="132">
        <f t="shared" si="41"/>
        <v>1.20192307692309</v>
      </c>
      <c r="E357" s="132">
        <f>-B357*Main!$B$19-2*Main!$B$19*loop_gain!$B$17*loop_gain!$B$18</f>
        <v>-90.023076923077085</v>
      </c>
      <c r="F357" s="132">
        <f>2*Main!$B$19*loop_gain!$B$17*loop_gain!$B$18*Helper_calcs!$B$26*Current_limit!B357</f>
        <v>349.83173076923464</v>
      </c>
      <c r="G357" s="132">
        <f t="shared" si="43"/>
        <v>4.1117455375425029</v>
      </c>
      <c r="H357" s="132">
        <f>(Main!$B$19-Current_limit!G357)*Current_limit!G357/(Main!$B$19*loop_gain!$B$17*loop_gain!$B$18)</f>
        <v>0.85805542552934766</v>
      </c>
      <c r="I357" s="132">
        <f t="shared" si="44"/>
        <v>2.9919445744706512</v>
      </c>
      <c r="J357" s="132"/>
      <c r="K357" s="133">
        <f>IF(A357&gt;$B$15,IF(I357&gt;Helper_calcs!$B$27,23,3),0)</f>
        <v>23</v>
      </c>
      <c r="L357">
        <f t="shared" si="42"/>
        <v>2</v>
      </c>
      <c r="M357">
        <f t="shared" si="45"/>
        <v>2</v>
      </c>
      <c r="N357" s="132">
        <f t="shared" si="46"/>
        <v>3.375</v>
      </c>
      <c r="O357" s="132">
        <f t="shared" si="47"/>
        <v>4.0564903846154285</v>
      </c>
      <c r="P357" s="134">
        <f>IF(OR(M357=0,M357=3),loop_gain!$B$18,IF(Current_limit!M357=1,Current_limit!$B$12/(2*(Current_limit!N357-Helper_calcs!$B$27)),IF(OR(M357=2,M357=23),(Main!$B$19-Current_limit!O357)*Current_limit!O357/(Main!$B$19*loop_gain!$B$17*(Helper_calcs!$B$26-Helper_calcs!$B$27)),x)))</f>
        <v>1884372.5365443106</v>
      </c>
      <c r="Q357" s="132"/>
    </row>
    <row r="358" spans="1:17" x14ac:dyDescent="0.3">
      <c r="A358">
        <f t="shared" si="48"/>
        <v>4.1699999999999546</v>
      </c>
      <c r="B358">
        <f>Main!$B$20/A358</f>
        <v>1.1990407673861041</v>
      </c>
      <c r="D358" s="132">
        <f t="shared" si="41"/>
        <v>1.1990407673861041</v>
      </c>
      <c r="E358" s="132">
        <f>-B358*Main!$B$19-2*Main!$B$19*loop_gain!$B$17*loop_gain!$B$18</f>
        <v>-89.988489208633254</v>
      </c>
      <c r="F358" s="132">
        <f>2*Main!$B$19*loop_gain!$B$17*loop_gain!$B$18*Helper_calcs!$B$26*Current_limit!B358</f>
        <v>348.99280575539956</v>
      </c>
      <c r="G358" s="132">
        <f t="shared" si="43"/>
        <v>4.1024437545914356</v>
      </c>
      <c r="H358" s="132">
        <f>(Main!$B$19-Current_limit!G358)*Current_limit!G358/(Main!$B$19*loop_gain!$B$17*loop_gain!$B$18)</f>
        <v>0.85712381734155951</v>
      </c>
      <c r="I358" s="132">
        <f t="shared" si="44"/>
        <v>2.9928761826584407</v>
      </c>
      <c r="J358" s="132"/>
      <c r="K358" s="133">
        <f>IF(A358&gt;$B$15,IF(I358&gt;Helper_calcs!$B$27,23,3),0)</f>
        <v>23</v>
      </c>
      <c r="L358">
        <f t="shared" si="42"/>
        <v>2</v>
      </c>
      <c r="M358">
        <f t="shared" si="45"/>
        <v>2</v>
      </c>
      <c r="N358" s="132">
        <f t="shared" si="46"/>
        <v>3.375</v>
      </c>
      <c r="O358" s="132">
        <f t="shared" si="47"/>
        <v>4.0467625899281012</v>
      </c>
      <c r="P358" s="134">
        <f>IF(OR(M358=0,M358=3),loop_gain!$B$18,IF(Current_limit!M358=1,Current_limit!$B$12/(2*(Current_limit!N358-Helper_calcs!$B$27)),IF(OR(M358=2,M358=23),(Main!$B$19-Current_limit!O358)*Current_limit!O358/(Main!$B$19*loop_gain!$B$17*(Helper_calcs!$B$26-Helper_calcs!$B$27)),x)))</f>
        <v>1882155.7672453579</v>
      </c>
      <c r="Q358" s="132"/>
    </row>
    <row r="359" spans="1:17" x14ac:dyDescent="0.3">
      <c r="A359">
        <f t="shared" si="48"/>
        <v>4.1799999999999544</v>
      </c>
      <c r="B359">
        <f>Main!$B$20/A359</f>
        <v>1.1961722488038409</v>
      </c>
      <c r="D359" s="132">
        <f t="shared" si="41"/>
        <v>1.1961722488038409</v>
      </c>
      <c r="E359" s="132">
        <f>-B359*Main!$B$19-2*Main!$B$19*loop_gain!$B$17*loop_gain!$B$18</f>
        <v>-89.954066985646094</v>
      </c>
      <c r="F359" s="132">
        <f>2*Main!$B$19*loop_gain!$B$17*loop_gain!$B$18*Helper_calcs!$B$26*Current_limit!B359</f>
        <v>348.157894736846</v>
      </c>
      <c r="G359" s="132">
        <f t="shared" si="43"/>
        <v>4.0931865272383616</v>
      </c>
      <c r="H359" s="132">
        <f>(Main!$B$19-Current_limit!G359)*Current_limit!G359/(Main!$B$19*loop_gain!$B$17*loop_gain!$B$18)</f>
        <v>0.85619212645753173</v>
      </c>
      <c r="I359" s="132">
        <f t="shared" si="44"/>
        <v>2.9938078735424671</v>
      </c>
      <c r="J359" s="132"/>
      <c r="K359" s="133">
        <f>IF(A359&gt;$B$15,IF(I359&gt;Helper_calcs!$B$27,23,3),0)</f>
        <v>23</v>
      </c>
      <c r="L359">
        <f t="shared" si="42"/>
        <v>2</v>
      </c>
      <c r="M359">
        <f t="shared" si="45"/>
        <v>2</v>
      </c>
      <c r="N359" s="132">
        <f t="shared" si="46"/>
        <v>3.375</v>
      </c>
      <c r="O359" s="132">
        <f t="shared" si="47"/>
        <v>4.0370813397129632</v>
      </c>
      <c r="P359" s="134">
        <f>IF(OR(M359=0,M359=3),loop_gain!$B$18,IF(Current_limit!M359=1,Current_limit!$B$12/(2*(Current_limit!N359-Helper_calcs!$B$27)),IF(OR(M359=2,M359=23),(Main!$B$19-Current_limit!O359)*Current_limit!O359/(Main!$B$19*loop_gain!$B$17*(Helper_calcs!$B$26-Helper_calcs!$B$27)),x)))</f>
        <v>1879938.6159705813</v>
      </c>
      <c r="Q359" s="132"/>
    </row>
    <row r="360" spans="1:17" x14ac:dyDescent="0.3">
      <c r="A360">
        <f t="shared" si="48"/>
        <v>4.1899999999999542</v>
      </c>
      <c r="B360">
        <f>Main!$B$20/A360</f>
        <v>1.1933174224343805</v>
      </c>
      <c r="D360" s="132">
        <f t="shared" si="41"/>
        <v>1.1933174224343805</v>
      </c>
      <c r="E360" s="132">
        <f>-B360*Main!$B$19-2*Main!$B$19*loop_gain!$B$17*loop_gain!$B$18</f>
        <v>-89.919809069212576</v>
      </c>
      <c r="F360" s="132">
        <f>2*Main!$B$19*loop_gain!$B$17*loop_gain!$B$18*Helper_calcs!$B$26*Current_limit!B360</f>
        <v>347.32696897375087</v>
      </c>
      <c r="G360" s="132">
        <f t="shared" si="43"/>
        <v>4.0839735178299854</v>
      </c>
      <c r="H360" s="132">
        <f>(Main!$B$19-Current_limit!G360)*Current_limit!G360/(Main!$B$19*loop_gain!$B$17*loop_gain!$B$18)</f>
        <v>0.85526038411701577</v>
      </c>
      <c r="I360" s="132">
        <f t="shared" si="44"/>
        <v>2.9947396158829824</v>
      </c>
      <c r="J360" s="132"/>
      <c r="K360" s="133">
        <f>IF(A360&gt;$B$15,IF(I360&gt;Helper_calcs!$B$27,23,3),0)</f>
        <v>23</v>
      </c>
      <c r="L360">
        <f t="shared" si="42"/>
        <v>2</v>
      </c>
      <c r="M360">
        <f t="shared" si="45"/>
        <v>2</v>
      </c>
      <c r="N360" s="132">
        <f t="shared" si="46"/>
        <v>3.375</v>
      </c>
      <c r="O360" s="132">
        <f t="shared" si="47"/>
        <v>4.0274463007160346</v>
      </c>
      <c r="P360" s="134">
        <f>IF(OR(M360=0,M360=3),loop_gain!$B$18,IF(Current_limit!M360=1,Current_limit!$B$12/(2*(Current_limit!N360-Helper_calcs!$B$27)),IF(OR(M360=2,M360=23),(Main!$B$19-Current_limit!O360)*Current_limit!O360/(Main!$B$19*loop_gain!$B$17*(Helper_calcs!$B$26-Helper_calcs!$B$27)),x)))</f>
        <v>1877721.1639439261</v>
      </c>
      <c r="Q360" s="132"/>
    </row>
    <row r="361" spans="1:17" x14ac:dyDescent="0.3">
      <c r="A361">
        <f t="shared" si="48"/>
        <v>4.199999999999954</v>
      </c>
      <c r="B361">
        <f>Main!$B$20/A361</f>
        <v>1.1904761904762036</v>
      </c>
      <c r="D361" s="132">
        <f t="shared" si="41"/>
        <v>1.1904761904762036</v>
      </c>
      <c r="E361" s="132">
        <f>-B361*Main!$B$19-2*Main!$B$19*loop_gain!$B$17*loop_gain!$B$18</f>
        <v>-89.885714285714457</v>
      </c>
      <c r="F361" s="132">
        <f>2*Main!$B$19*loop_gain!$B$17*loop_gain!$B$18*Helper_calcs!$B$26*Current_limit!B361</f>
        <v>346.50000000000387</v>
      </c>
      <c r="G361" s="132">
        <f t="shared" si="43"/>
        <v>4.0748043922894723</v>
      </c>
      <c r="H361" s="132">
        <f>(Main!$B$19-Current_limit!G361)*Current_limit!G361/(Main!$B$19*loop_gain!$B$17*loop_gain!$B$18)</f>
        <v>0.85432862095375894</v>
      </c>
      <c r="I361" s="132">
        <f t="shared" si="44"/>
        <v>2.9956713790462395</v>
      </c>
      <c r="J361" s="132"/>
      <c r="K361" s="133">
        <f>IF(A361&gt;$B$15,IF(I361&gt;Helper_calcs!$B$27,23,3),0)</f>
        <v>23</v>
      </c>
      <c r="L361">
        <f t="shared" si="42"/>
        <v>2</v>
      </c>
      <c r="M361">
        <f t="shared" si="45"/>
        <v>2</v>
      </c>
      <c r="N361" s="132">
        <f t="shared" si="46"/>
        <v>3.375</v>
      </c>
      <c r="O361" s="132">
        <f t="shared" si="47"/>
        <v>4.0178571428571868</v>
      </c>
      <c r="P361" s="134">
        <f>IF(OR(M361=0,M361=3),loop_gain!$B$18,IF(Current_limit!M361=1,Current_limit!$B$12/(2*(Current_limit!N361-Helper_calcs!$B$27)),IF(OR(M361=2,M361=23),(Main!$B$19-Current_limit!O361)*Current_limit!O361/(Main!$B$19*loop_gain!$B$17*(Helper_calcs!$B$26-Helper_calcs!$B$27)),x)))</f>
        <v>1875503.490870042</v>
      </c>
      <c r="Q361" s="132"/>
    </row>
    <row r="362" spans="1:17" x14ac:dyDescent="0.3">
      <c r="A362">
        <f t="shared" si="48"/>
        <v>4.2099999999999538</v>
      </c>
      <c r="B362">
        <f>Main!$B$20/A362</f>
        <v>1.1876484560570202</v>
      </c>
      <c r="D362" s="132">
        <f t="shared" si="41"/>
        <v>1.1876484560570202</v>
      </c>
      <c r="E362" s="132">
        <f>-B362*Main!$B$19-2*Main!$B$19*loop_gain!$B$17*loop_gain!$B$18</f>
        <v>-89.851781472684252</v>
      </c>
      <c r="F362" s="132">
        <f>2*Main!$B$19*loop_gain!$B$17*loop_gain!$B$18*Helper_calcs!$B$26*Current_limit!B362</f>
        <v>345.67695961995639</v>
      </c>
      <c r="G362" s="132">
        <f t="shared" si="43"/>
        <v>4.0656788200671707</v>
      </c>
      <c r="H362" s="132">
        <f>(Main!$B$19-Current_limit!G362)*Current_limit!G362/(Main!$B$19*loop_gain!$B$17*loop_gain!$B$18)</f>
        <v>0.85339686700696471</v>
      </c>
      <c r="I362" s="132">
        <f t="shared" si="44"/>
        <v>2.9966031329930378</v>
      </c>
      <c r="J362" s="132"/>
      <c r="K362" s="133">
        <f>IF(A362&gt;$B$15,IF(I362&gt;Helper_calcs!$B$27,23,3),0)</f>
        <v>23</v>
      </c>
      <c r="L362">
        <f t="shared" si="42"/>
        <v>2</v>
      </c>
      <c r="M362">
        <f t="shared" si="45"/>
        <v>2</v>
      </c>
      <c r="N362" s="132">
        <f t="shared" si="46"/>
        <v>3.375</v>
      </c>
      <c r="O362" s="132">
        <f t="shared" si="47"/>
        <v>4.0083135391924429</v>
      </c>
      <c r="P362" s="134">
        <f>IF(OR(M362=0,M362=3),loop_gain!$B$18,IF(Current_limit!M362=1,Current_limit!$B$12/(2*(Current_limit!N362-Helper_calcs!$B$27)),IF(OR(M362=2,M362=23),(Main!$B$19-Current_limit!O362)*Current_limit!O362/(Main!$B$19*loop_gain!$B$17*(Helper_calcs!$B$26-Helper_calcs!$B$27)),x)))</f>
        <v>1873285.6749611613</v>
      </c>
      <c r="Q362" s="132"/>
    </row>
    <row r="363" spans="1:17" x14ac:dyDescent="0.3">
      <c r="A363">
        <f t="shared" si="48"/>
        <v>4.2199999999999536</v>
      </c>
      <c r="B363">
        <f>Main!$B$20/A363</f>
        <v>1.1848341232227619</v>
      </c>
      <c r="D363" s="132">
        <f t="shared" si="41"/>
        <v>1.1848341232227619</v>
      </c>
      <c r="E363" s="132">
        <f>-B363*Main!$B$19-2*Main!$B$19*loop_gain!$B$17*loop_gain!$B$18</f>
        <v>-89.818009478673147</v>
      </c>
      <c r="F363" s="132">
        <f>2*Main!$B$19*loop_gain!$B$17*loop_gain!$B$18*Helper_calcs!$B$26*Current_limit!B363</f>
        <v>344.85781990521718</v>
      </c>
      <c r="G363" s="132">
        <f t="shared" si="43"/>
        <v>4.0565964740921618</v>
      </c>
      <c r="H363" s="132">
        <f>(Main!$B$19-Current_limit!G363)*Current_limit!G363/(Main!$B$19*loop_gain!$B$17*loop_gain!$B$18)</f>
        <v>0.85246515173251269</v>
      </c>
      <c r="I363" s="132">
        <f t="shared" si="44"/>
        <v>2.9975348482674904</v>
      </c>
      <c r="J363" s="132"/>
      <c r="K363" s="133">
        <f>IF(A363&gt;$B$15,IF(I363&gt;Helper_calcs!$B$27,23,3),0)</f>
        <v>23</v>
      </c>
      <c r="L363">
        <f t="shared" si="42"/>
        <v>2</v>
      </c>
      <c r="M363">
        <f t="shared" si="45"/>
        <v>2</v>
      </c>
      <c r="N363" s="132">
        <f t="shared" si="46"/>
        <v>3.375</v>
      </c>
      <c r="O363" s="132">
        <f t="shared" si="47"/>
        <v>3.9988151658768216</v>
      </c>
      <c r="P363" s="134">
        <f>IF(OR(M363=0,M363=3),loop_gain!$B$18,IF(Current_limit!M363=1,Current_limit!$B$12/(2*(Current_limit!N363-Helper_calcs!$B$27)),IF(OR(M363=2,M363=23),(Main!$B$19-Current_limit!O363)*Current_limit!O363/(Main!$B$19*loop_gain!$B$17*(Helper_calcs!$B$26-Helper_calcs!$B$27)),x)))</f>
        <v>1871067.7929634727</v>
      </c>
      <c r="Q363" s="132"/>
    </row>
    <row r="364" spans="1:17" x14ac:dyDescent="0.3">
      <c r="A364">
        <f t="shared" si="48"/>
        <v>4.2299999999999534</v>
      </c>
      <c r="B364">
        <f>Main!$B$20/A364</f>
        <v>1.182033096926727</v>
      </c>
      <c r="D364" s="132">
        <f t="shared" si="41"/>
        <v>1.182033096926727</v>
      </c>
      <c r="E364" s="132">
        <f>-B364*Main!$B$19-2*Main!$B$19*loop_gain!$B$17*loop_gain!$B$18</f>
        <v>-89.78439716312073</v>
      </c>
      <c r="F364" s="132">
        <f>2*Main!$B$19*loop_gain!$B$17*loop_gain!$B$18*Helper_calcs!$B$26*Current_limit!B364</f>
        <v>344.0425531914932</v>
      </c>
      <c r="G364" s="132">
        <f t="shared" si="43"/>
        <v>4.0475570307246587</v>
      </c>
      <c r="H364" s="132">
        <f>(Main!$B$19-Current_limit!G364)*Current_limit!G364/(Main!$B$19*loop_gain!$B$17*loop_gain!$B$18)</f>
        <v>0.85153350401394945</v>
      </c>
      <c r="I364" s="132">
        <f t="shared" si="44"/>
        <v>2.9984664959860488</v>
      </c>
      <c r="J364" s="132"/>
      <c r="K364" s="133">
        <f>IF(A364&gt;$B$15,IF(I364&gt;Helper_calcs!$B$27,23,3),0)</f>
        <v>23</v>
      </c>
      <c r="L364">
        <f t="shared" si="42"/>
        <v>2</v>
      </c>
      <c r="M364">
        <f t="shared" si="45"/>
        <v>2</v>
      </c>
      <c r="N364" s="132">
        <f t="shared" si="46"/>
        <v>3.375</v>
      </c>
      <c r="O364" s="132">
        <f t="shared" si="47"/>
        <v>3.9893617021277037</v>
      </c>
      <c r="P364" s="134">
        <f>IF(OR(M364=0,M364=3),loop_gain!$B$18,IF(Current_limit!M364=1,Current_limit!$B$12/(2*(Current_limit!N364-Helper_calcs!$B$27)),IF(OR(M364=2,M364=23),(Main!$B$19-Current_limit!O364)*Current_limit!O364/(Main!$B$19*loop_gain!$B$17*(Helper_calcs!$B$26-Helper_calcs!$B$27)),x)))</f>
        <v>1868849.9201829934</v>
      </c>
      <c r="Q364" s="132"/>
    </row>
    <row r="365" spans="1:17" x14ac:dyDescent="0.3">
      <c r="A365">
        <f t="shared" si="48"/>
        <v>4.2399999999999531</v>
      </c>
      <c r="B365">
        <f>Main!$B$20/A365</f>
        <v>1.1792452830188809</v>
      </c>
      <c r="D365" s="132">
        <f t="shared" si="41"/>
        <v>1.1792452830188809</v>
      </c>
      <c r="E365" s="132">
        <f>-B365*Main!$B$19-2*Main!$B$19*loop_gain!$B$17*loop_gain!$B$18</f>
        <v>-89.750943396226575</v>
      </c>
      <c r="F365" s="132">
        <f>2*Main!$B$19*loop_gain!$B$17*loop_gain!$B$18*Helper_calcs!$B$26*Current_limit!B365</f>
        <v>343.23113207547556</v>
      </c>
      <c r="G365" s="132">
        <f t="shared" si="43"/>
        <v>4.0385601697092159</v>
      </c>
      <c r="H365" s="132">
        <f>(Main!$B$19-Current_limit!G365)*Current_limit!G365/(Main!$B$19*loop_gain!$B$17*loop_gain!$B$18)</f>
        <v>0.85060195217325008</v>
      </c>
      <c r="I365" s="132">
        <f t="shared" si="44"/>
        <v>2.9993980478267526</v>
      </c>
      <c r="J365" s="132"/>
      <c r="K365" s="133">
        <f>IF(A365&gt;$B$15,IF(I365&gt;Helper_calcs!$B$27,23,3),0)</f>
        <v>23</v>
      </c>
      <c r="L365">
        <f t="shared" si="42"/>
        <v>2</v>
      </c>
      <c r="M365">
        <f t="shared" si="45"/>
        <v>2</v>
      </c>
      <c r="N365" s="132">
        <f t="shared" si="46"/>
        <v>3.375</v>
      </c>
      <c r="O365" s="132">
        <f t="shared" si="47"/>
        <v>3.979952830188723</v>
      </c>
      <c r="P365" s="134">
        <f>IF(OR(M365=0,M365=3),loop_gain!$B$18,IF(Current_limit!M365=1,Current_limit!$B$12/(2*(Current_limit!N365-Helper_calcs!$B$27)),IF(OR(M365=2,M365=23),(Main!$B$19-Current_limit!O365)*Current_limit!O365/(Main!$B$19*loop_gain!$B$17*(Helper_calcs!$B$26-Helper_calcs!$B$27)),x)))</f>
        <v>1866632.1305109619</v>
      </c>
      <c r="Q365" s="132"/>
    </row>
    <row r="366" spans="1:17" x14ac:dyDescent="0.3">
      <c r="A366">
        <f t="shared" si="48"/>
        <v>4.2499999999999529</v>
      </c>
      <c r="B366">
        <f>Main!$B$20/A366</f>
        <v>1.1764705882353073</v>
      </c>
      <c r="D366" s="132">
        <f t="shared" si="41"/>
        <v>1.1764705882353073</v>
      </c>
      <c r="E366" s="132">
        <f>-B366*Main!$B$19-2*Main!$B$19*loop_gain!$B$17*loop_gain!$B$18</f>
        <v>-89.717647058823701</v>
      </c>
      <c r="F366" s="132">
        <f>2*Main!$B$19*loop_gain!$B$17*loop_gain!$B$18*Helper_calcs!$B$26*Current_limit!B366</f>
        <v>342.42352941176858</v>
      </c>
      <c r="G366" s="132">
        <f t="shared" si="43"/>
        <v>4.029605574128662</v>
      </c>
      <c r="H366" s="132">
        <f>(Main!$B$19-Current_limit!G366)*Current_limit!G366/(Main!$B$19*loop_gain!$B$17*loop_gain!$B$18)</f>
        <v>0.84967052398135334</v>
      </c>
      <c r="I366" s="132">
        <f t="shared" si="44"/>
        <v>3.0003294760186479</v>
      </c>
      <c r="J366" s="132"/>
      <c r="K366" s="133">
        <f>IF(A366&gt;$B$15,IF(I366&gt;Helper_calcs!$B$27,23,3),0)</f>
        <v>23</v>
      </c>
      <c r="L366">
        <f t="shared" si="42"/>
        <v>2</v>
      </c>
      <c r="M366">
        <f t="shared" si="45"/>
        <v>2</v>
      </c>
      <c r="N366" s="132">
        <f t="shared" si="46"/>
        <v>3.375</v>
      </c>
      <c r="O366" s="132">
        <f t="shared" si="47"/>
        <v>3.9705882352941622</v>
      </c>
      <c r="P366" s="134">
        <f>IF(OR(M366=0,M366=3),loop_gain!$B$18,IF(Current_limit!M366=1,Current_limit!$B$12/(2*(Current_limit!N366-Helper_calcs!$B$27)),IF(OR(M366=2,M366=23),(Main!$B$19-Current_limit!O366)*Current_limit!O366/(Main!$B$19*loop_gain!$B$17*(Helper_calcs!$B$26-Helper_calcs!$B$27)),x)))</f>
        <v>1864414.4964487446</v>
      </c>
      <c r="Q366" s="132"/>
    </row>
    <row r="367" spans="1:17" x14ac:dyDescent="0.3">
      <c r="A367">
        <f t="shared" si="48"/>
        <v>4.2599999999999527</v>
      </c>
      <c r="B367">
        <f>Main!$B$20/A367</f>
        <v>1.1737089201878064</v>
      </c>
      <c r="D367" s="132">
        <f t="shared" si="41"/>
        <v>1.1737089201878064</v>
      </c>
      <c r="E367" s="132">
        <f>-B367*Main!$B$19-2*Main!$B$19*loop_gain!$B$17*loop_gain!$B$18</f>
        <v>-89.684507042253685</v>
      </c>
      <c r="F367" s="132">
        <f>2*Main!$B$19*loop_gain!$B$17*loop_gain!$B$18*Helper_calcs!$B$26*Current_limit!B367</f>
        <v>341.619718309863</v>
      </c>
      <c r="G367" s="132">
        <f t="shared" si="43"/>
        <v>4.0206929303589121</v>
      </c>
      <c r="H367" s="132">
        <f>(Main!$B$19-Current_limit!G367)*Current_limit!G367/(Main!$B$19*loop_gain!$B$17*loop_gain!$B$18)</f>
        <v>0.84873924666848699</v>
      </c>
      <c r="I367" s="132">
        <f t="shared" si="44"/>
        <v>3.0012607533315121</v>
      </c>
      <c r="J367" s="132"/>
      <c r="K367" s="133">
        <f>IF(A367&gt;$B$15,IF(I367&gt;Helper_calcs!$B$27,23,3),0)</f>
        <v>23</v>
      </c>
      <c r="L367">
        <f t="shared" si="42"/>
        <v>2</v>
      </c>
      <c r="M367">
        <f t="shared" si="45"/>
        <v>2</v>
      </c>
      <c r="N367" s="132">
        <f t="shared" si="46"/>
        <v>3.375</v>
      </c>
      <c r="O367" s="132">
        <f t="shared" si="47"/>
        <v>3.9612676056338465</v>
      </c>
      <c r="P367" s="134">
        <f>IF(OR(M367=0,M367=3),loop_gain!$B$18,IF(Current_limit!M367=1,Current_limit!$B$12/(2*(Current_limit!N367-Helper_calcs!$B$27)),IF(OR(M367=2,M367=23),(Main!$B$19-Current_limit!O367)*Current_limit!O367/(Main!$B$19*loop_gain!$B$17*(Helper_calcs!$B$26-Helper_calcs!$B$27)),x)))</f>
        <v>1862197.0891322833</v>
      </c>
      <c r="Q367" s="132"/>
    </row>
    <row r="368" spans="1:17" x14ac:dyDescent="0.3">
      <c r="A368">
        <f t="shared" si="48"/>
        <v>4.2699999999999525</v>
      </c>
      <c r="B368">
        <f>Main!$B$20/A368</f>
        <v>1.170960187353643</v>
      </c>
      <c r="D368" s="132">
        <f t="shared" si="41"/>
        <v>1.170960187353643</v>
      </c>
      <c r="E368" s="132">
        <f>-B368*Main!$B$19-2*Main!$B$19*loop_gain!$B$17*loop_gain!$B$18</f>
        <v>-89.651522248243722</v>
      </c>
      <c r="F368" s="132">
        <f>2*Main!$B$19*loop_gain!$B$17*loop_gain!$B$18*Helper_calcs!$B$26*Current_limit!B368</f>
        <v>340.81967213115144</v>
      </c>
      <c r="G368" s="132">
        <f t="shared" si="43"/>
        <v>4.0118219280244727</v>
      </c>
      <c r="H368" s="132">
        <f>(Main!$B$19-Current_limit!G368)*Current_limit!G368/(Main!$B$19*loop_gain!$B$17*loop_gain!$B$18)</f>
        <v>0.84780814693427697</v>
      </c>
      <c r="I368" s="132">
        <f t="shared" si="44"/>
        <v>3.0021918530657228</v>
      </c>
      <c r="J368" s="132"/>
      <c r="K368" s="133">
        <f>IF(A368&gt;$B$15,IF(I368&gt;Helper_calcs!$B$27,23,3),0)</f>
        <v>23</v>
      </c>
      <c r="L368">
        <f t="shared" si="42"/>
        <v>2</v>
      </c>
      <c r="M368">
        <f t="shared" si="45"/>
        <v>2</v>
      </c>
      <c r="N368" s="132">
        <f t="shared" si="46"/>
        <v>3.375</v>
      </c>
      <c r="O368" s="132">
        <f t="shared" si="47"/>
        <v>3.9519906323185454</v>
      </c>
      <c r="P368" s="134">
        <f>IF(OR(M368=0,M368=3),loop_gain!$B$18,IF(Current_limit!M368=1,Current_limit!$B$12/(2*(Current_limit!N368-Helper_calcs!$B$27)),IF(OR(M368=2,M368=23),(Main!$B$19-Current_limit!O368)*Current_limit!O368/(Main!$B$19*loop_gain!$B$17*(Helper_calcs!$B$26-Helper_calcs!$B$27)),x)))</f>
        <v>1859979.9783560822</v>
      </c>
      <c r="Q368" s="132"/>
    </row>
    <row r="369" spans="1:17" x14ac:dyDescent="0.3">
      <c r="A369">
        <f t="shared" si="48"/>
        <v>4.2799999999999523</v>
      </c>
      <c r="B369">
        <f>Main!$B$20/A369</f>
        <v>1.1682242990654337</v>
      </c>
      <c r="D369" s="132">
        <f t="shared" si="41"/>
        <v>1.1682242990654337</v>
      </c>
      <c r="E369" s="132">
        <f>-B369*Main!$B$19-2*Main!$B$19*loop_gain!$B$17*loop_gain!$B$18</f>
        <v>-89.618691588785211</v>
      </c>
      <c r="F369" s="132">
        <f>2*Main!$B$19*loop_gain!$B$17*loop_gain!$B$18*Helper_calcs!$B$26*Current_limit!B369</f>
        <v>340.02336448598521</v>
      </c>
      <c r="G369" s="132">
        <f t="shared" si="43"/>
        <v>4.0029922599546897</v>
      </c>
      <c r="H369" s="132">
        <f>(Main!$B$19-Current_limit!G369)*Current_limit!G369/(Main!$B$19*loop_gain!$B$17*loop_gain!$B$18)</f>
        <v>0.84687725095764865</v>
      </c>
      <c r="I369" s="132">
        <f t="shared" si="44"/>
        <v>3.0031227490423515</v>
      </c>
      <c r="J369" s="132"/>
      <c r="K369" s="133">
        <f>IF(A369&gt;$B$15,IF(I369&gt;Helper_calcs!$B$27,23,3),0)</f>
        <v>23</v>
      </c>
      <c r="L369">
        <f t="shared" si="42"/>
        <v>2</v>
      </c>
      <c r="M369">
        <f t="shared" si="45"/>
        <v>2</v>
      </c>
      <c r="N369" s="132">
        <f t="shared" si="46"/>
        <v>3.375</v>
      </c>
      <c r="O369" s="132">
        <f t="shared" si="47"/>
        <v>3.9427570093458386</v>
      </c>
      <c r="P369" s="134">
        <f>IF(OR(M369=0,M369=3),loop_gain!$B$18,IF(Current_limit!M369=1,Current_limit!$B$12/(2*(Current_limit!N369-Helper_calcs!$B$27)),IF(OR(M369=2,M369=23),(Main!$B$19-Current_limit!O369)*Current_limit!O369/(Main!$B$19*loop_gain!$B$17*(Helper_calcs!$B$26-Helper_calcs!$B$27)),x)))</f>
        <v>1857763.2325967439</v>
      </c>
      <c r="Q369" s="132"/>
    </row>
    <row r="370" spans="1:17" x14ac:dyDescent="0.3">
      <c r="A370">
        <f t="shared" si="48"/>
        <v>4.2899999999999521</v>
      </c>
      <c r="B370">
        <f>Main!$B$20/A370</f>
        <v>1.1655011655011784</v>
      </c>
      <c r="D370" s="132">
        <f t="shared" si="41"/>
        <v>1.1655011655011784</v>
      </c>
      <c r="E370" s="132">
        <f>-B370*Main!$B$19-2*Main!$B$19*loop_gain!$B$17*loop_gain!$B$18</f>
        <v>-89.586013986014152</v>
      </c>
      <c r="F370" s="132">
        <f>2*Main!$B$19*loop_gain!$B$17*loop_gain!$B$18*Helper_calcs!$B$26*Current_limit!B370</f>
        <v>339.23076923077309</v>
      </c>
      <c r="G370" s="132">
        <f t="shared" si="43"/>
        <v>3.9942036221407644</v>
      </c>
      <c r="H370" s="132">
        <f>(Main!$B$19-Current_limit!G370)*Current_limit!G370/(Main!$B$19*loop_gain!$B$17*loop_gain!$B$18)</f>
        <v>0.84594658440652826</v>
      </c>
      <c r="I370" s="132">
        <f t="shared" si="44"/>
        <v>3.0040534155934737</v>
      </c>
      <c r="J370" s="132"/>
      <c r="K370" s="133">
        <f>IF(A370&gt;$B$15,IF(I370&gt;Helper_calcs!$B$27,23,3),0)</f>
        <v>23</v>
      </c>
      <c r="L370">
        <f t="shared" si="42"/>
        <v>2</v>
      </c>
      <c r="M370">
        <f t="shared" si="45"/>
        <v>2</v>
      </c>
      <c r="N370" s="132">
        <f t="shared" si="46"/>
        <v>3.375</v>
      </c>
      <c r="O370" s="132">
        <f t="shared" si="47"/>
        <v>3.9335664335664773</v>
      </c>
      <c r="P370" s="134">
        <f>IF(OR(M370=0,M370=3),loop_gain!$B$18,IF(Current_limit!M370=1,Current_limit!$B$12/(2*(Current_limit!N370-Helper_calcs!$B$27)),IF(OR(M370=2,M370=23),(Main!$B$19-Current_limit!O370)*Current_limit!O370/(Main!$B$19*loop_gain!$B$17*(Helper_calcs!$B$26-Helper_calcs!$B$27)),x)))</f>
        <v>1855546.9190360717</v>
      </c>
      <c r="Q370" s="132"/>
    </row>
    <row r="371" spans="1:17" x14ac:dyDescent="0.3">
      <c r="A371">
        <f t="shared" si="48"/>
        <v>4.2999999999999519</v>
      </c>
      <c r="B371">
        <f>Main!$B$20/A371</f>
        <v>1.1627906976744316</v>
      </c>
      <c r="D371" s="132">
        <f t="shared" si="41"/>
        <v>1.1627906976744316</v>
      </c>
      <c r="E371" s="132">
        <f>-B371*Main!$B$19-2*Main!$B$19*loop_gain!$B$17*loop_gain!$B$18</f>
        <v>-89.553488372093184</v>
      </c>
      <c r="F371" s="132">
        <f>2*Main!$B$19*loop_gain!$B$17*loop_gain!$B$18*Helper_calcs!$B$26*Current_limit!B371</f>
        <v>338.4418604651201</v>
      </c>
      <c r="G371" s="132">
        <f t="shared" si="43"/>
        <v>3.9854557136934519</v>
      </c>
      <c r="H371" s="132">
        <f>(Main!$B$19-Current_limit!G371)*Current_limit!G371/(Main!$B$19*loop_gain!$B$17*loop_gain!$B$18)</f>
        <v>0.84501617244734495</v>
      </c>
      <c r="I371" s="132">
        <f t="shared" si="44"/>
        <v>3.0049838275526581</v>
      </c>
      <c r="J371" s="132"/>
      <c r="K371" s="133">
        <f>IF(A371&gt;$B$15,IF(I371&gt;Helper_calcs!$B$27,23,3),0)</f>
        <v>23</v>
      </c>
      <c r="L371">
        <f t="shared" si="42"/>
        <v>2</v>
      </c>
      <c r="M371">
        <f t="shared" si="45"/>
        <v>2</v>
      </c>
      <c r="N371" s="132">
        <f t="shared" si="46"/>
        <v>3.375</v>
      </c>
      <c r="O371" s="132">
        <f t="shared" si="47"/>
        <v>3.9244186046512066</v>
      </c>
      <c r="P371" s="134">
        <f>IF(OR(M371=0,M371=3),loop_gain!$B$18,IF(Current_limit!M371=1,Current_limit!$B$12/(2*(Current_limit!N371-Helper_calcs!$B$27)),IF(OR(M371=2,M371=23),(Main!$B$19-Current_limit!O371)*Current_limit!O371/(Main!$B$19*loop_gain!$B$17*(Helper_calcs!$B$26-Helper_calcs!$B$27)),x)))</f>
        <v>1853331.1035837398</v>
      </c>
      <c r="Q371" s="132"/>
    </row>
    <row r="372" spans="1:17" x14ac:dyDescent="0.3">
      <c r="A372">
        <f t="shared" si="48"/>
        <v>4.3099999999999516</v>
      </c>
      <c r="B372">
        <f>Main!$B$20/A372</f>
        <v>1.1600928074246071</v>
      </c>
      <c r="D372" s="132">
        <f t="shared" si="41"/>
        <v>1.1600928074246071</v>
      </c>
      <c r="E372" s="132">
        <f>-B372*Main!$B$19-2*Main!$B$19*loop_gain!$B$17*loop_gain!$B$18</f>
        <v>-89.521113689095301</v>
      </c>
      <c r="F372" s="132">
        <f>2*Main!$B$19*loop_gain!$B$17*loop_gain!$B$18*Helper_calcs!$B$26*Current_limit!B372</f>
        <v>337.65661252900622</v>
      </c>
      <c r="G372" s="132">
        <f t="shared" si="43"/>
        <v>3.9767482368014679</v>
      </c>
      <c r="H372" s="132">
        <f>(Main!$B$19-Current_limit!G372)*Current_limit!G372/(Main!$B$19*loop_gain!$B$17*loop_gain!$B$18)</f>
        <v>0.84408603975433927</v>
      </c>
      <c r="I372" s="132">
        <f t="shared" si="44"/>
        <v>3.0059139602456568</v>
      </c>
      <c r="J372" s="132"/>
      <c r="K372" s="133">
        <f>IF(A372&gt;$B$15,IF(I372&gt;Helper_calcs!$B$27,23,3),0)</f>
        <v>23</v>
      </c>
      <c r="L372">
        <f t="shared" si="42"/>
        <v>2</v>
      </c>
      <c r="M372">
        <f t="shared" si="45"/>
        <v>2</v>
      </c>
      <c r="N372" s="132">
        <f t="shared" si="46"/>
        <v>3.375</v>
      </c>
      <c r="O372" s="132">
        <f t="shared" si="47"/>
        <v>3.9153132250580489</v>
      </c>
      <c r="P372" s="134">
        <f>IF(OR(M372=0,M372=3),loop_gain!$B$18,IF(Current_limit!M372=1,Current_limit!$B$12/(2*(Current_limit!N372-Helper_calcs!$B$27)),IF(OR(M372=2,M372=23),(Main!$B$19-Current_limit!O372)*Current_limit!O372/(Main!$B$19*loop_gain!$B$17*(Helper_calcs!$B$26-Helper_calcs!$B$27)),x)))</f>
        <v>1851115.8508995392</v>
      </c>
      <c r="Q372" s="132"/>
    </row>
    <row r="373" spans="1:17" x14ac:dyDescent="0.3">
      <c r="A373">
        <f t="shared" si="48"/>
        <v>4.3199999999999514</v>
      </c>
      <c r="B373">
        <f>Main!$B$20/A373</f>
        <v>1.1574074074074203</v>
      </c>
      <c r="D373" s="132">
        <f t="shared" si="41"/>
        <v>1.1574074074074203</v>
      </c>
      <c r="E373" s="132">
        <f>-B373*Main!$B$19-2*Main!$B$19*loop_gain!$B$17*loop_gain!$B$18</f>
        <v>-89.488888888889051</v>
      </c>
      <c r="F373" s="132">
        <f>2*Main!$B$19*loop_gain!$B$17*loop_gain!$B$18*Helper_calcs!$B$26*Current_limit!B373</f>
        <v>336.87500000000381</v>
      </c>
      <c r="G373" s="132">
        <f t="shared" si="43"/>
        <v>3.9680808966906196</v>
      </c>
      <c r="H373" s="132">
        <f>(Main!$B$19-Current_limit!G373)*Current_limit!G373/(Main!$B$19*loop_gain!$B$17*loop_gain!$B$18)</f>
        <v>0.84315621051868794</v>
      </c>
      <c r="I373" s="132">
        <f t="shared" si="44"/>
        <v>3.0068437894813131</v>
      </c>
      <c r="J373" s="132"/>
      <c r="K373" s="133">
        <f>IF(A373&gt;$B$15,IF(I373&gt;Helper_calcs!$B$27,23,3),0)</f>
        <v>23</v>
      </c>
      <c r="L373">
        <f t="shared" si="42"/>
        <v>2</v>
      </c>
      <c r="M373">
        <f t="shared" si="45"/>
        <v>2</v>
      </c>
      <c r="N373" s="132">
        <f t="shared" si="46"/>
        <v>3.375</v>
      </c>
      <c r="O373" s="132">
        <f t="shared" si="47"/>
        <v>3.9062500000000435</v>
      </c>
      <c r="P373" s="134">
        <f>IF(OR(M373=0,M373=3),loop_gain!$B$18,IF(Current_limit!M373=1,Current_limit!$B$12/(2*(Current_limit!N373-Helper_calcs!$B$27)),IF(OR(M373=2,M373=23),(Main!$B$19-Current_limit!O373)*Current_limit!O373/(Main!$B$19*loop_gain!$B$17*(Helper_calcs!$B$26-Helper_calcs!$B$27)),x)))</f>
        <v>1848901.2244152152</v>
      </c>
      <c r="Q373" s="132"/>
    </row>
    <row r="374" spans="1:17" x14ac:dyDescent="0.3">
      <c r="A374">
        <f t="shared" si="48"/>
        <v>4.3299999999999512</v>
      </c>
      <c r="B374">
        <f>Main!$B$20/A374</f>
        <v>1.1547344110854634</v>
      </c>
      <c r="D374" s="132">
        <f t="shared" si="41"/>
        <v>1.1547344110854634</v>
      </c>
      <c r="E374" s="132">
        <f>-B374*Main!$B$19-2*Main!$B$19*loop_gain!$B$17*loop_gain!$B$18</f>
        <v>-89.456812933025574</v>
      </c>
      <c r="F374" s="132">
        <f>2*Main!$B$19*loop_gain!$B$17*loop_gain!$B$18*Helper_calcs!$B$26*Current_limit!B374</f>
        <v>336.09699769053503</v>
      </c>
      <c r="G374" s="132">
        <f t="shared" si="43"/>
        <v>3.959453401583513</v>
      </c>
      <c r="H374" s="132">
        <f>(Main!$B$19-Current_limit!G374)*Current_limit!G374/(Main!$B$19*loop_gain!$B$17*loop_gain!$B$18)</f>
        <v>0.84222670845743119</v>
      </c>
      <c r="I374" s="132">
        <f t="shared" si="44"/>
        <v>3.0077732915425677</v>
      </c>
      <c r="J374" s="132"/>
      <c r="K374" s="133">
        <f>IF(A374&gt;$B$15,IF(I374&gt;Helper_calcs!$B$27,23,3),0)</f>
        <v>23</v>
      </c>
      <c r="L374">
        <f t="shared" si="42"/>
        <v>2</v>
      </c>
      <c r="M374">
        <f t="shared" si="45"/>
        <v>2</v>
      </c>
      <c r="N374" s="132">
        <f t="shared" si="46"/>
        <v>3.375</v>
      </c>
      <c r="O374" s="132">
        <f t="shared" si="47"/>
        <v>3.8972286374134391</v>
      </c>
      <c r="P374" s="134">
        <f>IF(OR(M374=0,M374=3),loop_gain!$B$18,IF(Current_limit!M374=1,Current_limit!$B$12/(2*(Current_limit!N374-Helper_calcs!$B$27)),IF(OR(M374=2,M374=23),(Main!$B$19-Current_limit!O374)*Current_limit!O374/(Main!$B$19*loop_gain!$B$17*(Helper_calcs!$B$26-Helper_calcs!$B$27)),x)))</f>
        <v>1846687.2863558978</v>
      </c>
      <c r="Q374" s="132"/>
    </row>
    <row r="375" spans="1:17" x14ac:dyDescent="0.3">
      <c r="A375">
        <f t="shared" si="48"/>
        <v>4.339999999999951</v>
      </c>
      <c r="B375">
        <f>Main!$B$20/A375</f>
        <v>1.152073732718907</v>
      </c>
      <c r="D375" s="132">
        <f t="shared" si="41"/>
        <v>1.152073732718907</v>
      </c>
      <c r="E375" s="132">
        <f>-B375*Main!$B$19-2*Main!$B$19*loop_gain!$B$17*loop_gain!$B$18</f>
        <v>-89.424884792626898</v>
      </c>
      <c r="F375" s="132">
        <f>2*Main!$B$19*loop_gain!$B$17*loop_gain!$B$18*Helper_calcs!$B$26*Current_limit!B375</f>
        <v>335.32258064516515</v>
      </c>
      <c r="G375" s="132">
        <f t="shared" si="43"/>
        <v>3.9508654626600452</v>
      </c>
      <c r="H375" s="132">
        <f>(Main!$B$19-Current_limit!G375)*Current_limit!G375/(Main!$B$19*loop_gain!$B$17*loop_gain!$B$18)</f>
        <v>0.84129755682223717</v>
      </c>
      <c r="I375" s="132">
        <f t="shared" si="44"/>
        <v>3.008702443177762</v>
      </c>
      <c r="J375" s="132"/>
      <c r="K375" s="133">
        <f>IF(A375&gt;$B$15,IF(I375&gt;Helper_calcs!$B$27,23,3),0)</f>
        <v>23</v>
      </c>
      <c r="L375">
        <f t="shared" si="42"/>
        <v>2</v>
      </c>
      <c r="M375">
        <f t="shared" si="45"/>
        <v>2</v>
      </c>
      <c r="N375" s="132">
        <f t="shared" si="46"/>
        <v>3.375</v>
      </c>
      <c r="O375" s="132">
        <f t="shared" si="47"/>
        <v>3.8882488479263113</v>
      </c>
      <c r="P375" s="134">
        <f>IF(OR(M375=0,M375=3),loop_gain!$B$18,IF(Current_limit!M375=1,Current_limit!$B$12/(2*(Current_limit!N375-Helper_calcs!$B$27)),IF(OR(M375=2,M375=23),(Main!$B$19-Current_limit!O375)*Current_limit!O375/(Main!$B$19*loop_gain!$B$17*(Helper_calcs!$B$26-Helper_calcs!$B$27)),x)))</f>
        <v>1844474.0977611372</v>
      </c>
      <c r="Q375" s="132"/>
    </row>
    <row r="376" spans="1:17" x14ac:dyDescent="0.3">
      <c r="A376">
        <f t="shared" si="48"/>
        <v>4.3499999999999508</v>
      </c>
      <c r="B376">
        <f>Main!$B$20/A376</f>
        <v>1.1494252873563349</v>
      </c>
      <c r="D376" s="132">
        <f t="shared" si="41"/>
        <v>1.1494252873563349</v>
      </c>
      <c r="E376" s="132">
        <f>-B376*Main!$B$19-2*Main!$B$19*loop_gain!$B$17*loop_gain!$B$18</f>
        <v>-89.393103448276023</v>
      </c>
      <c r="F376" s="132">
        <f>2*Main!$B$19*loop_gain!$B$17*loop_gain!$B$18*Helper_calcs!$B$26*Current_limit!B376</f>
        <v>334.55172413793491</v>
      </c>
      <c r="G376" s="132">
        <f t="shared" si="43"/>
        <v>3.9423167940184491</v>
      </c>
      <c r="H376" s="132">
        <f>(Main!$B$19-Current_limit!G376)*Current_limit!G376/(Main!$B$19*loop_gain!$B$17*loop_gain!$B$18)</f>
        <v>0.84036877840797575</v>
      </c>
      <c r="I376" s="132">
        <f t="shared" si="44"/>
        <v>3.009631221592024</v>
      </c>
      <c r="J376" s="132"/>
      <c r="K376" s="133">
        <f>IF(A376&gt;$B$15,IF(I376&gt;Helper_calcs!$B$27,23,3),0)</f>
        <v>23</v>
      </c>
      <c r="L376">
        <f t="shared" si="42"/>
        <v>2</v>
      </c>
      <c r="M376">
        <f t="shared" si="45"/>
        <v>2</v>
      </c>
      <c r="N376" s="132">
        <f t="shared" si="46"/>
        <v>3.375</v>
      </c>
      <c r="O376" s="132">
        <f t="shared" si="47"/>
        <v>3.8793103448276303</v>
      </c>
      <c r="P376" s="134">
        <f>IF(OR(M376=0,M376=3),loop_gain!$B$18,IF(Current_limit!M376=1,Current_limit!$B$12/(2*(Current_limit!N376-Helper_calcs!$B$27)),IF(OR(M376=2,M376=23),(Main!$B$19-Current_limit!O376)*Current_limit!O376/(Main!$B$19*loop_gain!$B$17*(Helper_calcs!$B$26-Helper_calcs!$B$27)),x)))</f>
        <v>1842261.7185055492</v>
      </c>
      <c r="Q376" s="132"/>
    </row>
    <row r="377" spans="1:17" x14ac:dyDescent="0.3">
      <c r="A377">
        <f t="shared" si="48"/>
        <v>4.3599999999999506</v>
      </c>
      <c r="B377">
        <f>Main!$B$20/A377</f>
        <v>1.1467889908257012</v>
      </c>
      <c r="D377" s="132">
        <f t="shared" si="41"/>
        <v>1.1467889908257012</v>
      </c>
      <c r="E377" s="132">
        <f>-B377*Main!$B$19-2*Main!$B$19*loop_gain!$B$17*loop_gain!$B$18</f>
        <v>-89.361467889908425</v>
      </c>
      <c r="F377" s="132">
        <f>2*Main!$B$19*loop_gain!$B$17*loop_gain!$B$18*Helper_calcs!$B$26*Current_limit!B377</f>
        <v>333.78440366972865</v>
      </c>
      <c r="G377" s="132">
        <f t="shared" si="43"/>
        <v>3.9338071126370124</v>
      </c>
      <c r="H377" s="132">
        <f>(Main!$B$19-Current_limit!G377)*Current_limit!G377/(Main!$B$19*loop_gain!$B$17*loop_gain!$B$18)</f>
        <v>0.83944039556112693</v>
      </c>
      <c r="I377" s="132">
        <f t="shared" si="44"/>
        <v>3.0105596044388725</v>
      </c>
      <c r="J377" s="132"/>
      <c r="K377" s="133">
        <f>IF(A377&gt;$B$15,IF(I377&gt;Helper_calcs!$B$27,23,3),0)</f>
        <v>23</v>
      </c>
      <c r="L377">
        <f t="shared" si="42"/>
        <v>2</v>
      </c>
      <c r="M377">
        <f t="shared" si="45"/>
        <v>2</v>
      </c>
      <c r="N377" s="132">
        <f t="shared" si="46"/>
        <v>3.375</v>
      </c>
      <c r="O377" s="132">
        <f t="shared" si="47"/>
        <v>3.8704128440367414</v>
      </c>
      <c r="P377" s="134">
        <f>IF(OR(M377=0,M377=3),loop_gain!$B$18,IF(Current_limit!M377=1,Current_limit!$B$12/(2*(Current_limit!N377-Helper_calcs!$B$27)),IF(OR(M377=2,M377=23),(Main!$B$19-Current_limit!O377)*Current_limit!O377/(Main!$B$19*loop_gain!$B$17*(Helper_calcs!$B$26-Helper_calcs!$B$27)),x)))</f>
        <v>1840050.2073190829</v>
      </c>
      <c r="Q377" s="132"/>
    </row>
    <row r="378" spans="1:17" x14ac:dyDescent="0.3">
      <c r="A378">
        <f t="shared" si="48"/>
        <v>4.3699999999999504</v>
      </c>
      <c r="B378">
        <f>Main!$B$20/A378</f>
        <v>1.1441647597254134</v>
      </c>
      <c r="D378" s="132">
        <f t="shared" si="41"/>
        <v>1.1441647597254134</v>
      </c>
      <c r="E378" s="132">
        <f>-B378*Main!$B$19-2*Main!$B$19*loop_gain!$B$17*loop_gain!$B$18</f>
        <v>-89.329977116704967</v>
      </c>
      <c r="F378" s="132">
        <f>2*Main!$B$19*loop_gain!$B$17*loop_gain!$B$18*Helper_calcs!$B$26*Current_limit!B378</f>
        <v>333.02059496567892</v>
      </c>
      <c r="G378" s="132">
        <f t="shared" si="43"/>
        <v>3.925336138336418</v>
      </c>
      <c r="H378" s="132">
        <f>(Main!$B$19-Current_limit!G378)*Current_limit!G378/(Main!$B$19*loop_gain!$B$17*loop_gain!$B$18)</f>
        <v>0.83851243018801991</v>
      </c>
      <c r="I378" s="132">
        <f t="shared" si="44"/>
        <v>3.0114875698119805</v>
      </c>
      <c r="J378" s="132"/>
      <c r="K378" s="133">
        <f>IF(A378&gt;$B$15,IF(I378&gt;Helper_calcs!$B$27,23,3),0)</f>
        <v>23</v>
      </c>
      <c r="L378">
        <f t="shared" si="42"/>
        <v>2</v>
      </c>
      <c r="M378">
        <f t="shared" si="45"/>
        <v>2</v>
      </c>
      <c r="N378" s="132">
        <f t="shared" si="46"/>
        <v>3.375</v>
      </c>
      <c r="O378" s="132">
        <f t="shared" si="47"/>
        <v>3.8615560640732705</v>
      </c>
      <c r="P378" s="134">
        <f>IF(OR(M378=0,M378=3),loop_gain!$B$18,IF(Current_limit!M378=1,Current_limit!$B$12/(2*(Current_limit!N378-Helper_calcs!$B$27)),IF(OR(M378=2,M378=23),(Main!$B$19-Current_limit!O378)*Current_limit!O378/(Main!$B$19*loop_gain!$B$17*(Helper_calcs!$B$26-Helper_calcs!$B$27)),x)))</f>
        <v>1837839.6218069121</v>
      </c>
      <c r="Q378" s="132"/>
    </row>
    <row r="379" spans="1:17" x14ac:dyDescent="0.3">
      <c r="A379">
        <f t="shared" si="48"/>
        <v>4.3799999999999502</v>
      </c>
      <c r="B379">
        <f>Main!$B$20/A379</f>
        <v>1.141552511415538</v>
      </c>
      <c r="D379" s="132">
        <f t="shared" si="41"/>
        <v>1.141552511415538</v>
      </c>
      <c r="E379" s="132">
        <f>-B379*Main!$B$19-2*Main!$B$19*loop_gain!$B$17*loop_gain!$B$18</f>
        <v>-89.298630136986461</v>
      </c>
      <c r="F379" s="132">
        <f>2*Main!$B$19*loop_gain!$B$17*loop_gain!$B$18*Helper_calcs!$B$26*Current_limit!B379</f>
        <v>332.26027397260657</v>
      </c>
      <c r="G379" s="132">
        <f t="shared" si="43"/>
        <v>3.9169035937426799</v>
      </c>
      <c r="H379" s="132">
        <f>(Main!$B$19-Current_limit!G379)*Current_limit!G379/(Main!$B$19*loop_gain!$B$17*loop_gain!$B$18)</f>
        <v>0.83758490376290573</v>
      </c>
      <c r="I379" s="132">
        <f t="shared" si="44"/>
        <v>3.0124150962370959</v>
      </c>
      <c r="J379" s="132"/>
      <c r="K379" s="133">
        <f>IF(A379&gt;$B$15,IF(I379&gt;Helper_calcs!$B$27,23,3),0)</f>
        <v>23</v>
      </c>
      <c r="L379">
        <f t="shared" si="42"/>
        <v>2</v>
      </c>
      <c r="M379">
        <f t="shared" si="45"/>
        <v>2</v>
      </c>
      <c r="N379" s="132">
        <f t="shared" si="46"/>
        <v>3.375</v>
      </c>
      <c r="O379" s="132">
        <f t="shared" si="47"/>
        <v>3.852739726027441</v>
      </c>
      <c r="P379" s="134">
        <f>IF(OR(M379=0,M379=3),loop_gain!$B$18,IF(Current_limit!M379=1,Current_limit!$B$12/(2*(Current_limit!N379-Helper_calcs!$B$27)),IF(OR(M379=2,M379=23),(Main!$B$19-Current_limit!O379)*Current_limit!O379/(Main!$B$19*loop_gain!$B$17*(Helper_calcs!$B$26-Helper_calcs!$B$27)),x)))</f>
        <v>1835630.0184689641</v>
      </c>
      <c r="Q379" s="132"/>
    </row>
    <row r="380" spans="1:17" x14ac:dyDescent="0.3">
      <c r="A380">
        <f t="shared" si="48"/>
        <v>4.3899999999999499</v>
      </c>
      <c r="B380">
        <f>Main!$B$20/A380</f>
        <v>1.1389521640091247</v>
      </c>
      <c r="D380" s="132">
        <f t="shared" si="41"/>
        <v>1.1389521640091247</v>
      </c>
      <c r="E380" s="132">
        <f>-B380*Main!$B$19-2*Main!$B$19*loop_gain!$B$17*loop_gain!$B$18</f>
        <v>-89.267425968109507</v>
      </c>
      <c r="F380" s="132">
        <f>2*Main!$B$19*loop_gain!$B$17*loop_gain!$B$18*Helper_calcs!$B$26*Current_limit!B380</f>
        <v>331.5034168564959</v>
      </c>
      <c r="G380" s="132">
        <f t="shared" si="43"/>
        <v>3.9085092042506853</v>
      </c>
      <c r="H380" s="132">
        <f>(Main!$B$19-Current_limit!G380)*Current_limit!G380/(Main!$B$19*loop_gain!$B$17*loop_gain!$B$18)</f>
        <v>0.83665783733587029</v>
      </c>
      <c r="I380" s="132">
        <f t="shared" si="44"/>
        <v>3.0133421626641268</v>
      </c>
      <c r="J380" s="132"/>
      <c r="K380" s="133">
        <f>IF(A380&gt;$B$15,IF(I380&gt;Helper_calcs!$B$27,23,3),0)</f>
        <v>23</v>
      </c>
      <c r="L380">
        <f t="shared" si="42"/>
        <v>2</v>
      </c>
      <c r="M380">
        <f t="shared" si="45"/>
        <v>2</v>
      </c>
      <c r="N380" s="132">
        <f t="shared" si="46"/>
        <v>3.375</v>
      </c>
      <c r="O380" s="132">
        <f t="shared" si="47"/>
        <v>3.8439635535307959</v>
      </c>
      <c r="P380" s="134">
        <f>IF(OR(M380=0,M380=3),loop_gain!$B$18,IF(Current_limit!M380=1,Current_limit!$B$12/(2*(Current_limit!N380-Helper_calcs!$B$27)),IF(OR(M380=2,M380=23),(Main!$B$19-Current_limit!O380)*Current_limit!O380/(Main!$B$19*loop_gain!$B$17*(Helper_calcs!$B$26-Helper_calcs!$B$27)),x)))</f>
        <v>1833421.4527190905</v>
      </c>
      <c r="Q380" s="132"/>
    </row>
    <row r="381" spans="1:17" x14ac:dyDescent="0.3">
      <c r="A381">
        <f t="shared" si="48"/>
        <v>4.3999999999999497</v>
      </c>
      <c r="B381">
        <f>Main!$B$20/A381</f>
        <v>1.1363636363636493</v>
      </c>
      <c r="D381" s="132">
        <f t="shared" si="41"/>
        <v>1.1363636363636493</v>
      </c>
      <c r="E381" s="132">
        <f>-B381*Main!$B$19-2*Main!$B$19*loop_gain!$B$17*loop_gain!$B$18</f>
        <v>-89.236363636363805</v>
      </c>
      <c r="F381" s="132">
        <f>2*Main!$B$19*loop_gain!$B$17*loop_gain!$B$18*Helper_calcs!$B$26*Current_limit!B381</f>
        <v>330.75000000000387</v>
      </c>
      <c r="G381" s="132">
        <f t="shared" si="43"/>
        <v>3.9001526979883487</v>
      </c>
      <c r="H381" s="132">
        <f>(Main!$B$19-Current_limit!G381)*Current_limit!G381/(Main!$B$19*loop_gain!$B$17*loop_gain!$B$18)</f>
        <v>0.83573125154059225</v>
      </c>
      <c r="I381" s="132">
        <f t="shared" si="44"/>
        <v>3.0142687484594117</v>
      </c>
      <c r="J381" s="132"/>
      <c r="K381" s="133">
        <f>IF(A381&gt;$B$15,IF(I381&gt;Helper_calcs!$B$27,23,3),0)</f>
        <v>23</v>
      </c>
      <c r="L381">
        <f t="shared" si="42"/>
        <v>2</v>
      </c>
      <c r="M381">
        <f t="shared" si="45"/>
        <v>2</v>
      </c>
      <c r="N381" s="132">
        <f t="shared" si="46"/>
        <v>3.375</v>
      </c>
      <c r="O381" s="132">
        <f t="shared" si="47"/>
        <v>3.8352272727273164</v>
      </c>
      <c r="P381" s="134">
        <f>IF(OR(M381=0,M381=3),loop_gain!$B$18,IF(Current_limit!M381=1,Current_limit!$B$12/(2*(Current_limit!N381-Helper_calcs!$B$27)),IF(OR(M381=2,M381=23),(Main!$B$19-Current_limit!O381)*Current_limit!O381/(Main!$B$19*loop_gain!$B$17*(Helper_calcs!$B$26-Helper_calcs!$B$27)),x)))</f>
        <v>1831213.9789038822</v>
      </c>
      <c r="Q381" s="132"/>
    </row>
    <row r="382" spans="1:17" x14ac:dyDescent="0.3">
      <c r="A382">
        <f t="shared" si="48"/>
        <v>4.4099999999999495</v>
      </c>
      <c r="B382">
        <f>Main!$B$20/A382</f>
        <v>1.1337868480725752</v>
      </c>
      <c r="D382" s="132">
        <f t="shared" si="41"/>
        <v>1.1337868480725752</v>
      </c>
      <c r="E382" s="132">
        <f>-B382*Main!$B$19-2*Main!$B$19*loop_gain!$B$17*loop_gain!$B$18</f>
        <v>-89.205442176870918</v>
      </c>
      <c r="F382" s="132">
        <f>2*Main!$B$19*loop_gain!$B$17*loop_gain!$B$18*Helper_calcs!$B$26*Current_limit!B382</f>
        <v>330.00000000000381</v>
      </c>
      <c r="G382" s="132">
        <f t="shared" si="43"/>
        <v>3.8918338057812569</v>
      </c>
      <c r="H382" s="132">
        <f>(Main!$B$19-Current_limit!G382)*Current_limit!G382/(Main!$B$19*loop_gain!$B$17*loop_gain!$B$18)</f>
        <v>0.83480516660193804</v>
      </c>
      <c r="I382" s="132">
        <f t="shared" si="44"/>
        <v>3.0151948333980605</v>
      </c>
      <c r="J382" s="132"/>
      <c r="K382" s="133">
        <f>IF(A382&gt;$B$15,IF(I382&gt;Helper_calcs!$B$27,23,3),0)</f>
        <v>23</v>
      </c>
      <c r="L382">
        <f t="shared" si="42"/>
        <v>2</v>
      </c>
      <c r="M382">
        <f t="shared" si="45"/>
        <v>2</v>
      </c>
      <c r="N382" s="132">
        <f t="shared" si="46"/>
        <v>3.375</v>
      </c>
      <c r="O382" s="132">
        <f t="shared" si="47"/>
        <v>3.8265306122449414</v>
      </c>
      <c r="P382" s="134">
        <f>IF(OR(M382=0,M382=3),loop_gain!$B$18,IF(Current_limit!M382=1,Current_limit!$B$12/(2*(Current_limit!N382-Helper_calcs!$B$27)),IF(OR(M382=2,M382=23),(Main!$B$19-Current_limit!O382)*Current_limit!O382/(Main!$B$19*loop_gain!$B$17*(Helper_calcs!$B$26-Helper_calcs!$B$27)),x)))</f>
        <v>1829007.650321149</v>
      </c>
      <c r="Q382" s="132"/>
    </row>
    <row r="383" spans="1:17" x14ac:dyDescent="0.3">
      <c r="A383">
        <f t="shared" si="48"/>
        <v>4.4199999999999493</v>
      </c>
      <c r="B383">
        <f>Main!$B$20/A383</f>
        <v>1.1312217194570267</v>
      </c>
      <c r="D383" s="132">
        <f t="shared" si="41"/>
        <v>1.1312217194570267</v>
      </c>
      <c r="E383" s="132">
        <f>-B383*Main!$B$19-2*Main!$B$19*loop_gain!$B$17*loop_gain!$B$18</f>
        <v>-89.174660633484336</v>
      </c>
      <c r="F383" s="132">
        <f>2*Main!$B$19*loop_gain!$B$17*loop_gain!$B$18*Helper_calcs!$B$26*Current_limit!B383</f>
        <v>329.25339366516226</v>
      </c>
      <c r="G383" s="132">
        <f t="shared" si="43"/>
        <v>3.8835522611180173</v>
      </c>
      <c r="H383" s="132">
        <f>(Main!$B$19-Current_limit!G383)*Current_limit!G383/(Main!$B$19*loop_gain!$B$17*loop_gain!$B$18)</f>
        <v>0.83387960234342162</v>
      </c>
      <c r="I383" s="132">
        <f t="shared" si="44"/>
        <v>3.0161203976565769</v>
      </c>
      <c r="J383" s="132"/>
      <c r="K383" s="133">
        <f>IF(A383&gt;$B$15,IF(I383&gt;Helper_calcs!$B$27,23,3),0)</f>
        <v>23</v>
      </c>
      <c r="L383">
        <f t="shared" si="42"/>
        <v>2</v>
      </c>
      <c r="M383">
        <f t="shared" si="45"/>
        <v>2</v>
      </c>
      <c r="N383" s="132">
        <f t="shared" si="46"/>
        <v>3.375</v>
      </c>
      <c r="O383" s="132">
        <f t="shared" si="47"/>
        <v>3.817873303167465</v>
      </c>
      <c r="P383" s="134">
        <f>IF(OR(M383=0,M383=3),loop_gain!$B$18,IF(Current_limit!M383=1,Current_limit!$B$12/(2*(Current_limit!N383-Helper_calcs!$B$27)),IF(OR(M383=2,M383=23),(Main!$B$19-Current_limit!O383)*Current_limit!O383/(Main!$B$19*loop_gain!$B$17*(Helper_calcs!$B$26-Helper_calcs!$B$27)),x)))</f>
        <v>1826802.5192380541</v>
      </c>
      <c r="Q383" s="132"/>
    </row>
    <row r="384" spans="1:17" x14ac:dyDescent="0.3">
      <c r="A384">
        <f t="shared" si="48"/>
        <v>4.4299999999999491</v>
      </c>
      <c r="B384">
        <f>Main!$B$20/A384</f>
        <v>1.128668171557575</v>
      </c>
      <c r="D384" s="132">
        <f t="shared" si="41"/>
        <v>1.128668171557575</v>
      </c>
      <c r="E384" s="132">
        <f>-B384*Main!$B$19-2*Main!$B$19*loop_gain!$B$17*loop_gain!$B$18</f>
        <v>-89.144018058690904</v>
      </c>
      <c r="F384" s="132">
        <f>2*Main!$B$19*loop_gain!$B$17*loop_gain!$B$18*Helper_calcs!$B$26*Current_limit!B384</f>
        <v>328.51015801354788</v>
      </c>
      <c r="G384" s="132">
        <f t="shared" si="43"/>
        <v>3.8753078001160146</v>
      </c>
      <c r="H384" s="132">
        <f>(Main!$B$19-Current_limit!G384)*Current_limit!G384/(Main!$B$19*loop_gain!$B$17*loop_gain!$B$18)</f>
        <v>0.83295457819450114</v>
      </c>
      <c r="I384" s="132">
        <f t="shared" si="44"/>
        <v>3.017045421805499</v>
      </c>
      <c r="J384" s="132"/>
      <c r="K384" s="133">
        <f>IF(A384&gt;$B$15,IF(I384&gt;Helper_calcs!$B$27,23,3),0)</f>
        <v>23</v>
      </c>
      <c r="L384">
        <f t="shared" si="42"/>
        <v>2</v>
      </c>
      <c r="M384">
        <f t="shared" si="45"/>
        <v>2</v>
      </c>
      <c r="N384" s="132">
        <f t="shared" si="46"/>
        <v>3.375</v>
      </c>
      <c r="O384" s="132">
        <f t="shared" si="47"/>
        <v>3.8092550790068156</v>
      </c>
      <c r="P384" s="134">
        <f>IF(OR(M384=0,M384=3),loop_gain!$B$18,IF(Current_limit!M384=1,Current_limit!$B$12/(2*(Current_limit!N384-Helper_calcs!$B$27)),IF(OR(M384=2,M384=23),(Main!$B$19-Current_limit!O384)*Current_limit!O384/(Main!$B$19*loop_gain!$B$17*(Helper_calcs!$B$26-Helper_calcs!$B$27)),x)))</f>
        <v>1824598.6369089219</v>
      </c>
      <c r="Q384" s="132"/>
    </row>
    <row r="385" spans="1:17" x14ac:dyDescent="0.3">
      <c r="A385">
        <f t="shared" si="48"/>
        <v>4.4399999999999489</v>
      </c>
      <c r="B385">
        <f>Main!$B$20/A385</f>
        <v>1.126126126126139</v>
      </c>
      <c r="D385" s="132">
        <f t="shared" si="41"/>
        <v>1.126126126126139</v>
      </c>
      <c r="E385" s="132">
        <f>-B385*Main!$B$19-2*Main!$B$19*loop_gain!$B$17*loop_gain!$B$18</f>
        <v>-89.113513513513681</v>
      </c>
      <c r="F385" s="132">
        <f>2*Main!$B$19*loop_gain!$B$17*loop_gain!$B$18*Helper_calcs!$B$26*Current_limit!B385</f>
        <v>327.77027027027412</v>
      </c>
      <c r="G385" s="132">
        <f t="shared" si="43"/>
        <v>3.8671001614878033</v>
      </c>
      <c r="H385" s="132">
        <f>(Main!$B$19-Current_limit!G385)*Current_limit!G385/(Main!$B$19*loop_gain!$B$17*loop_gain!$B$18)</f>
        <v>0.83203011319774189</v>
      </c>
      <c r="I385" s="132">
        <f t="shared" si="44"/>
        <v>3.0179698868022591</v>
      </c>
      <c r="J385" s="132"/>
      <c r="K385" s="133">
        <f>IF(A385&gt;$B$15,IF(I385&gt;Helper_calcs!$B$27,23,3),0)</f>
        <v>23</v>
      </c>
      <c r="L385">
        <f t="shared" si="42"/>
        <v>2</v>
      </c>
      <c r="M385">
        <f t="shared" si="45"/>
        <v>2</v>
      </c>
      <c r="N385" s="132">
        <f t="shared" si="46"/>
        <v>3.375</v>
      </c>
      <c r="O385" s="132">
        <f t="shared" si="47"/>
        <v>3.8006756756757194</v>
      </c>
      <c r="P385" s="134">
        <f>IF(OR(M385=0,M385=3),loop_gain!$B$18,IF(Current_limit!M385=1,Current_limit!$B$12/(2*(Current_limit!N385-Helper_calcs!$B$27)),IF(OR(M385=2,M385=23),(Main!$B$19-Current_limit!O385)*Current_limit!O385/(Main!$B$19*loop_gain!$B$17*(Helper_calcs!$B$26-Helper_calcs!$B$27)),x)))</f>
        <v>1822396.0535927217</v>
      </c>
      <c r="Q385" s="132"/>
    </row>
    <row r="386" spans="1:17" x14ac:dyDescent="0.3">
      <c r="A386">
        <f t="shared" si="48"/>
        <v>4.4499999999999487</v>
      </c>
      <c r="B386">
        <f>Main!$B$20/A386</f>
        <v>1.1235955056179905</v>
      </c>
      <c r="D386" s="132">
        <f t="shared" si="41"/>
        <v>1.1235955056179905</v>
      </c>
      <c r="E386" s="132">
        <f>-B386*Main!$B$19-2*Main!$B$19*loop_gain!$B$17*loop_gain!$B$18</f>
        <v>-89.083146067415896</v>
      </c>
      <c r="F386" s="132">
        <f>2*Main!$B$19*loop_gain!$B$17*loop_gain!$B$18*Helper_calcs!$B$26*Current_limit!B386</f>
        <v>327.0337078651724</v>
      </c>
      <c r="G386" s="132">
        <f t="shared" si="43"/>
        <v>3.8589290865080059</v>
      </c>
      <c r="H386" s="132">
        <f>(Main!$B$19-Current_limit!G386)*Current_limit!G386/(Main!$B$19*loop_gain!$B$17*loop_gain!$B$18)</f>
        <v>0.83110622601583484</v>
      </c>
      <c r="I386" s="132">
        <f t="shared" si="44"/>
        <v>3.0188937739841681</v>
      </c>
      <c r="J386" s="132"/>
      <c r="K386" s="133">
        <f>IF(A386&gt;$B$15,IF(I386&gt;Helper_calcs!$B$27,23,3),0)</f>
        <v>23</v>
      </c>
      <c r="L386">
        <f t="shared" si="42"/>
        <v>2</v>
      </c>
      <c r="M386">
        <f t="shared" si="45"/>
        <v>2</v>
      </c>
      <c r="N386" s="132">
        <f t="shared" si="46"/>
        <v>3.375</v>
      </c>
      <c r="O386" s="132">
        <f t="shared" si="47"/>
        <v>3.7921348314607179</v>
      </c>
      <c r="P386" s="134">
        <f>IF(OR(M386=0,M386=3),loop_gain!$B$18,IF(Current_limit!M386=1,Current_limit!$B$12/(2*(Current_limit!N386-Helper_calcs!$B$27)),IF(OR(M386=2,M386=23),(Main!$B$19-Current_limit!O386)*Current_limit!O386/(Main!$B$19*loop_gain!$B$17*(Helper_calcs!$B$26-Helper_calcs!$B$27)),x)))</f>
        <v>1820194.8185702341</v>
      </c>
      <c r="Q386" s="132"/>
    </row>
    <row r="387" spans="1:17" x14ac:dyDescent="0.3">
      <c r="A387">
        <f t="shared" si="48"/>
        <v>4.4599999999999485</v>
      </c>
      <c r="B387">
        <f>Main!$B$20/A387</f>
        <v>1.1210762331838695</v>
      </c>
      <c r="D387" s="132">
        <f t="shared" si="41"/>
        <v>1.1210762331838695</v>
      </c>
      <c r="E387" s="132">
        <f>-B387*Main!$B$19-2*Main!$B$19*loop_gain!$B$17*loop_gain!$B$18</f>
        <v>-89.052914798206444</v>
      </c>
      <c r="F387" s="132">
        <f>2*Main!$B$19*loop_gain!$B$17*loop_gain!$B$18*Helper_calcs!$B$26*Current_limit!B387</f>
        <v>326.30044843049711</v>
      </c>
      <c r="G387" s="132">
        <f t="shared" si="43"/>
        <v>3.8507943189807197</v>
      </c>
      <c r="H387" s="132">
        <f>(Main!$B$19-Current_limit!G387)*Current_limit!G387/(Main!$B$19*loop_gain!$B$17*loop_gain!$B$18)</f>
        <v>0.83018293493847739</v>
      </c>
      <c r="I387" s="132">
        <f t="shared" si="44"/>
        <v>3.0198170650615235</v>
      </c>
      <c r="J387" s="132"/>
      <c r="K387" s="133">
        <f>IF(A387&gt;$B$15,IF(I387&gt;Helper_calcs!$B$27,23,3),0)</f>
        <v>23</v>
      </c>
      <c r="L387">
        <f t="shared" si="42"/>
        <v>2</v>
      </c>
      <c r="M387">
        <f t="shared" si="45"/>
        <v>2</v>
      </c>
      <c r="N387" s="132">
        <f t="shared" si="46"/>
        <v>3.375</v>
      </c>
      <c r="O387" s="132">
        <f t="shared" si="47"/>
        <v>3.7836322869955596</v>
      </c>
      <c r="P387" s="134">
        <f>IF(OR(M387=0,M387=3),loop_gain!$B$18,IF(Current_limit!M387=1,Current_limit!$B$12/(2*(Current_limit!N387-Helper_calcs!$B$27)),IF(OR(M387=2,M387=23),(Main!$B$19-Current_limit!O387)*Current_limit!O387/(Main!$B$19*loop_gain!$B$17*(Helper_calcs!$B$26-Helper_calcs!$B$27)),x)))</f>
        <v>1817994.9801609046</v>
      </c>
      <c r="Q387" s="132"/>
    </row>
    <row r="388" spans="1:17" x14ac:dyDescent="0.3">
      <c r="A388">
        <f t="shared" si="48"/>
        <v>4.4699999999999482</v>
      </c>
      <c r="B388">
        <f>Main!$B$20/A388</f>
        <v>1.1185682326622053</v>
      </c>
      <c r="D388" s="132">
        <f t="shared" si="41"/>
        <v>1.1185682326622053</v>
      </c>
      <c r="E388" s="132">
        <f>-B388*Main!$B$19-2*Main!$B$19*loop_gain!$B$17*loop_gain!$B$18</f>
        <v>-89.022818791946477</v>
      </c>
      <c r="F388" s="132">
        <f>2*Main!$B$19*loop_gain!$B$17*loop_gain!$B$18*Helper_calcs!$B$26*Current_limit!B388</f>
        <v>325.57046979866152</v>
      </c>
      <c r="G388" s="132">
        <f t="shared" si="43"/>
        <v>3.8426956052074681</v>
      </c>
      <c r="H388" s="132">
        <f>(Main!$B$19-Current_limit!G388)*Current_limit!G388/(Main!$B$19*loop_gain!$B$17*loop_gain!$B$18)</f>
        <v>0.8292602578891225</v>
      </c>
      <c r="I388" s="132">
        <f t="shared" si="44"/>
        <v>3.0207397421108757</v>
      </c>
      <c r="J388" s="132"/>
      <c r="K388" s="133">
        <f>IF(A388&gt;$B$15,IF(I388&gt;Helper_calcs!$B$27,23,3),0)</f>
        <v>23</v>
      </c>
      <c r="L388">
        <f t="shared" si="42"/>
        <v>2</v>
      </c>
      <c r="M388">
        <f t="shared" si="45"/>
        <v>2</v>
      </c>
      <c r="N388" s="132">
        <f t="shared" si="46"/>
        <v>3.375</v>
      </c>
      <c r="O388" s="132">
        <f t="shared" si="47"/>
        <v>3.775167785234943</v>
      </c>
      <c r="P388" s="134">
        <f>IF(OR(M388=0,M388=3),loop_gain!$B$18,IF(Current_limit!M388=1,Current_limit!$B$12/(2*(Current_limit!N388-Helper_calcs!$B$27)),IF(OR(M388=2,M388=23),(Main!$B$19-Current_limit!O388)*Current_limit!O388/(Main!$B$19*loop_gain!$B$17*(Helper_calcs!$B$26-Helper_calcs!$B$27)),x)))</f>
        <v>1815796.5857393921</v>
      </c>
      <c r="Q388" s="132"/>
    </row>
    <row r="389" spans="1:17" x14ac:dyDescent="0.3">
      <c r="A389">
        <f t="shared" si="48"/>
        <v>4.479999999999948</v>
      </c>
      <c r="B389">
        <f>Main!$B$20/A389</f>
        <v>1.1160714285714415</v>
      </c>
      <c r="D389" s="132">
        <f t="shared" si="41"/>
        <v>1.1160714285714415</v>
      </c>
      <c r="E389" s="132">
        <f>-B389*Main!$B$19-2*Main!$B$19*loop_gain!$B$17*loop_gain!$B$18</f>
        <v>-88.992857142857304</v>
      </c>
      <c r="F389" s="132">
        <f>2*Main!$B$19*loop_gain!$B$17*loop_gain!$B$18*Helper_calcs!$B$26*Current_limit!B389</f>
        <v>324.84375000000381</v>
      </c>
      <c r="G389" s="132">
        <f t="shared" si="43"/>
        <v>3.834632693955633</v>
      </c>
      <c r="H389" s="132">
        <f>(Main!$B$19-Current_limit!G389)*Current_limit!G389/(Main!$B$19*loop_gain!$B$17*loop_gain!$B$18)</f>
        <v>0.82833821243159145</v>
      </c>
      <c r="I389" s="132">
        <f t="shared" si="44"/>
        <v>3.0216617875684113</v>
      </c>
      <c r="J389" s="132"/>
      <c r="K389" s="133">
        <f>IF(A389&gt;$B$15,IF(I389&gt;Helper_calcs!$B$27,23,3),0)</f>
        <v>23</v>
      </c>
      <c r="L389">
        <f t="shared" si="42"/>
        <v>2</v>
      </c>
      <c r="M389">
        <f t="shared" si="45"/>
        <v>2</v>
      </c>
      <c r="N389" s="132">
        <f t="shared" si="46"/>
        <v>3.375</v>
      </c>
      <c r="O389" s="132">
        <f t="shared" si="47"/>
        <v>3.7667410714286151</v>
      </c>
      <c r="P389" s="134">
        <f>IF(OR(M389=0,M389=3),loop_gain!$B$18,IF(Current_limit!M389=1,Current_limit!$B$12/(2*(Current_limit!N389-Helper_calcs!$B$27)),IF(OR(M389=2,M389=23),(Main!$B$19-Current_limit!O389)*Current_limit!O389/(Main!$B$19*loop_gain!$B$17*(Helper_calcs!$B$26-Helper_calcs!$B$27)),x)))</f>
        <v>1813599.6817518238</v>
      </c>
      <c r="Q389" s="132"/>
    </row>
    <row r="390" spans="1:17" x14ac:dyDescent="0.3">
      <c r="A390">
        <f t="shared" si="48"/>
        <v>4.4899999999999478</v>
      </c>
      <c r="B390">
        <f>Main!$B$20/A390</f>
        <v>1.1135857461024627</v>
      </c>
      <c r="D390" s="132">
        <f t="shared" si="41"/>
        <v>1.1135857461024627</v>
      </c>
      <c r="E390" s="132">
        <f>-B390*Main!$B$19-2*Main!$B$19*loop_gain!$B$17*loop_gain!$B$18</f>
        <v>-88.963028953229554</v>
      </c>
      <c r="F390" s="132">
        <f>2*Main!$B$19*loop_gain!$B$17*loop_gain!$B$18*Helper_calcs!$B$26*Current_limit!B390</f>
        <v>324.12026726058286</v>
      </c>
      <c r="G390" s="132">
        <f t="shared" si="43"/>
        <v>3.8266053364273489</v>
      </c>
      <c r="H390" s="132">
        <f>(Main!$B$19-Current_limit!G390)*Current_limit!G390/(Main!$B$19*loop_gain!$B$17*loop_gain!$B$18)</f>
        <v>0.82741681577655868</v>
      </c>
      <c r="I390" s="132">
        <f t="shared" si="44"/>
        <v>3.0225831842234401</v>
      </c>
      <c r="J390" s="132"/>
      <c r="K390" s="133">
        <f>IF(A390&gt;$B$15,IF(I390&gt;Helper_calcs!$B$27,23,3),0)</f>
        <v>23</v>
      </c>
      <c r="L390">
        <f t="shared" si="42"/>
        <v>2</v>
      </c>
      <c r="M390">
        <f t="shared" si="45"/>
        <v>2</v>
      </c>
      <c r="N390" s="132">
        <f t="shared" si="46"/>
        <v>3.375</v>
      </c>
      <c r="O390" s="132">
        <f t="shared" si="47"/>
        <v>3.7583518930958117</v>
      </c>
      <c r="P390" s="134">
        <f>IF(OR(M390=0,M390=3),loop_gain!$B$18,IF(Current_limit!M390=1,Current_limit!$B$12/(2*(Current_limit!N390-Helper_calcs!$B$27)),IF(OR(M390=2,M390=23),(Main!$B$19-Current_limit!O390)*Current_limit!O390/(Main!$B$19*loop_gain!$B$17*(Helper_calcs!$B$26-Helper_calcs!$B$27)),x)))</f>
        <v>1811404.3137317465</v>
      </c>
      <c r="Q390" s="132"/>
    </row>
    <row r="391" spans="1:17" x14ac:dyDescent="0.3">
      <c r="A391">
        <f t="shared" si="48"/>
        <v>4.4999999999999476</v>
      </c>
      <c r="B391">
        <f>Main!$B$20/A391</f>
        <v>1.111111111111124</v>
      </c>
      <c r="D391" s="132">
        <f t="shared" si="41"/>
        <v>1.111111111111124</v>
      </c>
      <c r="E391" s="132">
        <f>-B391*Main!$B$19-2*Main!$B$19*loop_gain!$B$17*loop_gain!$B$18</f>
        <v>-88.933333333333493</v>
      </c>
      <c r="F391" s="132">
        <f>2*Main!$B$19*loop_gain!$B$17*loop_gain!$B$18*Helper_calcs!$B$26*Current_limit!B391</f>
        <v>323.40000000000384</v>
      </c>
      <c r="G391" s="132">
        <f t="shared" si="43"/>
        <v>3.8186132862289841</v>
      </c>
      <c r="H391" s="132">
        <f>(Main!$B$19-Current_limit!G391)*Current_limit!G391/(Main!$B$19*loop_gain!$B$17*loop_gain!$B$18)</f>
        <v>0.82649608478791758</v>
      </c>
      <c r="I391" s="132">
        <f t="shared" si="44"/>
        <v>3.0235039152120868</v>
      </c>
      <c r="J391" s="132"/>
      <c r="K391" s="133">
        <f>IF(A391&gt;$B$15,IF(I391&gt;Helper_calcs!$B$27,23,3),0)</f>
        <v>23</v>
      </c>
      <c r="L391">
        <f t="shared" si="42"/>
        <v>2</v>
      </c>
      <c r="M391">
        <f t="shared" si="45"/>
        <v>2</v>
      </c>
      <c r="N391" s="132">
        <f t="shared" si="46"/>
        <v>3.375</v>
      </c>
      <c r="O391" s="132">
        <f t="shared" si="47"/>
        <v>3.7500000000000435</v>
      </c>
      <c r="P391" s="134">
        <f>IF(OR(M391=0,M391=3),loop_gain!$B$18,IF(Current_limit!M391=1,Current_limit!$B$12/(2*(Current_limit!N391-Helper_calcs!$B$27)),IF(OR(M391=2,M391=23),(Main!$B$19-Current_limit!O391)*Current_limit!O391/(Main!$B$19*loop_gain!$B$17*(Helper_calcs!$B$26-Helper_calcs!$B$27)),x)))</f>
        <v>1809210.5263158008</v>
      </c>
      <c r="Q391" s="132"/>
    </row>
    <row r="392" spans="1:17" x14ac:dyDescent="0.3">
      <c r="A392">
        <f t="shared" si="48"/>
        <v>4.5099999999999474</v>
      </c>
      <c r="B392">
        <f>Main!$B$20/A392</f>
        <v>1.1086474501108776</v>
      </c>
      <c r="D392" s="132">
        <f t="shared" si="41"/>
        <v>1.1086474501108776</v>
      </c>
      <c r="E392" s="132">
        <f>-B392*Main!$B$19-2*Main!$B$19*loop_gain!$B$17*loop_gain!$B$18</f>
        <v>-88.903769401330536</v>
      </c>
      <c r="F392" s="132">
        <f>2*Main!$B$19*loop_gain!$B$17*loop_gain!$B$18*Helper_calcs!$B$26*Current_limit!B392</f>
        <v>322.68292682927211</v>
      </c>
      <c r="G392" s="132">
        <f t="shared" si="43"/>
        <v>3.8106562993409492</v>
      </c>
      <c r="H392" s="132">
        <f>(Main!$B$19-Current_limit!G392)*Current_limit!G392/(Main!$B$19*loop_gain!$B$17*loop_gain!$B$18)</f>
        <v>0.82557603598900886</v>
      </c>
      <c r="I392" s="132">
        <f t="shared" si="44"/>
        <v>3.0244239640109916</v>
      </c>
      <c r="J392" s="132"/>
      <c r="K392" s="133">
        <f>IF(A392&gt;$B$15,IF(I392&gt;Helper_calcs!$B$27,23,3),0)</f>
        <v>23</v>
      </c>
      <c r="L392">
        <f t="shared" si="42"/>
        <v>2</v>
      </c>
      <c r="M392">
        <f t="shared" si="45"/>
        <v>2</v>
      </c>
      <c r="N392" s="132">
        <f t="shared" si="46"/>
        <v>3.375</v>
      </c>
      <c r="O392" s="132">
        <f t="shared" si="47"/>
        <v>3.741685144124212</v>
      </c>
      <c r="P392" s="134">
        <f>IF(OR(M392=0,M392=3),loop_gain!$B$18,IF(Current_limit!M392=1,Current_limit!$B$12/(2*(Current_limit!N392-Helper_calcs!$B$27)),IF(OR(M392=2,M392=23),(Main!$B$19-Current_limit!O392)*Current_limit!O392/(Main!$B$19*loop_gain!$B$17*(Helper_calcs!$B$26-Helper_calcs!$B$27)),x)))</f>
        <v>1807018.3632591064</v>
      </c>
      <c r="Q392" s="132"/>
    </row>
    <row r="393" spans="1:17" x14ac:dyDescent="0.3">
      <c r="A393">
        <f t="shared" si="48"/>
        <v>4.5199999999999472</v>
      </c>
      <c r="B393">
        <f>Main!$B$20/A393</f>
        <v>1.1061946902654995</v>
      </c>
      <c r="D393" s="132">
        <f t="shared" si="41"/>
        <v>1.1061946902654995</v>
      </c>
      <c r="E393" s="132">
        <f>-B393*Main!$B$19-2*Main!$B$19*loop_gain!$B$17*loop_gain!$B$18</f>
        <v>-88.874336283186011</v>
      </c>
      <c r="F393" s="132">
        <f>2*Main!$B$19*loop_gain!$B$17*loop_gain!$B$18*Helper_calcs!$B$26*Current_limit!B393</f>
        <v>321.96902654867637</v>
      </c>
      <c r="G393" s="132">
        <f t="shared" si="43"/>
        <v>3.8027341340881269</v>
      </c>
      <c r="H393" s="132">
        <f>(Main!$B$19-Current_limit!G393)*Current_limit!G393/(Main!$B$19*loop_gain!$B$17*loop_gain!$B$18)</f>
        <v>0.82465668556874461</v>
      </c>
      <c r="I393" s="132">
        <f t="shared" si="44"/>
        <v>3.0253433144312543</v>
      </c>
      <c r="J393" s="132"/>
      <c r="K393" s="133">
        <f>IF(A393&gt;$B$15,IF(I393&gt;Helper_calcs!$B$27,23,3),0)</f>
        <v>23</v>
      </c>
      <c r="L393">
        <f t="shared" si="42"/>
        <v>2</v>
      </c>
      <c r="M393">
        <f t="shared" si="45"/>
        <v>2</v>
      </c>
      <c r="N393" s="132">
        <f t="shared" si="46"/>
        <v>3.375</v>
      </c>
      <c r="O393" s="132">
        <f t="shared" si="47"/>
        <v>3.733407079646061</v>
      </c>
      <c r="P393" s="134">
        <f>IF(OR(M393=0,M393=3),loop_gain!$B$18,IF(Current_limit!M393=1,Current_limit!$B$12/(2*(Current_limit!N393-Helper_calcs!$B$27)),IF(OR(M393=2,M393=23),(Main!$B$19-Current_limit!O393)*Current_limit!O393/(Main!$B$19*loop_gain!$B$17*(Helper_calcs!$B$26-Helper_calcs!$B$27)),x)))</f>
        <v>1804827.8674503744</v>
      </c>
      <c r="Q393" s="132"/>
    </row>
    <row r="394" spans="1:17" x14ac:dyDescent="0.3">
      <c r="A394">
        <f t="shared" si="48"/>
        <v>4.529999999999947</v>
      </c>
      <c r="B394">
        <f>Main!$B$20/A394</f>
        <v>1.1037527593819114</v>
      </c>
      <c r="D394" s="132">
        <f t="shared" si="41"/>
        <v>1.1037527593819114</v>
      </c>
      <c r="E394" s="132">
        <f>-B394*Main!$B$19-2*Main!$B$19*loop_gain!$B$17*loop_gain!$B$18</f>
        <v>-88.845033112582939</v>
      </c>
      <c r="F394" s="132">
        <f>2*Main!$B$19*loop_gain!$B$17*loop_gain!$B$18*Helper_calcs!$B$26*Current_limit!B394</f>
        <v>321.25827814569919</v>
      </c>
      <c r="G394" s="132">
        <f t="shared" si="43"/>
        <v>3.7948465511106377</v>
      </c>
      <c r="H394" s="132">
        <f>(Main!$B$19-Current_limit!G394)*Current_limit!G394/(Main!$B$19*loop_gain!$B$17*loop_gain!$B$18)</f>
        <v>0.82373804938760176</v>
      </c>
      <c r="I394" s="132">
        <f t="shared" si="44"/>
        <v>3.0262619506123962</v>
      </c>
      <c r="J394" s="132"/>
      <c r="K394" s="133">
        <f>IF(A394&gt;$B$15,IF(I394&gt;Helper_calcs!$B$27,23,3),0)</f>
        <v>23</v>
      </c>
      <c r="L394">
        <f t="shared" si="42"/>
        <v>2</v>
      </c>
      <c r="M394">
        <f t="shared" si="45"/>
        <v>2</v>
      </c>
      <c r="N394" s="132">
        <f t="shared" si="46"/>
        <v>3.375</v>
      </c>
      <c r="O394" s="132">
        <f t="shared" si="47"/>
        <v>3.7251655629139511</v>
      </c>
      <c r="P394" s="134">
        <f>IF(OR(M394=0,M394=3),loop_gain!$B$18,IF(Current_limit!M394=1,Current_limit!$B$12/(2*(Current_limit!N394-Helper_calcs!$B$27)),IF(OR(M394=2,M394=23),(Main!$B$19-Current_limit!O394)*Current_limit!O394/(Main!$B$19*loop_gain!$B$17*(Helper_calcs!$B$26-Helper_calcs!$B$27)),x)))</f>
        <v>1802639.0809267485</v>
      </c>
      <c r="Q394" s="132"/>
    </row>
    <row r="395" spans="1:17" x14ac:dyDescent="0.3">
      <c r="A395">
        <f t="shared" si="48"/>
        <v>4.5399999999999467</v>
      </c>
      <c r="B395">
        <f>Main!$B$20/A395</f>
        <v>1.1013215859030967</v>
      </c>
      <c r="D395" s="132">
        <f t="shared" si="41"/>
        <v>1.1013215859030967</v>
      </c>
      <c r="E395" s="132">
        <f>-B395*Main!$B$19-2*Main!$B$19*loop_gain!$B$17*loop_gain!$B$18</f>
        <v>-88.815859030837174</v>
      </c>
      <c r="F395" s="132">
        <f>2*Main!$B$19*loop_gain!$B$17*loop_gain!$B$18*Helper_calcs!$B$26*Current_limit!B395</f>
        <v>320.5506607929554</v>
      </c>
      <c r="G395" s="132">
        <f t="shared" si="43"/>
        <v>3.7869933133351186</v>
      </c>
      <c r="H395" s="132">
        <f>(Main!$B$19-Current_limit!G395)*Current_limit!G395/(Main!$B$19*loop_gain!$B$17*loop_gain!$B$18)</f>
        <v>0.82282014298350581</v>
      </c>
      <c r="I395" s="132">
        <f t="shared" si="44"/>
        <v>3.0271798570164941</v>
      </c>
      <c r="J395" s="132"/>
      <c r="K395" s="133">
        <f>IF(A395&gt;$B$15,IF(I395&gt;Helper_calcs!$B$27,23,3),0)</f>
        <v>23</v>
      </c>
      <c r="L395">
        <f t="shared" si="42"/>
        <v>2</v>
      </c>
      <c r="M395">
        <f t="shared" si="45"/>
        <v>2</v>
      </c>
      <c r="N395" s="132">
        <f t="shared" si="46"/>
        <v>3.375</v>
      </c>
      <c r="O395" s="132">
        <f t="shared" si="47"/>
        <v>3.7169603524229515</v>
      </c>
      <c r="P395" s="134">
        <f>IF(OR(M395=0,M395=3),loop_gain!$B$18,IF(Current_limit!M395=1,Current_limit!$B$12/(2*(Current_limit!N395-Helper_calcs!$B$27)),IF(OR(M395=2,M395=23),(Main!$B$19-Current_limit!O395)*Current_limit!O395/(Main!$B$19*loop_gain!$B$17*(Helper_calcs!$B$26-Helper_calcs!$B$27)),x)))</f>
        <v>1800452.0448883779</v>
      </c>
      <c r="Q395" s="132"/>
    </row>
    <row r="396" spans="1:17" x14ac:dyDescent="0.3">
      <c r="A396">
        <f t="shared" si="48"/>
        <v>4.5499999999999465</v>
      </c>
      <c r="B396">
        <f>Main!$B$20/A396</f>
        <v>1.0989010989011119</v>
      </c>
      <c r="D396" s="132">
        <f t="shared" si="41"/>
        <v>1.0989010989011119</v>
      </c>
      <c r="E396" s="132">
        <f>-B396*Main!$B$19-2*Main!$B$19*loop_gain!$B$17*loop_gain!$B$18</f>
        <v>-88.786813186813347</v>
      </c>
      <c r="F396" s="132">
        <f>2*Main!$B$19*loop_gain!$B$17*loop_gain!$B$18*Helper_calcs!$B$26*Current_limit!B396</f>
        <v>319.84615384615768</v>
      </c>
      <c r="G396" s="132">
        <f t="shared" si="43"/>
        <v>3.7791741859464172</v>
      </c>
      <c r="H396" s="132">
        <f>(Main!$B$19-Current_limit!G396)*Current_limit!G396/(Main!$B$19*loop_gain!$B$17*loop_gain!$B$18)</f>
        <v>0.82190298157759889</v>
      </c>
      <c r="I396" s="132">
        <f t="shared" si="44"/>
        <v>3.0280970184223994</v>
      </c>
      <c r="J396" s="132"/>
      <c r="K396" s="133">
        <f>IF(A396&gt;$B$15,IF(I396&gt;Helper_calcs!$B$27,23,3),0)</f>
        <v>23</v>
      </c>
      <c r="L396">
        <f t="shared" si="42"/>
        <v>2</v>
      </c>
      <c r="M396">
        <f t="shared" si="45"/>
        <v>2</v>
      </c>
      <c r="N396" s="132">
        <f t="shared" si="46"/>
        <v>3.375</v>
      </c>
      <c r="O396" s="132">
        <f t="shared" si="47"/>
        <v>3.7087912087912525</v>
      </c>
      <c r="P396" s="134">
        <f>IF(OR(M396=0,M396=3),loop_gain!$B$18,IF(Current_limit!M396=1,Current_limit!$B$12/(2*(Current_limit!N396-Helper_calcs!$B$27)),IF(OR(M396=2,M396=23),(Main!$B$19-Current_limit!O396)*Current_limit!O396/(Main!$B$19*loop_gain!$B$17*(Helper_calcs!$B$26-Helper_calcs!$B$27)),x)))</f>
        <v>1798266.7997127336</v>
      </c>
      <c r="Q396" s="132"/>
    </row>
    <row r="397" spans="1:17" x14ac:dyDescent="0.3">
      <c r="A397">
        <f t="shared" si="48"/>
        <v>4.5599999999999463</v>
      </c>
      <c r="B397">
        <f>Main!$B$20/A397</f>
        <v>1.0964912280701884</v>
      </c>
      <c r="D397" s="132">
        <f t="shared" si="41"/>
        <v>1.0964912280701884</v>
      </c>
      <c r="E397" s="132">
        <f>-B397*Main!$B$19-2*Main!$B$19*loop_gain!$B$17*loop_gain!$B$18</f>
        <v>-88.757894736842275</v>
      </c>
      <c r="F397" s="132">
        <f>2*Main!$B$19*loop_gain!$B$17*loop_gain!$B$18*Helper_calcs!$B$26*Current_limit!B397</f>
        <v>319.14473684210913</v>
      </c>
      <c r="G397" s="132">
        <f t="shared" si="43"/>
        <v>3.7713889363597444</v>
      </c>
      <c r="H397" s="132">
        <f>(Main!$B$19-Current_limit!G397)*Current_limit!G397/(Main!$B$19*loop_gain!$B$17*loop_gain!$B$18)</f>
        <v>0.82098658007990055</v>
      </c>
      <c r="I397" s="132">
        <f t="shared" si="44"/>
        <v>3.029013419920096</v>
      </c>
      <c r="J397" s="132"/>
      <c r="K397" s="133">
        <f>IF(A397&gt;$B$15,IF(I397&gt;Helper_calcs!$B$27,23,3),0)</f>
        <v>23</v>
      </c>
      <c r="L397">
        <f t="shared" si="42"/>
        <v>2</v>
      </c>
      <c r="M397">
        <f t="shared" si="45"/>
        <v>2</v>
      </c>
      <c r="N397" s="132">
        <f t="shared" si="46"/>
        <v>3.375</v>
      </c>
      <c r="O397" s="132">
        <f t="shared" si="47"/>
        <v>3.700657894736886</v>
      </c>
      <c r="P397" s="134">
        <f>IF(OR(M397=0,M397=3),loop_gain!$B$18,IF(Current_limit!M397=1,Current_limit!$B$12/(2*(Current_limit!N397-Helper_calcs!$B$27)),IF(OR(M397=2,M397=23),(Main!$B$19-Current_limit!O397)*Current_limit!O397/(Main!$B$19*loop_gain!$B$17*(Helper_calcs!$B$26-Helper_calcs!$B$27)),x)))</f>
        <v>1796083.3849686659</v>
      </c>
      <c r="Q397" s="132"/>
    </row>
    <row r="398" spans="1:17" x14ac:dyDescent="0.3">
      <c r="A398">
        <f t="shared" si="48"/>
        <v>4.5699999999999461</v>
      </c>
      <c r="B398">
        <f>Main!$B$20/A398</f>
        <v>1.0940919037199255</v>
      </c>
      <c r="D398" s="132">
        <f t="shared" si="41"/>
        <v>1.0940919037199255</v>
      </c>
      <c r="E398" s="132">
        <f>-B398*Main!$B$19-2*Main!$B$19*loop_gain!$B$17*loop_gain!$B$18</f>
        <v>-88.729102844639115</v>
      </c>
      <c r="F398" s="132">
        <f>2*Main!$B$19*loop_gain!$B$17*loop_gain!$B$18*Helper_calcs!$B$26*Current_limit!B398</f>
        <v>318.44638949672157</v>
      </c>
      <c r="G398" s="132">
        <f t="shared" si="43"/>
        <v>3.7636373341932288</v>
      </c>
      <c r="H398" s="132">
        <f>(Main!$B$19-Current_limit!G398)*Current_limit!G398/(Main!$B$19*loop_gain!$B$17*loop_gain!$B$18)</f>
        <v>0.82007095309485789</v>
      </c>
      <c r="I398" s="132">
        <f t="shared" si="44"/>
        <v>3.0299290469051412</v>
      </c>
      <c r="J398" s="132"/>
      <c r="K398" s="133">
        <f>IF(A398&gt;$B$15,IF(I398&gt;Helper_calcs!$B$27,23,3),0)</f>
        <v>23</v>
      </c>
      <c r="L398">
        <f t="shared" si="42"/>
        <v>2</v>
      </c>
      <c r="M398">
        <f t="shared" si="45"/>
        <v>2</v>
      </c>
      <c r="N398" s="132">
        <f t="shared" si="46"/>
        <v>3.375</v>
      </c>
      <c r="O398" s="132">
        <f t="shared" si="47"/>
        <v>3.6925601750547483</v>
      </c>
      <c r="P398" s="134">
        <f>IF(OR(M398=0,M398=3),loop_gain!$B$18,IF(Current_limit!M398=1,Current_limit!$B$12/(2*(Current_limit!N398-Helper_calcs!$B$27)),IF(OR(M398=2,M398=23),(Main!$B$19-Current_limit!O398)*Current_limit!O398/(Main!$B$19*loop_gain!$B$17*(Helper_calcs!$B$26-Helper_calcs!$B$27)),x)))</f>
        <v>1793901.839430212</v>
      </c>
      <c r="Q398" s="132"/>
    </row>
    <row r="399" spans="1:17" x14ac:dyDescent="0.3">
      <c r="A399">
        <f t="shared" si="48"/>
        <v>4.5799999999999459</v>
      </c>
      <c r="B399">
        <f>Main!$B$20/A399</f>
        <v>1.0917030567685719</v>
      </c>
      <c r="D399" s="132">
        <f t="shared" si="41"/>
        <v>1.0917030567685719</v>
      </c>
      <c r="E399" s="132">
        <f>-B399*Main!$B$19-2*Main!$B$19*loop_gain!$B$17*loop_gain!$B$18</f>
        <v>-88.700436681222868</v>
      </c>
      <c r="F399" s="132">
        <f>2*Main!$B$19*loop_gain!$B$17*loop_gain!$B$18*Helper_calcs!$B$26*Current_limit!B399</f>
        <v>317.75109170306064</v>
      </c>
      <c r="G399" s="132">
        <f t="shared" si="43"/>
        <v>3.7559191512408789</v>
      </c>
      <c r="H399" s="132">
        <f>(Main!$B$19-Current_limit!G399)*Current_limit!G399/(Main!$B$19*loop_gain!$B$17*loop_gain!$B$18)</f>
        <v>0.81915611492678686</v>
      </c>
      <c r="I399" s="132">
        <f t="shared" si="44"/>
        <v>3.0308438850732107</v>
      </c>
      <c r="J399" s="132"/>
      <c r="K399" s="133">
        <f>IF(A399&gt;$B$15,IF(I399&gt;Helper_calcs!$B$27,23,3),0)</f>
        <v>23</v>
      </c>
      <c r="L399">
        <f t="shared" si="42"/>
        <v>2</v>
      </c>
      <c r="M399">
        <f t="shared" si="45"/>
        <v>2</v>
      </c>
      <c r="N399" s="132">
        <f t="shared" si="46"/>
        <v>3.375</v>
      </c>
      <c r="O399" s="132">
        <f t="shared" si="47"/>
        <v>3.6844978165939302</v>
      </c>
      <c r="P399" s="134">
        <f>IF(OR(M399=0,M399=3),loop_gain!$B$18,IF(Current_limit!M399=1,Current_limit!$B$12/(2*(Current_limit!N399-Helper_calcs!$B$27)),IF(OR(M399=2,M399=23),(Main!$B$19-Current_limit!O399)*Current_limit!O399/(Main!$B$19*loop_gain!$B$17*(Helper_calcs!$B$26-Helper_calcs!$B$27)),x)))</f>
        <v>1791722.2010901589</v>
      </c>
      <c r="Q399" s="132"/>
    </row>
    <row r="400" spans="1:17" x14ac:dyDescent="0.3">
      <c r="A400">
        <f t="shared" si="48"/>
        <v>4.5899999999999457</v>
      </c>
      <c r="B400">
        <f>Main!$B$20/A400</f>
        <v>1.0893246187363963</v>
      </c>
      <c r="D400" s="132">
        <f t="shared" si="41"/>
        <v>1.0893246187363963</v>
      </c>
      <c r="E400" s="132">
        <f>-B400*Main!$B$19-2*Main!$B$19*loop_gain!$B$17*loop_gain!$B$18</f>
        <v>-88.671895424836762</v>
      </c>
      <c r="F400" s="132">
        <f>2*Main!$B$19*loop_gain!$B$17*loop_gain!$B$18*Helper_calcs!$B$26*Current_limit!B400</f>
        <v>317.05882352941558</v>
      </c>
      <c r="G400" s="132">
        <f t="shared" si="43"/>
        <v>3.748234161446006</v>
      </c>
      <c r="H400" s="132">
        <f>(Main!$B$19-Current_limit!G400)*Current_limit!G400/(Main!$B$19*loop_gain!$B$17*loop_gain!$B$18)</f>
        <v>0.81824207958521755</v>
      </c>
      <c r="I400" s="132">
        <f t="shared" si="44"/>
        <v>3.0317579204147842</v>
      </c>
      <c r="J400" s="132"/>
      <c r="K400" s="133">
        <f>IF(A400&gt;$B$15,IF(I400&gt;Helper_calcs!$B$27,23,3),0)</f>
        <v>23</v>
      </c>
      <c r="L400">
        <f t="shared" si="42"/>
        <v>2</v>
      </c>
      <c r="M400">
        <f t="shared" si="45"/>
        <v>2</v>
      </c>
      <c r="N400" s="132">
        <f t="shared" si="46"/>
        <v>3.375</v>
      </c>
      <c r="O400" s="132">
        <f t="shared" si="47"/>
        <v>3.6764705882353375</v>
      </c>
      <c r="P400" s="134">
        <f>IF(OR(M400=0,M400=3),loop_gain!$B$18,IF(Current_limit!M400=1,Current_limit!$B$12/(2*(Current_limit!N400-Helper_calcs!$B$27)),IF(OR(M400=2,M400=23),(Main!$B$19-Current_limit!O400)*Current_limit!O400/(Main!$B$19*loop_gain!$B$17*(Helper_calcs!$B$26-Helper_calcs!$B$27)),x)))</f>
        <v>1789544.5071733657</v>
      </c>
      <c r="Q400" s="132"/>
    </row>
    <row r="401" spans="1:17" x14ac:dyDescent="0.3">
      <c r="A401">
        <f t="shared" si="48"/>
        <v>4.5999999999999455</v>
      </c>
      <c r="B401">
        <f>Main!$B$20/A401</f>
        <v>1.0869565217391433</v>
      </c>
      <c r="D401" s="132">
        <f t="shared" si="41"/>
        <v>1.0869565217391433</v>
      </c>
      <c r="E401" s="132">
        <f>-B401*Main!$B$19-2*Main!$B$19*loop_gain!$B$17*loop_gain!$B$18</f>
        <v>-88.643478260869728</v>
      </c>
      <c r="F401" s="132">
        <f>2*Main!$B$19*loop_gain!$B$17*loop_gain!$B$18*Helper_calcs!$B$26*Current_limit!B401</f>
        <v>316.36956521739512</v>
      </c>
      <c r="G401" s="132">
        <f t="shared" si="43"/>
        <v>3.7405821408749738</v>
      </c>
      <c r="H401" s="132">
        <f>(Main!$B$19-Current_limit!G401)*Current_limit!G401/(Main!$B$19*loop_gain!$B$17*loop_gain!$B$18)</f>
        <v>0.81732886079012912</v>
      </c>
      <c r="I401" s="132">
        <f t="shared" si="44"/>
        <v>3.0326711392098709</v>
      </c>
      <c r="J401" s="132"/>
      <c r="K401" s="133">
        <f>IF(A401&gt;$B$15,IF(I401&gt;Helper_calcs!$B$27,23,3),0)</f>
        <v>23</v>
      </c>
      <c r="L401">
        <f t="shared" si="42"/>
        <v>2</v>
      </c>
      <c r="M401">
        <f t="shared" si="45"/>
        <v>2</v>
      </c>
      <c r="N401" s="132">
        <f t="shared" si="46"/>
        <v>3.375</v>
      </c>
      <c r="O401" s="132">
        <f t="shared" si="47"/>
        <v>3.6684782608696085</v>
      </c>
      <c r="P401" s="134">
        <f>IF(OR(M401=0,M401=3),loop_gain!$B$18,IF(Current_limit!M401=1,Current_limit!$B$12/(2*(Current_limit!N401-Helper_calcs!$B$27)),IF(OR(M401=2,M401=23),(Main!$B$19-Current_limit!O401)*Current_limit!O401/(Main!$B$19*loop_gain!$B$17*(Helper_calcs!$B$26-Helper_calcs!$B$27)),x)))</f>
        <v>1787368.7941498472</v>
      </c>
      <c r="Q401" s="132"/>
    </row>
    <row r="402" spans="1:17" x14ac:dyDescent="0.3">
      <c r="A402">
        <f t="shared" si="48"/>
        <v>4.6099999999999453</v>
      </c>
      <c r="B402">
        <f>Main!$B$20/A402</f>
        <v>1.0845986984815748</v>
      </c>
      <c r="D402" s="132">
        <f t="shared" si="41"/>
        <v>1.0845986984815748</v>
      </c>
      <c r="E402" s="132">
        <f>-B402*Main!$B$19-2*Main!$B$19*loop_gain!$B$17*loop_gain!$B$18</f>
        <v>-88.615184381778903</v>
      </c>
      <c r="F402" s="132">
        <f>2*Main!$B$19*loop_gain!$B$17*loop_gain!$B$18*Helper_calcs!$B$26*Current_limit!B402</f>
        <v>315.68329718004719</v>
      </c>
      <c r="G402" s="132">
        <f t="shared" si="43"/>
        <v>3.7329628676914259</v>
      </c>
      <c r="H402" s="132">
        <f>(Main!$B$19-Current_limit!G402)*Current_limit!G402/(Main!$B$19*loop_gain!$B$17*loop_gain!$B$18)</f>
        <v>0.81641647197709288</v>
      </c>
      <c r="I402" s="132">
        <f t="shared" si="44"/>
        <v>3.0335835280229069</v>
      </c>
      <c r="J402" s="132"/>
      <c r="K402" s="133">
        <f>IF(A402&gt;$B$15,IF(I402&gt;Helper_calcs!$B$27,23,3),0)</f>
        <v>23</v>
      </c>
      <c r="L402">
        <f t="shared" si="42"/>
        <v>2</v>
      </c>
      <c r="M402">
        <f t="shared" si="45"/>
        <v>2</v>
      </c>
      <c r="N402" s="132">
        <f t="shared" si="46"/>
        <v>3.375</v>
      </c>
      <c r="O402" s="132">
        <f t="shared" si="47"/>
        <v>3.6605206073753149</v>
      </c>
      <c r="P402" s="134">
        <f>IF(OR(M402=0,M402=3),loop_gain!$B$18,IF(Current_limit!M402=1,Current_limit!$B$12/(2*(Current_limit!N402-Helper_calcs!$B$27)),IF(OR(M402=2,M402=23),(Main!$B$19-Current_limit!O402)*Current_limit!O402/(Main!$B$19*loop_gain!$B$17*(Helper_calcs!$B$26-Helper_calcs!$B$27)),x)))</f>
        <v>1785195.0977476276</v>
      </c>
      <c r="Q402" s="132"/>
    </row>
    <row r="403" spans="1:17" x14ac:dyDescent="0.3">
      <c r="A403">
        <f t="shared" si="48"/>
        <v>4.619999999999945</v>
      </c>
      <c r="B403">
        <f>Main!$B$20/A403</f>
        <v>1.0822510822510951</v>
      </c>
      <c r="D403" s="132">
        <f t="shared" si="41"/>
        <v>1.0822510822510951</v>
      </c>
      <c r="E403" s="132">
        <f>-B403*Main!$B$19-2*Main!$B$19*loop_gain!$B$17*loop_gain!$B$18</f>
        <v>-88.587012987013154</v>
      </c>
      <c r="F403" s="132">
        <f>2*Main!$B$19*loop_gain!$B$17*loop_gain!$B$18*Helper_calcs!$B$26*Current_limit!B403</f>
        <v>315.00000000000381</v>
      </c>
      <c r="G403" s="132">
        <f t="shared" si="43"/>
        <v>3.7253761221308275</v>
      </c>
      <c r="H403" s="132">
        <f>(Main!$B$19-Current_limit!G403)*Current_limit!G403/(Main!$B$19*loop_gain!$B$17*loop_gain!$B$18)</f>
        <v>0.81550492630231231</v>
      </c>
      <c r="I403" s="132">
        <f t="shared" si="44"/>
        <v>3.0344950736976877</v>
      </c>
      <c r="J403" s="132"/>
      <c r="K403" s="133">
        <f>IF(A403&gt;$B$15,IF(I403&gt;Helper_calcs!$B$27,23,3),0)</f>
        <v>23</v>
      </c>
      <c r="L403">
        <f t="shared" si="42"/>
        <v>2</v>
      </c>
      <c r="M403">
        <f t="shared" si="45"/>
        <v>2</v>
      </c>
      <c r="N403" s="132">
        <f t="shared" si="46"/>
        <v>3.375</v>
      </c>
      <c r="O403" s="132">
        <f t="shared" si="47"/>
        <v>3.6525974025974461</v>
      </c>
      <c r="P403" s="134">
        <f>IF(OR(M403=0,M403=3),loop_gain!$B$18,IF(Current_limit!M403=1,Current_limit!$B$12/(2*(Current_limit!N403-Helper_calcs!$B$27)),IF(OR(M403=2,M403=23),(Main!$B$19-Current_limit!O403)*Current_limit!O403/(Main!$B$19*loop_gain!$B$17*(Helper_calcs!$B$26-Helper_calcs!$B$27)),x)))</f>
        <v>1783023.4529653646</v>
      </c>
      <c r="Q403" s="132"/>
    </row>
    <row r="404" spans="1:17" x14ac:dyDescent="0.3">
      <c r="A404">
        <f t="shared" si="48"/>
        <v>4.6299999999999448</v>
      </c>
      <c r="B404">
        <f>Main!$B$20/A404</f>
        <v>1.0799136069114599</v>
      </c>
      <c r="D404" s="132">
        <f t="shared" si="41"/>
        <v>1.0799136069114599</v>
      </c>
      <c r="E404" s="132">
        <f>-B404*Main!$B$19-2*Main!$B$19*loop_gain!$B$17*loop_gain!$B$18</f>
        <v>-88.558963282937526</v>
      </c>
      <c r="F404" s="132">
        <f>2*Main!$B$19*loop_gain!$B$17*loop_gain!$B$18*Helper_calcs!$B$26*Current_limit!B404</f>
        <v>314.3196544276496</v>
      </c>
      <c r="G404" s="132">
        <f t="shared" si="43"/>
        <v>3.717821686475435</v>
      </c>
      <c r="H404" s="132">
        <f>(Main!$B$19-Current_limit!G404)*Current_limit!G404/(Main!$B$19*loop_gain!$B$17*loop_gain!$B$18)</f>
        <v>0.81459423664757058</v>
      </c>
      <c r="I404" s="132">
        <f t="shared" si="44"/>
        <v>3.035405763352427</v>
      </c>
      <c r="J404" s="132"/>
      <c r="K404" s="133">
        <f>IF(A404&gt;$B$15,IF(I404&gt;Helper_calcs!$B$27,23,3),0)</f>
        <v>23</v>
      </c>
      <c r="L404">
        <f t="shared" si="42"/>
        <v>2</v>
      </c>
      <c r="M404">
        <f t="shared" si="45"/>
        <v>2</v>
      </c>
      <c r="N404" s="132">
        <f t="shared" si="46"/>
        <v>3.375</v>
      </c>
      <c r="O404" s="132">
        <f t="shared" si="47"/>
        <v>3.6447084233261773</v>
      </c>
      <c r="P404" s="134">
        <f>IF(OR(M404=0,M404=3),loop_gain!$B$18,IF(Current_limit!M404=1,Current_limit!$B$12/(2*(Current_limit!N404-Helper_calcs!$B$27)),IF(OR(M404=2,M404=23),(Main!$B$19-Current_limit!O404)*Current_limit!O404/(Main!$B$19*loop_gain!$B$17*(Helper_calcs!$B$26-Helper_calcs!$B$27)),x)))</f>
        <v>1780853.8940847563</v>
      </c>
      <c r="Q404" s="132"/>
    </row>
    <row r="405" spans="1:17" x14ac:dyDescent="0.3">
      <c r="A405">
        <f t="shared" si="48"/>
        <v>4.6399999999999446</v>
      </c>
      <c r="B405">
        <f>Main!$B$20/A405</f>
        <v>1.0775862068965645</v>
      </c>
      <c r="D405" s="132">
        <f t="shared" si="41"/>
        <v>1.0775862068965645</v>
      </c>
      <c r="E405" s="132">
        <f>-B405*Main!$B$19-2*Main!$B$19*loop_gain!$B$17*loop_gain!$B$18</f>
        <v>-88.531034482758784</v>
      </c>
      <c r="F405" s="132">
        <f>2*Main!$B$19*loop_gain!$B$17*loop_gain!$B$18*Helper_calcs!$B$26*Current_limit!B405</f>
        <v>313.6422413793141</v>
      </c>
      <c r="G405" s="132">
        <f t="shared" si="43"/>
        <v>3.7102993450296342</v>
      </c>
      <c r="H405" s="132">
        <f>(Main!$B$19-Current_limit!G405)*Current_limit!G405/(Main!$B$19*loop_gain!$B$17*loop_gain!$B$18)</f>
        <v>0.81368441562508664</v>
      </c>
      <c r="I405" s="132">
        <f t="shared" si="44"/>
        <v>3.0363155843749166</v>
      </c>
      <c r="J405" s="132"/>
      <c r="K405" s="133">
        <f>IF(A405&gt;$B$15,IF(I405&gt;Helper_calcs!$B$27,23,3),0)</f>
        <v>23</v>
      </c>
      <c r="L405">
        <f t="shared" si="42"/>
        <v>2</v>
      </c>
      <c r="M405">
        <f t="shared" si="45"/>
        <v>2</v>
      </c>
      <c r="N405" s="132">
        <f t="shared" si="46"/>
        <v>3.375</v>
      </c>
      <c r="O405" s="132">
        <f t="shared" si="47"/>
        <v>3.6368534482759052</v>
      </c>
      <c r="P405" s="134">
        <f>IF(OR(M405=0,M405=3),loop_gain!$B$18,IF(Current_limit!M405=1,Current_limit!$B$12/(2*(Current_limit!N405-Helper_calcs!$B$27)),IF(OR(M405=2,M405=23),(Main!$B$19-Current_limit!O405)*Current_limit!O405/(Main!$B$19*loop_gain!$B$17*(Helper_calcs!$B$26-Helper_calcs!$B$27)),x)))</f>
        <v>1778686.4546827201</v>
      </c>
      <c r="Q405" s="132"/>
    </row>
    <row r="406" spans="1:17" x14ac:dyDescent="0.3">
      <c r="A406">
        <f t="shared" si="48"/>
        <v>4.6499999999999444</v>
      </c>
      <c r="B406">
        <f>Main!$B$20/A406</f>
        <v>1.0752688172043139</v>
      </c>
      <c r="D406" s="132">
        <f t="shared" si="41"/>
        <v>1.0752688172043139</v>
      </c>
      <c r="E406" s="132">
        <f>-B406*Main!$B$19-2*Main!$B$19*loop_gain!$B$17*loop_gain!$B$18</f>
        <v>-88.50322580645178</v>
      </c>
      <c r="F406" s="132">
        <f>2*Main!$B$19*loop_gain!$B$17*loop_gain!$B$18*Helper_calcs!$B$26*Current_limit!B406</f>
        <v>312.96774193548765</v>
      </c>
      <c r="G406" s="132">
        <f t="shared" si="43"/>
        <v>3.7028088840955942</v>
      </c>
      <c r="H406" s="132">
        <f>(Main!$B$19-Current_limit!G406)*Current_limit!G406/(Main!$B$19*loop_gain!$B$17*loop_gain!$B$18)</f>
        <v>0.81277547558227159</v>
      </c>
      <c r="I406" s="132">
        <f t="shared" si="44"/>
        <v>3.0372245244177258</v>
      </c>
      <c r="J406" s="132"/>
      <c r="K406" s="133">
        <f>IF(A406&gt;$B$15,IF(I406&gt;Helper_calcs!$B$27,23,3),0)</f>
        <v>23</v>
      </c>
      <c r="L406">
        <f t="shared" si="42"/>
        <v>2</v>
      </c>
      <c r="M406">
        <f t="shared" si="45"/>
        <v>2</v>
      </c>
      <c r="N406" s="132">
        <f t="shared" si="46"/>
        <v>3.375</v>
      </c>
      <c r="O406" s="132">
        <f t="shared" si="47"/>
        <v>3.6290322580645595</v>
      </c>
      <c r="P406" s="134">
        <f>IF(OR(M406=0,M406=3),loop_gain!$B$18,IF(Current_limit!M406=1,Current_limit!$B$12/(2*(Current_limit!N406-Helper_calcs!$B$27)),IF(OR(M406=2,M406=23),(Main!$B$19-Current_limit!O406)*Current_limit!O406/(Main!$B$19*loop_gain!$B$17*(Helper_calcs!$B$26-Helper_calcs!$B$27)),x)))</f>
        <v>1776521.1676433659</v>
      </c>
      <c r="Q406" s="132"/>
    </row>
    <row r="407" spans="1:17" x14ac:dyDescent="0.3">
      <c r="A407">
        <f t="shared" si="48"/>
        <v>4.6599999999999442</v>
      </c>
      <c r="B407">
        <f>Main!$B$20/A407</f>
        <v>1.0729613733905707</v>
      </c>
      <c r="D407" s="132">
        <f t="shared" ref="D407:D470" si="49">B407</f>
        <v>1.0729613733905707</v>
      </c>
      <c r="E407" s="132">
        <f>-B407*Main!$B$19-2*Main!$B$19*loop_gain!$B$17*loop_gain!$B$18</f>
        <v>-88.475536480686856</v>
      </c>
      <c r="F407" s="132">
        <f>2*Main!$B$19*loop_gain!$B$17*loop_gain!$B$18*Helper_calcs!$B$26*Current_limit!B407</f>
        <v>312.29613733905956</v>
      </c>
      <c r="G407" s="132">
        <f t="shared" si="43"/>
        <v>3.6953500919493916</v>
      </c>
      <c r="H407" s="132">
        <f>(Main!$B$19-Current_limit!G407)*Current_limit!G407/(Main!$B$19*loop_gain!$B$17*loop_gain!$B$18)</f>
        <v>0.81186742860641048</v>
      </c>
      <c r="I407" s="132">
        <f t="shared" si="44"/>
        <v>3.0381325713935867</v>
      </c>
      <c r="J407" s="132"/>
      <c r="K407" s="133">
        <f>IF(A407&gt;$B$15,IF(I407&gt;Helper_calcs!$B$27,23,3),0)</f>
        <v>23</v>
      </c>
      <c r="L407">
        <f t="shared" ref="L407:L470" si="50">IF(A407&gt;$B$13,IF(A407&gt;$B$14,2,1),0)</f>
        <v>2</v>
      </c>
      <c r="M407">
        <f t="shared" si="45"/>
        <v>2</v>
      </c>
      <c r="N407" s="132">
        <f t="shared" si="46"/>
        <v>3.375</v>
      </c>
      <c r="O407" s="132">
        <f t="shared" si="47"/>
        <v>3.6212446351931762</v>
      </c>
      <c r="P407" s="134">
        <f>IF(OR(M407=0,M407=3),loop_gain!$B$18,IF(Current_limit!M407=1,Current_limit!$B$12/(2*(Current_limit!N407-Helper_calcs!$B$27)),IF(OR(M407=2,M407=23),(Main!$B$19-Current_limit!O407)*Current_limit!O407/(Main!$B$19*loop_gain!$B$17*(Helper_calcs!$B$26-Helper_calcs!$B$27)),x)))</f>
        <v>1774358.0651697516</v>
      </c>
      <c r="Q407" s="132"/>
    </row>
    <row r="408" spans="1:17" x14ac:dyDescent="0.3">
      <c r="A408">
        <f t="shared" si="48"/>
        <v>4.669999999999944</v>
      </c>
      <c r="B408">
        <f>Main!$B$20/A408</f>
        <v>1.0706638115631819</v>
      </c>
      <c r="D408" s="132">
        <f t="shared" si="49"/>
        <v>1.0706638115631819</v>
      </c>
      <c r="E408" s="132">
        <f>-B408*Main!$B$19-2*Main!$B$19*loop_gain!$B$17*loop_gain!$B$18</f>
        <v>-88.447965738758199</v>
      </c>
      <c r="F408" s="132">
        <f>2*Main!$B$19*loop_gain!$B$17*loop_gain!$B$18*Helper_calcs!$B$26*Current_limit!B408</f>
        <v>311.62740899357976</v>
      </c>
      <c r="G408" s="132">
        <f t="shared" ref="G408:G471" si="51">(-E408-SQRT(E408^2-4*D408*F408))/(2*D408)</f>
        <v>3.6879227588173698</v>
      </c>
      <c r="H408" s="132">
        <f>(Main!$B$19-Current_limit!G408)*Current_limit!G408/(Main!$B$19*loop_gain!$B$17*loop_gain!$B$18)</f>
        <v>0.81096028652924113</v>
      </c>
      <c r="I408" s="132">
        <f t="shared" ref="I408:I471" si="52">(G408/B408)-0.5*H408</f>
        <v>3.0390397134707618</v>
      </c>
      <c r="J408" s="132"/>
      <c r="K408" s="133">
        <f>IF(A408&gt;$B$15,IF(I408&gt;Helper_calcs!$B$27,23,3),0)</f>
        <v>23</v>
      </c>
      <c r="L408">
        <f t="shared" si="50"/>
        <v>2</v>
      </c>
      <c r="M408">
        <f t="shared" ref="M408:M471" si="53">IF($B$16="N",L408,K408)</f>
        <v>2</v>
      </c>
      <c r="N408" s="132">
        <f t="shared" ref="N408:N471" si="54">IF(OR(M408=0,M408=1),A408,IF(OR(M408=2,M408=23),$B$14,G408/B408))</f>
        <v>3.375</v>
      </c>
      <c r="O408" s="132">
        <f t="shared" ref="O408:O471" si="55">N408*B408</f>
        <v>3.613490364025739</v>
      </c>
      <c r="P408" s="134">
        <f>IF(OR(M408=0,M408=3),loop_gain!$B$18,IF(Current_limit!M408=1,Current_limit!$B$12/(2*(Current_limit!N408-Helper_calcs!$B$27)),IF(OR(M408=2,M408=23),(Main!$B$19-Current_limit!O408)*Current_limit!O408/(Main!$B$19*loop_gain!$B$17*(Helper_calcs!$B$26-Helper_calcs!$B$27)),x)))</f>
        <v>1772197.1787954383</v>
      </c>
      <c r="Q408" s="132"/>
    </row>
    <row r="409" spans="1:17" x14ac:dyDescent="0.3">
      <c r="A409">
        <f t="shared" si="48"/>
        <v>4.6799999999999438</v>
      </c>
      <c r="B409">
        <f>Main!$B$20/A409</f>
        <v>1.0683760683760812</v>
      </c>
      <c r="D409" s="132">
        <f t="shared" si="49"/>
        <v>1.0683760683760812</v>
      </c>
      <c r="E409" s="132">
        <f>-B409*Main!$B$19-2*Main!$B$19*loop_gain!$B$17*loop_gain!$B$18</f>
        <v>-88.420512820512982</v>
      </c>
      <c r="F409" s="132">
        <f>2*Main!$B$19*loop_gain!$B$17*loop_gain!$B$18*Helper_calcs!$B$26*Current_limit!B409</f>
        <v>310.96153846154226</v>
      </c>
      <c r="G409" s="132">
        <f t="shared" si="51"/>
        <v>3.6805266768529044</v>
      </c>
      <c r="H409" s="132">
        <f>(Main!$B$19-Current_limit!G409)*Current_limit!G409/(Main!$B$19*loop_gain!$B$17*loop_gain!$B$18)</f>
        <v>0.81005406093145416</v>
      </c>
      <c r="I409" s="132">
        <f t="shared" si="52"/>
        <v>3.0399459390685504</v>
      </c>
      <c r="J409" s="132"/>
      <c r="K409" s="133">
        <f>IF(A409&gt;$B$15,IF(I409&gt;Helper_calcs!$B$27,23,3),0)</f>
        <v>23</v>
      </c>
      <c r="L409">
        <f t="shared" si="50"/>
        <v>2</v>
      </c>
      <c r="M409">
        <f t="shared" si="53"/>
        <v>2</v>
      </c>
      <c r="N409" s="132">
        <f t="shared" si="54"/>
        <v>3.375</v>
      </c>
      <c r="O409" s="132">
        <f t="shared" si="55"/>
        <v>3.6057692307692744</v>
      </c>
      <c r="P409" s="134">
        <f>IF(OR(M409=0,M409=3),loop_gain!$B$18,IF(Current_limit!M409=1,Current_limit!$B$12/(2*(Current_limit!N409-Helper_calcs!$B$27)),IF(OR(M409=2,M409=23),(Main!$B$19-Current_limit!O409)*Current_limit!O409/(Main!$B$19*loop_gain!$B$17*(Helper_calcs!$B$26-Helper_calcs!$B$27)),x)))</f>
        <v>1770038.5393958387</v>
      </c>
      <c r="Q409" s="132"/>
    </row>
    <row r="410" spans="1:17" x14ac:dyDescent="0.3">
      <c r="A410">
        <f t="shared" si="48"/>
        <v>4.6899999999999435</v>
      </c>
      <c r="B410">
        <f>Main!$B$20/A410</f>
        <v>1.066098081023467</v>
      </c>
      <c r="D410" s="132">
        <f t="shared" si="49"/>
        <v>1.066098081023467</v>
      </c>
      <c r="E410" s="132">
        <f>-B410*Main!$B$19-2*Main!$B$19*loop_gain!$B$17*loop_gain!$B$18</f>
        <v>-88.393176972281609</v>
      </c>
      <c r="F410" s="132">
        <f>2*Main!$B$19*loop_gain!$B$17*loop_gain!$B$18*Helper_calcs!$B$26*Current_limit!B410</f>
        <v>310.2985074626904</v>
      </c>
      <c r="G410" s="132">
        <f t="shared" si="51"/>
        <v>3.6731616401135221</v>
      </c>
      <c r="H410" s="132">
        <f>(Main!$B$19-Current_limit!G410)*Current_limit!G410/(Main!$B$19*loop_gain!$B$17*loop_gain!$B$18)</f>
        <v>0.80914876314711115</v>
      </c>
      <c r="I410" s="132">
        <f t="shared" si="52"/>
        <v>3.0408512368528866</v>
      </c>
      <c r="J410" s="132"/>
      <c r="K410" s="133">
        <f>IF(A410&gt;$B$15,IF(I410&gt;Helper_calcs!$B$27,23,3),0)</f>
        <v>23</v>
      </c>
      <c r="L410">
        <f t="shared" si="50"/>
        <v>2</v>
      </c>
      <c r="M410">
        <f t="shared" si="53"/>
        <v>2</v>
      </c>
      <c r="N410" s="132">
        <f t="shared" si="54"/>
        <v>3.375</v>
      </c>
      <c r="O410" s="132">
        <f t="shared" si="55"/>
        <v>3.5980810234542013</v>
      </c>
      <c r="P410" s="134">
        <f>IF(OR(M410=0,M410=3),loop_gain!$B$18,IF(Current_limit!M410=1,Current_limit!$B$12/(2*(Current_limit!N410-Helper_calcs!$B$27)),IF(OR(M410=2,M410=23),(Main!$B$19-Current_limit!O410)*Current_limit!O410/(Main!$B$19*loop_gain!$B$17*(Helper_calcs!$B$26-Helper_calcs!$B$27)),x)))</f>
        <v>1767882.1771993672</v>
      </c>
      <c r="Q410" s="132"/>
    </row>
    <row r="411" spans="1:17" x14ac:dyDescent="0.3">
      <c r="A411">
        <f t="shared" si="48"/>
        <v>4.6999999999999433</v>
      </c>
      <c r="B411">
        <f>Main!$B$20/A411</f>
        <v>1.0638297872340554</v>
      </c>
      <c r="D411" s="132">
        <f t="shared" si="49"/>
        <v>1.0638297872340554</v>
      </c>
      <c r="E411" s="132">
        <f>-B411*Main!$B$19-2*Main!$B$19*loop_gain!$B$17*loop_gain!$B$18</f>
        <v>-88.365957446808679</v>
      </c>
      <c r="F411" s="132">
        <f>2*Main!$B$19*loop_gain!$B$17*loop_gain!$B$18*Helper_calcs!$B$26*Current_limit!B411</f>
        <v>309.63829787234425</v>
      </c>
      <c r="G411" s="132">
        <f t="shared" si="51"/>
        <v>3.6658274445383534</v>
      </c>
      <c r="H411" s="132">
        <f>(Main!$B$19-Current_limit!G411)*Current_limit!G411/(Main!$B$19*loop_gain!$B$17*loop_gain!$B$18)</f>
        <v>0.80824440426797994</v>
      </c>
      <c r="I411" s="132">
        <f t="shared" si="52"/>
        <v>3.0417555957320204</v>
      </c>
      <c r="J411" s="132"/>
      <c r="K411" s="133">
        <f>IF(A411&gt;$B$15,IF(I411&gt;Helper_calcs!$B$27,23,3),0)</f>
        <v>23</v>
      </c>
      <c r="L411">
        <f t="shared" si="50"/>
        <v>2</v>
      </c>
      <c r="M411">
        <f t="shared" si="53"/>
        <v>2</v>
      </c>
      <c r="N411" s="132">
        <f t="shared" si="54"/>
        <v>3.375</v>
      </c>
      <c r="O411" s="132">
        <f t="shared" si="55"/>
        <v>3.5904255319149372</v>
      </c>
      <c r="P411" s="134">
        <f>IF(OR(M411=0,M411=3),loop_gain!$B$18,IF(Current_limit!M411=1,Current_limit!$B$12/(2*(Current_limit!N411-Helper_calcs!$B$27)),IF(OR(M411=2,M411=23),(Main!$B$19-Current_limit!O411)*Current_limit!O411/(Main!$B$19*loop_gain!$B$17*(Helper_calcs!$B$26-Helper_calcs!$B$27)),x)))</f>
        <v>1765728.1217983968</v>
      </c>
      <c r="Q411" s="132"/>
    </row>
    <row r="412" spans="1:17" x14ac:dyDescent="0.3">
      <c r="A412">
        <f t="shared" si="48"/>
        <v>4.7099999999999431</v>
      </c>
      <c r="B412">
        <f>Main!$B$20/A412</f>
        <v>1.0615711252654056</v>
      </c>
      <c r="D412" s="132">
        <f t="shared" si="49"/>
        <v>1.0615711252654056</v>
      </c>
      <c r="E412" s="132">
        <f>-B412*Main!$B$19-2*Main!$B$19*loop_gain!$B$17*loop_gain!$B$18</f>
        <v>-88.338853503184879</v>
      </c>
      <c r="F412" s="132">
        <f>2*Main!$B$19*loop_gain!$B$17*loop_gain!$B$18*Helper_calcs!$B$26*Current_limit!B412</f>
        <v>308.98089171974902</v>
      </c>
      <c r="G412" s="132">
        <f t="shared" si="51"/>
        <v>3.658523887925849</v>
      </c>
      <c r="H412" s="132">
        <f>(Main!$B$19-Current_limit!G412)*Current_limit!G412/(Main!$B$19*loop_gain!$B$17*loop_gain!$B$18)</f>
        <v>0.80734099514778079</v>
      </c>
      <c r="I412" s="132">
        <f t="shared" si="52"/>
        <v>3.0426590048522177</v>
      </c>
      <c r="J412" s="132"/>
      <c r="K412" s="133">
        <f>IF(A412&gt;$B$15,IF(I412&gt;Helper_calcs!$B$27,23,3),0)</f>
        <v>23</v>
      </c>
      <c r="L412">
        <f t="shared" si="50"/>
        <v>2</v>
      </c>
      <c r="M412">
        <f t="shared" si="53"/>
        <v>2</v>
      </c>
      <c r="N412" s="132">
        <f t="shared" si="54"/>
        <v>3.375</v>
      </c>
      <c r="O412" s="132">
        <f t="shared" si="55"/>
        <v>3.5828025477707439</v>
      </c>
      <c r="P412" s="134">
        <f>IF(OR(M412=0,M412=3),loop_gain!$B$18,IF(Current_limit!M412=1,Current_limit!$B$12/(2*(Current_limit!N412-Helper_calcs!$B$27)),IF(OR(M412=2,M412=23),(Main!$B$19-Current_limit!O412)*Current_limit!O412/(Main!$B$19*loop_gain!$B$17*(Helper_calcs!$B$26-Helper_calcs!$B$27)),x)))</f>
        <v>1763576.4021600226</v>
      </c>
      <c r="Q412" s="132"/>
    </row>
    <row r="413" spans="1:17" x14ac:dyDescent="0.3">
      <c r="A413">
        <f t="shared" si="48"/>
        <v>4.7199999999999429</v>
      </c>
      <c r="B413">
        <f>Main!$B$20/A413</f>
        <v>1.0593220338983178</v>
      </c>
      <c r="D413" s="132">
        <f t="shared" si="49"/>
        <v>1.0593220338983178</v>
      </c>
      <c r="E413" s="132">
        <f>-B413*Main!$B$19-2*Main!$B$19*loop_gain!$B$17*loop_gain!$B$18</f>
        <v>-88.311864406779819</v>
      </c>
      <c r="F413" s="132">
        <f>2*Main!$B$19*loop_gain!$B$17*loop_gain!$B$18*Helper_calcs!$B$26*Current_limit!B413</f>
        <v>308.32627118644444</v>
      </c>
      <c r="G413" s="132">
        <f t="shared" si="51"/>
        <v>3.6512507699119285</v>
      </c>
      <c r="H413" s="132">
        <f>(Main!$B$19-Current_limit!G413)*Current_limit!G413/(Main!$B$19*loop_gain!$B$17*loop_gain!$B$18)</f>
        <v>0.80643854640636736</v>
      </c>
      <c r="I413" s="132">
        <f t="shared" si="52"/>
        <v>3.0435614535936355</v>
      </c>
      <c r="J413" s="132"/>
      <c r="K413" s="133">
        <f>IF(A413&gt;$B$15,IF(I413&gt;Helper_calcs!$B$27,23,3),0)</f>
        <v>23</v>
      </c>
      <c r="L413">
        <f t="shared" si="50"/>
        <v>2</v>
      </c>
      <c r="M413">
        <f t="shared" si="53"/>
        <v>2</v>
      </c>
      <c r="N413" s="132">
        <f t="shared" si="54"/>
        <v>3.375</v>
      </c>
      <c r="O413" s="132">
        <f t="shared" si="55"/>
        <v>3.5752118644068225</v>
      </c>
      <c r="P413" s="134">
        <f>IF(OR(M413=0,M413=3),loop_gain!$B$18,IF(Current_limit!M413=1,Current_limit!$B$12/(2*(Current_limit!N413-Helper_calcs!$B$27)),IF(OR(M413=2,M413=23),(Main!$B$19-Current_limit!O413)*Current_limit!O413/(Main!$B$19*loop_gain!$B$17*(Helper_calcs!$B$26-Helper_calcs!$B$27)),x)))</f>
        <v>1761427.0466366406</v>
      </c>
      <c r="Q413" s="132"/>
    </row>
    <row r="414" spans="1:17" x14ac:dyDescent="0.3">
      <c r="A414">
        <f t="shared" si="48"/>
        <v>4.7299999999999427</v>
      </c>
      <c r="B414">
        <f>Main!$B$20/A414</f>
        <v>1.0570824524313025</v>
      </c>
      <c r="D414" s="132">
        <f t="shared" si="49"/>
        <v>1.0570824524313025</v>
      </c>
      <c r="E414" s="132">
        <f>-B414*Main!$B$19-2*Main!$B$19*loop_gain!$B$17*loop_gain!$B$18</f>
        <v>-88.284989429175639</v>
      </c>
      <c r="F414" s="132">
        <f>2*Main!$B$19*loop_gain!$B$17*loop_gain!$B$18*Helper_calcs!$B$26*Current_limit!B414</f>
        <v>307.67441860465499</v>
      </c>
      <c r="G414" s="132">
        <f t="shared" si="51"/>
        <v>3.6440078919483465</v>
      </c>
      <c r="H414" s="132">
        <f>(Main!$B$19-Current_limit!G414)*Current_limit!G414/(Main!$B$19*loop_gain!$B$17*loop_gain!$B$18)</f>
        <v>0.80553706843381812</v>
      </c>
      <c r="I414" s="132">
        <f t="shared" si="52"/>
        <v>3.0444629315661849</v>
      </c>
      <c r="J414" s="132"/>
      <c r="K414" s="133">
        <f>IF(A414&gt;$B$15,IF(I414&gt;Helper_calcs!$B$27,23,3),0)</f>
        <v>23</v>
      </c>
      <c r="L414">
        <f t="shared" si="50"/>
        <v>2</v>
      </c>
      <c r="M414">
        <f t="shared" si="53"/>
        <v>2</v>
      </c>
      <c r="N414" s="132">
        <f t="shared" si="54"/>
        <v>3.375</v>
      </c>
      <c r="O414" s="132">
        <f t="shared" si="55"/>
        <v>3.5676532769556459</v>
      </c>
      <c r="P414" s="134">
        <f>IF(OR(M414=0,M414=3),loop_gain!$B$18,IF(Current_limit!M414=1,Current_limit!$B$12/(2*(Current_limit!N414-Helper_calcs!$B$27)),IF(OR(M414=2,M414=23),(Main!$B$19-Current_limit!O414)*Current_limit!O414/(Main!$B$19*loop_gain!$B$17*(Helper_calcs!$B$26-Helper_calcs!$B$27)),x)))</f>
        <v>1759280.0829763385</v>
      </c>
      <c r="Q414" s="132"/>
    </row>
    <row r="415" spans="1:17" x14ac:dyDescent="0.3">
      <c r="A415">
        <f t="shared" si="48"/>
        <v>4.7399999999999425</v>
      </c>
      <c r="B415">
        <f>Main!$B$20/A415</f>
        <v>1.0548523206751184</v>
      </c>
      <c r="D415" s="132">
        <f t="shared" si="49"/>
        <v>1.0548523206751184</v>
      </c>
      <c r="E415" s="132">
        <f>-B415*Main!$B$19-2*Main!$B$19*loop_gain!$B$17*loop_gain!$B$18</f>
        <v>-88.258227848101427</v>
      </c>
      <c r="F415" s="132">
        <f>2*Main!$B$19*loop_gain!$B$17*loop_gain!$B$18*Helper_calcs!$B$26*Current_limit!B415</f>
        <v>307.02531645570002</v>
      </c>
      <c r="G415" s="132">
        <f t="shared" si="51"/>
        <v>3.63679505728145</v>
      </c>
      <c r="H415" s="132">
        <f>(Main!$B$19-Current_limit!G415)*Current_limit!G415/(Main!$B$19*loop_gain!$B$17*loop_gain!$B$18)</f>
        <v>0.80463657139446054</v>
      </c>
      <c r="I415" s="132">
        <f t="shared" si="52"/>
        <v>3.0453634286055422</v>
      </c>
      <c r="J415" s="132"/>
      <c r="K415" s="133">
        <f>IF(A415&gt;$B$15,IF(I415&gt;Helper_calcs!$B$27,23,3),0)</f>
        <v>23</v>
      </c>
      <c r="L415">
        <f t="shared" si="50"/>
        <v>2</v>
      </c>
      <c r="M415">
        <f t="shared" si="53"/>
        <v>2</v>
      </c>
      <c r="N415" s="132">
        <f t="shared" si="54"/>
        <v>3.375</v>
      </c>
      <c r="O415" s="132">
        <f t="shared" si="55"/>
        <v>3.5601265822785244</v>
      </c>
      <c r="P415" s="134">
        <f>IF(OR(M415=0,M415=3),loop_gain!$B$18,IF(Current_limit!M415=1,Current_limit!$B$12/(2*(Current_limit!N415-Helper_calcs!$B$27)),IF(OR(M415=2,M415=23),(Main!$B$19-Current_limit!O415)*Current_limit!O415/(Main!$B$19*loop_gain!$B$17*(Helper_calcs!$B$26-Helper_calcs!$B$27)),x)))</f>
        <v>1757135.5383331066</v>
      </c>
      <c r="Q415" s="132"/>
    </row>
    <row r="416" spans="1:17" x14ac:dyDescent="0.3">
      <c r="A416">
        <f t="shared" si="48"/>
        <v>4.7499999999999423</v>
      </c>
      <c r="B416">
        <f>Main!$B$20/A416</f>
        <v>1.0526315789473812</v>
      </c>
      <c r="D416" s="132">
        <f t="shared" si="49"/>
        <v>1.0526315789473812</v>
      </c>
      <c r="E416" s="132">
        <f>-B416*Main!$B$19-2*Main!$B$19*loop_gain!$B$17*loop_gain!$B$18</f>
        <v>-88.231578947368575</v>
      </c>
      <c r="F416" s="132">
        <f>2*Main!$B$19*loop_gain!$B$17*loop_gain!$B$18*Helper_calcs!$B$26*Current_limit!B416</f>
        <v>306.37894736842486</v>
      </c>
      <c r="G416" s="132">
        <f t="shared" si="51"/>
        <v>3.6296120709311976</v>
      </c>
      <c r="H416" s="132">
        <f>(Main!$B$19-Current_limit!G416)*Current_limit!G416/(Main!$B$19*loop_gain!$B$17*loop_gain!$B$18)</f>
        <v>0.80373706523081767</v>
      </c>
      <c r="I416" s="132">
        <f t="shared" si="52"/>
        <v>3.046262934769187</v>
      </c>
      <c r="J416" s="132"/>
      <c r="K416" s="133">
        <f>IF(A416&gt;$B$15,IF(I416&gt;Helper_calcs!$B$27,23,3),0)</f>
        <v>23</v>
      </c>
      <c r="L416">
        <f t="shared" si="50"/>
        <v>2</v>
      </c>
      <c r="M416">
        <f t="shared" si="53"/>
        <v>2</v>
      </c>
      <c r="N416" s="132">
        <f t="shared" si="54"/>
        <v>3.375</v>
      </c>
      <c r="O416" s="132">
        <f t="shared" si="55"/>
        <v>3.5526315789474117</v>
      </c>
      <c r="P416" s="134">
        <f>IF(OR(M416=0,M416=3),loop_gain!$B$18,IF(Current_limit!M416=1,Current_limit!$B$12/(2*(Current_limit!N416-Helper_calcs!$B$27)),IF(OR(M416=2,M416=23),(Main!$B$19-Current_limit!O416)*Current_limit!O416/(Main!$B$19*loop_gain!$B$17*(Helper_calcs!$B$26-Helper_calcs!$B$27)),x)))</f>
        <v>1754993.4392768745</v>
      </c>
      <c r="Q416" s="132"/>
    </row>
    <row r="417" spans="1:17" x14ac:dyDescent="0.3">
      <c r="A417">
        <f t="shared" ref="A417:A480" si="56">A416+0.01</f>
        <v>4.7599999999999421</v>
      </c>
      <c r="B417">
        <f>Main!$B$20/A417</f>
        <v>1.0504201680672396</v>
      </c>
      <c r="D417" s="132">
        <f t="shared" si="49"/>
        <v>1.0504201680672396</v>
      </c>
      <c r="E417" s="132">
        <f>-B417*Main!$B$19-2*Main!$B$19*loop_gain!$B$17*loop_gain!$B$18</f>
        <v>-88.205042016806885</v>
      </c>
      <c r="F417" s="132">
        <f>2*Main!$B$19*loop_gain!$B$17*loop_gain!$B$18*Helper_calcs!$B$26*Current_limit!B417</f>
        <v>305.73529411765082</v>
      </c>
      <c r="G417" s="132">
        <f t="shared" si="51"/>
        <v>3.6224587396704839</v>
      </c>
      <c r="H417" s="132">
        <f>(Main!$B$19-Current_limit!G417)*Current_limit!G417/(Main!$B$19*loop_gain!$B$17*loop_gain!$B$18)</f>
        <v>0.80283855966747963</v>
      </c>
      <c r="I417" s="132">
        <f t="shared" si="52"/>
        <v>3.0471614403325189</v>
      </c>
      <c r="J417" s="132"/>
      <c r="K417" s="133">
        <f>IF(A417&gt;$B$15,IF(I417&gt;Helper_calcs!$B$27,23,3),0)</f>
        <v>23</v>
      </c>
      <c r="L417">
        <f t="shared" si="50"/>
        <v>2</v>
      </c>
      <c r="M417">
        <f t="shared" si="53"/>
        <v>2</v>
      </c>
      <c r="N417" s="132">
        <f t="shared" si="54"/>
        <v>3.375</v>
      </c>
      <c r="O417" s="132">
        <f t="shared" si="55"/>
        <v>3.5451680672269337</v>
      </c>
      <c r="P417" s="134">
        <f>IF(OR(M417=0,M417=3),loop_gain!$B$18,IF(Current_limit!M417=1,Current_limit!$B$12/(2*(Current_limit!N417-Helper_calcs!$B$27)),IF(OR(M417=2,M417=23),(Main!$B$19-Current_limit!O417)*Current_limit!O417/(Main!$B$19*loop_gain!$B$17*(Helper_calcs!$B$26-Helper_calcs!$B$27)),x)))</f>
        <v>1752853.8118033712</v>
      </c>
      <c r="Q417" s="132"/>
    </row>
    <row r="418" spans="1:17" x14ac:dyDescent="0.3">
      <c r="A418">
        <f t="shared" si="56"/>
        <v>4.7699999999999418</v>
      </c>
      <c r="B418">
        <f>Main!$B$20/A418</f>
        <v>1.0482180293501175</v>
      </c>
      <c r="D418" s="132">
        <f t="shared" si="49"/>
        <v>1.0482180293501175</v>
      </c>
      <c r="E418" s="132">
        <f>-B418*Main!$B$19-2*Main!$B$19*loop_gain!$B$17*loop_gain!$B$18</f>
        <v>-88.178616352201416</v>
      </c>
      <c r="F418" s="132">
        <f>2*Main!$B$19*loop_gain!$B$17*loop_gain!$B$18*Helper_calcs!$B$26*Current_limit!B418</f>
        <v>305.09433962264529</v>
      </c>
      <c r="G418" s="132">
        <f t="shared" si="51"/>
        <v>3.6153348720048064</v>
      </c>
      <c r="H418" s="132">
        <f>(Main!$B$19-Current_limit!G418)*Current_limit!G418/(Main!$B$19*loop_gain!$B$17*loop_gain!$B$18)</f>
        <v>0.80194106421491174</v>
      </c>
      <c r="I418" s="132">
        <f t="shared" si="52"/>
        <v>3.0480589357850874</v>
      </c>
      <c r="J418" s="132"/>
      <c r="K418" s="133">
        <f>IF(A418&gt;$B$15,IF(I418&gt;Helper_calcs!$B$27,23,3),0)</f>
        <v>23</v>
      </c>
      <c r="L418">
        <f t="shared" si="50"/>
        <v>2</v>
      </c>
      <c r="M418">
        <f t="shared" si="53"/>
        <v>2</v>
      </c>
      <c r="N418" s="132">
        <f t="shared" si="54"/>
        <v>3.375</v>
      </c>
      <c r="O418" s="132">
        <f t="shared" si="55"/>
        <v>3.5377358490566468</v>
      </c>
      <c r="P418" s="134">
        <f>IF(OR(M418=0,M418=3),loop_gain!$B$18,IF(Current_limit!M418=1,Current_limit!$B$12/(2*(Current_limit!N418-Helper_calcs!$B$27)),IF(OR(M418=2,M418=23),(Main!$B$19-Current_limit!O418)*Current_limit!O418/(Main!$B$19*loop_gain!$B$17*(Helper_calcs!$B$26-Helper_calcs!$B$27)),x)))</f>
        <v>1750716.6813438132</v>
      </c>
      <c r="Q418" s="132"/>
    </row>
    <row r="419" spans="1:17" x14ac:dyDescent="0.3">
      <c r="A419">
        <f t="shared" si="56"/>
        <v>4.7799999999999416</v>
      </c>
      <c r="B419">
        <f>Main!$B$20/A419</f>
        <v>1.0460251046025233</v>
      </c>
      <c r="D419" s="132">
        <f t="shared" si="49"/>
        <v>1.0460251046025233</v>
      </c>
      <c r="E419" s="132">
        <f>-B419*Main!$B$19-2*Main!$B$19*loop_gain!$B$17*loop_gain!$B$18</f>
        <v>-88.152301255230284</v>
      </c>
      <c r="F419" s="132">
        <f>2*Main!$B$19*loop_gain!$B$17*loop_gain!$B$18*Helper_calcs!$B$26*Current_limit!B419</f>
        <v>304.45606694561047</v>
      </c>
      <c r="G419" s="132">
        <f t="shared" si="51"/>
        <v>3.6082402781521452</v>
      </c>
      <c r="H419" s="132">
        <f>(Main!$B$19-Current_limit!G419)*Current_limit!G419/(Main!$B$19*loop_gain!$B$17*loop_gain!$B$18)</f>
        <v>0.8010445881731818</v>
      </c>
      <c r="I419" s="132">
        <f t="shared" si="52"/>
        <v>3.0489554118268174</v>
      </c>
      <c r="J419" s="132"/>
      <c r="K419" s="133">
        <f>IF(A419&gt;$B$15,IF(I419&gt;Helper_calcs!$B$27,23,3),0)</f>
        <v>23</v>
      </c>
      <c r="L419">
        <f t="shared" si="50"/>
        <v>2</v>
      </c>
      <c r="M419">
        <f t="shared" si="53"/>
        <v>2</v>
      </c>
      <c r="N419" s="132">
        <f t="shared" si="54"/>
        <v>3.375</v>
      </c>
      <c r="O419" s="132">
        <f t="shared" si="55"/>
        <v>3.530334728033516</v>
      </c>
      <c r="P419" s="134">
        <f>IF(OR(M419=0,M419=3),loop_gain!$B$18,IF(Current_limit!M419=1,Current_limit!$B$12/(2*(Current_limit!N419-Helper_calcs!$B$27)),IF(OR(M419=2,M419=23),(Main!$B$19-Current_limit!O419)*Current_limit!O419/(Main!$B$19*loop_gain!$B$17*(Helper_calcs!$B$26-Helper_calcs!$B$27)),x)))</f>
        <v>1748582.0727744275</v>
      </c>
      <c r="Q419" s="132"/>
    </row>
    <row r="420" spans="1:17" x14ac:dyDescent="0.3">
      <c r="A420">
        <f t="shared" si="56"/>
        <v>4.7899999999999414</v>
      </c>
      <c r="B420">
        <f>Main!$B$20/A420</f>
        <v>1.043841336116923</v>
      </c>
      <c r="D420" s="132">
        <f t="shared" si="49"/>
        <v>1.043841336116923</v>
      </c>
      <c r="E420" s="132">
        <f>-B420*Main!$B$19-2*Main!$B$19*loop_gain!$B$17*loop_gain!$B$18</f>
        <v>-88.126096033403087</v>
      </c>
      <c r="F420" s="132">
        <f>2*Main!$B$19*loop_gain!$B$17*loop_gain!$B$18*Helper_calcs!$B$26*Current_limit!B420</f>
        <v>303.82045929019165</v>
      </c>
      <c r="G420" s="132">
        <f t="shared" si="51"/>
        <v>3.6011747700232011</v>
      </c>
      <c r="H420" s="132">
        <f>(Main!$B$19-Current_limit!G420)*Current_limit!G420/(Main!$B$19*loop_gain!$B$17*loop_gain!$B$18)</f>
        <v>0.80014914063562836</v>
      </c>
      <c r="I420" s="132">
        <f t="shared" si="52"/>
        <v>3.0498508593643701</v>
      </c>
      <c r="J420" s="132"/>
      <c r="K420" s="133">
        <f>IF(A420&gt;$B$15,IF(I420&gt;Helper_calcs!$B$27,23,3),0)</f>
        <v>23</v>
      </c>
      <c r="L420">
        <f t="shared" si="50"/>
        <v>2</v>
      </c>
      <c r="M420">
        <f t="shared" si="53"/>
        <v>2</v>
      </c>
      <c r="N420" s="132">
        <f t="shared" si="54"/>
        <v>3.375</v>
      </c>
      <c r="O420" s="132">
        <f t="shared" si="55"/>
        <v>3.5229645093946149</v>
      </c>
      <c r="P420" s="134">
        <f>IF(OR(M420=0,M420=3),loop_gain!$B$18,IF(Current_limit!M420=1,Current_limit!$B$12/(2*(Current_limit!N420-Helper_calcs!$B$27)),IF(OR(M420=2,M420=23),(Main!$B$19-Current_limit!O420)*Current_limit!O420/(Main!$B$19*loop_gain!$B$17*(Helper_calcs!$B$26-Helper_calcs!$B$27)),x)))</f>
        <v>1746450.0104258091</v>
      </c>
      <c r="Q420" s="132"/>
    </row>
    <row r="421" spans="1:17" x14ac:dyDescent="0.3">
      <c r="A421">
        <f t="shared" si="56"/>
        <v>4.7999999999999412</v>
      </c>
      <c r="B421">
        <f>Main!$B$20/A421</f>
        <v>1.0416666666666794</v>
      </c>
      <c r="D421" s="132">
        <f t="shared" si="49"/>
        <v>1.0416666666666794</v>
      </c>
      <c r="E421" s="132">
        <f>-B421*Main!$B$19-2*Main!$B$19*loop_gain!$B$17*loop_gain!$B$18</f>
        <v>-88.100000000000165</v>
      </c>
      <c r="F421" s="132">
        <f>2*Main!$B$19*loop_gain!$B$17*loop_gain!$B$18*Helper_calcs!$B$26*Current_limit!B421</f>
        <v>303.18750000000375</v>
      </c>
      <c r="G421" s="132">
        <f t="shared" si="51"/>
        <v>3.5941381612018852</v>
      </c>
      <c r="H421" s="132">
        <f>(Main!$B$19-Current_limit!G421)*Current_limit!G421/(Main!$B$19*loop_gain!$B$17*loop_gain!$B$18)</f>
        <v>0.7992547304924591</v>
      </c>
      <c r="I421" s="132">
        <f t="shared" si="52"/>
        <v>3.0507452695075381</v>
      </c>
      <c r="J421" s="132"/>
      <c r="K421" s="133">
        <f>IF(A421&gt;$B$15,IF(I421&gt;Helper_calcs!$B$27,23,3),0)</f>
        <v>23</v>
      </c>
      <c r="L421">
        <f t="shared" si="50"/>
        <v>2</v>
      </c>
      <c r="M421">
        <f t="shared" si="53"/>
        <v>2</v>
      </c>
      <c r="N421" s="132">
        <f t="shared" si="54"/>
        <v>3.375</v>
      </c>
      <c r="O421" s="132">
        <f t="shared" si="55"/>
        <v>3.5156250000000431</v>
      </c>
      <c r="P421" s="134">
        <f>IF(OR(M421=0,M421=3),loop_gain!$B$18,IF(Current_limit!M421=1,Current_limit!$B$12/(2*(Current_limit!N421-Helper_calcs!$B$27)),IF(OR(M421=2,M421=23),(Main!$B$19-Current_limit!O421)*Current_limit!O421/(Main!$B$19*loop_gain!$B$17*(Helper_calcs!$B$26-Helper_calcs!$B$27)),x)))</f>
        <v>1744320.5180921177</v>
      </c>
      <c r="Q421" s="132"/>
    </row>
    <row r="422" spans="1:17" x14ac:dyDescent="0.3">
      <c r="A422">
        <f t="shared" si="56"/>
        <v>4.809999999999941</v>
      </c>
      <c r="B422">
        <f>Main!$B$20/A422</f>
        <v>1.0395010395010522</v>
      </c>
      <c r="D422" s="132">
        <f t="shared" si="49"/>
        <v>1.0395010395010522</v>
      </c>
      <c r="E422" s="132">
        <f>-B422*Main!$B$19-2*Main!$B$19*loop_gain!$B$17*loop_gain!$B$18</f>
        <v>-88.074012474012633</v>
      </c>
      <c r="F422" s="132">
        <f>2*Main!$B$19*loop_gain!$B$17*loop_gain!$B$18*Helper_calcs!$B$26*Current_limit!B422</f>
        <v>302.55717255717633</v>
      </c>
      <c r="G422" s="132">
        <f t="shared" si="51"/>
        <v>3.5871302669260912</v>
      </c>
      <c r="H422" s="132">
        <f>(Main!$B$19-Current_limit!G422)*Current_limit!G422/(Main!$B$19*loop_gain!$B$17*loop_gain!$B$18)</f>
        <v>0.79836136643428135</v>
      </c>
      <c r="I422" s="132">
        <f t="shared" si="52"/>
        <v>3.0516386335657169</v>
      </c>
      <c r="J422" s="132"/>
      <c r="K422" s="133">
        <f>IF(A422&gt;$B$15,IF(I422&gt;Helper_calcs!$B$27,23,3),0)</f>
        <v>23</v>
      </c>
      <c r="L422">
        <f t="shared" si="50"/>
        <v>2</v>
      </c>
      <c r="M422">
        <f t="shared" si="53"/>
        <v>2</v>
      </c>
      <c r="N422" s="132">
        <f t="shared" si="54"/>
        <v>3.375</v>
      </c>
      <c r="O422" s="132">
        <f t="shared" si="55"/>
        <v>3.5083160083160512</v>
      </c>
      <c r="P422" s="134">
        <f>IF(OR(M422=0,M422=3),loop_gain!$B$18,IF(Current_limit!M422=1,Current_limit!$B$12/(2*(Current_limit!N422-Helper_calcs!$B$27)),IF(OR(M422=2,M422=23),(Main!$B$19-Current_limit!O422)*Current_limit!O422/(Main!$B$19*loop_gain!$B$17*(Helper_calcs!$B$26-Helper_calcs!$B$27)),x)))</f>
        <v>1742193.6190401136</v>
      </c>
      <c r="Q422" s="132"/>
    </row>
    <row r="423" spans="1:17" x14ac:dyDescent="0.3">
      <c r="A423">
        <f t="shared" si="56"/>
        <v>4.8199999999999408</v>
      </c>
      <c r="B423">
        <f>Main!$B$20/A423</f>
        <v>1.0373443983402617</v>
      </c>
      <c r="D423" s="132">
        <f t="shared" si="49"/>
        <v>1.0373443983402617</v>
      </c>
      <c r="E423" s="132">
        <f>-B423*Main!$B$19-2*Main!$B$19*loop_gain!$B$17*loop_gain!$B$18</f>
        <v>-88.048132780083151</v>
      </c>
      <c r="F423" s="132">
        <f>2*Main!$B$19*loop_gain!$B$17*loop_gain!$B$18*Helper_calcs!$B$26*Current_limit!B423</f>
        <v>301.92946058091661</v>
      </c>
      <c r="G423" s="132">
        <f t="shared" si="51"/>
        <v>3.5801509040687312</v>
      </c>
      <c r="H423" s="132">
        <f>(Main!$B$19-Current_limit!G423)*Current_limit!G423/(Main!$B$19*loop_gain!$B$17*loop_gain!$B$18)</f>
        <v>0.79746905695557191</v>
      </c>
      <c r="I423" s="132">
        <f t="shared" si="52"/>
        <v>3.0525309430444283</v>
      </c>
      <c r="J423" s="132"/>
      <c r="K423" s="133">
        <f>IF(A423&gt;$B$15,IF(I423&gt;Helper_calcs!$B$27,23,3),0)</f>
        <v>23</v>
      </c>
      <c r="L423">
        <f t="shared" si="50"/>
        <v>2</v>
      </c>
      <c r="M423">
        <f t="shared" si="53"/>
        <v>2</v>
      </c>
      <c r="N423" s="132">
        <f t="shared" si="54"/>
        <v>3.375</v>
      </c>
      <c r="O423" s="132">
        <f t="shared" si="55"/>
        <v>3.5010373443983833</v>
      </c>
      <c r="P423" s="134">
        <f>IF(OR(M423=0,M423=3),loop_gain!$B$18,IF(Current_limit!M423=1,Current_limit!$B$12/(2*(Current_limit!N423-Helper_calcs!$B$27)),IF(OR(M423=2,M423=23),(Main!$B$19-Current_limit!O423)*Current_limit!O423/(Main!$B$19*loop_gain!$B$17*(Helper_calcs!$B$26-Helper_calcs!$B$27)),x)))</f>
        <v>1740069.3360180415</v>
      </c>
      <c r="Q423" s="132"/>
    </row>
    <row r="424" spans="1:17" x14ac:dyDescent="0.3">
      <c r="A424">
        <f t="shared" si="56"/>
        <v>4.8299999999999406</v>
      </c>
      <c r="B424">
        <f>Main!$B$20/A424</f>
        <v>1.0351966873706131</v>
      </c>
      <c r="D424" s="132">
        <f t="shared" si="49"/>
        <v>1.0351966873706131</v>
      </c>
      <c r="E424" s="132">
        <f>-B424*Main!$B$19-2*Main!$B$19*loop_gain!$B$17*loop_gain!$B$18</f>
        <v>-88.02236024844737</v>
      </c>
      <c r="F424" s="132">
        <f>2*Main!$B$19*loop_gain!$B$17*loop_gain!$B$18*Helper_calcs!$B$26*Current_limit!B424</f>
        <v>301.30434782609069</v>
      </c>
      <c r="G424" s="132">
        <f t="shared" si="51"/>
        <v>3.5731998911190486</v>
      </c>
      <c r="H424" s="132">
        <f>(Main!$B$19-Current_limit!G424)*Current_limit!G424/(Main!$B$19*loop_gain!$B$17*loop_gain!$B$18)</f>
        <v>0.79657781035807929</v>
      </c>
      <c r="I424" s="132">
        <f t="shared" si="52"/>
        <v>3.0534221896419189</v>
      </c>
      <c r="J424" s="132"/>
      <c r="K424" s="133">
        <f>IF(A424&gt;$B$15,IF(I424&gt;Helper_calcs!$B$27,23,3),0)</f>
        <v>23</v>
      </c>
      <c r="L424">
        <f t="shared" si="50"/>
        <v>2</v>
      </c>
      <c r="M424">
        <f t="shared" si="53"/>
        <v>2</v>
      </c>
      <c r="N424" s="132">
        <f t="shared" si="54"/>
        <v>3.375</v>
      </c>
      <c r="O424" s="132">
        <f t="shared" si="55"/>
        <v>3.4937888198758191</v>
      </c>
      <c r="P424" s="134">
        <f>IF(OR(M424=0,M424=3),loop_gain!$B$18,IF(Current_limit!M424=1,Current_limit!$B$12/(2*(Current_limit!N424-Helper_calcs!$B$27)),IF(OR(M424=2,M424=23),(Main!$B$19-Current_limit!O424)*Current_limit!O424/(Main!$B$19*loop_gain!$B$17*(Helper_calcs!$B$26-Helper_calcs!$B$27)),x)))</f>
        <v>1737947.69126436</v>
      </c>
      <c r="Q424" s="132"/>
    </row>
    <row r="425" spans="1:17" x14ac:dyDescent="0.3">
      <c r="A425">
        <f t="shared" si="56"/>
        <v>4.8399999999999403</v>
      </c>
      <c r="B425">
        <f>Main!$B$20/A425</f>
        <v>1.0330578512396822</v>
      </c>
      <c r="D425" s="132">
        <f t="shared" si="49"/>
        <v>1.0330578512396822</v>
      </c>
      <c r="E425" s="132">
        <f>-B425*Main!$B$19-2*Main!$B$19*loop_gain!$B$17*loop_gain!$B$18</f>
        <v>-87.9966942148762</v>
      </c>
      <c r="F425" s="132">
        <f>2*Main!$B$19*loop_gain!$B$17*loop_gain!$B$18*Helper_calcs!$B$26*Current_limit!B425</f>
        <v>300.68181818182194</v>
      </c>
      <c r="G425" s="132">
        <f t="shared" si="51"/>
        <v>3.5662770481642121</v>
      </c>
      <c r="H425" s="132">
        <f>(Main!$B$19-Current_limit!G425)*Current_limit!G425/(Main!$B$19*loop_gain!$B$17*loop_gain!$B$18)</f>
        <v>0.79568763475417192</v>
      </c>
      <c r="I425" s="132">
        <f t="shared" si="52"/>
        <v>3.0543123652458286</v>
      </c>
      <c r="J425" s="132"/>
      <c r="K425" s="133">
        <f>IF(A425&gt;$B$15,IF(I425&gt;Helper_calcs!$B$27,23,3),0)</f>
        <v>23</v>
      </c>
      <c r="L425">
        <f t="shared" si="50"/>
        <v>2</v>
      </c>
      <c r="M425">
        <f t="shared" si="53"/>
        <v>2</v>
      </c>
      <c r="N425" s="132">
        <f t="shared" si="54"/>
        <v>3.375</v>
      </c>
      <c r="O425" s="132">
        <f t="shared" si="55"/>
        <v>3.4865702479339276</v>
      </c>
      <c r="P425" s="134">
        <f>IF(OR(M425=0,M425=3),loop_gain!$B$18,IF(Current_limit!M425=1,Current_limit!$B$12/(2*(Current_limit!N425-Helper_calcs!$B$27)),IF(OR(M425=2,M425=23),(Main!$B$19-Current_limit!O425)*Current_limit!O425/(Main!$B$19*loop_gain!$B$17*(Helper_calcs!$B$26-Helper_calcs!$B$27)),x)))</f>
        <v>1735828.7065163201</v>
      </c>
      <c r="Q425" s="132"/>
    </row>
    <row r="426" spans="1:17" x14ac:dyDescent="0.3">
      <c r="A426">
        <f t="shared" si="56"/>
        <v>4.8499999999999401</v>
      </c>
      <c r="B426">
        <f>Main!$B$20/A426</f>
        <v>1.0309278350515592</v>
      </c>
      <c r="D426" s="132">
        <f t="shared" si="49"/>
        <v>1.0309278350515592</v>
      </c>
      <c r="E426" s="132">
        <f>-B426*Main!$B$19-2*Main!$B$19*loop_gain!$B$17*loop_gain!$B$18</f>
        <v>-87.97113402061872</v>
      </c>
      <c r="F426" s="132">
        <f>2*Main!$B$19*loop_gain!$B$17*loop_gain!$B$18*Helper_calcs!$B$26*Current_limit!B426</f>
        <v>300.06185567010687</v>
      </c>
      <c r="G426" s="132">
        <f t="shared" si="51"/>
        <v>3.5593821968711161</v>
      </c>
      <c r="H426" s="132">
        <f>(Main!$B$19-Current_limit!G426)*Current_limit!G426/(Main!$B$19*loop_gain!$B$17*loop_gain!$B$18)</f>
        <v>0.7947985380701148</v>
      </c>
      <c r="I426" s="132">
        <f t="shared" si="52"/>
        <v>3.0552014619298826</v>
      </c>
      <c r="J426" s="132"/>
      <c r="K426" s="133">
        <f>IF(A426&gt;$B$15,IF(I426&gt;Helper_calcs!$B$27,23,3),0)</f>
        <v>23</v>
      </c>
      <c r="L426">
        <f t="shared" si="50"/>
        <v>2</v>
      </c>
      <c r="M426">
        <f t="shared" si="53"/>
        <v>2</v>
      </c>
      <c r="N426" s="132">
        <f t="shared" si="54"/>
        <v>3.375</v>
      </c>
      <c r="O426" s="132">
        <f t="shared" si="55"/>
        <v>3.4793814432990122</v>
      </c>
      <c r="P426" s="134">
        <f>IF(OR(M426=0,M426=3),loop_gain!$B$18,IF(Current_limit!M426=1,Current_limit!$B$12/(2*(Current_limit!N426-Helper_calcs!$B$27)),IF(OR(M426=2,M426=23),(Main!$B$19-Current_limit!O426)*Current_limit!O426/(Main!$B$19*loop_gain!$B$17*(Helper_calcs!$B$26-Helper_calcs!$B$27)),x)))</f>
        <v>1733712.4030183991</v>
      </c>
      <c r="Q426" s="132"/>
    </row>
    <row r="427" spans="1:17" x14ac:dyDescent="0.3">
      <c r="A427">
        <f t="shared" si="56"/>
        <v>4.8599999999999399</v>
      </c>
      <c r="B427">
        <f>Main!$B$20/A427</f>
        <v>1.0288065843621526</v>
      </c>
      <c r="D427" s="132">
        <f t="shared" si="49"/>
        <v>1.0288065843621526</v>
      </c>
      <c r="E427" s="132">
        <f>-B427*Main!$B$19-2*Main!$B$19*loop_gain!$B$17*loop_gain!$B$18</f>
        <v>-87.945679012345835</v>
      </c>
      <c r="F427" s="132">
        <f>2*Main!$B$19*loop_gain!$B$17*loop_gain!$B$18*Helper_calcs!$B$26*Current_limit!B427</f>
        <v>299.44444444444821</v>
      </c>
      <c r="G427" s="132">
        <f t="shared" si="51"/>
        <v>3.5525151604685119</v>
      </c>
      <c r="H427" s="132">
        <f>(Main!$B$19-Current_limit!G427)*Current_limit!G427/(Main!$B$19*loop_gain!$B$17*loop_gain!$B$18)</f>
        <v>0.7939105280492994</v>
      </c>
      <c r="I427" s="132">
        <f t="shared" si="52"/>
        <v>3.0560894719507012</v>
      </c>
      <c r="J427" s="132"/>
      <c r="K427" s="133">
        <f>IF(A427&gt;$B$15,IF(I427&gt;Helper_calcs!$B$27,23,3),0)</f>
        <v>23</v>
      </c>
      <c r="L427">
        <f t="shared" si="50"/>
        <v>2</v>
      </c>
      <c r="M427">
        <f t="shared" si="53"/>
        <v>2</v>
      </c>
      <c r="N427" s="132">
        <f t="shared" si="54"/>
        <v>3.375</v>
      </c>
      <c r="O427" s="132">
        <f t="shared" si="55"/>
        <v>3.472222222222265</v>
      </c>
      <c r="P427" s="134">
        <f>IF(OR(M427=0,M427=3),loop_gain!$B$18,IF(Current_limit!M427=1,Current_limit!$B$12/(2*(Current_limit!N427-Helper_calcs!$B$27)),IF(OR(M427=2,M427=23),(Main!$B$19-Current_limit!O427)*Current_limit!O427/(Main!$B$19*loop_gain!$B$17*(Helper_calcs!$B$26-Helper_calcs!$B$27)),x)))</f>
        <v>1731598.801530588</v>
      </c>
      <c r="Q427" s="132"/>
    </row>
    <row r="428" spans="1:17" x14ac:dyDescent="0.3">
      <c r="A428">
        <f t="shared" si="56"/>
        <v>4.8699999999999397</v>
      </c>
      <c r="B428">
        <f>Main!$B$20/A428</f>
        <v>1.0266940451745508</v>
      </c>
      <c r="D428" s="132">
        <f t="shared" si="49"/>
        <v>1.0266940451745508</v>
      </c>
      <c r="E428" s="132">
        <f>-B428*Main!$B$19-2*Main!$B$19*loop_gain!$B$17*loop_gain!$B$18</f>
        <v>-87.920328542094623</v>
      </c>
      <c r="F428" s="132">
        <f>2*Main!$B$19*loop_gain!$B$17*loop_gain!$B$18*Helper_calcs!$B$26*Current_limit!B428</f>
        <v>298.82956878850479</v>
      </c>
      <c r="G428" s="132">
        <f t="shared" si="51"/>
        <v>3.5456757637293004</v>
      </c>
      <c r="H428" s="132">
        <f>(Main!$B$19-Current_limit!G428)*Current_limit!G428/(Main!$B$19*loop_gain!$B$17*loop_gain!$B$18)</f>
        <v>0.7930236122554033</v>
      </c>
      <c r="I428" s="132">
        <f t="shared" si="52"/>
        <v>3.0569763877445939</v>
      </c>
      <c r="J428" s="132"/>
      <c r="K428" s="133">
        <f>IF(A428&gt;$B$15,IF(I428&gt;Helper_calcs!$B$27,23,3),0)</f>
        <v>23</v>
      </c>
      <c r="L428">
        <f t="shared" si="50"/>
        <v>2</v>
      </c>
      <c r="M428">
        <f t="shared" si="53"/>
        <v>2</v>
      </c>
      <c r="N428" s="132">
        <f t="shared" si="54"/>
        <v>3.375</v>
      </c>
      <c r="O428" s="132">
        <f t="shared" si="55"/>
        <v>3.465092402464109</v>
      </c>
      <c r="P428" s="134">
        <f>IF(OR(M428=0,M428=3),loop_gain!$B$18,IF(Current_limit!M428=1,Current_limit!$B$12/(2*(Current_limit!N428-Helper_calcs!$B$27)),IF(OR(M428=2,M428=23),(Main!$B$19-Current_limit!O428)*Current_limit!O428/(Main!$B$19*loop_gain!$B$17*(Helper_calcs!$B$26-Helper_calcs!$B$27)),x)))</f>
        <v>1729487.922336539</v>
      </c>
      <c r="Q428" s="132"/>
    </row>
    <row r="429" spans="1:17" x14ac:dyDescent="0.3">
      <c r="A429">
        <f t="shared" si="56"/>
        <v>4.8799999999999395</v>
      </c>
      <c r="B429">
        <f>Main!$B$20/A429</f>
        <v>1.024590163934439</v>
      </c>
      <c r="D429" s="132">
        <f t="shared" si="49"/>
        <v>1.024590163934439</v>
      </c>
      <c r="E429" s="132">
        <f>-B429*Main!$B$19-2*Main!$B$19*loop_gain!$B$17*loop_gain!$B$18</f>
        <v>-87.895081967213272</v>
      </c>
      <c r="F429" s="132">
        <f>2*Main!$B$19*loop_gain!$B$17*loop_gain!$B$18*Helper_calcs!$B$26*Current_limit!B429</f>
        <v>298.2172131147579</v>
      </c>
      <c r="G429" s="132">
        <f t="shared" si="51"/>
        <v>3.5388638329531701</v>
      </c>
      <c r="H429" s="132">
        <f>(Main!$B$19-Current_limit!G429)*Current_limit!G429/(Main!$B$19*loop_gain!$B$17*loop_gain!$B$18)</f>
        <v>0.79213779807550355</v>
      </c>
      <c r="I429" s="132">
        <f t="shared" si="52"/>
        <v>3.057862201924499</v>
      </c>
      <c r="J429" s="132"/>
      <c r="K429" s="133">
        <f>IF(A429&gt;$B$15,IF(I429&gt;Helper_calcs!$B$27,23,3),0)</f>
        <v>23</v>
      </c>
      <c r="L429">
        <f t="shared" si="50"/>
        <v>2</v>
      </c>
      <c r="M429">
        <f t="shared" si="53"/>
        <v>2</v>
      </c>
      <c r="N429" s="132">
        <f t="shared" si="54"/>
        <v>3.375</v>
      </c>
      <c r="O429" s="132">
        <f t="shared" si="55"/>
        <v>3.4579918032787318</v>
      </c>
      <c r="P429" s="134">
        <f>IF(OR(M429=0,M429=3),loop_gain!$B$18,IF(Current_limit!M429=1,Current_limit!$B$12/(2*(Current_limit!N429-Helper_calcs!$B$27)),IF(OR(M429=2,M429=23),(Main!$B$19-Current_limit!O429)*Current_limit!O429/(Main!$B$19*loop_gain!$B$17*(Helper_calcs!$B$26-Helper_calcs!$B$27)),x)))</f>
        <v>1727379.785251572</v>
      </c>
      <c r="Q429" s="132"/>
    </row>
    <row r="430" spans="1:17" x14ac:dyDescent="0.3">
      <c r="A430">
        <f t="shared" si="56"/>
        <v>4.8899999999999393</v>
      </c>
      <c r="B430">
        <f>Main!$B$20/A430</f>
        <v>1.022494887525575</v>
      </c>
      <c r="D430" s="132">
        <f t="shared" si="49"/>
        <v>1.022494887525575</v>
      </c>
      <c r="E430" s="132">
        <f>-B430*Main!$B$19-2*Main!$B$19*loop_gain!$B$17*loop_gain!$B$18</f>
        <v>-87.869938650306906</v>
      </c>
      <c r="F430" s="132">
        <f>2*Main!$B$19*loop_gain!$B$17*loop_gain!$B$18*Helper_calcs!$B$26*Current_limit!B430</f>
        <v>297.60736196319391</v>
      </c>
      <c r="G430" s="132">
        <f t="shared" si="51"/>
        <v>3.5320791959493629</v>
      </c>
      <c r="H430" s="132">
        <f>(Main!$B$19-Current_limit!G430)*Current_limit!G430/(Main!$B$19*loop_gain!$B$17*loop_gain!$B$18)</f>
        <v>0.79125309272312316</v>
      </c>
      <c r="I430" s="132">
        <f t="shared" si="52"/>
        <v>3.0587469072768725</v>
      </c>
      <c r="J430" s="132"/>
      <c r="K430" s="133">
        <f>IF(A430&gt;$B$15,IF(I430&gt;Helper_calcs!$B$27,23,3),0)</f>
        <v>23</v>
      </c>
      <c r="L430">
        <f t="shared" si="50"/>
        <v>2</v>
      </c>
      <c r="M430">
        <f t="shared" si="53"/>
        <v>2</v>
      </c>
      <c r="N430" s="132">
        <f t="shared" si="54"/>
        <v>3.375</v>
      </c>
      <c r="O430" s="132">
        <f t="shared" si="55"/>
        <v>3.4509202453988159</v>
      </c>
      <c r="P430" s="134">
        <f>IF(OR(M430=0,M430=3),loop_gain!$B$18,IF(Current_limit!M430=1,Current_limit!$B$12/(2*(Current_limit!N430-Helper_calcs!$B$27)),IF(OR(M430=2,M430=23),(Main!$B$19-Current_limit!O430)*Current_limit!O430/(Main!$B$19*loop_gain!$B$17*(Helper_calcs!$B$26-Helper_calcs!$B$27)),x)))</f>
        <v>1725274.4096305477</v>
      </c>
      <c r="Q430" s="132"/>
    </row>
    <row r="431" spans="1:17" x14ac:dyDescent="0.3">
      <c r="A431">
        <f t="shared" si="56"/>
        <v>4.8999999999999391</v>
      </c>
      <c r="B431">
        <f>Main!$B$20/A431</f>
        <v>1.0204081632653188</v>
      </c>
      <c r="D431" s="132">
        <f t="shared" si="49"/>
        <v>1.0204081632653188</v>
      </c>
      <c r="E431" s="132">
        <f>-B431*Main!$B$19-2*Main!$B$19*loop_gain!$B$17*loop_gain!$B$18</f>
        <v>-87.844897959183839</v>
      </c>
      <c r="F431" s="132">
        <f>2*Main!$B$19*loop_gain!$B$17*loop_gain!$B$18*Helper_calcs!$B$26*Current_limit!B431</f>
        <v>297.00000000000375</v>
      </c>
      <c r="G431" s="132">
        <f t="shared" si="51"/>
        <v>3.5253216820198179</v>
      </c>
      <c r="H431" s="132">
        <f>(Main!$B$19-Current_limit!G431)*Current_limit!G431/(Main!$B$19*loop_gain!$B$17*loop_gain!$B$18)</f>
        <v>0.79036950324123734</v>
      </c>
      <c r="I431" s="132">
        <f t="shared" si="52"/>
        <v>3.0596304967587602</v>
      </c>
      <c r="J431" s="132"/>
      <c r="K431" s="133">
        <f>IF(A431&gt;$B$15,IF(I431&gt;Helper_calcs!$B$27,23,3),0)</f>
        <v>23</v>
      </c>
      <c r="L431">
        <f t="shared" si="50"/>
        <v>2</v>
      </c>
      <c r="M431">
        <f t="shared" si="53"/>
        <v>2</v>
      </c>
      <c r="N431" s="132">
        <f t="shared" si="54"/>
        <v>3.375</v>
      </c>
      <c r="O431" s="132">
        <f t="shared" si="55"/>
        <v>3.4438775510204511</v>
      </c>
      <c r="P431" s="134">
        <f>IF(OR(M431=0,M431=3),loop_gain!$B$18,IF(Current_limit!M431=1,Current_limit!$B$12/(2*(Current_limit!N431-Helper_calcs!$B$27)),IF(OR(M431=2,M431=23),(Main!$B$19-Current_limit!O431)*Current_limit!O431/(Main!$B$19*loop_gain!$B$17*(Helper_calcs!$B$26-Helper_calcs!$B$27)),x)))</f>
        <v>1723171.8143756017</v>
      </c>
      <c r="Q431" s="132"/>
    </row>
    <row r="432" spans="1:17" x14ac:dyDescent="0.3">
      <c r="A432">
        <f t="shared" si="56"/>
        <v>4.9099999999999389</v>
      </c>
      <c r="B432">
        <f>Main!$B$20/A432</f>
        <v>1.0183299389002163</v>
      </c>
      <c r="D432" s="132">
        <f t="shared" si="49"/>
        <v>1.0183299389002163</v>
      </c>
      <c r="E432" s="132">
        <f>-B432*Main!$B$19-2*Main!$B$19*loop_gain!$B$17*loop_gain!$B$18</f>
        <v>-87.819959266802599</v>
      </c>
      <c r="F432" s="132">
        <f>2*Main!$B$19*loop_gain!$B$17*loop_gain!$B$18*Helper_calcs!$B$26*Current_limit!B432</f>
        <v>296.39511201629699</v>
      </c>
      <c r="G432" s="132">
        <f t="shared" si="51"/>
        <v>3.5185911219424031</v>
      </c>
      <c r="H432" s="132">
        <f>(Main!$B$19-Current_limit!G432)*Current_limit!G432/(Main!$B$19*loop_gain!$B$17*loop_gain!$B$18)</f>
        <v>0.7894870365052099</v>
      </c>
      <c r="I432" s="132">
        <f t="shared" si="52"/>
        <v>3.0605129634947921</v>
      </c>
      <c r="J432" s="132"/>
      <c r="K432" s="133">
        <f>IF(A432&gt;$B$15,IF(I432&gt;Helper_calcs!$B$27,23,3),0)</f>
        <v>23</v>
      </c>
      <c r="L432">
        <f t="shared" si="50"/>
        <v>2</v>
      </c>
      <c r="M432">
        <f t="shared" si="53"/>
        <v>2</v>
      </c>
      <c r="N432" s="132">
        <f t="shared" si="54"/>
        <v>3.375</v>
      </c>
      <c r="O432" s="132">
        <f t="shared" si="55"/>
        <v>3.4368635437882298</v>
      </c>
      <c r="P432" s="134">
        <f>IF(OR(M432=0,M432=3),loop_gain!$B$18,IF(Current_limit!M432=1,Current_limit!$B$12/(2*(Current_limit!N432-Helper_calcs!$B$27)),IF(OR(M432=2,M432=23),(Main!$B$19-Current_limit!O432)*Current_limit!O432/(Main!$B$19*loop_gain!$B$17*(Helper_calcs!$B$26-Helper_calcs!$B$27)),x)))</f>
        <v>1721072.0179437522</v>
      </c>
      <c r="Q432" s="132"/>
    </row>
    <row r="433" spans="1:17" x14ac:dyDescent="0.3">
      <c r="A433">
        <f t="shared" si="56"/>
        <v>4.9199999999999386</v>
      </c>
      <c r="B433">
        <f>Main!$B$20/A433</f>
        <v>1.0162601626016388</v>
      </c>
      <c r="D433" s="132">
        <f t="shared" si="49"/>
        <v>1.0162601626016388</v>
      </c>
      <c r="E433" s="132">
        <f>-B433*Main!$B$19-2*Main!$B$19*loop_gain!$B$17*loop_gain!$B$18</f>
        <v>-87.79512195121967</v>
      </c>
      <c r="F433" s="132">
        <f>2*Main!$B$19*loop_gain!$B$17*loop_gain!$B$18*Helper_calcs!$B$26*Current_limit!B433</f>
        <v>295.79268292683304</v>
      </c>
      <c r="G433" s="132">
        <f t="shared" si="51"/>
        <v>3.5118873479544703</v>
      </c>
      <c r="H433" s="132">
        <f>(Main!$B$19-Current_limit!G433)*Current_limit!G433/(Main!$B$19*loop_gain!$B$17*loop_gain!$B$18)</f>
        <v>0.7886056992256868</v>
      </c>
      <c r="I433" s="132">
        <f t="shared" si="52"/>
        <v>3.0613943007743121</v>
      </c>
      <c r="J433" s="132"/>
      <c r="K433" s="133">
        <f>IF(A433&gt;$B$15,IF(I433&gt;Helper_calcs!$B$27,23,3),0)</f>
        <v>23</v>
      </c>
      <c r="L433">
        <f t="shared" si="50"/>
        <v>2</v>
      </c>
      <c r="M433">
        <f t="shared" si="53"/>
        <v>2</v>
      </c>
      <c r="N433" s="132">
        <f t="shared" si="54"/>
        <v>3.375</v>
      </c>
      <c r="O433" s="132">
        <f t="shared" si="55"/>
        <v>3.4298780487805307</v>
      </c>
      <c r="P433" s="134">
        <f>IF(OR(M433=0,M433=3),loop_gain!$B$18,IF(Current_limit!M433=1,Current_limit!$B$12/(2*(Current_limit!N433-Helper_calcs!$B$27)),IF(OR(M433=2,M433=23),(Main!$B$19-Current_limit!O433)*Current_limit!O433/(Main!$B$19*loop_gain!$B$17*(Helper_calcs!$B$26-Helper_calcs!$B$27)),x)))</f>
        <v>1718975.0383543756</v>
      </c>
      <c r="Q433" s="132"/>
    </row>
    <row r="434" spans="1:17" x14ac:dyDescent="0.3">
      <c r="A434">
        <f t="shared" si="56"/>
        <v>4.9299999999999384</v>
      </c>
      <c r="B434">
        <f>Main!$B$20/A434</f>
        <v>1.0141987829614731</v>
      </c>
      <c r="D434" s="132">
        <f t="shared" si="49"/>
        <v>1.0141987829614731</v>
      </c>
      <c r="E434" s="132">
        <f>-B434*Main!$B$19-2*Main!$B$19*loop_gain!$B$17*loop_gain!$B$18</f>
        <v>-87.770385395537687</v>
      </c>
      <c r="F434" s="132">
        <f>2*Main!$B$19*loop_gain!$B$17*loop_gain!$B$18*Helper_calcs!$B$26*Current_limit!B434</f>
        <v>295.19269776876644</v>
      </c>
      <c r="G434" s="132">
        <f t="shared" si="51"/>
        <v>3.5052101937366373</v>
      </c>
      <c r="H434" s="132">
        <f>(Main!$B$19-Current_limit!G434)*Current_limit!G434/(Main!$B$19*loop_gain!$B$17*loop_gain!$B$18)</f>
        <v>0.78772549795143942</v>
      </c>
      <c r="I434" s="132">
        <f t="shared" si="52"/>
        <v>3.0622745020485613</v>
      </c>
      <c r="J434" s="132"/>
      <c r="K434" s="133">
        <f>IF(A434&gt;$B$15,IF(I434&gt;Helper_calcs!$B$27,23,3),0)</f>
        <v>23</v>
      </c>
      <c r="L434">
        <f t="shared" si="50"/>
        <v>2</v>
      </c>
      <c r="M434">
        <f t="shared" si="53"/>
        <v>2</v>
      </c>
      <c r="N434" s="132">
        <f t="shared" si="54"/>
        <v>3.375</v>
      </c>
      <c r="O434" s="132">
        <f t="shared" si="55"/>
        <v>3.4229208924949717</v>
      </c>
      <c r="P434" s="134">
        <f>IF(OR(M434=0,M434=3),loop_gain!$B$18,IF(Current_limit!M434=1,Current_limit!$B$12/(2*(Current_limit!N434-Helper_calcs!$B$27)),IF(OR(M434=2,M434=23),(Main!$B$19-Current_limit!O434)*Current_limit!O434/(Main!$B$19*loop_gain!$B$17*(Helper_calcs!$B$26-Helper_calcs!$B$27)),x)))</f>
        <v>1716880.8931965546</v>
      </c>
      <c r="Q434" s="132"/>
    </row>
    <row r="435" spans="1:17" x14ac:dyDescent="0.3">
      <c r="A435">
        <f t="shared" si="56"/>
        <v>4.9399999999999382</v>
      </c>
      <c r="B435">
        <f>Main!$B$20/A435</f>
        <v>1.0121457489878669</v>
      </c>
      <c r="D435" s="132">
        <f t="shared" si="49"/>
        <v>1.0121457489878669</v>
      </c>
      <c r="E435" s="132">
        <f>-B435*Main!$B$19-2*Main!$B$19*loop_gain!$B$17*loop_gain!$B$18</f>
        <v>-87.745748987854412</v>
      </c>
      <c r="F435" s="132">
        <f>2*Main!$B$19*loop_gain!$B$17*loop_gain!$B$18*Helper_calcs!$B$26*Current_limit!B435</f>
        <v>294.59514170040859</v>
      </c>
      <c r="G435" s="132">
        <f t="shared" si="51"/>
        <v>3.4985594943967269</v>
      </c>
      <c r="H435" s="132">
        <f>(Main!$B$19-Current_limit!G435)*Current_limit!G435/(Main!$B$19*loop_gain!$B$17*loop_gain!$B$18)</f>
        <v>0.78684643907214913</v>
      </c>
      <c r="I435" s="132">
        <f t="shared" si="52"/>
        <v>3.0631535609278484</v>
      </c>
      <c r="J435" s="132"/>
      <c r="K435" s="133">
        <f>IF(A435&gt;$B$15,IF(I435&gt;Helper_calcs!$B$27,23,3),0)</f>
        <v>23</v>
      </c>
      <c r="L435">
        <f t="shared" si="50"/>
        <v>2</v>
      </c>
      <c r="M435">
        <f t="shared" si="53"/>
        <v>2</v>
      </c>
      <c r="N435" s="132">
        <f t="shared" si="54"/>
        <v>3.375</v>
      </c>
      <c r="O435" s="132">
        <f t="shared" si="55"/>
        <v>3.4159919028340506</v>
      </c>
      <c r="P435" s="134">
        <f>IF(OR(M435=0,M435=3),loop_gain!$B$18,IF(Current_limit!M435=1,Current_limit!$B$12/(2*(Current_limit!N435-Helper_calcs!$B$27)),IF(OR(M435=2,M435=23),(Main!$B$19-Current_limit!O435)*Current_limit!O435/(Main!$B$19*loop_gain!$B$17*(Helper_calcs!$B$26-Helper_calcs!$B$27)),x)))</f>
        <v>1714789.5996363044</v>
      </c>
      <c r="Q435" s="132"/>
    </row>
    <row r="436" spans="1:17" x14ac:dyDescent="0.3">
      <c r="A436">
        <f t="shared" si="56"/>
        <v>4.949999999999938</v>
      </c>
      <c r="B436">
        <f>Main!$B$20/A436</f>
        <v>1.0101010101010228</v>
      </c>
      <c r="D436" s="132">
        <f t="shared" si="49"/>
        <v>1.0101010101010228</v>
      </c>
      <c r="E436" s="132">
        <f>-B436*Main!$B$19-2*Main!$B$19*loop_gain!$B$17*loop_gain!$B$18</f>
        <v>-87.72121212121229</v>
      </c>
      <c r="F436" s="132">
        <f>2*Main!$B$19*loop_gain!$B$17*loop_gain!$B$18*Helper_calcs!$B$26*Current_limit!B436</f>
        <v>294.00000000000375</v>
      </c>
      <c r="G436" s="132">
        <f t="shared" si="51"/>
        <v>3.4919350864540055</v>
      </c>
      <c r="H436" s="132">
        <f>(Main!$B$19-Current_limit!G436)*Current_limit!G436/(Main!$B$19*loop_gain!$B$17*loop_gain!$B$18)</f>
        <v>0.7859685288211512</v>
      </c>
      <c r="I436" s="132">
        <f t="shared" si="52"/>
        <v>3.0640314711788466</v>
      </c>
      <c r="J436" s="132"/>
      <c r="K436" s="133">
        <f>IF(A436&gt;$B$15,IF(I436&gt;Helper_calcs!$B$27,23,3),0)</f>
        <v>23</v>
      </c>
      <c r="L436">
        <f t="shared" si="50"/>
        <v>2</v>
      </c>
      <c r="M436">
        <f t="shared" si="53"/>
        <v>2</v>
      </c>
      <c r="N436" s="132">
        <f t="shared" si="54"/>
        <v>3.375</v>
      </c>
      <c r="O436" s="132">
        <f t="shared" si="55"/>
        <v>3.4090909090909518</v>
      </c>
      <c r="P436" s="134">
        <f>IF(OR(M436=0,M436=3),loop_gain!$B$18,IF(Current_limit!M436=1,Current_limit!$B$12/(2*(Current_limit!N436-Helper_calcs!$B$27)),IF(OR(M436=2,M436=23),(Main!$B$19-Current_limit!O436)*Current_limit!O436/(Main!$B$19*loop_gain!$B$17*(Helper_calcs!$B$26-Helper_calcs!$B$27)),x)))</f>
        <v>1712701.1744236751</v>
      </c>
      <c r="Q436" s="132"/>
    </row>
    <row r="437" spans="1:17" x14ac:dyDescent="0.3">
      <c r="A437">
        <f t="shared" si="56"/>
        <v>4.9599999999999378</v>
      </c>
      <c r="B437">
        <f>Main!$B$20/A437</f>
        <v>1.0080645161290449</v>
      </c>
      <c r="D437" s="132">
        <f t="shared" si="49"/>
        <v>1.0080645161290449</v>
      </c>
      <c r="E437" s="132">
        <f>-B437*Main!$B$19-2*Main!$B$19*loop_gain!$B$17*loop_gain!$B$18</f>
        <v>-87.696774193548549</v>
      </c>
      <c r="F437" s="132">
        <f>2*Main!$B$19*loop_gain!$B$17*loop_gain!$B$18*Helper_calcs!$B$26*Current_limit!B437</f>
        <v>293.40725806451985</v>
      </c>
      <c r="G437" s="132">
        <f t="shared" si="51"/>
        <v>3.4853368078235687</v>
      </c>
      <c r="H437" s="132">
        <f>(Main!$B$19-Current_limit!G437)*Current_limit!G437/(Main!$B$19*loop_gain!$B$17*loop_gain!$B$18)</f>
        <v>0.78509177327812274</v>
      </c>
      <c r="I437" s="132">
        <f t="shared" si="52"/>
        <v>3.0649082267218755</v>
      </c>
      <c r="J437" s="132"/>
      <c r="K437" s="133">
        <f>IF(A437&gt;$B$15,IF(I437&gt;Helper_calcs!$B$27,23,3),0)</f>
        <v>23</v>
      </c>
      <c r="L437">
        <f t="shared" si="50"/>
        <v>2</v>
      </c>
      <c r="M437">
        <f t="shared" si="53"/>
        <v>2</v>
      </c>
      <c r="N437" s="132">
        <f t="shared" si="54"/>
        <v>3.375</v>
      </c>
      <c r="O437" s="132">
        <f t="shared" si="55"/>
        <v>3.4022177419355266</v>
      </c>
      <c r="P437" s="134">
        <f>IF(OR(M437=0,M437=3),loop_gain!$B$18,IF(Current_limit!M437=1,Current_limit!$B$12/(2*(Current_limit!N437-Helper_calcs!$B$27)),IF(OR(M437=2,M437=23),(Main!$B$19-Current_limit!O437)*Current_limit!O437/(Main!$B$19*loop_gain!$B$17*(Helper_calcs!$B$26-Helper_calcs!$B$27)),x)))</f>
        <v>1710615.6338997334</v>
      </c>
      <c r="Q437" s="132"/>
    </row>
    <row r="438" spans="1:17" x14ac:dyDescent="0.3">
      <c r="A438">
        <f t="shared" si="56"/>
        <v>4.9699999999999376</v>
      </c>
      <c r="B438">
        <f>Main!$B$20/A438</f>
        <v>1.0060362173038355</v>
      </c>
      <c r="D438" s="132">
        <f t="shared" si="49"/>
        <v>1.0060362173038355</v>
      </c>
      <c r="E438" s="132">
        <f>-B438*Main!$B$19-2*Main!$B$19*loop_gain!$B$17*loop_gain!$B$18</f>
        <v>-87.672434607646039</v>
      </c>
      <c r="F438" s="132">
        <f>2*Main!$B$19*loop_gain!$B$17*loop_gain!$B$18*Helper_calcs!$B$26*Current_limit!B438</f>
        <v>292.81690140845444</v>
      </c>
      <c r="G438" s="132">
        <f t="shared" si="51"/>
        <v>3.4787644978009866</v>
      </c>
      <c r="H438" s="132">
        <f>(Main!$B$19-Current_limit!G438)*Current_limit!G438/(Main!$B$19*loop_gain!$B$17*loop_gain!$B$18)</f>
        <v>0.78421617837172719</v>
      </c>
      <c r="I438" s="132">
        <f t="shared" si="52"/>
        <v>3.065783821628274</v>
      </c>
      <c r="J438" s="132"/>
      <c r="K438" s="133">
        <f>IF(A438&gt;$B$15,IF(I438&gt;Helper_calcs!$B$27,23,3),0)</f>
        <v>23</v>
      </c>
      <c r="L438">
        <f t="shared" si="50"/>
        <v>2</v>
      </c>
      <c r="M438">
        <f t="shared" si="53"/>
        <v>2</v>
      </c>
      <c r="N438" s="132">
        <f t="shared" si="54"/>
        <v>3.375</v>
      </c>
      <c r="O438" s="132">
        <f t="shared" si="55"/>
        <v>3.3953722334004448</v>
      </c>
      <c r="P438" s="134">
        <f>IF(OR(M438=0,M438=3),loop_gain!$B$18,IF(Current_limit!M438=1,Current_limit!$B$12/(2*(Current_limit!N438-Helper_calcs!$B$27)),IF(OR(M438=2,M438=23),(Main!$B$19-Current_limit!O438)*Current_limit!O438/(Main!$B$19*loop_gain!$B$17*(Helper_calcs!$B$26-Helper_calcs!$B$27)),x)))</f>
        <v>1708532.9940034277</v>
      </c>
      <c r="Q438" s="132"/>
    </row>
    <row r="439" spans="1:17" x14ac:dyDescent="0.3">
      <c r="A439">
        <f t="shared" si="56"/>
        <v>4.9799999999999374</v>
      </c>
      <c r="B439">
        <f>Main!$B$20/A439</f>
        <v>1.0040160642570408</v>
      </c>
      <c r="D439" s="132">
        <f t="shared" si="49"/>
        <v>1.0040160642570408</v>
      </c>
      <c r="E439" s="132">
        <f>-B439*Main!$B$19-2*Main!$B$19*loop_gain!$B$17*loop_gain!$B$18</f>
        <v>-87.648192771084496</v>
      </c>
      <c r="F439" s="132">
        <f>2*Main!$B$19*loop_gain!$B$17*loop_gain!$B$18*Helper_calcs!$B$26*Current_limit!B439</f>
        <v>292.22891566265434</v>
      </c>
      <c r="G439" s="132">
        <f t="shared" si="51"/>
        <v>3.472217997047125</v>
      </c>
      <c r="H439" s="132">
        <f>(Main!$B$19-Current_limit!G439)*Current_limit!G439/(Main!$B$19*loop_gain!$B$17*loop_gain!$B$18)</f>
        <v>0.78334174988221028</v>
      </c>
      <c r="I439" s="132">
        <f t="shared" si="52"/>
        <v>3.0666582501177873</v>
      </c>
      <c r="J439" s="132"/>
      <c r="K439" s="133">
        <f>IF(A439&gt;$B$15,IF(I439&gt;Helper_calcs!$B$27,23,3),0)</f>
        <v>23</v>
      </c>
      <c r="L439">
        <f t="shared" si="50"/>
        <v>2</v>
      </c>
      <c r="M439">
        <f t="shared" si="53"/>
        <v>2</v>
      </c>
      <c r="N439" s="132">
        <f t="shared" si="54"/>
        <v>3.375</v>
      </c>
      <c r="O439" s="132">
        <f t="shared" si="55"/>
        <v>3.3885542168675129</v>
      </c>
      <c r="P439" s="134">
        <f>IF(OR(M439=0,M439=3),loop_gain!$B$18,IF(Current_limit!M439=1,Current_limit!$B$12/(2*(Current_limit!N439-Helper_calcs!$B$27)),IF(OR(M439=2,M439=23),(Main!$B$19-Current_limit!O439)*Current_limit!O439/(Main!$B$19*loop_gain!$B$17*(Helper_calcs!$B$26-Helper_calcs!$B$27)),x)))</f>
        <v>1706453.270278336</v>
      </c>
      <c r="Q439" s="132"/>
    </row>
    <row r="440" spans="1:17" x14ac:dyDescent="0.3">
      <c r="A440">
        <f t="shared" si="56"/>
        <v>4.9899999999999372</v>
      </c>
      <c r="B440">
        <f>Main!$B$20/A440</f>
        <v>1.0020040080160446</v>
      </c>
      <c r="D440" s="132">
        <f t="shared" si="49"/>
        <v>1.0020040080160446</v>
      </c>
      <c r="E440" s="132">
        <f>-B440*Main!$B$19-2*Main!$B$19*loop_gain!$B$17*loop_gain!$B$18</f>
        <v>-87.624048096192539</v>
      </c>
      <c r="F440" s="132">
        <f>2*Main!$B$19*loop_gain!$B$17*loop_gain!$B$18*Helper_calcs!$B$26*Current_limit!B440</f>
        <v>291.64328657315002</v>
      </c>
      <c r="G440" s="132">
        <f t="shared" si="51"/>
        <v>3.4656971475732159</v>
      </c>
      <c r="H440" s="132">
        <f>(Main!$B$19-Current_limit!G440)*Current_limit!G440/(Main!$B$19*loop_gain!$B$17*loop_gain!$B$18)</f>
        <v>0.78246849344395408</v>
      </c>
      <c r="I440" s="132">
        <f t="shared" si="52"/>
        <v>3.0675315065560493</v>
      </c>
      <c r="J440" s="132"/>
      <c r="K440" s="133">
        <f>IF(A440&gt;$B$15,IF(I440&gt;Helper_calcs!$B$27,23,3),0)</f>
        <v>23</v>
      </c>
      <c r="L440">
        <f t="shared" si="50"/>
        <v>2</v>
      </c>
      <c r="M440">
        <f t="shared" si="53"/>
        <v>2</v>
      </c>
      <c r="N440" s="132">
        <f t="shared" si="54"/>
        <v>3.375</v>
      </c>
      <c r="O440" s="132">
        <f t="shared" si="55"/>
        <v>3.3817635270541504</v>
      </c>
      <c r="P440" s="134">
        <f>IF(OR(M440=0,M440=3),loop_gain!$B$18,IF(Current_limit!M440=1,Current_limit!$B$12/(2*(Current_limit!N440-Helper_calcs!$B$27)),IF(OR(M440=2,M440=23),(Main!$B$19-Current_limit!O440)*Current_limit!O440/(Main!$B$19*loop_gain!$B$17*(Helper_calcs!$B$26-Helper_calcs!$B$27)),x)))</f>
        <v>1704376.4778793023</v>
      </c>
      <c r="Q440" s="132"/>
    </row>
    <row r="441" spans="1:17" x14ac:dyDescent="0.3">
      <c r="A441">
        <f t="shared" si="56"/>
        <v>4.9999999999999369</v>
      </c>
      <c r="B441">
        <f>Main!$B$20/A441</f>
        <v>1.0000000000000127</v>
      </c>
      <c r="D441" s="132">
        <f t="shared" si="49"/>
        <v>1.0000000000000127</v>
      </c>
      <c r="E441" s="132">
        <f>-B441*Main!$B$19-2*Main!$B$19*loop_gain!$B$17*loop_gain!$B$18</f>
        <v>-87.600000000000165</v>
      </c>
      <c r="F441" s="132">
        <f>2*Main!$B$19*loop_gain!$B$17*loop_gain!$B$18*Helper_calcs!$B$26*Current_limit!B441</f>
        <v>291.06000000000375</v>
      </c>
      <c r="G441" s="132">
        <f t="shared" si="51"/>
        <v>3.4592017927260543</v>
      </c>
      <c r="H441" s="132">
        <f>(Main!$B$19-Current_limit!G441)*Current_limit!G441/(Main!$B$19*loop_gain!$B$17*loop_gain!$B$18)</f>
        <v>0.78159641454797624</v>
      </c>
      <c r="I441" s="132">
        <f t="shared" si="52"/>
        <v>3.0684035854520224</v>
      </c>
      <c r="J441" s="132"/>
      <c r="K441" s="133">
        <f>IF(A441&gt;$B$15,IF(I441&gt;Helper_calcs!$B$27,23,3),0)</f>
        <v>23</v>
      </c>
      <c r="L441">
        <f t="shared" si="50"/>
        <v>2</v>
      </c>
      <c r="M441">
        <f t="shared" si="53"/>
        <v>2</v>
      </c>
      <c r="N441" s="132">
        <f t="shared" si="54"/>
        <v>3.375</v>
      </c>
      <c r="O441" s="132">
        <f t="shared" si="55"/>
        <v>3.3750000000000426</v>
      </c>
      <c r="P441" s="134">
        <f>IF(OR(M441=0,M441=3),loop_gain!$B$18,IF(Current_limit!M441=1,Current_limit!$B$12/(2*(Current_limit!N441-Helper_calcs!$B$27)),IF(OR(M441=2,M441=23),(Main!$B$19-Current_limit!O441)*Current_limit!O441/(Main!$B$19*loop_gain!$B$17*(Helper_calcs!$B$26-Helper_calcs!$B$27)),x)))</f>
        <v>1702302.6315789602</v>
      </c>
      <c r="Q441" s="132"/>
    </row>
    <row r="442" spans="1:17" x14ac:dyDescent="0.3">
      <c r="A442">
        <f t="shared" si="56"/>
        <v>5.0099999999999367</v>
      </c>
      <c r="B442">
        <f>Main!$B$20/A442</f>
        <v>0.99800399201598067</v>
      </c>
      <c r="D442" s="132">
        <f t="shared" si="49"/>
        <v>0.99800399201598067</v>
      </c>
      <c r="E442" s="132">
        <f>-B442*Main!$B$19-2*Main!$B$19*loop_gain!$B$17*loop_gain!$B$18</f>
        <v>-87.576047904191782</v>
      </c>
      <c r="F442" s="132">
        <f>2*Main!$B$19*loop_gain!$B$17*loop_gain!$B$18*Helper_calcs!$B$26*Current_limit!B442</f>
        <v>290.47904191617141</v>
      </c>
      <c r="G442" s="132">
        <f t="shared" si="51"/>
        <v>3.4527317771734958</v>
      </c>
      <c r="H442" s="132">
        <f>(Main!$B$19-Current_limit!G442)*Current_limit!G442/(Main!$B$19*loop_gain!$B$17*loop_gain!$B$18)</f>
        <v>0.78072551854439953</v>
      </c>
      <c r="I442" s="132">
        <f t="shared" si="52"/>
        <v>3.069274481455599</v>
      </c>
      <c r="J442" s="132"/>
      <c r="K442" s="133">
        <f>IF(A442&gt;$B$15,IF(I442&gt;Helper_calcs!$B$27,23,3),0)</f>
        <v>23</v>
      </c>
      <c r="L442">
        <f t="shared" si="50"/>
        <v>2</v>
      </c>
      <c r="M442">
        <f t="shared" si="53"/>
        <v>2</v>
      </c>
      <c r="N442" s="132">
        <f t="shared" si="54"/>
        <v>3.375</v>
      </c>
      <c r="O442" s="132">
        <f t="shared" si="55"/>
        <v>3.3682634730539349</v>
      </c>
      <c r="P442" s="134">
        <f>IF(OR(M442=0,M442=3),loop_gain!$B$18,IF(Current_limit!M442=1,Current_limit!$B$12/(2*(Current_limit!N442-Helper_calcs!$B$27)),IF(OR(M442=2,M442=23),(Main!$B$19-Current_limit!O442)*Current_limit!O442/(Main!$B$19*loop_gain!$B$17*(Helper_calcs!$B$26-Helper_calcs!$B$27)),x)))</f>
        <v>1700231.7457741438</v>
      </c>
      <c r="Q442" s="132"/>
    </row>
    <row r="443" spans="1:17" x14ac:dyDescent="0.3">
      <c r="A443">
        <f t="shared" si="56"/>
        <v>5.0199999999999365</v>
      </c>
      <c r="B443">
        <f>Main!$B$20/A443</f>
        <v>0.99601593625499263</v>
      </c>
      <c r="D443" s="132">
        <f t="shared" si="49"/>
        <v>0.99601593625499263</v>
      </c>
      <c r="E443" s="132">
        <f>-B443*Main!$B$19-2*Main!$B$19*loop_gain!$B$17*loop_gain!$B$18</f>
        <v>-87.552191235059922</v>
      </c>
      <c r="F443" s="132">
        <f>2*Main!$B$19*loop_gain!$B$17*loop_gain!$B$18*Helper_calcs!$B$26*Current_limit!B443</f>
        <v>289.9003984063782</v>
      </c>
      <c r="G443" s="132">
        <f t="shared" si="51"/>
        <v>3.4462869468900519</v>
      </c>
      <c r="H443" s="132">
        <f>(Main!$B$19-Current_limit!G443)*Current_limit!G443/(Main!$B$19*loop_gain!$B$17*loop_gain!$B$18)</f>
        <v>0.77985581064486409</v>
      </c>
      <c r="I443" s="132">
        <f t="shared" si="52"/>
        <v>3.0701441893551369</v>
      </c>
      <c r="J443" s="132"/>
      <c r="K443" s="133">
        <f>IF(A443&gt;$B$15,IF(I443&gt;Helper_calcs!$B$27,23,3),0)</f>
        <v>23</v>
      </c>
      <c r="L443">
        <f t="shared" si="50"/>
        <v>2</v>
      </c>
      <c r="M443">
        <f t="shared" si="53"/>
        <v>2</v>
      </c>
      <c r="N443" s="132">
        <f t="shared" si="54"/>
        <v>3.375</v>
      </c>
      <c r="O443" s="132">
        <f t="shared" si="55"/>
        <v>3.3615537848606003</v>
      </c>
      <c r="P443" s="134">
        <f>IF(OR(M443=0,M443=3),loop_gain!$B$18,IF(Current_limit!M443=1,Current_limit!$B$12/(2*(Current_limit!N443-Helper_calcs!$B$27)),IF(OR(M443=2,M443=23),(Main!$B$19-Current_limit!O443)*Current_limit!O443/(Main!$B$19*loop_gain!$B$17*(Helper_calcs!$B$26-Helper_calcs!$B$27)),x)))</f>
        <v>1698163.8344921973</v>
      </c>
      <c r="Q443" s="132"/>
    </row>
    <row r="444" spans="1:17" x14ac:dyDescent="0.3">
      <c r="A444">
        <f t="shared" si="56"/>
        <v>5.0299999999999363</v>
      </c>
      <c r="B444">
        <f>Main!$B$20/A444</f>
        <v>0.99403578528828296</v>
      </c>
      <c r="D444" s="132">
        <f t="shared" si="49"/>
        <v>0.99403578528828296</v>
      </c>
      <c r="E444" s="132">
        <f>-B444*Main!$B$19-2*Main!$B$19*loop_gain!$B$17*loop_gain!$B$18</f>
        <v>-87.5284294234594</v>
      </c>
      <c r="F444" s="132">
        <f>2*Main!$B$19*loop_gain!$B$17*loop_gain!$B$18*Helper_calcs!$B$26*Current_limit!B444</f>
        <v>289.32405566600772</v>
      </c>
      <c r="G444" s="132">
        <f t="shared" si="51"/>
        <v>3.4398671491427359</v>
      </c>
      <c r="H444" s="132">
        <f>(Main!$B$19-Current_limit!G444)*Current_limit!G444/(Main!$B$19*loop_gain!$B$17*loop_gain!$B$18)</f>
        <v>0.77898729592490634</v>
      </c>
      <c r="I444" s="132">
        <f t="shared" si="52"/>
        <v>3.0710127040750952</v>
      </c>
      <c r="J444" s="132"/>
      <c r="K444" s="133">
        <f>IF(A444&gt;$B$15,IF(I444&gt;Helper_calcs!$B$27,23,3),0)</f>
        <v>23</v>
      </c>
      <c r="L444">
        <f t="shared" si="50"/>
        <v>2</v>
      </c>
      <c r="M444">
        <f t="shared" si="53"/>
        <v>2</v>
      </c>
      <c r="N444" s="132">
        <f t="shared" si="54"/>
        <v>3.375</v>
      </c>
      <c r="O444" s="132">
        <f t="shared" si="55"/>
        <v>3.3548707753479552</v>
      </c>
      <c r="P444" s="134">
        <f>IF(OR(M444=0,M444=3),loop_gain!$B$18,IF(Current_limit!M444=1,Current_limit!$B$12/(2*(Current_limit!N444-Helper_calcs!$B$27)),IF(OR(M444=2,M444=23),(Main!$B$19-Current_limit!O444)*Current_limit!O444/(Main!$B$19*loop_gain!$B$17*(Helper_calcs!$B$26-Helper_calcs!$B$27)),x)))</f>
        <v>1696098.9113971738</v>
      </c>
      <c r="Q444" s="132"/>
    </row>
    <row r="445" spans="1:17" x14ac:dyDescent="0.3">
      <c r="A445">
        <f t="shared" si="56"/>
        <v>5.0399999999999361</v>
      </c>
      <c r="B445">
        <f>Main!$B$20/A445</f>
        <v>0.99206349206350464</v>
      </c>
      <c r="D445" s="132">
        <f t="shared" si="49"/>
        <v>0.99206349206350464</v>
      </c>
      <c r="E445" s="132">
        <f>-B445*Main!$B$19-2*Main!$B$19*loop_gain!$B$17*loop_gain!$B$18</f>
        <v>-87.504761904762063</v>
      </c>
      <c r="F445" s="132">
        <f>2*Main!$B$19*loop_gain!$B$17*loop_gain!$B$18*Helper_calcs!$B$26*Current_limit!B445</f>
        <v>288.75000000000369</v>
      </c>
      <c r="G445" s="132">
        <f t="shared" si="51"/>
        <v>3.4334722324770848</v>
      </c>
      <c r="H445" s="132">
        <f>(Main!$B$19-Current_limit!G445)*Current_limit!G445/(Main!$B$19*loop_gain!$B$17*loop_gain!$B$18)</f>
        <v>0.77811997932629196</v>
      </c>
      <c r="I445" s="132">
        <f t="shared" si="52"/>
        <v>3.0718800206737114</v>
      </c>
      <c r="J445" s="132"/>
      <c r="K445" s="133">
        <f>IF(A445&gt;$B$15,IF(I445&gt;Helper_calcs!$B$27,23,3),0)</f>
        <v>23</v>
      </c>
      <c r="L445">
        <f t="shared" si="50"/>
        <v>2</v>
      </c>
      <c r="M445">
        <f t="shared" si="53"/>
        <v>2</v>
      </c>
      <c r="N445" s="132">
        <f t="shared" si="54"/>
        <v>3.375</v>
      </c>
      <c r="O445" s="132">
        <f t="shared" si="55"/>
        <v>3.3482142857143282</v>
      </c>
      <c r="P445" s="134">
        <f>IF(OR(M445=0,M445=3),loop_gain!$B$18,IF(Current_limit!M445=1,Current_limit!$B$12/(2*(Current_limit!N445-Helper_calcs!$B$27)),IF(OR(M445=2,M445=23),(Main!$B$19-Current_limit!O445)*Current_limit!O445/(Main!$B$19*loop_gain!$B$17*(Helper_calcs!$B$26-Helper_calcs!$B$27)),x)))</f>
        <v>1694036.9897959314</v>
      </c>
      <c r="Q445" s="132"/>
    </row>
    <row r="446" spans="1:17" x14ac:dyDescent="0.3">
      <c r="A446">
        <f t="shared" si="56"/>
        <v>5.0499999999999359</v>
      </c>
      <c r="B446">
        <f>Main!$B$20/A446</f>
        <v>0.99009900990100264</v>
      </c>
      <c r="D446" s="132">
        <f t="shared" si="49"/>
        <v>0.99009900990100264</v>
      </c>
      <c r="E446" s="132">
        <f>-B446*Main!$B$19-2*Main!$B$19*loop_gain!$B$17*loop_gain!$B$18</f>
        <v>-87.481188118812042</v>
      </c>
      <c r="F446" s="132">
        <f>2*Main!$B$19*loop_gain!$B$17*loop_gain!$B$18*Helper_calcs!$B$26*Current_limit!B446</f>
        <v>288.17821782178589</v>
      </c>
      <c r="G446" s="132">
        <f t="shared" si="51"/>
        <v>3.4271020467033533</v>
      </c>
      <c r="H446" s="132">
        <f>(Main!$B$19-Current_limit!G446)*Current_limit!G446/(Main!$B$19*loop_gain!$B$17*loop_gain!$B$18)</f>
        <v>0.77725386565931009</v>
      </c>
      <c r="I446" s="132">
        <f t="shared" si="52"/>
        <v>3.0727461343406879</v>
      </c>
      <c r="J446" s="132"/>
      <c r="K446" s="133">
        <f>IF(A446&gt;$B$15,IF(I446&gt;Helper_calcs!$B$27,23,3),0)</f>
        <v>23</v>
      </c>
      <c r="L446">
        <f t="shared" si="50"/>
        <v>2</v>
      </c>
      <c r="M446">
        <f t="shared" si="53"/>
        <v>2</v>
      </c>
      <c r="N446" s="132">
        <f t="shared" si="54"/>
        <v>3.375</v>
      </c>
      <c r="O446" s="132">
        <f t="shared" si="55"/>
        <v>3.3415841584158841</v>
      </c>
      <c r="P446" s="134">
        <f>IF(OR(M446=0,M446=3),loop_gain!$B$18,IF(Current_limit!M446=1,Current_limit!$B$12/(2*(Current_limit!N446-Helper_calcs!$B$27)),IF(OR(M446=2,M446=23),(Main!$B$19-Current_limit!O446)*Current_limit!O446/(Main!$B$19*loop_gain!$B$17*(Helper_calcs!$B$26-Helper_calcs!$B$27)),x)))</f>
        <v>1691978.0826441294</v>
      </c>
      <c r="Q446" s="132"/>
    </row>
    <row r="447" spans="1:17" x14ac:dyDescent="0.3">
      <c r="A447">
        <f t="shared" si="56"/>
        <v>5.0599999999999357</v>
      </c>
      <c r="B447">
        <f>Main!$B$20/A447</f>
        <v>0.98814229249013119</v>
      </c>
      <c r="D447" s="132">
        <f t="shared" si="49"/>
        <v>0.98814229249013119</v>
      </c>
      <c r="E447" s="132">
        <f>-B447*Main!$B$19-2*Main!$B$19*loop_gain!$B$17*loop_gain!$B$18</f>
        <v>-87.457707509881587</v>
      </c>
      <c r="F447" s="132">
        <f>2*Main!$B$19*loop_gain!$B$17*loop_gain!$B$18*Helper_calcs!$B$26*Current_limit!B447</f>
        <v>287.60869565217763</v>
      </c>
      <c r="G447" s="132">
        <f t="shared" si="51"/>
        <v>3.4207564428829351</v>
      </c>
      <c r="H447" s="132">
        <f>(Main!$B$19-Current_limit!G447)*Current_limit!G447/(Main!$B$19*loop_gain!$B$17*loop_gain!$B$18)</f>
        <v>0.77638895960502929</v>
      </c>
      <c r="I447" s="132">
        <f t="shared" si="52"/>
        <v>3.0736110403949715</v>
      </c>
      <c r="J447" s="132"/>
      <c r="K447" s="133">
        <f>IF(A447&gt;$B$15,IF(I447&gt;Helper_calcs!$B$27,23,3),0)</f>
        <v>23</v>
      </c>
      <c r="L447">
        <f t="shared" si="50"/>
        <v>2</v>
      </c>
      <c r="M447">
        <f t="shared" si="53"/>
        <v>2</v>
      </c>
      <c r="N447" s="132">
        <f t="shared" si="54"/>
        <v>3.375</v>
      </c>
      <c r="O447" s="132">
        <f t="shared" si="55"/>
        <v>3.3349802371541926</v>
      </c>
      <c r="P447" s="134">
        <f>IF(OR(M447=0,M447=3),loop_gain!$B$18,IF(Current_limit!M447=1,Current_limit!$B$12/(2*(Current_limit!N447-Helper_calcs!$B$27)),IF(OR(M447=2,M447=23),(Main!$B$19-Current_limit!O447)*Current_limit!O447/(Main!$B$19*loop_gain!$B$17*(Helper_calcs!$B$26-Helper_calcs!$B$27)),x)))</f>
        <v>1689922.2025521211</v>
      </c>
      <c r="Q447" s="132"/>
    </row>
    <row r="448" spans="1:17" x14ac:dyDescent="0.3">
      <c r="A448">
        <f t="shared" si="56"/>
        <v>5.0699999999999354</v>
      </c>
      <c r="B448">
        <f>Main!$B$20/A448</f>
        <v>0.98619329388561416</v>
      </c>
      <c r="D448" s="132">
        <f t="shared" si="49"/>
        <v>0.98619329388561416</v>
      </c>
      <c r="E448" s="132">
        <f>-B448*Main!$B$19-2*Main!$B$19*loop_gain!$B$17*loop_gain!$B$18</f>
        <v>-87.434319526627377</v>
      </c>
      <c r="F448" s="132">
        <f>2*Main!$B$19*loop_gain!$B$17*loop_gain!$B$18*Helper_calcs!$B$26*Current_limit!B448</f>
        <v>287.04142011834693</v>
      </c>
      <c r="G448" s="132">
        <f t="shared" si="51"/>
        <v>3.4144352733148877</v>
      </c>
      <c r="H448" s="132">
        <f>(Main!$B$19-Current_limit!G448)*Current_limit!G448/(Main!$B$19*loop_gain!$B$17*loop_gain!$B$18)</f>
        <v>0.77552526571750624</v>
      </c>
      <c r="I448" s="132">
        <f t="shared" si="52"/>
        <v>3.0744747342824992</v>
      </c>
      <c r="J448" s="132"/>
      <c r="K448" s="133">
        <f>IF(A448&gt;$B$15,IF(I448&gt;Helper_calcs!$B$27,23,3),0)</f>
        <v>23</v>
      </c>
      <c r="L448">
        <f t="shared" si="50"/>
        <v>2</v>
      </c>
      <c r="M448">
        <f t="shared" si="53"/>
        <v>2</v>
      </c>
      <c r="N448" s="132">
        <f t="shared" si="54"/>
        <v>3.375</v>
      </c>
      <c r="O448" s="132">
        <f t="shared" si="55"/>
        <v>3.3284023668639477</v>
      </c>
      <c r="P448" s="134">
        <f>IF(OR(M448=0,M448=3),loop_gain!$B$18,IF(Current_limit!M448=1,Current_limit!$B$12/(2*(Current_limit!N448-Helper_calcs!$B$27)),IF(OR(M448=2,M448=23),(Main!$B$19-Current_limit!O448)*Current_limit!O448/(Main!$B$19*loop_gain!$B$17*(Helper_calcs!$B$26-Helper_calcs!$B$27)),x)))</f>
        <v>1687869.3617907509</v>
      </c>
      <c r="Q448" s="132"/>
    </row>
    <row r="449" spans="1:17" x14ac:dyDescent="0.3">
      <c r="A449">
        <f t="shared" si="56"/>
        <v>5.0799999999999352</v>
      </c>
      <c r="B449">
        <f>Main!$B$20/A449</f>
        <v>0.98425196850394958</v>
      </c>
      <c r="D449" s="132">
        <f t="shared" si="49"/>
        <v>0.98425196850394958</v>
      </c>
      <c r="E449" s="132">
        <f>-B449*Main!$B$19-2*Main!$B$19*loop_gain!$B$17*loop_gain!$B$18</f>
        <v>-87.411023622047409</v>
      </c>
      <c r="F449" s="132">
        <f>2*Main!$B$19*loop_gain!$B$17*loop_gain!$B$18*Helper_calcs!$B$26*Current_limit!B449</f>
        <v>286.47637795275961</v>
      </c>
      <c r="G449" s="132">
        <f t="shared" si="51"/>
        <v>3.4081383915227006</v>
      </c>
      <c r="H449" s="132">
        <f>(Main!$B$19-Current_limit!G449)*Current_limit!G449/(Main!$B$19*loop_gain!$B$17*loop_gain!$B$18)</f>
        <v>0.77466278842596459</v>
      </c>
      <c r="I449" s="132">
        <f t="shared" si="52"/>
        <v>3.0753372115740372</v>
      </c>
      <c r="J449" s="132"/>
      <c r="K449" s="133">
        <f>IF(A449&gt;$B$15,IF(I449&gt;Helper_calcs!$B$27,23,3),0)</f>
        <v>23</v>
      </c>
      <c r="L449">
        <f t="shared" si="50"/>
        <v>2</v>
      </c>
      <c r="M449">
        <f t="shared" si="53"/>
        <v>2</v>
      </c>
      <c r="N449" s="132">
        <f t="shared" si="54"/>
        <v>3.375</v>
      </c>
      <c r="O449" s="132">
        <f t="shared" si="55"/>
        <v>3.3218503937008297</v>
      </c>
      <c r="P449" s="134">
        <f>IF(OR(M449=0,M449=3),loop_gain!$B$18,IF(Current_limit!M449=1,Current_limit!$B$12/(2*(Current_limit!N449-Helper_calcs!$B$27)),IF(OR(M449=2,M449=23),(Main!$B$19-Current_limit!O449)*Current_limit!O449/(Main!$B$19*loop_gain!$B$17*(Helper_calcs!$B$26-Helper_calcs!$B$27)),x)))</f>
        <v>1685819.5722970522</v>
      </c>
      <c r="Q449" s="132"/>
    </row>
    <row r="450" spans="1:17" x14ac:dyDescent="0.3">
      <c r="A450">
        <f t="shared" si="56"/>
        <v>5.089999999999935</v>
      </c>
      <c r="B450">
        <f>Main!$B$20/A450</f>
        <v>0.98231827111985537</v>
      </c>
      <c r="D450" s="132">
        <f t="shared" si="49"/>
        <v>0.98231827111985537</v>
      </c>
      <c r="E450" s="132">
        <f>-B450*Main!$B$19-2*Main!$B$19*loop_gain!$B$17*loop_gain!$B$18</f>
        <v>-87.387819253438266</v>
      </c>
      <c r="F450" s="132">
        <f>2*Main!$B$19*loop_gain!$B$17*loop_gain!$B$18*Helper_calcs!$B$26*Current_limit!B450</f>
        <v>285.91355599214518</v>
      </c>
      <c r="G450" s="132">
        <f t="shared" si="51"/>
        <v>3.4018656522412347</v>
      </c>
      <c r="H450" s="132">
        <f>(Main!$B$19-Current_limit!G450)*Current_limit!G450/(Main!$B$19*loop_gain!$B$17*loop_gain!$B$18)</f>
        <v>0.77380153203693469</v>
      </c>
      <c r="I450" s="132">
        <f t="shared" si="52"/>
        <v>3.0761984679630654</v>
      </c>
      <c r="J450" s="132"/>
      <c r="K450" s="133">
        <f>IF(A450&gt;$B$15,IF(I450&gt;Helper_calcs!$B$27,23,3),0)</f>
        <v>23</v>
      </c>
      <c r="L450">
        <f t="shared" si="50"/>
        <v>2</v>
      </c>
      <c r="M450">
        <f t="shared" si="53"/>
        <v>2</v>
      </c>
      <c r="N450" s="132">
        <f t="shared" si="54"/>
        <v>3.375</v>
      </c>
      <c r="O450" s="132">
        <f t="shared" si="55"/>
        <v>3.3153241650295118</v>
      </c>
      <c r="P450" s="134">
        <f>IF(OR(M450=0,M450=3),loop_gain!$B$18,IF(Current_limit!M450=1,Current_limit!$B$12/(2*(Current_limit!N450-Helper_calcs!$B$27)),IF(OR(M450=2,M450=23),(Main!$B$19-Current_limit!O450)*Current_limit!O450/(Main!$B$19*loop_gain!$B$17*(Helper_calcs!$B$26-Helper_calcs!$B$27)),x)))</f>
        <v>1683772.845679854</v>
      </c>
      <c r="Q450" s="132"/>
    </row>
    <row r="451" spans="1:17" x14ac:dyDescent="0.3">
      <c r="A451">
        <f t="shared" si="56"/>
        <v>5.0999999999999348</v>
      </c>
      <c r="B451">
        <f>Main!$B$20/A451</f>
        <v>0.9803921568627576</v>
      </c>
      <c r="D451" s="132">
        <f t="shared" si="49"/>
        <v>0.9803921568627576</v>
      </c>
      <c r="E451" s="132">
        <f>-B451*Main!$B$19-2*Main!$B$19*loop_gain!$B$17*loop_gain!$B$18</f>
        <v>-87.364705882353093</v>
      </c>
      <c r="F451" s="132">
        <f>2*Main!$B$19*loop_gain!$B$17*loop_gain!$B$18*Helper_calcs!$B$26*Current_limit!B451</f>
        <v>285.3529411764743</v>
      </c>
      <c r="G451" s="132">
        <f t="shared" si="51"/>
        <v>3.3956169114037946</v>
      </c>
      <c r="H451" s="132">
        <f>(Main!$B$19-Current_limit!G451)*Current_limit!G451/(Main!$B$19*loop_gain!$B$17*loop_gain!$B$18)</f>
        <v>0.77294150073635148</v>
      </c>
      <c r="I451" s="132">
        <f t="shared" si="52"/>
        <v>3.0770584992636505</v>
      </c>
      <c r="J451" s="132"/>
      <c r="K451" s="133">
        <f>IF(A451&gt;$B$15,IF(I451&gt;Helper_calcs!$B$27,23,3),0)</f>
        <v>23</v>
      </c>
      <c r="L451">
        <f t="shared" si="50"/>
        <v>2</v>
      </c>
      <c r="M451">
        <f t="shared" si="53"/>
        <v>2</v>
      </c>
      <c r="N451" s="132">
        <f t="shared" si="54"/>
        <v>3.375</v>
      </c>
      <c r="O451" s="132">
        <f t="shared" si="55"/>
        <v>3.3088235294118071</v>
      </c>
      <c r="P451" s="134">
        <f>IF(OR(M451=0,M451=3),loop_gain!$B$18,IF(Current_limit!M451=1,Current_limit!$B$12/(2*(Current_limit!N451-Helper_calcs!$B$27)),IF(OR(M451=2,M451=23),(Main!$B$19-Current_limit!O451)*Current_limit!O451/(Main!$B$19*loop_gain!$B$17*(Helper_calcs!$B$26-Helper_calcs!$B$27)),x)))</f>
        <v>1681729.1932252909</v>
      </c>
      <c r="Q451" s="132"/>
    </row>
    <row r="452" spans="1:17" x14ac:dyDescent="0.3">
      <c r="A452">
        <f t="shared" si="56"/>
        <v>5.1099999999999346</v>
      </c>
      <c r="B452">
        <f>Main!$B$20/A452</f>
        <v>0.97847358121331973</v>
      </c>
      <c r="D452" s="132">
        <f t="shared" si="49"/>
        <v>0.97847358121331973</v>
      </c>
      <c r="E452" s="132">
        <f>-B452*Main!$B$19-2*Main!$B$19*loop_gain!$B$17*loop_gain!$B$18</f>
        <v>-87.341682974559845</v>
      </c>
      <c r="F452" s="132">
        <f>2*Main!$B$19*loop_gain!$B$17*loop_gain!$B$18*Helper_calcs!$B$26*Current_limit!B452</f>
        <v>284.79452054794888</v>
      </c>
      <c r="G452" s="132">
        <f t="shared" si="51"/>
        <v>3.3893920261293906</v>
      </c>
      <c r="H452" s="132">
        <f>(Main!$B$19-Current_limit!G452)*Current_limit!G452/(Main!$B$19*loop_gain!$B$17*loop_gain!$B$18)</f>
        <v>0.77208269859161871</v>
      </c>
      <c r="I452" s="132">
        <f t="shared" si="52"/>
        <v>3.0779173014083838</v>
      </c>
      <c r="J452" s="132"/>
      <c r="K452" s="133">
        <f>IF(A452&gt;$B$15,IF(I452&gt;Helper_calcs!$B$27,23,3),0)</f>
        <v>23</v>
      </c>
      <c r="L452">
        <f t="shared" si="50"/>
        <v>2</v>
      </c>
      <c r="M452">
        <f t="shared" si="53"/>
        <v>2</v>
      </c>
      <c r="N452" s="132">
        <f t="shared" si="54"/>
        <v>3.375</v>
      </c>
      <c r="O452" s="132">
        <f t="shared" si="55"/>
        <v>3.302348336594954</v>
      </c>
      <c r="P452" s="134">
        <f>IF(OR(M452=0,M452=3),loop_gain!$B$18,IF(Current_limit!M452=1,Current_limit!$B$12/(2*(Current_limit!N452-Helper_calcs!$B$27)),IF(OR(M452=2,M452=23),(Main!$B$19-Current_limit!O452)*Current_limit!O452/(Main!$B$19*loop_gain!$B$17*(Helper_calcs!$B$26-Helper_calcs!$B$27)),x)))</f>
        <v>1679688.6259022215</v>
      </c>
      <c r="Q452" s="132"/>
    </row>
    <row r="453" spans="1:17" x14ac:dyDescent="0.3">
      <c r="A453">
        <f t="shared" si="56"/>
        <v>5.1199999999999344</v>
      </c>
      <c r="B453">
        <f>Main!$B$20/A453</f>
        <v>0.97656250000001255</v>
      </c>
      <c r="D453" s="132">
        <f t="shared" si="49"/>
        <v>0.97656250000001255</v>
      </c>
      <c r="E453" s="132">
        <f>-B453*Main!$B$19-2*Main!$B$19*loop_gain!$B$17*loop_gain!$B$18</f>
        <v>-87.318750000000165</v>
      </c>
      <c r="F453" s="132">
        <f>2*Main!$B$19*loop_gain!$B$17*loop_gain!$B$18*Helper_calcs!$B$26*Current_limit!B453</f>
        <v>284.23828125000369</v>
      </c>
      <c r="G453" s="132">
        <f t="shared" si="51"/>
        <v>3.3831908547101777</v>
      </c>
      <c r="H453" s="132">
        <f>(Main!$B$19-Current_limit!G453)*Current_limit!G453/(Main!$B$19*loop_gain!$B$17*loop_gain!$B$18)</f>
        <v>0.77122512955363887</v>
      </c>
      <c r="I453" s="132">
        <f t="shared" si="52"/>
        <v>3.0787748704463578</v>
      </c>
      <c r="J453" s="132"/>
      <c r="K453" s="133">
        <f>IF(A453&gt;$B$15,IF(I453&gt;Helper_calcs!$B$27,23,3),0)</f>
        <v>23</v>
      </c>
      <c r="L453">
        <f t="shared" si="50"/>
        <v>2</v>
      </c>
      <c r="M453">
        <f t="shared" si="53"/>
        <v>2</v>
      </c>
      <c r="N453" s="132">
        <f t="shared" si="54"/>
        <v>3.375</v>
      </c>
      <c r="O453" s="132">
        <f t="shared" si="55"/>
        <v>3.2958984375000422</v>
      </c>
      <c r="P453" s="134">
        <f>IF(OR(M453=0,M453=3),loop_gain!$B$18,IF(Current_limit!M453=1,Current_limit!$B$12/(2*(Current_limit!N453-Helper_calcs!$B$27)),IF(OR(M453=2,M453=23),(Main!$B$19-Current_limit!O453)*Current_limit!O453/(Main!$B$19*loop_gain!$B$17*(Helper_calcs!$B$26-Helper_calcs!$B$27)),x)))</f>
        <v>1677651.1543675603</v>
      </c>
      <c r="Q453" s="132"/>
    </row>
    <row r="454" spans="1:17" x14ac:dyDescent="0.3">
      <c r="A454">
        <f t="shared" si="56"/>
        <v>5.1299999999999342</v>
      </c>
      <c r="B454">
        <f>Main!$B$20/A454</f>
        <v>0.97465886939572399</v>
      </c>
      <c r="D454" s="132">
        <f t="shared" si="49"/>
        <v>0.97465886939572399</v>
      </c>
      <c r="E454" s="132">
        <f>-B454*Main!$B$19-2*Main!$B$19*loop_gain!$B$17*loop_gain!$B$18</f>
        <v>-87.295906432748694</v>
      </c>
      <c r="F454" s="132">
        <f>2*Main!$B$19*loop_gain!$B$17*loop_gain!$B$18*Helper_calcs!$B$26*Current_limit!B454</f>
        <v>283.68421052631948</v>
      </c>
      <c r="G454" s="132">
        <f t="shared" si="51"/>
        <v>3.3770132565990623</v>
      </c>
      <c r="H454" s="132">
        <f>(Main!$B$19-Current_limit!G454)*Current_limit!G454/(Main!$B$19*loop_gain!$B$17*loop_gain!$B$18)</f>
        <v>0.77036879745880804</v>
      </c>
      <c r="I454" s="132">
        <f t="shared" si="52"/>
        <v>3.0796312025411896</v>
      </c>
      <c r="J454" s="132"/>
      <c r="K454" s="133">
        <f>IF(A454&gt;$B$15,IF(I454&gt;Helper_calcs!$B$27,23,3),0)</f>
        <v>23</v>
      </c>
      <c r="L454">
        <f t="shared" si="50"/>
        <v>2</v>
      </c>
      <c r="M454">
        <f t="shared" si="53"/>
        <v>2</v>
      </c>
      <c r="N454" s="132">
        <f t="shared" si="54"/>
        <v>3.375</v>
      </c>
      <c r="O454" s="132">
        <f t="shared" si="55"/>
        <v>3.2894736842105683</v>
      </c>
      <c r="P454" s="134">
        <f>IF(OR(M454=0,M454=3),loop_gain!$B$18,IF(Current_limit!M454=1,Current_limit!$B$12/(2*(Current_limit!N454-Helper_calcs!$B$27)),IF(OR(M454=2,M454=23),(Main!$B$19-Current_limit!O454)*Current_limit!O454/(Main!$B$19*loop_gain!$B$17*(Helper_calcs!$B$26-Helper_calcs!$B$27)),x)))</f>
        <v>1675616.7889715184</v>
      </c>
      <c r="Q454" s="132"/>
    </row>
    <row r="455" spans="1:17" x14ac:dyDescent="0.3">
      <c r="A455">
        <f t="shared" si="56"/>
        <v>5.139999999999934</v>
      </c>
      <c r="B455">
        <f>Main!$B$20/A455</f>
        <v>0.97276264591440942</v>
      </c>
      <c r="D455" s="132">
        <f t="shared" si="49"/>
        <v>0.97276264591440942</v>
      </c>
      <c r="E455" s="132">
        <f>-B455*Main!$B$19-2*Main!$B$19*loop_gain!$B$17*loop_gain!$B$18</f>
        <v>-87.273151750972914</v>
      </c>
      <c r="F455" s="132">
        <f>2*Main!$B$19*loop_gain!$B$17*loop_gain!$B$18*Helper_calcs!$B$26*Current_limit!B455</f>
        <v>283.13229571984806</v>
      </c>
      <c r="G455" s="132">
        <f t="shared" si="51"/>
        <v>3.37085909239743</v>
      </c>
      <c r="H455" s="132">
        <f>(Main!$B$19-Current_limit!G455)*Current_limit!G455/(Main!$B$19*loop_gain!$B$17*loop_gain!$B$18)</f>
        <v>0.7695137060309718</v>
      </c>
      <c r="I455" s="132">
        <f t="shared" si="52"/>
        <v>3.0804862939690274</v>
      </c>
      <c r="J455" s="132"/>
      <c r="K455" s="133">
        <f>IF(A455&gt;$B$15,IF(I455&gt;Helper_calcs!$B$27,23,3),0)</f>
        <v>23</v>
      </c>
      <c r="L455">
        <f t="shared" si="50"/>
        <v>2</v>
      </c>
      <c r="M455">
        <f t="shared" si="53"/>
        <v>2</v>
      </c>
      <c r="N455" s="132">
        <f t="shared" si="54"/>
        <v>3.375</v>
      </c>
      <c r="O455" s="132">
        <f t="shared" si="55"/>
        <v>3.283073929961132</v>
      </c>
      <c r="P455" s="134">
        <f>IF(OR(M455=0,M455=3),loop_gain!$B$18,IF(Current_limit!M455=1,Current_limit!$B$12/(2*(Current_limit!N455-Helper_calcs!$B$27)),IF(OR(M455=2,M455=23),(Main!$B$19-Current_limit!O455)*Current_limit!O455/(Main!$B$19*loop_gain!$B$17*(Helper_calcs!$B$26-Helper_calcs!$B$27)),x)))</f>
        <v>1673585.5397627573</v>
      </c>
      <c r="Q455" s="132"/>
    </row>
    <row r="456" spans="1:17" x14ac:dyDescent="0.3">
      <c r="A456">
        <f t="shared" si="56"/>
        <v>5.1499999999999337</v>
      </c>
      <c r="B456">
        <f>Main!$B$20/A456</f>
        <v>0.97087378640777944</v>
      </c>
      <c r="D456" s="132">
        <f t="shared" si="49"/>
        <v>0.97087378640777944</v>
      </c>
      <c r="E456" s="132">
        <f>-B456*Main!$B$19-2*Main!$B$19*loop_gain!$B$17*loop_gain!$B$18</f>
        <v>-87.250485436893356</v>
      </c>
      <c r="F456" s="132">
        <f>2*Main!$B$19*loop_gain!$B$17*loop_gain!$B$18*Helper_calcs!$B$26*Current_limit!B456</f>
        <v>282.58252427184834</v>
      </c>
      <c r="G456" s="132">
        <f t="shared" si="51"/>
        <v>3.3647282238430729</v>
      </c>
      <c r="H456" s="132">
        <f>(Main!$B$19-Current_limit!G456)*Current_limit!G456/(Main!$B$19*loop_gain!$B$17*loop_gain!$B$18)</f>
        <v>0.7686598588833522</v>
      </c>
      <c r="I456" s="132">
        <f t="shared" si="52"/>
        <v>3.0813401411166446</v>
      </c>
      <c r="J456" s="132"/>
      <c r="K456" s="133">
        <f>IF(A456&gt;$B$15,IF(I456&gt;Helper_calcs!$B$27,23,3),0)</f>
        <v>23</v>
      </c>
      <c r="L456">
        <f t="shared" si="50"/>
        <v>2</v>
      </c>
      <c r="M456">
        <f t="shared" si="53"/>
        <v>2</v>
      </c>
      <c r="N456" s="132">
        <f t="shared" si="54"/>
        <v>3.375</v>
      </c>
      <c r="O456" s="132">
        <f t="shared" si="55"/>
        <v>3.2766990291262554</v>
      </c>
      <c r="P456" s="134">
        <f>IF(OR(M456=0,M456=3),loop_gain!$B$18,IF(Current_limit!M456=1,Current_limit!$B$12/(2*(Current_limit!N456-Helper_calcs!$B$27)),IF(OR(M456=2,M456=23),(Main!$B$19-Current_limit!O456)*Current_limit!O456/(Main!$B$19*loop_gain!$B$17*(Helper_calcs!$B$26-Helper_calcs!$B$27)),x)))</f>
        <v>1671557.416493457</v>
      </c>
      <c r="Q456" s="132"/>
    </row>
    <row r="457" spans="1:17" x14ac:dyDescent="0.3">
      <c r="A457">
        <f t="shared" si="56"/>
        <v>5.1599999999999335</v>
      </c>
      <c r="B457">
        <f>Main!$B$20/A457</f>
        <v>0.96899224806202799</v>
      </c>
      <c r="D457" s="132">
        <f t="shared" si="49"/>
        <v>0.96899224806202799</v>
      </c>
      <c r="E457" s="132">
        <f>-B457*Main!$B$19-2*Main!$B$19*loop_gain!$B$17*loop_gain!$B$18</f>
        <v>-87.22790697674435</v>
      </c>
      <c r="F457" s="132">
        <f>2*Main!$B$19*loop_gain!$B$17*loop_gain!$B$18*Helper_calcs!$B$26*Current_limit!B457</f>
        <v>282.03488372093392</v>
      </c>
      <c r="G457" s="132">
        <f t="shared" si="51"/>
        <v>3.3586205137982783</v>
      </c>
      <c r="H457" s="132">
        <f>(Main!$B$19-Current_limit!G457)*Current_limit!G457/(Main!$B$19*loop_gain!$B$17*loop_gain!$B$18)</f>
        <v>0.76780725952044238</v>
      </c>
      <c r="I457" s="132">
        <f t="shared" si="52"/>
        <v>3.0821927404795577</v>
      </c>
      <c r="J457" s="132"/>
      <c r="K457" s="133">
        <f>IF(A457&gt;$B$15,IF(I457&gt;Helper_calcs!$B$27,23,3),0)</f>
        <v>23</v>
      </c>
      <c r="L457">
        <f t="shared" si="50"/>
        <v>2</v>
      </c>
      <c r="M457">
        <f t="shared" si="53"/>
        <v>2</v>
      </c>
      <c r="N457" s="132">
        <f t="shared" si="54"/>
        <v>3.375</v>
      </c>
      <c r="O457" s="132">
        <f t="shared" si="55"/>
        <v>3.2703488372093443</v>
      </c>
      <c r="P457" s="134">
        <f>IF(OR(M457=0,M457=3),loop_gain!$B$18,IF(Current_limit!M457=1,Current_limit!$B$12/(2*(Current_limit!N457-Helper_calcs!$B$27)),IF(OR(M457=2,M457=23),(Main!$B$19-Current_limit!O457)*Current_limit!O457/(Main!$B$19*loop_gain!$B$17*(Helper_calcs!$B$26-Helper_calcs!$B$27)),x)))</f>
        <v>1669532.4286243052</v>
      </c>
      <c r="Q457" s="132"/>
    </row>
    <row r="458" spans="1:17" x14ac:dyDescent="0.3">
      <c r="A458">
        <f t="shared" si="56"/>
        <v>5.1699999999999333</v>
      </c>
      <c r="B458">
        <f>Main!$B$20/A458</f>
        <v>0.96711798839459662</v>
      </c>
      <c r="D458" s="132">
        <f t="shared" si="49"/>
        <v>0.96711798839459662</v>
      </c>
      <c r="E458" s="132">
        <f>-B458*Main!$B$19-2*Main!$B$19*loop_gain!$B$17*loop_gain!$B$18</f>
        <v>-87.205415860735172</v>
      </c>
      <c r="F458" s="132">
        <f>2*Main!$B$19*loop_gain!$B$17*loop_gain!$B$18*Helper_calcs!$B$26*Current_limit!B458</f>
        <v>281.48936170213136</v>
      </c>
      <c r="G458" s="132">
        <f t="shared" si="51"/>
        <v>3.3525358262380238</v>
      </c>
      <c r="H458" s="132">
        <f>(Main!$B$19-Current_limit!G458)*Current_limit!G458/(Main!$B$19*loop_gain!$B$17*loop_gain!$B$18)</f>
        <v>0.76695591133986285</v>
      </c>
      <c r="I458" s="132">
        <f t="shared" si="52"/>
        <v>3.0830440886601407</v>
      </c>
      <c r="J458" s="132"/>
      <c r="K458" s="133">
        <f>IF(A458&gt;$B$15,IF(I458&gt;Helper_calcs!$B$27,23,3),0)</f>
        <v>23</v>
      </c>
      <c r="L458">
        <f t="shared" si="50"/>
        <v>2</v>
      </c>
      <c r="M458">
        <f t="shared" si="53"/>
        <v>2</v>
      </c>
      <c r="N458" s="132">
        <f t="shared" si="54"/>
        <v>3.375</v>
      </c>
      <c r="O458" s="132">
        <f t="shared" si="55"/>
        <v>3.2640232108317635</v>
      </c>
      <c r="P458" s="134">
        <f>IF(OR(M458=0,M458=3),loop_gain!$B$18,IF(Current_limit!M458=1,Current_limit!$B$12/(2*(Current_limit!N458-Helper_calcs!$B$27)),IF(OR(M458=2,M458=23),(Main!$B$19-Current_limit!O458)*Current_limit!O458/(Main!$B$19*loop_gain!$B$17*(Helper_calcs!$B$26-Helper_calcs!$B$27)),x)))</f>
        <v>1667510.5853293957</v>
      </c>
      <c r="Q458" s="132"/>
    </row>
    <row r="459" spans="1:17" x14ac:dyDescent="0.3">
      <c r="A459">
        <f t="shared" si="56"/>
        <v>5.1799999999999331</v>
      </c>
      <c r="B459">
        <f>Main!$B$20/A459</f>
        <v>0.96525096525097775</v>
      </c>
      <c r="D459" s="132">
        <f t="shared" si="49"/>
        <v>0.96525096525097775</v>
      </c>
      <c r="E459" s="132">
        <f>-B459*Main!$B$19-2*Main!$B$19*loop_gain!$B$17*loop_gain!$B$18</f>
        <v>-87.183011583011734</v>
      </c>
      <c r="F459" s="132">
        <f>2*Main!$B$19*loop_gain!$B$17*loop_gain!$B$18*Helper_calcs!$B$26*Current_limit!B459</f>
        <v>280.94594594594963</v>
      </c>
      <c r="G459" s="132">
        <f t="shared" si="51"/>
        <v>3.3464740262383659</v>
      </c>
      <c r="H459" s="132">
        <f>(Main!$B$19-Current_limit!G459)*Current_limit!G459/(Main!$B$19*loop_gain!$B$17*loop_gain!$B$18)</f>
        <v>0.76610581763418972</v>
      </c>
      <c r="I459" s="132">
        <f t="shared" si="52"/>
        <v>3.0838941823658077</v>
      </c>
      <c r="J459" s="132"/>
      <c r="K459" s="133">
        <f>IF(A459&gt;$B$15,IF(I459&gt;Helper_calcs!$B$27,23,3),0)</f>
        <v>23</v>
      </c>
      <c r="L459">
        <f t="shared" si="50"/>
        <v>2</v>
      </c>
      <c r="M459">
        <f t="shared" si="53"/>
        <v>2</v>
      </c>
      <c r="N459" s="132">
        <f t="shared" si="54"/>
        <v>3.375</v>
      </c>
      <c r="O459" s="132">
        <f t="shared" si="55"/>
        <v>3.2577220077220499</v>
      </c>
      <c r="P459" s="134">
        <f>IF(OR(M459=0,M459=3),loop_gain!$B$18,IF(Current_limit!M459=1,Current_limit!$B$12/(2*(Current_limit!N459-Helper_calcs!$B$27)),IF(OR(M459=2,M459=23),(Main!$B$19-Current_limit!O459)*Current_limit!O459/(Main!$B$19*loop_gain!$B$17*(Helper_calcs!$B$26-Helper_calcs!$B$27)),x)))</f>
        <v>1665491.8955010534</v>
      </c>
      <c r="Q459" s="132"/>
    </row>
    <row r="460" spans="1:17" x14ac:dyDescent="0.3">
      <c r="A460">
        <f t="shared" si="56"/>
        <v>5.1899999999999329</v>
      </c>
      <c r="B460">
        <f>Main!$B$20/A460</f>
        <v>0.96339113680155386</v>
      </c>
      <c r="D460" s="132">
        <f t="shared" si="49"/>
        <v>0.96339113680155386</v>
      </c>
      <c r="E460" s="132">
        <f>-B460*Main!$B$19-2*Main!$B$19*loop_gain!$B$17*loop_gain!$B$18</f>
        <v>-87.16069364161865</v>
      </c>
      <c r="F460" s="132">
        <f>2*Main!$B$19*loop_gain!$B$17*loop_gain!$B$18*Helper_calcs!$B$26*Current_limit!B460</f>
        <v>280.4046242774603</v>
      </c>
      <c r="G460" s="132">
        <f t="shared" si="51"/>
        <v>3.3404349799649973</v>
      </c>
      <c r="H460" s="132">
        <f>(Main!$B$19-Current_limit!G460)*Current_limit!G460/(Main!$B$19*loop_gain!$B$17*loop_gain!$B$18)</f>
        <v>0.76525698159275701</v>
      </c>
      <c r="I460" s="132">
        <f t="shared" si="52"/>
        <v>3.0847430184072437</v>
      </c>
      <c r="J460" s="132"/>
      <c r="K460" s="133">
        <f>IF(A460&gt;$B$15,IF(I460&gt;Helper_calcs!$B$27,23,3),0)</f>
        <v>23</v>
      </c>
      <c r="L460">
        <f t="shared" si="50"/>
        <v>2</v>
      </c>
      <c r="M460">
        <f t="shared" si="53"/>
        <v>2</v>
      </c>
      <c r="N460" s="132">
        <f t="shared" si="54"/>
        <v>3.375</v>
      </c>
      <c r="O460" s="132">
        <f t="shared" si="55"/>
        <v>3.2514450867052442</v>
      </c>
      <c r="P460" s="134">
        <f>IF(OR(M460=0,M460=3),loop_gain!$B$18,IF(Current_limit!M460=1,Current_limit!$B$12/(2*(Current_limit!N460-Helper_calcs!$B$27)),IF(OR(M460=2,M460=23),(Main!$B$19-Current_limit!O460)*Current_limit!O460/(Main!$B$19*loop_gain!$B$17*(Helper_calcs!$B$26-Helper_calcs!$B$27)),x)))</f>
        <v>1663476.3677545763</v>
      </c>
      <c r="Q460" s="132"/>
    </row>
    <row r="461" spans="1:17" x14ac:dyDescent="0.3">
      <c r="A461">
        <f t="shared" si="56"/>
        <v>5.1999999999999327</v>
      </c>
      <c r="B461">
        <f>Main!$B$20/A461</f>
        <v>0.961538461538474</v>
      </c>
      <c r="D461" s="132">
        <f t="shared" si="49"/>
        <v>0.961538461538474</v>
      </c>
      <c r="E461" s="132">
        <f>-B461*Main!$B$19-2*Main!$B$19*loop_gain!$B$17*loop_gain!$B$18</f>
        <v>-87.138461538461698</v>
      </c>
      <c r="F461" s="132">
        <f>2*Main!$B$19*loop_gain!$B$17*loop_gain!$B$18*Helper_calcs!$B$26*Current_limit!B461</f>
        <v>279.86538461538828</v>
      </c>
      <c r="G461" s="132">
        <f t="shared" si="51"/>
        <v>3.3344185546618617</v>
      </c>
      <c r="H461" s="132">
        <f>(Main!$B$19-Current_limit!G461)*Current_limit!G461/(Main!$B$19*loop_gain!$B$17*loop_gain!$B$18)</f>
        <v>0.7644094063034137</v>
      </c>
      <c r="I461" s="132">
        <f t="shared" si="52"/>
        <v>3.0855905936965842</v>
      </c>
      <c r="J461" s="132"/>
      <c r="K461" s="133">
        <f>IF(A461&gt;$B$15,IF(I461&gt;Helper_calcs!$B$27,23,3),0)</f>
        <v>23</v>
      </c>
      <c r="L461">
        <f t="shared" si="50"/>
        <v>2</v>
      </c>
      <c r="M461">
        <f t="shared" si="53"/>
        <v>2</v>
      </c>
      <c r="N461" s="132">
        <f t="shared" si="54"/>
        <v>3.375</v>
      </c>
      <c r="O461" s="132">
        <f t="shared" si="55"/>
        <v>3.2451923076923497</v>
      </c>
      <c r="P461" s="134">
        <f>IF(OR(M461=0,M461=3),loop_gain!$B$18,IF(Current_limit!M461=1,Current_limit!$B$12/(2*(Current_limit!N461-Helper_calcs!$B$27)),IF(OR(M461=2,M461=23),(Main!$B$19-Current_limit!O461)*Current_limit!O461/(Main!$B$19*loop_gain!$B$17*(Helper_calcs!$B$26-Helper_calcs!$B$27)),x)))</f>
        <v>1661464.0104329004</v>
      </c>
      <c r="Q461" s="132"/>
    </row>
    <row r="462" spans="1:17" x14ac:dyDescent="0.3">
      <c r="A462">
        <f t="shared" si="56"/>
        <v>5.2099999999999325</v>
      </c>
      <c r="B462">
        <f>Main!$B$20/A462</f>
        <v>0.95969289827256521</v>
      </c>
      <c r="D462" s="132">
        <f t="shared" si="49"/>
        <v>0.95969289827256521</v>
      </c>
      <c r="E462" s="132">
        <f>-B462*Main!$B$19-2*Main!$B$19*loop_gain!$B$17*loop_gain!$B$18</f>
        <v>-87.116314779270795</v>
      </c>
      <c r="F462" s="132">
        <f>2*Main!$B$19*loop_gain!$B$17*loop_gain!$B$18*Helper_calcs!$B$26*Current_limit!B462</f>
        <v>279.3282149712129</v>
      </c>
      <c r="G462" s="132">
        <f t="shared" si="51"/>
        <v>3.3284246186400304</v>
      </c>
      <c r="H462" s="132">
        <f>(Main!$B$19-Current_limit!G462)*Current_limit!G462/(Main!$B$19*loop_gain!$B$17*loop_gain!$B$18)</f>
        <v>0.76356309475426809</v>
      </c>
      <c r="I462" s="132">
        <f t="shared" si="52"/>
        <v>3.0864369052457326</v>
      </c>
      <c r="J462" s="132"/>
      <c r="K462" s="133">
        <f>IF(A462&gt;$B$15,IF(I462&gt;Helper_calcs!$B$27,23,3),0)</f>
        <v>23</v>
      </c>
      <c r="L462">
        <f t="shared" si="50"/>
        <v>2</v>
      </c>
      <c r="M462">
        <f t="shared" si="53"/>
        <v>2</v>
      </c>
      <c r="N462" s="132">
        <f t="shared" si="54"/>
        <v>3.375</v>
      </c>
      <c r="O462" s="132">
        <f t="shared" si="55"/>
        <v>3.2389635316699077</v>
      </c>
      <c r="P462" s="134">
        <f>IF(OR(M462=0,M462=3),loop_gain!$B$18,IF(Current_limit!M462=1,Current_limit!$B$12/(2*(Current_limit!N462-Helper_calcs!$B$27)),IF(OR(M462=2,M462=23),(Main!$B$19-Current_limit!O462)*Current_limit!O462/(Main!$B$19*loop_gain!$B$17*(Helper_calcs!$B$26-Helper_calcs!$B$27)),x)))</f>
        <v>1659454.8316111865</v>
      </c>
      <c r="Q462" s="132"/>
    </row>
    <row r="463" spans="1:17" x14ac:dyDescent="0.3">
      <c r="A463">
        <f t="shared" si="56"/>
        <v>5.2199999999999322</v>
      </c>
      <c r="B463">
        <f>Main!$B$20/A463</f>
        <v>0.95785440613028061</v>
      </c>
      <c r="D463" s="132">
        <f t="shared" si="49"/>
        <v>0.95785440613028061</v>
      </c>
      <c r="E463" s="132">
        <f>-B463*Main!$B$19-2*Main!$B$19*loop_gain!$B$17*loop_gain!$B$18</f>
        <v>-87.094252873563377</v>
      </c>
      <c r="F463" s="132">
        <f>2*Main!$B$19*loop_gain!$B$17*loop_gain!$B$18*Helper_calcs!$B$26*Current_limit!B463</f>
        <v>278.79310344827951</v>
      </c>
      <c r="G463" s="132">
        <f t="shared" si="51"/>
        <v>3.3224530412666216</v>
      </c>
      <c r="H463" s="132">
        <f>(Main!$B$19-Current_limit!G463)*Current_limit!G463/(Main!$B$19*loop_gain!$B$17*loop_gain!$B$18)</f>
        <v>0.76271804983538705</v>
      </c>
      <c r="I463" s="132">
        <f t="shared" si="52"/>
        <v>3.0872819501646145</v>
      </c>
      <c r="J463" s="132"/>
      <c r="K463" s="133">
        <f>IF(A463&gt;$B$15,IF(I463&gt;Helper_calcs!$B$27,23,3),0)</f>
        <v>23</v>
      </c>
      <c r="L463">
        <f t="shared" si="50"/>
        <v>2</v>
      </c>
      <c r="M463">
        <f t="shared" si="53"/>
        <v>2</v>
      </c>
      <c r="N463" s="132">
        <f t="shared" si="54"/>
        <v>3.375</v>
      </c>
      <c r="O463" s="132">
        <f t="shared" si="55"/>
        <v>3.232758620689697</v>
      </c>
      <c r="P463" s="134">
        <f>IF(OR(M463=0,M463=3),loop_gain!$B$18,IF(Current_limit!M463=1,Current_limit!$B$12/(2*(Current_limit!N463-Helper_calcs!$B$27)),IF(OR(M463=2,M463=23),(Main!$B$19-Current_limit!O463)*Current_limit!O463/(Main!$B$19*loop_gain!$B$17*(Helper_calcs!$B$26-Helper_calcs!$B$27)),x)))</f>
        <v>1657448.8391013339</v>
      </c>
      <c r="Q463" s="132"/>
    </row>
    <row r="464" spans="1:17" x14ac:dyDescent="0.3">
      <c r="A464">
        <f t="shared" si="56"/>
        <v>5.229999999999932</v>
      </c>
      <c r="B464">
        <f>Main!$B$20/A464</f>
        <v>0.9560229445506816</v>
      </c>
      <c r="D464" s="132">
        <f t="shared" si="49"/>
        <v>0.9560229445506816</v>
      </c>
      <c r="E464" s="132">
        <f>-B464*Main!$B$19-2*Main!$B$19*loop_gain!$B$17*loop_gain!$B$18</f>
        <v>-87.072275334608193</v>
      </c>
      <c r="F464" s="132">
        <f>2*Main!$B$19*loop_gain!$B$17*loop_gain!$B$18*Helper_calcs!$B$26*Current_limit!B464</f>
        <v>278.26003824092146</v>
      </c>
      <c r="G464" s="132">
        <f t="shared" si="51"/>
        <v>3.3165036929539262</v>
      </c>
      <c r="H464" s="132">
        <f>(Main!$B$19-Current_limit!G464)*Current_limit!G464/(Main!$B$19*loop_gain!$B$17*loop_gain!$B$18)</f>
        <v>0.76187427434047827</v>
      </c>
      <c r="I464" s="132">
        <f t="shared" si="52"/>
        <v>3.0881257256595229</v>
      </c>
      <c r="J464" s="132"/>
      <c r="K464" s="133">
        <f>IF(A464&gt;$B$15,IF(I464&gt;Helper_calcs!$B$27,23,3),0)</f>
        <v>23</v>
      </c>
      <c r="L464">
        <f t="shared" si="50"/>
        <v>2</v>
      </c>
      <c r="M464">
        <f t="shared" si="53"/>
        <v>2</v>
      </c>
      <c r="N464" s="132">
        <f t="shared" si="54"/>
        <v>3.375</v>
      </c>
      <c r="O464" s="132">
        <f t="shared" si="55"/>
        <v>3.2265774378585506</v>
      </c>
      <c r="P464" s="134">
        <f>IF(OR(M464=0,M464=3),loop_gain!$B$18,IF(Current_limit!M464=1,Current_limit!$B$12/(2*(Current_limit!N464-Helper_calcs!$B$27)),IF(OR(M464=2,M464=23),(Main!$B$19-Current_limit!O464)*Current_limit!O464/(Main!$B$19*loop_gain!$B$17*(Helper_calcs!$B$26-Helper_calcs!$B$27)),x)))</f>
        <v>1655446.0404564184</v>
      </c>
      <c r="Q464" s="132"/>
    </row>
    <row r="465" spans="1:17" x14ac:dyDescent="0.3">
      <c r="A465">
        <f t="shared" si="56"/>
        <v>5.2399999999999318</v>
      </c>
      <c r="B465">
        <f>Main!$B$20/A465</f>
        <v>0.95419847328245522</v>
      </c>
      <c r="D465" s="132">
        <f t="shared" si="49"/>
        <v>0.95419847328245522</v>
      </c>
      <c r="E465" s="132">
        <f>-B465*Main!$B$19-2*Main!$B$19*loop_gain!$B$17*loop_gain!$B$18</f>
        <v>-87.050381679389474</v>
      </c>
      <c r="F465" s="132">
        <f>2*Main!$B$19*loop_gain!$B$17*loop_gain!$B$18*Helper_calcs!$B$26*Current_limit!B465</f>
        <v>277.72900763359149</v>
      </c>
      <c r="G465" s="132">
        <f t="shared" si="51"/>
        <v>3.3105764451486417</v>
      </c>
      <c r="H465" s="132">
        <f>(Main!$B$19-Current_limit!G465)*Current_limit!G465/(Main!$B$19*loop_gain!$B$17*loop_gain!$B$18)</f>
        <v>0.76103177096853658</v>
      </c>
      <c r="I465" s="132">
        <f t="shared" si="52"/>
        <v>3.0889682290314626</v>
      </c>
      <c r="J465" s="132"/>
      <c r="K465" s="133">
        <f>IF(A465&gt;$B$15,IF(I465&gt;Helper_calcs!$B$27,23,3),0)</f>
        <v>23</v>
      </c>
      <c r="L465">
        <f t="shared" si="50"/>
        <v>2</v>
      </c>
      <c r="M465">
        <f t="shared" si="53"/>
        <v>2</v>
      </c>
      <c r="N465" s="132">
        <f t="shared" si="54"/>
        <v>3.375</v>
      </c>
      <c r="O465" s="132">
        <f t="shared" si="55"/>
        <v>3.2204198473282863</v>
      </c>
      <c r="P465" s="134">
        <f>IF(OR(M465=0,M465=3),loop_gain!$B$18,IF(Current_limit!M465=1,Current_limit!$B$12/(2*(Current_limit!N465-Helper_calcs!$B$27)),IF(OR(M465=2,M465=23),(Main!$B$19-Current_limit!O465)*Current_limit!O465/(Main!$B$19*loop_gain!$B$17*(Helper_calcs!$B$26-Helper_calcs!$B$27)),x)))</f>
        <v>1653446.4429750575</v>
      </c>
      <c r="Q465" s="132"/>
    </row>
    <row r="466" spans="1:17" x14ac:dyDescent="0.3">
      <c r="A466">
        <f t="shared" si="56"/>
        <v>5.2499999999999316</v>
      </c>
      <c r="B466">
        <f>Main!$B$20/A466</f>
        <v>0.95238095238096476</v>
      </c>
      <c r="D466" s="132">
        <f t="shared" si="49"/>
        <v>0.95238095238096476</v>
      </c>
      <c r="E466" s="132">
        <f>-B466*Main!$B$19-2*Main!$B$19*loop_gain!$B$17*loop_gain!$B$18</f>
        <v>-87.028571428571581</v>
      </c>
      <c r="F466" s="132">
        <f>2*Main!$B$19*loop_gain!$B$17*loop_gain!$B$18*Helper_calcs!$B$26*Current_limit!B466</f>
        <v>277.20000000000368</v>
      </c>
      <c r="G466" s="132">
        <f t="shared" si="51"/>
        <v>3.3046711703212557</v>
      </c>
      <c r="H466" s="132">
        <f>(Main!$B$19-Current_limit!G466)*Current_limit!G466/(Main!$B$19*loop_gain!$B$17*loop_gain!$B$18)</f>
        <v>0.76019054232546579</v>
      </c>
      <c r="I466" s="132">
        <f t="shared" si="52"/>
        <v>3.0898094576745403</v>
      </c>
      <c r="J466" s="132"/>
      <c r="K466" s="133">
        <f>IF(A466&gt;$B$15,IF(I466&gt;Helper_calcs!$B$27,23,3),0)</f>
        <v>23</v>
      </c>
      <c r="L466">
        <f t="shared" si="50"/>
        <v>2</v>
      </c>
      <c r="M466">
        <f t="shared" si="53"/>
        <v>2</v>
      </c>
      <c r="N466" s="132">
        <f t="shared" si="54"/>
        <v>3.375</v>
      </c>
      <c r="O466" s="132">
        <f t="shared" si="55"/>
        <v>3.2142857142857562</v>
      </c>
      <c r="P466" s="134">
        <f>IF(OR(M466=0,M466=3),loop_gain!$B$18,IF(Current_limit!M466=1,Current_limit!$B$12/(2*(Current_limit!N466-Helper_calcs!$B$27)),IF(OR(M466=2,M466=23),(Main!$B$19-Current_limit!O466)*Current_limit!O466/(Main!$B$19*loop_gain!$B$17*(Helper_calcs!$B$26-Helper_calcs!$B$27)),x)))</f>
        <v>1651450.0537057063</v>
      </c>
      <c r="Q466" s="132"/>
    </row>
    <row r="467" spans="1:17" x14ac:dyDescent="0.3">
      <c r="A467">
        <f t="shared" si="56"/>
        <v>5.2599999999999314</v>
      </c>
      <c r="B467">
        <f>Main!$B$20/A467</f>
        <v>0.95057034220533554</v>
      </c>
      <c r="D467" s="132">
        <f t="shared" si="49"/>
        <v>0.95057034220533554</v>
      </c>
      <c r="E467" s="132">
        <f>-B467*Main!$B$19-2*Main!$B$19*loop_gain!$B$17*loop_gain!$B$18</f>
        <v>-87.00684410646403</v>
      </c>
      <c r="F467" s="132">
        <f>2*Main!$B$19*loop_gain!$B$17*loop_gain!$B$18*Helper_calcs!$B$26*Current_limit!B467</f>
        <v>276.673003802285</v>
      </c>
      <c r="G467" s="132">
        <f t="shared" si="51"/>
        <v>3.298787741955524</v>
      </c>
      <c r="H467" s="132">
        <f>(Main!$B$19-Current_limit!G467)*Current_limit!G467/(Main!$B$19*loop_gain!$B$17*loop_gain!$B$18)</f>
        <v>0.75935059092566826</v>
      </c>
      <c r="I467" s="132">
        <f t="shared" si="52"/>
        <v>3.0906494090743322</v>
      </c>
      <c r="J467" s="132"/>
      <c r="K467" s="133">
        <f>IF(A467&gt;$B$15,IF(I467&gt;Helper_calcs!$B$27,23,3),0)</f>
        <v>23</v>
      </c>
      <c r="L467">
        <f t="shared" si="50"/>
        <v>2</v>
      </c>
      <c r="M467">
        <f t="shared" si="53"/>
        <v>2</v>
      </c>
      <c r="N467" s="132">
        <f t="shared" si="54"/>
        <v>3.375</v>
      </c>
      <c r="O467" s="132">
        <f t="shared" si="55"/>
        <v>3.2081749049430073</v>
      </c>
      <c r="P467" s="134">
        <f>IF(OR(M467=0,M467=3),loop_gain!$B$18,IF(Current_limit!M467=1,Current_limit!$B$12/(2*(Current_limit!N467-Helper_calcs!$B$27)),IF(OR(M467=2,M467=23),(Main!$B$19-Current_limit!O467)*Current_limit!O467/(Main!$B$19*loop_gain!$B$17*(Helper_calcs!$B$26-Helper_calcs!$B$27)),x)))</f>
        <v>1649456.8794508777</v>
      </c>
      <c r="Q467" s="132"/>
    </row>
    <row r="468" spans="1:17" x14ac:dyDescent="0.3">
      <c r="A468">
        <f t="shared" si="56"/>
        <v>5.2699999999999312</v>
      </c>
      <c r="B468">
        <f>Main!$B$20/A468</f>
        <v>0.94876660341557217</v>
      </c>
      <c r="D468" s="132">
        <f t="shared" si="49"/>
        <v>0.94876660341557217</v>
      </c>
      <c r="E468" s="132">
        <f>-B468*Main!$B$19-2*Main!$B$19*loop_gain!$B$17*loop_gain!$B$18</f>
        <v>-86.985199240986873</v>
      </c>
      <c r="F468" s="132">
        <f>2*Main!$B$19*loop_gain!$B$17*loop_gain!$B$18*Helper_calcs!$B$26*Current_limit!B468</f>
        <v>276.1480075901365</v>
      </c>
      <c r="G468" s="132">
        <f t="shared" si="51"/>
        <v>3.2929260345381799</v>
      </c>
      <c r="H468" s="132">
        <f>(Main!$B$19-Current_limit!G468)*Current_limit!G468/(Main!$B$19*loop_gain!$B$17*loop_gain!$B$18)</f>
        <v>0.75851191919361938</v>
      </c>
      <c r="I468" s="132">
        <f t="shared" si="52"/>
        <v>3.0914880808063865</v>
      </c>
      <c r="J468" s="132"/>
      <c r="K468" s="133">
        <f>IF(A468&gt;$B$15,IF(I468&gt;Helper_calcs!$B$27,23,3),0)</f>
        <v>23</v>
      </c>
      <c r="L468">
        <f t="shared" si="50"/>
        <v>2</v>
      </c>
      <c r="M468">
        <f t="shared" si="53"/>
        <v>2</v>
      </c>
      <c r="N468" s="132">
        <f t="shared" si="54"/>
        <v>3.375</v>
      </c>
      <c r="O468" s="132">
        <f t="shared" si="55"/>
        <v>3.202087286527556</v>
      </c>
      <c r="P468" s="134">
        <f>IF(OR(M468=0,M468=3),loop_gain!$B$18,IF(Current_limit!M468=1,Current_limit!$B$12/(2*(Current_limit!N468-Helper_calcs!$B$27)),IF(OR(M468=2,M468=23),(Main!$B$19-Current_limit!O468)*Current_limit!O468/(Main!$B$19*loop_gain!$B$17*(Helper_calcs!$B$26-Helper_calcs!$B$27)),x)))</f>
        <v>1647466.9267713018</v>
      </c>
      <c r="Q468" s="132"/>
    </row>
    <row r="469" spans="1:17" x14ac:dyDescent="0.3">
      <c r="A469">
        <f t="shared" si="56"/>
        <v>5.279999999999931</v>
      </c>
      <c r="B469">
        <f>Main!$B$20/A469</f>
        <v>0.94696969696970934</v>
      </c>
      <c r="D469" s="132">
        <f t="shared" si="49"/>
        <v>0.94696969696970934</v>
      </c>
      <c r="E469" s="132">
        <f>-B469*Main!$B$19-2*Main!$B$19*loop_gain!$B$17*loop_gain!$B$18</f>
        <v>-86.963636363636525</v>
      </c>
      <c r="F469" s="132">
        <f>2*Main!$B$19*loop_gain!$B$17*loop_gain!$B$18*Helper_calcs!$B$26*Current_limit!B469</f>
        <v>275.62500000000364</v>
      </c>
      <c r="G469" s="132">
        <f t="shared" si="51"/>
        <v>3.2870859235486223</v>
      </c>
      <c r="H469" s="132">
        <f>(Main!$B$19-Current_limit!G469)*Current_limit!G469/(Main!$B$19*loop_gain!$B$17*loop_gain!$B$18)</f>
        <v>0.75767452946539593</v>
      </c>
      <c r="I469" s="132">
        <f t="shared" si="52"/>
        <v>3.0923254705346017</v>
      </c>
      <c r="J469" s="132"/>
      <c r="K469" s="133">
        <f>IF(A469&gt;$B$15,IF(I469&gt;Helper_calcs!$B$27,23,3),0)</f>
        <v>23</v>
      </c>
      <c r="L469">
        <f t="shared" si="50"/>
        <v>2</v>
      </c>
      <c r="M469">
        <f t="shared" si="53"/>
        <v>2</v>
      </c>
      <c r="N469" s="132">
        <f t="shared" si="54"/>
        <v>3.375</v>
      </c>
      <c r="O469" s="132">
        <f t="shared" si="55"/>
        <v>3.1960227272727688</v>
      </c>
      <c r="P469" s="134">
        <f>IF(OR(M469=0,M469=3),loop_gain!$B$18,IF(Current_limit!M469=1,Current_limit!$B$12/(2*(Current_limit!N469-Helper_calcs!$B$27)),IF(OR(M469=2,M469=23),(Main!$B$19-Current_limit!O469)*Current_limit!O469/(Main!$B$19*loop_gain!$B$17*(Helper_calcs!$B$26-Helper_calcs!$B$27)),x)))</f>
        <v>1645480.2019900091</v>
      </c>
      <c r="Q469" s="132"/>
    </row>
    <row r="470" spans="1:17" x14ac:dyDescent="0.3">
      <c r="A470">
        <f t="shared" si="56"/>
        <v>5.2899999999999308</v>
      </c>
      <c r="B470">
        <f>Main!$B$20/A470</f>
        <v>0.94517958412099534</v>
      </c>
      <c r="D470" s="132">
        <f t="shared" si="49"/>
        <v>0.94517958412099534</v>
      </c>
      <c r="E470" s="132">
        <f>-B470*Main!$B$19-2*Main!$B$19*loop_gain!$B$17*loop_gain!$B$18</f>
        <v>-86.942155009451952</v>
      </c>
      <c r="F470" s="132">
        <f>2*Main!$B$19*loop_gain!$B$17*loop_gain!$B$18*Helper_calcs!$B$26*Current_limit!B470</f>
        <v>275.10396975425698</v>
      </c>
      <c r="G470" s="132">
        <f t="shared" si="51"/>
        <v>3.28126728544891</v>
      </c>
      <c r="H470" s="132">
        <f>(Main!$B$19-Current_limit!G470)*Current_limit!G470/(Main!$B$19*loop_gain!$B$17*loop_gain!$B$18)</f>
        <v>0.75683842399020251</v>
      </c>
      <c r="I470" s="132">
        <f t="shared" si="52"/>
        <v>3.0931615760098001</v>
      </c>
      <c r="J470" s="132"/>
      <c r="K470" s="133">
        <f>IF(A470&gt;$B$15,IF(I470&gt;Helper_calcs!$B$27,23,3),0)</f>
        <v>23</v>
      </c>
      <c r="L470">
        <f t="shared" si="50"/>
        <v>2</v>
      </c>
      <c r="M470">
        <f t="shared" si="53"/>
        <v>2</v>
      </c>
      <c r="N470" s="132">
        <f t="shared" si="54"/>
        <v>3.375</v>
      </c>
      <c r="O470" s="132">
        <f t="shared" si="55"/>
        <v>3.1899810964083595</v>
      </c>
      <c r="P470" s="134">
        <f>IF(OR(M470=0,M470=3),loop_gain!$B$18,IF(Current_limit!M470=1,Current_limit!$B$12/(2*(Current_limit!N470-Helper_calcs!$B$27)),IF(OR(M470=2,M470=23),(Main!$B$19-Current_limit!O470)*Current_limit!O470/(Main!$B$19*loop_gain!$B$17*(Helper_calcs!$B$26-Helper_calcs!$B$27)),x)))</f>
        <v>1643496.7111963527</v>
      </c>
      <c r="Q470" s="132"/>
    </row>
    <row r="471" spans="1:17" x14ac:dyDescent="0.3">
      <c r="A471">
        <f t="shared" si="56"/>
        <v>5.2999999999999305</v>
      </c>
      <c r="B471">
        <f>Main!$B$20/A471</f>
        <v>0.94339622641510668</v>
      </c>
      <c r="D471" s="132">
        <f t="shared" ref="D471:D534" si="57">B471</f>
        <v>0.94339622641510668</v>
      </c>
      <c r="E471" s="132">
        <f>-B471*Main!$B$19-2*Main!$B$19*loop_gain!$B$17*loop_gain!$B$18</f>
        <v>-86.920754716981293</v>
      </c>
      <c r="F471" s="132">
        <f>2*Main!$B$19*loop_gain!$B$17*loop_gain!$B$18*Helper_calcs!$B$26*Current_limit!B471</f>
        <v>274.58490566038103</v>
      </c>
      <c r="G471" s="132">
        <f t="shared" si="51"/>
        <v>3.2754699976737029</v>
      </c>
      <c r="H471" s="132">
        <f>(Main!$B$19-Current_limit!G471)*Current_limit!G471/(Main!$B$19*loop_gain!$B$17*loop_gain!$B$18)</f>
        <v>0.75600360493184826</v>
      </c>
      <c r="I471" s="132">
        <f t="shared" si="52"/>
        <v>3.0939963950681557</v>
      </c>
      <c r="J471" s="132"/>
      <c r="K471" s="133">
        <f>IF(A471&gt;$B$15,IF(I471&gt;Helper_calcs!$B$27,23,3),0)</f>
        <v>23</v>
      </c>
      <c r="L471">
        <f t="shared" ref="L471:L534" si="58">IF(A471&gt;$B$13,IF(A471&gt;$B$14,2,1),0)</f>
        <v>2</v>
      </c>
      <c r="M471">
        <f t="shared" si="53"/>
        <v>2</v>
      </c>
      <c r="N471" s="132">
        <f t="shared" si="54"/>
        <v>3.375</v>
      </c>
      <c r="O471" s="132">
        <f t="shared" si="55"/>
        <v>3.1839622641509848</v>
      </c>
      <c r="P471" s="134">
        <f>IF(OR(M471=0,M471=3),loop_gain!$B$18,IF(Current_limit!M471=1,Current_limit!$B$12/(2*(Current_limit!N471-Helper_calcs!$B$27)),IF(OR(M471=2,M471=23),(Main!$B$19-Current_limit!O471)*Current_limit!O471/(Main!$B$19*loop_gain!$B$17*(Helper_calcs!$B$26-Helper_calcs!$B$27)),x)))</f>
        <v>1641516.4602499618</v>
      </c>
      <c r="Q471" s="132"/>
    </row>
    <row r="472" spans="1:17" x14ac:dyDescent="0.3">
      <c r="A472">
        <f t="shared" si="56"/>
        <v>5.3099999999999303</v>
      </c>
      <c r="B472">
        <f>Main!$B$20/A472</f>
        <v>0.94161958568739468</v>
      </c>
      <c r="D472" s="132">
        <f t="shared" si="57"/>
        <v>0.94161958568739468</v>
      </c>
      <c r="E472" s="132">
        <f>-B472*Main!$B$19-2*Main!$B$19*loop_gain!$B$17*loop_gain!$B$18</f>
        <v>-86.899435028248746</v>
      </c>
      <c r="F472" s="132">
        <f>2*Main!$B$19*loop_gain!$B$17*loop_gain!$B$18*Helper_calcs!$B$26*Current_limit!B472</f>
        <v>274.06779661017316</v>
      </c>
      <c r="G472" s="132">
        <f t="shared" ref="G472:G535" si="59">(-E472-SQRT(E472^2-4*D472*F472))/(2*D472)</f>
        <v>3.2696939386204695</v>
      </c>
      <c r="H472" s="132">
        <f>(Main!$B$19-Current_limit!G472)*Current_limit!G472/(Main!$B$19*loop_gain!$B$17*loop_gain!$B$18)</f>
        <v>0.75517007437021666</v>
      </c>
      <c r="I472" s="132">
        <f t="shared" ref="I472:I535" si="60">(G472/B472)-0.5*H472</f>
        <v>3.0948299256297847</v>
      </c>
      <c r="J472" s="132"/>
      <c r="K472" s="133">
        <f>IF(A472&gt;$B$15,IF(I472&gt;Helper_calcs!$B$27,23,3),0)</f>
        <v>23</v>
      </c>
      <c r="L472">
        <f t="shared" si="58"/>
        <v>2</v>
      </c>
      <c r="M472">
        <f t="shared" ref="M472:M535" si="61">IF($B$16="N",L472,K472)</f>
        <v>2</v>
      </c>
      <c r="N472" s="132">
        <f t="shared" ref="N472:N535" si="62">IF(OR(M472=0,M472=1),A472,IF(OR(M472=2,M472=23),$B$14,G472/B472))</f>
        <v>3.375</v>
      </c>
      <c r="O472" s="132">
        <f t="shared" ref="O472:O535" si="63">N472*B472</f>
        <v>3.177966101694957</v>
      </c>
      <c r="P472" s="134">
        <f>IF(OR(M472=0,M472=3),loop_gain!$B$18,IF(Current_limit!M472=1,Current_limit!$B$12/(2*(Current_limit!N472-Helper_calcs!$B$27)),IF(OR(M472=2,M472=23),(Main!$B$19-Current_limit!O472)*Current_limit!O472/(Main!$B$19*loop_gain!$B$17*(Helper_calcs!$B$26-Helper_calcs!$B$27)),x)))</f>
        <v>1639539.4547846341</v>
      </c>
      <c r="Q472" s="132"/>
    </row>
    <row r="473" spans="1:17" x14ac:dyDescent="0.3">
      <c r="A473">
        <f t="shared" si="56"/>
        <v>5.3199999999999301</v>
      </c>
      <c r="B473">
        <f>Main!$B$20/A473</f>
        <v>0.9398496240601627</v>
      </c>
      <c r="D473" s="132">
        <f t="shared" si="57"/>
        <v>0.9398496240601627</v>
      </c>
      <c r="E473" s="132">
        <f>-B473*Main!$B$19-2*Main!$B$19*loop_gain!$B$17*loop_gain!$B$18</f>
        <v>-86.878195488721957</v>
      </c>
      <c r="F473" s="132">
        <f>2*Main!$B$19*loop_gain!$B$17*loop_gain!$B$18*Helper_calcs!$B$26*Current_limit!B473</f>
        <v>273.55263157895104</v>
      </c>
      <c r="G473" s="132">
        <f t="shared" si="59"/>
        <v>3.263938987639754</v>
      </c>
      <c r="H473" s="132">
        <f>(Main!$B$19-Current_limit!G473)*Current_limit!G473/(Main!$B$19*loop_gain!$B$17*loop_gain!$B$18)</f>
        <v>0.75433783430270429</v>
      </c>
      <c r="I473" s="132">
        <f t="shared" si="60"/>
        <v>3.0956621656973002</v>
      </c>
      <c r="J473" s="132"/>
      <c r="K473" s="133">
        <f>IF(A473&gt;$B$15,IF(I473&gt;Helper_calcs!$B$27,23,3),0)</f>
        <v>23</v>
      </c>
      <c r="L473">
        <f t="shared" si="58"/>
        <v>2</v>
      </c>
      <c r="M473">
        <f t="shared" si="61"/>
        <v>2</v>
      </c>
      <c r="N473" s="132">
        <f t="shared" si="62"/>
        <v>3.375</v>
      </c>
      <c r="O473" s="132">
        <f t="shared" si="63"/>
        <v>3.1719924812030493</v>
      </c>
      <c r="P473" s="134">
        <f>IF(OR(M473=0,M473=3),loop_gain!$B$18,IF(Current_limit!M473=1,Current_limit!$B$12/(2*(Current_limit!N473-Helper_calcs!$B$27)),IF(OR(M473=2,M473=23),(Main!$B$19-Current_limit!O473)*Current_limit!O473/(Main!$B$19*loop_gain!$B$17*(Helper_calcs!$B$26-Helper_calcs!$B$27)),x)))</f>
        <v>1637565.7002121585</v>
      </c>
      <c r="Q473" s="132"/>
    </row>
    <row r="474" spans="1:17" x14ac:dyDescent="0.3">
      <c r="A474">
        <f t="shared" si="56"/>
        <v>5.3299999999999299</v>
      </c>
      <c r="B474">
        <f>Main!$B$20/A474</f>
        <v>0.93808630393997483</v>
      </c>
      <c r="D474" s="132">
        <f t="shared" si="57"/>
        <v>0.93808630393997483</v>
      </c>
      <c r="E474" s="132">
        <f>-B474*Main!$B$19-2*Main!$B$19*loop_gain!$B$17*loop_gain!$B$18</f>
        <v>-86.857035647279702</v>
      </c>
      <c r="F474" s="132">
        <f>2*Main!$B$19*loop_gain!$B$17*loop_gain!$B$18*Helper_calcs!$B$26*Current_limit!B474</f>
        <v>273.03939962476915</v>
      </c>
      <c r="G474" s="132">
        <f t="shared" si="59"/>
        <v>3.2582050250255423</v>
      </c>
      <c r="H474" s="132">
        <f>(Main!$B$19-Current_limit!G474)*Current_limit!G474/(Main!$B$19*loop_gain!$B$17*loop_gain!$B$18)</f>
        <v>0.75350688664562981</v>
      </c>
      <c r="I474" s="132">
        <f t="shared" si="60"/>
        <v>3.0964931133543674</v>
      </c>
      <c r="J474" s="132"/>
      <c r="K474" s="133">
        <f>IF(A474&gt;$B$15,IF(I474&gt;Helper_calcs!$B$27,23,3),0)</f>
        <v>23</v>
      </c>
      <c r="L474">
        <f t="shared" si="58"/>
        <v>2</v>
      </c>
      <c r="M474">
        <f t="shared" si="61"/>
        <v>2</v>
      </c>
      <c r="N474" s="132">
        <f t="shared" si="62"/>
        <v>3.375</v>
      </c>
      <c r="O474" s="132">
        <f t="shared" si="63"/>
        <v>3.166041275797415</v>
      </c>
      <c r="P474" s="134">
        <f>IF(OR(M474=0,M474=3),loop_gain!$B$18,IF(Current_limit!M474=1,Current_limit!$B$12/(2*(Current_limit!N474-Helper_calcs!$B$27)),IF(OR(M474=2,M474=23),(Main!$B$19-Current_limit!O474)*Current_limit!O474/(Main!$B$19*loop_gain!$B$17*(Helper_calcs!$B$26-Helper_calcs!$B$27)),x)))</f>
        <v>1635595.201726085</v>
      </c>
      <c r="Q474" s="132"/>
    </row>
    <row r="475" spans="1:17" x14ac:dyDescent="0.3">
      <c r="A475">
        <f t="shared" si="56"/>
        <v>5.3399999999999297</v>
      </c>
      <c r="B475">
        <f>Main!$B$20/A475</f>
        <v>0.93632958801499355</v>
      </c>
      <c r="D475" s="132">
        <f t="shared" si="57"/>
        <v>0.93632958801499355</v>
      </c>
      <c r="E475" s="132">
        <f>-B475*Main!$B$19-2*Main!$B$19*loop_gain!$B$17*loop_gain!$B$18</f>
        <v>-86.835955056179927</v>
      </c>
      <c r="F475" s="132">
        <f>2*Main!$B$19*loop_gain!$B$17*loop_gain!$B$18*Helper_calcs!$B$26*Current_limit!B475</f>
        <v>272.52808988764406</v>
      </c>
      <c r="G475" s="132">
        <f t="shared" si="59"/>
        <v>3.2524919320058343</v>
      </c>
      <c r="H475" s="132">
        <f>(Main!$B$19-Current_limit!G475)*Current_limit!G475/(Main!$B$19*loop_gain!$B$17*loop_gain!$B$18)</f>
        <v>0.75267723323563385</v>
      </c>
      <c r="I475" s="132">
        <f t="shared" si="60"/>
        <v>3.0973227667643686</v>
      </c>
      <c r="J475" s="132"/>
      <c r="K475" s="133">
        <f>IF(A475&gt;$B$15,IF(I475&gt;Helper_calcs!$B$27,23,3),0)</f>
        <v>23</v>
      </c>
      <c r="L475">
        <f t="shared" si="58"/>
        <v>2</v>
      </c>
      <c r="M475">
        <f t="shared" si="61"/>
        <v>2</v>
      </c>
      <c r="N475" s="132">
        <f t="shared" si="62"/>
        <v>3.375</v>
      </c>
      <c r="O475" s="132">
        <f t="shared" si="63"/>
        <v>3.1601123595506033</v>
      </c>
      <c r="P475" s="134">
        <f>IF(OR(M475=0,M475=3),loop_gain!$B$18,IF(Current_limit!M475=1,Current_limit!$B$12/(2*(Current_limit!N475-Helper_calcs!$B$27)),IF(OR(M475=2,M475=23),(Main!$B$19-Current_limit!O475)*Current_limit!O475/(Main!$B$19*loop_gain!$B$17*(Helper_calcs!$B$26-Helper_calcs!$B$27)),x)))</f>
        <v>1633627.9643054246</v>
      </c>
      <c r="Q475" s="132"/>
    </row>
    <row r="476" spans="1:17" x14ac:dyDescent="0.3">
      <c r="A476">
        <f t="shared" si="56"/>
        <v>5.3499999999999295</v>
      </c>
      <c r="B476">
        <f>Main!$B$20/A476</f>
        <v>0.93457943925234876</v>
      </c>
      <c r="D476" s="132">
        <f t="shared" si="57"/>
        <v>0.93457943925234876</v>
      </c>
      <c r="E476" s="132">
        <f>-B476*Main!$B$19-2*Main!$B$19*loop_gain!$B$17*loop_gain!$B$18</f>
        <v>-86.814953271028202</v>
      </c>
      <c r="F476" s="132">
        <f>2*Main!$B$19*loop_gain!$B$17*loop_gain!$B$18*Helper_calcs!$B$26*Current_limit!B476</f>
        <v>272.01869158878867</v>
      </c>
      <c r="G476" s="132">
        <f t="shared" si="59"/>
        <v>3.2467995907332035</v>
      </c>
      <c r="H476" s="132">
        <f>(Main!$B$19-Current_limit!G476)*Current_limit!G476/(Main!$B$19*loop_gain!$B$17*loop_gain!$B$18)</f>
        <v>0.75184887583103543</v>
      </c>
      <c r="I476" s="132">
        <f t="shared" si="60"/>
        <v>3.0981511241689645</v>
      </c>
      <c r="J476" s="132"/>
      <c r="K476" s="133">
        <f>IF(A476&gt;$B$15,IF(I476&gt;Helper_calcs!$B$27,23,3),0)</f>
        <v>23</v>
      </c>
      <c r="L476">
        <f t="shared" si="58"/>
        <v>2</v>
      </c>
      <c r="M476">
        <f t="shared" si="61"/>
        <v>2</v>
      </c>
      <c r="N476" s="132">
        <f t="shared" si="62"/>
        <v>3.375</v>
      </c>
      <c r="O476" s="132">
        <f t="shared" si="63"/>
        <v>3.1542056074766771</v>
      </c>
      <c r="P476" s="134">
        <f>IF(OR(M476=0,M476=3),loop_gain!$B$18,IF(Current_limit!M476=1,Current_limit!$B$12/(2*(Current_limit!N476-Helper_calcs!$B$27)),IF(OR(M476=2,M476=23),(Main!$B$19-Current_limit!O476)*Current_limit!O476/(Main!$B$19*loop_gain!$B$17*(Helper_calcs!$B$26-Helper_calcs!$B$27)),x)))</f>
        <v>1631663.9927182929</v>
      </c>
      <c r="Q476" s="132"/>
    </row>
    <row r="477" spans="1:17" x14ac:dyDescent="0.3">
      <c r="A477">
        <f t="shared" si="56"/>
        <v>5.3599999999999293</v>
      </c>
      <c r="B477">
        <f>Main!$B$20/A477</f>
        <v>0.93283582089553474</v>
      </c>
      <c r="D477" s="132">
        <f t="shared" si="57"/>
        <v>0.93283582089553474</v>
      </c>
      <c r="E477" s="132">
        <f>-B477*Main!$B$19-2*Main!$B$19*loop_gain!$B$17*loop_gain!$B$18</f>
        <v>-86.794029850746426</v>
      </c>
      <c r="F477" s="132">
        <f>2*Main!$B$19*loop_gain!$B$17*loop_gain!$B$18*Helper_calcs!$B$26*Current_limit!B477</f>
        <v>271.51119402985438</v>
      </c>
      <c r="G477" s="132">
        <f t="shared" si="59"/>
        <v>3.2411278842756102</v>
      </c>
      <c r="H477" s="132">
        <f>(Main!$B$19-Current_limit!G477)*Current_limit!G477/(Main!$B$19*loop_gain!$B$17*loop_gain!$B$18)</f>
        <v>0.75102181611318586</v>
      </c>
      <c r="I477" s="132">
        <f t="shared" si="60"/>
        <v>3.0989781838868153</v>
      </c>
      <c r="J477" s="132"/>
      <c r="K477" s="133">
        <f>IF(A477&gt;$B$15,IF(I477&gt;Helper_calcs!$B$27,23,3),0)</f>
        <v>23</v>
      </c>
      <c r="L477">
        <f t="shared" si="58"/>
        <v>2</v>
      </c>
      <c r="M477">
        <f t="shared" si="61"/>
        <v>2</v>
      </c>
      <c r="N477" s="132">
        <f t="shared" si="62"/>
        <v>3.375</v>
      </c>
      <c r="O477" s="132">
        <f t="shared" si="63"/>
        <v>3.1483208955224296</v>
      </c>
      <c r="P477" s="134">
        <f>IF(OR(M477=0,M477=3),loop_gain!$B$18,IF(Current_limit!M477=1,Current_limit!$B$12/(2*(Current_limit!N477-Helper_calcs!$B$27)),IF(OR(M477=2,M477=23),(Main!$B$19-Current_limit!O477)*Current_limit!O477/(Main!$B$19*loop_gain!$B$17*(Helper_calcs!$B$26-Helper_calcs!$B$27)),x)))</f>
        <v>1629703.2915254971</v>
      </c>
      <c r="Q477" s="132"/>
    </row>
    <row r="478" spans="1:17" x14ac:dyDescent="0.3">
      <c r="A478">
        <f t="shared" si="56"/>
        <v>5.3699999999999291</v>
      </c>
      <c r="B478">
        <f>Main!$B$20/A478</f>
        <v>0.93109869646183729</v>
      </c>
      <c r="D478" s="132">
        <f t="shared" si="57"/>
        <v>0.93109869646183729</v>
      </c>
      <c r="E478" s="132">
        <f>-B478*Main!$B$19-2*Main!$B$19*loop_gain!$B$17*loop_gain!$B$18</f>
        <v>-86.77318435754205</v>
      </c>
      <c r="F478" s="132">
        <f>2*Main!$B$19*loop_gain!$B$17*loop_gain!$B$18*Helper_calcs!$B$26*Current_limit!B478</f>
        <v>271.0055865921824</v>
      </c>
      <c r="G478" s="132">
        <f t="shared" si="59"/>
        <v>3.2354766966072162</v>
      </c>
      <c r="H478" s="132">
        <f>(Main!$B$19-Current_limit!G478)*Current_limit!G478/(Main!$B$19*loop_gain!$B$17*loop_gain!$B$18)</f>
        <v>0.75019605568778425</v>
      </c>
      <c r="I478" s="132">
        <f t="shared" si="60"/>
        <v>3.0998039443122121</v>
      </c>
      <c r="J478" s="132"/>
      <c r="K478" s="133">
        <f>IF(A478&gt;$B$15,IF(I478&gt;Helper_calcs!$B$27,23,3),0)</f>
        <v>23</v>
      </c>
      <c r="L478">
        <f t="shared" si="58"/>
        <v>2</v>
      </c>
      <c r="M478">
        <f t="shared" si="61"/>
        <v>2</v>
      </c>
      <c r="N478" s="132">
        <f t="shared" si="62"/>
        <v>3.375</v>
      </c>
      <c r="O478" s="132">
        <f t="shared" si="63"/>
        <v>3.1424581005587009</v>
      </c>
      <c r="P478" s="134">
        <f>IF(OR(M478=0,M478=3),loop_gain!$B$18,IF(Current_limit!M478=1,Current_limit!$B$12/(2*(Current_limit!N478-Helper_calcs!$B$27)),IF(OR(M478=2,M478=23),(Main!$B$19-Current_limit!O478)*Current_limit!O478/(Main!$B$19*loop_gain!$B$17*(Helper_calcs!$B$26-Helper_calcs!$B$27)),x)))</f>
        <v>1627745.8650840591</v>
      </c>
      <c r="Q478" s="132"/>
    </row>
    <row r="479" spans="1:17" x14ac:dyDescent="0.3">
      <c r="A479">
        <f t="shared" si="56"/>
        <v>5.3799999999999288</v>
      </c>
      <c r="B479">
        <f>Main!$B$20/A479</f>
        <v>0.92936802973978927</v>
      </c>
      <c r="D479" s="132">
        <f t="shared" si="57"/>
        <v>0.92936802973978927</v>
      </c>
      <c r="E479" s="132">
        <f>-B479*Main!$B$19-2*Main!$B$19*loop_gain!$B$17*loop_gain!$B$18</f>
        <v>-86.752416356877475</v>
      </c>
      <c r="F479" s="132">
        <f>2*Main!$B$19*loop_gain!$B$17*loop_gain!$B$18*Helper_calcs!$B$26*Current_limit!B479</f>
        <v>270.50185873606313</v>
      </c>
      <c r="G479" s="132">
        <f t="shared" si="59"/>
        <v>3.2298459125993983</v>
      </c>
      <c r="H479" s="132">
        <f>(Main!$B$19-Current_limit!G479)*Current_limit!G479/(Main!$B$19*loop_gain!$B$17*loop_gain!$B$18)</f>
        <v>0.74937159608618353</v>
      </c>
      <c r="I479" s="132">
        <f t="shared" si="60"/>
        <v>3.1006284039138148</v>
      </c>
      <c r="J479" s="132"/>
      <c r="K479" s="133">
        <f>IF(A479&gt;$B$15,IF(I479&gt;Helper_calcs!$B$27,23,3),0)</f>
        <v>23</v>
      </c>
      <c r="L479">
        <f t="shared" si="58"/>
        <v>2</v>
      </c>
      <c r="M479">
        <f t="shared" si="61"/>
        <v>2</v>
      </c>
      <c r="N479" s="132">
        <f t="shared" si="62"/>
        <v>3.375</v>
      </c>
      <c r="O479" s="132">
        <f t="shared" si="63"/>
        <v>3.1366171003717889</v>
      </c>
      <c r="P479" s="134">
        <f>IF(OR(M479=0,M479=3),loop_gain!$B$18,IF(Current_limit!M479=1,Current_limit!$B$12/(2*(Current_limit!N479-Helper_calcs!$B$27)),IF(OR(M479=2,M479=23),(Main!$B$19-Current_limit!O479)*Current_limit!O479/(Main!$B$19*loop_gain!$B$17*(Helper_calcs!$B$26-Helper_calcs!$B$27)),x)))</f>
        <v>1625791.7175506863</v>
      </c>
      <c r="Q479" s="132"/>
    </row>
    <row r="480" spans="1:17" x14ac:dyDescent="0.3">
      <c r="A480">
        <f t="shared" si="56"/>
        <v>5.3899999999999286</v>
      </c>
      <c r="B480">
        <f>Main!$B$20/A480</f>
        <v>0.92764378478665421</v>
      </c>
      <c r="D480" s="132">
        <f t="shared" si="57"/>
        <v>0.92764378478665421</v>
      </c>
      <c r="E480" s="132">
        <f>-B480*Main!$B$19-2*Main!$B$19*loop_gain!$B$17*loop_gain!$B$18</f>
        <v>-86.731725417439861</v>
      </c>
      <c r="F480" s="132">
        <f>2*Main!$B$19*loop_gain!$B$17*loop_gain!$B$18*Helper_calcs!$B$26*Current_limit!B480</f>
        <v>270.00000000000364</v>
      </c>
      <c r="G480" s="132">
        <f t="shared" si="59"/>
        <v>3.2242354180117947</v>
      </c>
      <c r="H480" s="132">
        <f>(Main!$B$19-Current_limit!G480)*Current_limit!G480/(Main!$B$19*loop_gain!$B$17*loop_gain!$B$18)</f>
        <v>0.74854843876666255</v>
      </c>
      <c r="I480" s="132">
        <f t="shared" si="60"/>
        <v>3.1014515612333375</v>
      </c>
      <c r="J480" s="132"/>
      <c r="K480" s="133">
        <f>IF(A480&gt;$B$15,IF(I480&gt;Helper_calcs!$B$27,23,3),0)</f>
        <v>23</v>
      </c>
      <c r="L480">
        <f t="shared" si="58"/>
        <v>2</v>
      </c>
      <c r="M480">
        <f t="shared" si="61"/>
        <v>2</v>
      </c>
      <c r="N480" s="132">
        <f t="shared" si="62"/>
        <v>3.375</v>
      </c>
      <c r="O480" s="132">
        <f t="shared" si="63"/>
        <v>3.1307977736549581</v>
      </c>
      <c r="P480" s="134">
        <f>IF(OR(M480=0,M480=3),loop_gain!$B$18,IF(Current_limit!M480=1,Current_limit!$B$12/(2*(Current_limit!N480-Helper_calcs!$B$27)),IF(OR(M480=2,M480=23),(Main!$B$19-Current_limit!O480)*Current_limit!O480/(Main!$B$19*loop_gain!$B$17*(Helper_calcs!$B$26-Helper_calcs!$B$27)),x)))</f>
        <v>1623840.8528851841</v>
      </c>
      <c r="Q480" s="132"/>
    </row>
    <row r="481" spans="1:17" x14ac:dyDescent="0.3">
      <c r="A481">
        <f t="shared" ref="A481:A544" si="64">A480+0.01</f>
        <v>5.3999999999999284</v>
      </c>
      <c r="B481">
        <f>Main!$B$20/A481</f>
        <v>0.92592592592593825</v>
      </c>
      <c r="D481" s="132">
        <f t="shared" si="57"/>
        <v>0.92592592592593825</v>
      </c>
      <c r="E481" s="132">
        <f>-B481*Main!$B$19-2*Main!$B$19*loop_gain!$B$17*loop_gain!$B$18</f>
        <v>-86.711111111111265</v>
      </c>
      <c r="F481" s="132">
        <f>2*Main!$B$19*loop_gain!$B$17*loop_gain!$B$18*Helper_calcs!$B$26*Current_limit!B481</f>
        <v>269.50000000000364</v>
      </c>
      <c r="G481" s="132">
        <f t="shared" si="59"/>
        <v>3.2186450994835236</v>
      </c>
      <c r="H481" s="132">
        <f>(Main!$B$19-Current_limit!G481)*Current_limit!G481/(Main!$B$19*loop_gain!$B$17*loop_gain!$B$18)</f>
        <v>0.74772658511568724</v>
      </c>
      <c r="I481" s="132">
        <f t="shared" si="60"/>
        <v>3.1022734148843156</v>
      </c>
      <c r="J481" s="132"/>
      <c r="K481" s="133">
        <f>IF(A481&gt;$B$15,IF(I481&gt;Helper_calcs!$B$27,23,3),0)</f>
        <v>23</v>
      </c>
      <c r="L481">
        <f t="shared" si="58"/>
        <v>2</v>
      </c>
      <c r="M481">
        <f t="shared" si="61"/>
        <v>2</v>
      </c>
      <c r="N481" s="132">
        <f t="shared" si="62"/>
        <v>3.375</v>
      </c>
      <c r="O481" s="132">
        <f t="shared" si="63"/>
        <v>3.1250000000000417</v>
      </c>
      <c r="P481" s="134">
        <f>IF(OR(M481=0,M481=3),loop_gain!$B$18,IF(Current_limit!M481=1,Current_limit!$B$12/(2*(Current_limit!N481-Helper_calcs!$B$27)),IF(OR(M481=2,M481=23),(Main!$B$19-Current_limit!O481)*Current_limit!O481/(Main!$B$19*loop_gain!$B$17*(Helper_calcs!$B$26-Helper_calcs!$B$27)),x)))</f>
        <v>1621893.2748538149</v>
      </c>
      <c r="Q481" s="132"/>
    </row>
    <row r="482" spans="1:17" x14ac:dyDescent="0.3">
      <c r="A482">
        <f t="shared" si="64"/>
        <v>5.4099999999999282</v>
      </c>
      <c r="B482">
        <f>Main!$B$20/A482</f>
        <v>0.92421441774492907</v>
      </c>
      <c r="D482" s="132">
        <f t="shared" si="57"/>
        <v>0.92421441774492907</v>
      </c>
      <c r="E482" s="132">
        <f>-B482*Main!$B$19-2*Main!$B$19*loop_gain!$B$17*loop_gain!$B$18</f>
        <v>-86.690573012939154</v>
      </c>
      <c r="F482" s="132">
        <f>2*Main!$B$19*loop_gain!$B$17*loop_gain!$B$18*Helper_calcs!$B$26*Current_limit!B482</f>
        <v>269.00184842883908</v>
      </c>
      <c r="G482" s="132">
        <f t="shared" si="59"/>
        <v>3.2130748445244652</v>
      </c>
      <c r="H482" s="132">
        <f>(Main!$B$19-Current_limit!G482)*Current_limit!G482/(Main!$B$19*loop_gain!$B$17*loop_gain!$B$18)</f>
        <v>0.74690603644914444</v>
      </c>
      <c r="I482" s="132">
        <f t="shared" si="60"/>
        <v>3.1030939635508532</v>
      </c>
      <c r="J482" s="132"/>
      <c r="K482" s="133">
        <f>IF(A482&gt;$B$15,IF(I482&gt;Helper_calcs!$B$27,23,3),0)</f>
        <v>23</v>
      </c>
      <c r="L482">
        <f t="shared" si="58"/>
        <v>2</v>
      </c>
      <c r="M482">
        <f t="shared" si="61"/>
        <v>2</v>
      </c>
      <c r="N482" s="132">
        <f t="shared" si="62"/>
        <v>3.375</v>
      </c>
      <c r="O482" s="132">
        <f t="shared" si="63"/>
        <v>3.1192236598891356</v>
      </c>
      <c r="P482" s="134">
        <f>IF(OR(M482=0,M482=3),loop_gain!$B$18,IF(Current_limit!M482=1,Current_limit!$B$12/(2*(Current_limit!N482-Helper_calcs!$B$27)),IF(OR(M482=2,M482=23),(Main!$B$19-Current_limit!O482)*Current_limit!O482/(Main!$B$19*loop_gain!$B$17*(Helper_calcs!$B$26-Helper_calcs!$B$27)),x)))</f>
        <v>1619948.9870325993</v>
      </c>
      <c r="Q482" s="132"/>
    </row>
    <row r="483" spans="1:17" x14ac:dyDescent="0.3">
      <c r="A483">
        <f t="shared" si="64"/>
        <v>5.419999999999928</v>
      </c>
      <c r="B483">
        <f>Main!$B$20/A483</f>
        <v>0.92250922509226319</v>
      </c>
      <c r="D483" s="132">
        <f t="shared" si="57"/>
        <v>0.92250922509226319</v>
      </c>
      <c r="E483" s="132">
        <f>-B483*Main!$B$19-2*Main!$B$19*loop_gain!$B$17*loop_gain!$B$18</f>
        <v>-86.670110701107163</v>
      </c>
      <c r="F483" s="132">
        <f>2*Main!$B$19*loop_gain!$B$17*loop_gain!$B$18*Helper_calcs!$B$26*Current_limit!B483</f>
        <v>268.50553505535419</v>
      </c>
      <c r="G483" s="132">
        <f t="shared" si="59"/>
        <v>3.2075245415067002</v>
      </c>
      <c r="H483" s="132">
        <f>(Main!$B$19-Current_limit!G483)*Current_limit!G483/(Main!$B$19*loop_gain!$B$17*loop_gain!$B$18)</f>
        <v>0.7460867940135617</v>
      </c>
      <c r="I483" s="132">
        <f t="shared" si="60"/>
        <v>3.1039132059864358</v>
      </c>
      <c r="J483" s="132"/>
      <c r="K483" s="133">
        <f>IF(A483&gt;$B$15,IF(I483&gt;Helper_calcs!$B$27,23,3),0)</f>
        <v>23</v>
      </c>
      <c r="L483">
        <f t="shared" si="58"/>
        <v>2</v>
      </c>
      <c r="M483">
        <f t="shared" si="61"/>
        <v>2</v>
      </c>
      <c r="N483" s="132">
        <f t="shared" si="62"/>
        <v>3.375</v>
      </c>
      <c r="O483" s="132">
        <f t="shared" si="63"/>
        <v>3.1134686346863885</v>
      </c>
      <c r="P483" s="134">
        <f>IF(OR(M483=0,M483=3),loop_gain!$B$18,IF(Current_limit!M483=1,Current_limit!$B$12/(2*(Current_limit!N483-Helper_calcs!$B$27)),IF(OR(M483=2,M483=23),(Main!$B$19-Current_limit!O483)*Current_limit!O483/(Main!$B$19*loop_gain!$B$17*(Helper_calcs!$B$26-Helper_calcs!$B$27)),x)))</f>
        <v>1618007.9928105692</v>
      </c>
      <c r="Q483" s="132"/>
    </row>
    <row r="484" spans="1:17" x14ac:dyDescent="0.3">
      <c r="A484">
        <f t="shared" si="64"/>
        <v>5.4299999999999278</v>
      </c>
      <c r="B484">
        <f>Main!$B$20/A484</f>
        <v>0.92081031307551864</v>
      </c>
      <c r="D484" s="132">
        <f t="shared" si="57"/>
        <v>0.92081031307551864</v>
      </c>
      <c r="E484" s="132">
        <f>-B484*Main!$B$19-2*Main!$B$19*loop_gain!$B$17*loop_gain!$B$18</f>
        <v>-86.649723756906226</v>
      </c>
      <c r="F484" s="132">
        <f>2*Main!$B$19*loop_gain!$B$17*loop_gain!$B$18*Helper_calcs!$B$26*Current_limit!B484</f>
        <v>268.01104972376049</v>
      </c>
      <c r="G484" s="132">
        <f t="shared" si="59"/>
        <v>3.2019940796559863</v>
      </c>
      <c r="H484" s="132">
        <f>(Main!$B$19-Current_limit!G484)*Current_limit!G484/(Main!$B$19*loop_gain!$B$17*loop_gain!$B$18)</f>
        <v>0.74526885898729756</v>
      </c>
      <c r="I484" s="132">
        <f t="shared" si="60"/>
        <v>3.1047311410127061</v>
      </c>
      <c r="J484" s="132"/>
      <c r="K484" s="133">
        <f>IF(A484&gt;$B$15,IF(I484&gt;Helper_calcs!$B$27,23,3),0)</f>
        <v>23</v>
      </c>
      <c r="L484">
        <f t="shared" si="58"/>
        <v>2</v>
      </c>
      <c r="M484">
        <f t="shared" si="61"/>
        <v>2</v>
      </c>
      <c r="N484" s="132">
        <f t="shared" si="62"/>
        <v>3.375</v>
      </c>
      <c r="O484" s="132">
        <f t="shared" si="63"/>
        <v>3.1077348066298756</v>
      </c>
      <c r="P484" s="134">
        <f>IF(OR(M484=0,M484=3),loop_gain!$B$18,IF(Current_limit!M484=1,Current_limit!$B$12/(2*(Current_limit!N484-Helper_calcs!$B$27)),IF(OR(M484=2,M484=23),(Main!$B$19-Current_limit!O484)*Current_limit!O484/(Main!$B$19*loop_gain!$B$17*(Helper_calcs!$B$26-Helper_calcs!$B$27)),x)))</f>
        <v>1616070.2953929636</v>
      </c>
      <c r="Q484" s="132"/>
    </row>
    <row r="485" spans="1:17" x14ac:dyDescent="0.3">
      <c r="A485">
        <f t="shared" si="64"/>
        <v>5.4399999999999276</v>
      </c>
      <c r="B485">
        <f>Main!$B$20/A485</f>
        <v>0.91911764705883581</v>
      </c>
      <c r="D485" s="132">
        <f t="shared" si="57"/>
        <v>0.91911764705883581</v>
      </c>
      <c r="E485" s="132">
        <f>-B485*Main!$B$19-2*Main!$B$19*loop_gain!$B$17*loop_gain!$B$18</f>
        <v>-86.629411764706035</v>
      </c>
      <c r="F485" s="132">
        <f>2*Main!$B$19*loop_gain!$B$17*loop_gain!$B$18*Helper_calcs!$B$26*Current_limit!B485</f>
        <v>267.5183823529448</v>
      </c>
      <c r="G485" s="132">
        <f t="shared" si="59"/>
        <v>3.1964833490433699</v>
      </c>
      <c r="H485" s="132">
        <f>(Main!$B$19-Current_limit!G485)*Current_limit!G485/(Main!$B$19*loop_gain!$B$17*loop_gain!$B$18)</f>
        <v>0.74445223248171755</v>
      </c>
      <c r="I485" s="132">
        <f t="shared" si="60"/>
        <v>3.1055477675182814</v>
      </c>
      <c r="J485" s="132"/>
      <c r="K485" s="133">
        <f>IF(A485&gt;$B$15,IF(I485&gt;Helper_calcs!$B$27,23,3),0)</f>
        <v>23</v>
      </c>
      <c r="L485">
        <f t="shared" si="58"/>
        <v>2</v>
      </c>
      <c r="M485">
        <f t="shared" si="61"/>
        <v>2</v>
      </c>
      <c r="N485" s="132">
        <f t="shared" si="62"/>
        <v>3.375</v>
      </c>
      <c r="O485" s="132">
        <f t="shared" si="63"/>
        <v>3.1020220588235707</v>
      </c>
      <c r="P485" s="134">
        <f>IF(OR(M485=0,M485=3),loop_gain!$B$18,IF(Current_limit!M485=1,Current_limit!$B$12/(2*(Current_limit!N485-Helper_calcs!$B$27)),IF(OR(M485=2,M485=23),(Main!$B$19-Current_limit!O485)*Current_limit!O485/(Main!$B$19*loop_gain!$B$17*(Helper_calcs!$B$26-Helper_calcs!$B$27)),x)))</f>
        <v>1614135.8978043753</v>
      </c>
      <c r="Q485" s="132"/>
    </row>
    <row r="486" spans="1:17" x14ac:dyDescent="0.3">
      <c r="A486">
        <f t="shared" si="64"/>
        <v>5.4499999999999273</v>
      </c>
      <c r="B486">
        <f>Main!$B$20/A486</f>
        <v>0.91743119266056272</v>
      </c>
      <c r="D486" s="132">
        <f t="shared" si="57"/>
        <v>0.91743119266056272</v>
      </c>
      <c r="E486" s="132">
        <f>-B486*Main!$B$19-2*Main!$B$19*loop_gain!$B$17*loop_gain!$B$18</f>
        <v>-86.609174311926765</v>
      </c>
      <c r="F486" s="132">
        <f>2*Main!$B$19*loop_gain!$B$17*loop_gain!$B$18*Helper_calcs!$B$26*Current_limit!B486</f>
        <v>267.02752293578345</v>
      </c>
      <c r="G486" s="132">
        <f t="shared" si="59"/>
        <v>3.1909922405769455</v>
      </c>
      <c r="H486" s="132">
        <f>(Main!$B$19-Current_limit!G486)*Current_limit!G486/(Main!$B$19*loop_gain!$B$17*loop_gain!$B$18)</f>
        <v>0.74363691554235622</v>
      </c>
      <c r="I486" s="132">
        <f t="shared" si="60"/>
        <v>3.1063630844576462</v>
      </c>
      <c r="J486" s="132"/>
      <c r="K486" s="133">
        <f>IF(A486&gt;$B$15,IF(I486&gt;Helper_calcs!$B$27,23,3),0)</f>
        <v>23</v>
      </c>
      <c r="L486">
        <f t="shared" si="58"/>
        <v>2</v>
      </c>
      <c r="M486">
        <f t="shared" si="61"/>
        <v>2</v>
      </c>
      <c r="N486" s="132">
        <f t="shared" si="62"/>
        <v>3.375</v>
      </c>
      <c r="O486" s="132">
        <f t="shared" si="63"/>
        <v>3.0963302752293993</v>
      </c>
      <c r="P486" s="134">
        <f>IF(OR(M486=0,M486=3),loop_gain!$B$18,IF(Current_limit!M486=1,Current_limit!$B$12/(2*(Current_limit!N486-Helper_calcs!$B$27)),IF(OR(M486=2,M486=23),(Main!$B$19-Current_limit!O486)*Current_limit!O486/(Main!$B$19*loop_gain!$B$17*(Helper_calcs!$B$26-Helper_calcs!$B$27)),x)))</f>
        <v>1612204.8028918493</v>
      </c>
      <c r="Q486" s="132"/>
    </row>
    <row r="487" spans="1:17" x14ac:dyDescent="0.3">
      <c r="A487">
        <f t="shared" si="64"/>
        <v>5.4599999999999271</v>
      </c>
      <c r="B487">
        <f>Main!$B$20/A487</f>
        <v>0.91575091575092793</v>
      </c>
      <c r="D487" s="132">
        <f t="shared" si="57"/>
        <v>0.91575091575092793</v>
      </c>
      <c r="E487" s="132">
        <f>-B487*Main!$B$19-2*Main!$B$19*loop_gain!$B$17*loop_gain!$B$18</f>
        <v>-86.589010989011143</v>
      </c>
      <c r="F487" s="132">
        <f>2*Main!$B$19*loop_gain!$B$17*loop_gain!$B$18*Helper_calcs!$B$26*Current_limit!B487</f>
        <v>266.53846153846513</v>
      </c>
      <c r="G487" s="132">
        <f t="shared" si="59"/>
        <v>3.1855206459936132</v>
      </c>
      <c r="H487" s="132">
        <f>(Main!$B$19-Current_limit!G487)*Current_limit!G487/(Main!$B$19*loop_gain!$B$17*loop_gain!$B$18)</f>
        <v>0.74282290915004734</v>
      </c>
      <c r="I487" s="132">
        <f t="shared" si="60"/>
        <v>3.1071770908499556</v>
      </c>
      <c r="J487" s="132"/>
      <c r="K487" s="133">
        <f>IF(A487&gt;$B$15,IF(I487&gt;Helper_calcs!$B$27,23,3),0)</f>
        <v>23</v>
      </c>
      <c r="L487">
        <f t="shared" si="58"/>
        <v>2</v>
      </c>
      <c r="M487">
        <f t="shared" si="61"/>
        <v>2</v>
      </c>
      <c r="N487" s="132">
        <f t="shared" si="62"/>
        <v>3.375</v>
      </c>
      <c r="O487" s="132">
        <f t="shared" si="63"/>
        <v>3.0906593406593816</v>
      </c>
      <c r="P487" s="134">
        <f>IF(OR(M487=0,M487=3),loop_gain!$B$18,IF(Current_limit!M487=1,Current_limit!$B$12/(2*(Current_limit!N487-Helper_calcs!$B$27)),IF(OR(M487=2,M487=23),(Main!$B$19-Current_limit!O487)*Current_limit!O487/(Main!$B$19*loop_gain!$B$17*(Helper_calcs!$B$26-Helper_calcs!$B$27)),x)))</f>
        <v>1610277.0133279234</v>
      </c>
      <c r="Q487" s="132"/>
    </row>
    <row r="488" spans="1:17" x14ac:dyDescent="0.3">
      <c r="A488">
        <f t="shared" si="64"/>
        <v>5.4699999999999269</v>
      </c>
      <c r="B488">
        <f>Main!$B$20/A488</f>
        <v>0.914076782449738</v>
      </c>
      <c r="D488" s="132">
        <f t="shared" si="57"/>
        <v>0.914076782449738</v>
      </c>
      <c r="E488" s="132">
        <f>-B488*Main!$B$19-2*Main!$B$19*loop_gain!$B$17*loop_gain!$B$18</f>
        <v>-86.568921389396863</v>
      </c>
      <c r="F488" s="132">
        <f>2*Main!$B$19*loop_gain!$B$17*loop_gain!$B$18*Helper_calcs!$B$26*Current_limit!B488</f>
        <v>266.05118829982081</v>
      </c>
      <c r="G488" s="132">
        <f t="shared" si="59"/>
        <v>3.1800684578510259</v>
      </c>
      <c r="H488" s="132">
        <f>(Main!$B$19-Current_limit!G488)*Current_limit!G488/(Main!$B$19*loop_gain!$B$17*loop_gain!$B$18)</f>
        <v>0.74201021422204527</v>
      </c>
      <c r="I488" s="132">
        <f t="shared" si="60"/>
        <v>3.1079897857779533</v>
      </c>
      <c r="J488" s="132"/>
      <c r="K488" s="133">
        <f>IF(A488&gt;$B$15,IF(I488&gt;Helper_calcs!$B$27,23,3),0)</f>
        <v>23</v>
      </c>
      <c r="L488">
        <f t="shared" si="58"/>
        <v>2</v>
      </c>
      <c r="M488">
        <f t="shared" si="61"/>
        <v>2</v>
      </c>
      <c r="N488" s="132">
        <f t="shared" si="62"/>
        <v>3.375</v>
      </c>
      <c r="O488" s="132">
        <f t="shared" si="63"/>
        <v>3.0850091407678657</v>
      </c>
      <c r="P488" s="134">
        <f>IF(OR(M488=0,M488=3),loop_gain!$B$18,IF(Current_limit!M488=1,Current_limit!$B$12/(2*(Current_limit!N488-Helper_calcs!$B$27)),IF(OR(M488=2,M488=23),(Main!$B$19-Current_limit!O488)*Current_limit!O488/(Main!$B$19*loop_gain!$B$17*(Helper_calcs!$B$26-Helper_calcs!$B$27)),x)))</f>
        <v>1608352.5316136314</v>
      </c>
      <c r="Q488" s="132"/>
    </row>
    <row r="489" spans="1:17" x14ac:dyDescent="0.3">
      <c r="A489">
        <f t="shared" si="64"/>
        <v>5.4799999999999267</v>
      </c>
      <c r="B489">
        <f>Main!$B$20/A489</f>
        <v>0.9124087591240998</v>
      </c>
      <c r="D489" s="132">
        <f t="shared" si="57"/>
        <v>0.9124087591240998</v>
      </c>
      <c r="E489" s="132">
        <f>-B489*Main!$B$19-2*Main!$B$19*loop_gain!$B$17*loop_gain!$B$18</f>
        <v>-86.548905109489212</v>
      </c>
      <c r="F489" s="132">
        <f>2*Main!$B$19*loop_gain!$B$17*loop_gain!$B$18*Helper_calcs!$B$26*Current_limit!B489</f>
        <v>265.56569343066053</v>
      </c>
      <c r="G489" s="132">
        <f t="shared" si="59"/>
        <v>3.1746355695196038</v>
      </c>
      <c r="H489" s="132">
        <f>(Main!$B$19-Current_limit!G489)*Current_limit!G489/(Main!$B$19*loop_gain!$B$17*loop_gain!$B$18)</f>
        <v>0.74119883161312661</v>
      </c>
      <c r="I489" s="132">
        <f t="shared" si="60"/>
        <v>3.1088011683868757</v>
      </c>
      <c r="J489" s="132"/>
      <c r="K489" s="133">
        <f>IF(A489&gt;$B$15,IF(I489&gt;Helper_calcs!$B$27,23,3),0)</f>
        <v>23</v>
      </c>
      <c r="L489">
        <f t="shared" si="58"/>
        <v>2</v>
      </c>
      <c r="M489">
        <f t="shared" si="61"/>
        <v>2</v>
      </c>
      <c r="N489" s="132">
        <f t="shared" si="62"/>
        <v>3.375</v>
      </c>
      <c r="O489" s="132">
        <f t="shared" si="63"/>
        <v>3.0793795620438367</v>
      </c>
      <c r="P489" s="134">
        <f>IF(OR(M489=0,M489=3),loop_gain!$B$18,IF(Current_limit!M489=1,Current_limit!$B$12/(2*(Current_limit!N489-Helper_calcs!$B$27)),IF(OR(M489=2,M489=23),(Main!$B$19-Current_limit!O489)*Current_limit!O489/(Main!$B$19*loop_gain!$B$17*(Helper_calcs!$B$26-Helper_calcs!$B$27)),x)))</f>
        <v>1606431.3600814471</v>
      </c>
      <c r="Q489" s="132"/>
    </row>
    <row r="490" spans="1:17" x14ac:dyDescent="0.3">
      <c r="A490">
        <f t="shared" si="64"/>
        <v>5.4899999999999265</v>
      </c>
      <c r="B490">
        <f>Main!$B$20/A490</f>
        <v>0.91074681238616884</v>
      </c>
      <c r="D490" s="132">
        <f t="shared" si="57"/>
        <v>0.91074681238616884</v>
      </c>
      <c r="E490" s="132">
        <f>-B490*Main!$B$19-2*Main!$B$19*loop_gain!$B$17*loop_gain!$B$18</f>
        <v>-86.528961748634032</v>
      </c>
      <c r="F490" s="132">
        <f>2*Main!$B$19*loop_gain!$B$17*loop_gain!$B$18*Helper_calcs!$B$26*Current_limit!B490</f>
        <v>265.08196721311833</v>
      </c>
      <c r="G490" s="132">
        <f t="shared" si="59"/>
        <v>3.1692218751746002</v>
      </c>
      <c r="H490" s="132">
        <f>(Main!$B$19-Current_limit!G490)*Current_limit!G490/(Main!$B$19*loop_gain!$B$17*loop_gain!$B$18)</f>
        <v>0.74038876211666638</v>
      </c>
      <c r="I490" s="132">
        <f t="shared" si="60"/>
        <v>3.1096112378833314</v>
      </c>
      <c r="J490" s="132"/>
      <c r="K490" s="133">
        <f>IF(A490&gt;$B$15,IF(I490&gt;Helper_calcs!$B$27,23,3),0)</f>
        <v>23</v>
      </c>
      <c r="L490">
        <f t="shared" si="58"/>
        <v>2</v>
      </c>
      <c r="M490">
        <f t="shared" si="61"/>
        <v>2</v>
      </c>
      <c r="N490" s="132">
        <f t="shared" si="62"/>
        <v>3.375</v>
      </c>
      <c r="O490" s="132">
        <f t="shared" si="63"/>
        <v>3.07377049180332</v>
      </c>
      <c r="P490" s="134">
        <f>IF(OR(M490=0,M490=3),loop_gain!$B$18,IF(Current_limit!M490=1,Current_limit!$B$12/(2*(Current_limit!N490-Helper_calcs!$B$27)),IF(OR(M490=2,M490=23),(Main!$B$19-Current_limit!O490)*Current_limit!O490/(Main!$B$19*loop_gain!$B$17*(Helper_calcs!$B$26-Helper_calcs!$B$27)),x)))</f>
        <v>1604513.500898188</v>
      </c>
      <c r="Q490" s="132"/>
    </row>
    <row r="491" spans="1:17" x14ac:dyDescent="0.3">
      <c r="A491">
        <f t="shared" si="64"/>
        <v>5.4999999999999263</v>
      </c>
      <c r="B491">
        <f>Main!$B$20/A491</f>
        <v>0.90909090909092127</v>
      </c>
      <c r="D491" s="132">
        <f t="shared" si="57"/>
        <v>0.90909090909092127</v>
      </c>
      <c r="E491" s="132">
        <f>-B491*Main!$B$19-2*Main!$B$19*loop_gain!$B$17*loop_gain!$B$18</f>
        <v>-86.509090909091071</v>
      </c>
      <c r="F491" s="132">
        <f>2*Main!$B$19*loop_gain!$B$17*loop_gain!$B$18*Helper_calcs!$B$26*Current_limit!B491</f>
        <v>264.6000000000036</v>
      </c>
      <c r="G491" s="132">
        <f t="shared" si="59"/>
        <v>3.1638272697883538</v>
      </c>
      <c r="H491" s="132">
        <f>(Main!$B$19-Current_limit!G491)*Current_limit!G491/(Main!$B$19*loop_gain!$B$17*loop_gain!$B$18)</f>
        <v>0.73958000646570943</v>
      </c>
      <c r="I491" s="132">
        <f t="shared" si="60"/>
        <v>3.110419993534288</v>
      </c>
      <c r="J491" s="132"/>
      <c r="K491" s="133">
        <f>IF(A491&gt;$B$15,IF(I491&gt;Helper_calcs!$B$27,23,3),0)</f>
        <v>23</v>
      </c>
      <c r="L491">
        <f t="shared" si="58"/>
        <v>2</v>
      </c>
      <c r="M491">
        <f t="shared" si="61"/>
        <v>2</v>
      </c>
      <c r="N491" s="132">
        <f t="shared" si="62"/>
        <v>3.375</v>
      </c>
      <c r="O491" s="132">
        <f t="shared" si="63"/>
        <v>3.0681818181818592</v>
      </c>
      <c r="P491" s="134">
        <f>IF(OR(M491=0,M491=3),loop_gain!$B$18,IF(Current_limit!M491=1,Current_limit!$B$12/(2*(Current_limit!N491-Helper_calcs!$B$27)),IF(OR(M491=2,M491=23),(Main!$B$19-Current_limit!O491)*Current_limit!O491/(Main!$B$19*loop_gain!$B$17*(Helper_calcs!$B$26-Helper_calcs!$B$27)),x)))</f>
        <v>1602598.9560678694</v>
      </c>
      <c r="Q491" s="132"/>
    </row>
    <row r="492" spans="1:17" x14ac:dyDescent="0.3">
      <c r="A492">
        <f t="shared" si="64"/>
        <v>5.5099999999999261</v>
      </c>
      <c r="B492">
        <f>Main!$B$20/A492</f>
        <v>0.90744101633395047</v>
      </c>
      <c r="D492" s="132">
        <f t="shared" si="57"/>
        <v>0.90744101633395047</v>
      </c>
      <c r="E492" s="132">
        <f>-B492*Main!$B$19-2*Main!$B$19*loop_gain!$B$17*loop_gain!$B$18</f>
        <v>-86.489292196007412</v>
      </c>
      <c r="F492" s="132">
        <f>2*Main!$B$19*loop_gain!$B$17*loop_gain!$B$18*Helper_calcs!$B$26*Current_limit!B492</f>
        <v>264.11978221415967</v>
      </c>
      <c r="G492" s="132">
        <f t="shared" si="59"/>
        <v>3.1584516491225463</v>
      </c>
      <c r="H492" s="132">
        <f>(Main!$B$19-Current_limit!G492)*Current_limit!G492/(Main!$B$19*loop_gain!$B$17*loop_gain!$B$18)</f>
        <v>0.73877256533401103</v>
      </c>
      <c r="I492" s="132">
        <f t="shared" si="60"/>
        <v>3.1112274346659938</v>
      </c>
      <c r="J492" s="132"/>
      <c r="K492" s="133">
        <f>IF(A492&gt;$B$15,IF(I492&gt;Helper_calcs!$B$27,23,3),0)</f>
        <v>23</v>
      </c>
      <c r="L492">
        <f t="shared" si="58"/>
        <v>2</v>
      </c>
      <c r="M492">
        <f t="shared" si="61"/>
        <v>2</v>
      </c>
      <c r="N492" s="132">
        <f t="shared" si="62"/>
        <v>3.375</v>
      </c>
      <c r="O492" s="132">
        <f t="shared" si="63"/>
        <v>3.0626134301270826</v>
      </c>
      <c r="P492" s="134">
        <f>IF(OR(M492=0,M492=3),loop_gain!$B$18,IF(Current_limit!M492=1,Current_limit!$B$12/(2*(Current_limit!N492-Helper_calcs!$B$27)),IF(OR(M492=2,M492=23),(Main!$B$19-Current_limit!O492)*Current_limit!O492/(Main!$B$19*loop_gain!$B$17*(Helper_calcs!$B$26-Helper_calcs!$B$27)),x)))</f>
        <v>1600687.7274345155</v>
      </c>
      <c r="Q492" s="132"/>
    </row>
    <row r="493" spans="1:17" x14ac:dyDescent="0.3">
      <c r="A493">
        <f t="shared" si="64"/>
        <v>5.5199999999999259</v>
      </c>
      <c r="B493">
        <f>Main!$B$20/A493</f>
        <v>0.90579710144928749</v>
      </c>
      <c r="D493" s="132">
        <f t="shared" si="57"/>
        <v>0.90579710144928749</v>
      </c>
      <c r="E493" s="132">
        <f>-B493*Main!$B$19-2*Main!$B$19*loop_gain!$B$17*loop_gain!$B$18</f>
        <v>-86.469565217391462</v>
      </c>
      <c r="F493" s="132">
        <f>2*Main!$B$19*loop_gain!$B$17*loop_gain!$B$18*Helper_calcs!$B$26*Current_limit!B493</f>
        <v>263.64130434782965</v>
      </c>
      <c r="G493" s="132">
        <f t="shared" si="59"/>
        <v>3.1530949097205703</v>
      </c>
      <c r="H493" s="132">
        <f>(Main!$B$19-Current_limit!G493)*Current_limit!G493/(Main!$B$19*loop_gain!$B$17*loop_gain!$B$18)</f>
        <v>0.73796643933706529</v>
      </c>
      <c r="I493" s="132">
        <f t="shared" si="60"/>
        <v>3.1120335606629301</v>
      </c>
      <c r="J493" s="132"/>
      <c r="K493" s="133">
        <f>IF(A493&gt;$B$15,IF(I493&gt;Helper_calcs!$B$27,23,3),0)</f>
        <v>23</v>
      </c>
      <c r="L493">
        <f t="shared" si="58"/>
        <v>2</v>
      </c>
      <c r="M493">
        <f t="shared" si="61"/>
        <v>2</v>
      </c>
      <c r="N493" s="132">
        <f t="shared" si="62"/>
        <v>3.375</v>
      </c>
      <c r="O493" s="132">
        <f t="shared" si="63"/>
        <v>3.0570652173913451</v>
      </c>
      <c r="P493" s="134">
        <f>IF(OR(M493=0,M493=3),loop_gain!$B$18,IF(Current_limit!M493=1,Current_limit!$B$12/(2*(Current_limit!N493-Helper_calcs!$B$27)),IF(OR(M493=2,M493=23),(Main!$B$19-Current_limit!O493)*Current_limit!O493/(Main!$B$19*loop_gain!$B$17*(Helper_calcs!$B$26-Helper_calcs!$B$27)),x)))</f>
        <v>1598779.8166849206</v>
      </c>
      <c r="Q493" s="132"/>
    </row>
    <row r="494" spans="1:17" x14ac:dyDescent="0.3">
      <c r="A494">
        <f t="shared" si="64"/>
        <v>5.5299999999999256</v>
      </c>
      <c r="B494">
        <f>Main!$B$20/A494</f>
        <v>0.9041591320072454</v>
      </c>
      <c r="D494" s="132">
        <f t="shared" si="57"/>
        <v>0.9041591320072454</v>
      </c>
      <c r="E494" s="132">
        <f>-B494*Main!$B$19-2*Main!$B$19*loop_gain!$B$17*loop_gain!$B$18</f>
        <v>-86.449909584086953</v>
      </c>
      <c r="F494" s="132">
        <f>2*Main!$B$19*loop_gain!$B$17*loop_gain!$B$18*Helper_calcs!$B$26*Current_limit!B494</f>
        <v>263.16455696202888</v>
      </c>
      <c r="G494" s="132">
        <f t="shared" si="59"/>
        <v>3.1477569489000716</v>
      </c>
      <c r="H494" s="132">
        <f>(Main!$B$19-Current_limit!G494)*Current_limit!G494/(Main!$B$19*loop_gain!$B$17*loop_gain!$B$18)</f>
        <v>0.73716162903312621</v>
      </c>
      <c r="I494" s="132">
        <f t="shared" si="60"/>
        <v>3.1128383709668692</v>
      </c>
      <c r="J494" s="132"/>
      <c r="K494" s="133">
        <f>IF(A494&gt;$B$15,IF(I494&gt;Helper_calcs!$B$27,23,3),0)</f>
        <v>23</v>
      </c>
      <c r="L494">
        <f t="shared" si="58"/>
        <v>2</v>
      </c>
      <c r="M494">
        <f t="shared" si="61"/>
        <v>2</v>
      </c>
      <c r="N494" s="132">
        <f t="shared" si="62"/>
        <v>3.375</v>
      </c>
      <c r="O494" s="132">
        <f t="shared" si="63"/>
        <v>3.0515370705244531</v>
      </c>
      <c r="P494" s="134">
        <f>IF(OR(M494=0,M494=3),loop_gain!$B$18,IF(Current_limit!M494=1,Current_limit!$B$12/(2*(Current_limit!N494-Helper_calcs!$B$27)),IF(OR(M494=2,M494=23),(Main!$B$19-Current_limit!O494)*Current_limit!O494/(Main!$B$19*loop_gain!$B$17*(Helper_calcs!$B$26-Helper_calcs!$B$27)),x)))</f>
        <v>1596875.2253513727</v>
      </c>
      <c r="Q494" s="132"/>
    </row>
    <row r="495" spans="1:17" x14ac:dyDescent="0.3">
      <c r="A495">
        <f t="shared" si="64"/>
        <v>5.5399999999999254</v>
      </c>
      <c r="B495">
        <f>Main!$B$20/A495</f>
        <v>0.90252707581228653</v>
      </c>
      <c r="D495" s="132">
        <f t="shared" si="57"/>
        <v>0.90252707581228653</v>
      </c>
      <c r="E495" s="132">
        <f>-B495*Main!$B$19-2*Main!$B$19*loop_gain!$B$17*loop_gain!$B$18</f>
        <v>-86.430324909747441</v>
      </c>
      <c r="F495" s="132">
        <f>2*Main!$B$19*loop_gain!$B$17*loop_gain!$B$18*Helper_calcs!$B$26*Current_limit!B495</f>
        <v>262.68953068592418</v>
      </c>
      <c r="G495" s="132">
        <f t="shared" si="59"/>
        <v>3.1424376647454402</v>
      </c>
      <c r="H495" s="132">
        <f>(Main!$B$19-Current_limit!G495)*Current_limit!G495/(Main!$B$19*loop_gain!$B$17*loop_gain!$B$18)</f>
        <v>0.73635813492419322</v>
      </c>
      <c r="I495" s="132">
        <f t="shared" si="60"/>
        <v>3.1136418650758042</v>
      </c>
      <c r="J495" s="132"/>
      <c r="K495" s="133">
        <f>IF(A495&gt;$B$15,IF(I495&gt;Helper_calcs!$B$27,23,3),0)</f>
        <v>23</v>
      </c>
      <c r="L495">
        <f t="shared" si="58"/>
        <v>2</v>
      </c>
      <c r="M495">
        <f t="shared" si="61"/>
        <v>2</v>
      </c>
      <c r="N495" s="132">
        <f t="shared" si="62"/>
        <v>3.375</v>
      </c>
      <c r="O495" s="132">
        <f t="shared" si="63"/>
        <v>3.0460288808664671</v>
      </c>
      <c r="P495" s="134">
        <f>IF(OR(M495=0,M495=3),loop_gain!$B$18,IF(Current_limit!M495=1,Current_limit!$B$12/(2*(Current_limit!N495-Helper_calcs!$B$27)),IF(OR(M495=2,M495=23),(Main!$B$19-Current_limit!O495)*Current_limit!O495/(Main!$B$19*loop_gain!$B$17*(Helper_calcs!$B$26-Helper_calcs!$B$27)),x)))</f>
        <v>1594973.9548143263</v>
      </c>
      <c r="Q495" s="132"/>
    </row>
    <row r="496" spans="1:17" x14ac:dyDescent="0.3">
      <c r="A496">
        <f t="shared" si="64"/>
        <v>5.5499999999999252</v>
      </c>
      <c r="B496">
        <f>Main!$B$20/A496</f>
        <v>0.90090090090091302</v>
      </c>
      <c r="D496" s="132">
        <f t="shared" si="57"/>
        <v>0.90090090090091302</v>
      </c>
      <c r="E496" s="132">
        <f>-B496*Main!$B$19-2*Main!$B$19*loop_gain!$B$17*loop_gain!$B$18</f>
        <v>-86.410810810810972</v>
      </c>
      <c r="F496" s="132">
        <f>2*Main!$B$19*loop_gain!$B$17*loop_gain!$B$18*Helper_calcs!$B$26*Current_limit!B496</f>
        <v>262.21621621621978</v>
      </c>
      <c r="G496" s="132">
        <f t="shared" si="59"/>
        <v>3.1371369561004903</v>
      </c>
      <c r="H496" s="132">
        <f>(Main!$B$19-Current_limit!G496)*Current_limit!G496/(Main!$B$19*loop_gain!$B$17*loop_gain!$B$18)</f>
        <v>0.73555595745699542</v>
      </c>
      <c r="I496" s="132">
        <f t="shared" si="60"/>
        <v>3.1144440425429996</v>
      </c>
      <c r="J496" s="132"/>
      <c r="K496" s="133">
        <f>IF(A496&gt;$B$15,IF(I496&gt;Helper_calcs!$B$27,23,3),0)</f>
        <v>23</v>
      </c>
      <c r="L496">
        <f t="shared" si="58"/>
        <v>2</v>
      </c>
      <c r="M496">
        <f t="shared" si="61"/>
        <v>2</v>
      </c>
      <c r="N496" s="132">
        <f t="shared" si="62"/>
        <v>3.375</v>
      </c>
      <c r="O496" s="132">
        <f t="shared" si="63"/>
        <v>3.0405405405405812</v>
      </c>
      <c r="P496" s="134">
        <f>IF(OR(M496=0,M496=3),loop_gain!$B$18,IF(Current_limit!M496=1,Current_limit!$B$12/(2*(Current_limit!N496-Helper_calcs!$B$27)),IF(OR(M496=2,M496=23),(Main!$B$19-Current_limit!O496)*Current_limit!O496/(Main!$B$19*loop_gain!$B$17*(Helper_calcs!$B$26-Helper_calcs!$B$27)),x)))</f>
        <v>1593076.0063050387</v>
      </c>
      <c r="Q496" s="132"/>
    </row>
    <row r="497" spans="1:17" x14ac:dyDescent="0.3">
      <c r="A497">
        <f t="shared" si="64"/>
        <v>5.559999999999925</v>
      </c>
      <c r="B497">
        <f>Main!$B$20/A497</f>
        <v>0.89928057553958052</v>
      </c>
      <c r="D497" s="132">
        <f t="shared" si="57"/>
        <v>0.89928057553958052</v>
      </c>
      <c r="E497" s="132">
        <f>-B497*Main!$B$19-2*Main!$B$19*loop_gain!$B$17*loop_gain!$B$18</f>
        <v>-86.391366906474971</v>
      </c>
      <c r="F497" s="132">
        <f>2*Main!$B$19*loop_gain!$B$17*loop_gain!$B$18*Helper_calcs!$B$26*Current_limit!B497</f>
        <v>261.74460431655035</v>
      </c>
      <c r="G497" s="132">
        <f t="shared" si="59"/>
        <v>3.1318547225612132</v>
      </c>
      <c r="H497" s="132">
        <f>(Main!$B$19-Current_limit!G497)*Current_limit!G497/(Main!$B$19*loop_gain!$B$17*loop_gain!$B$18)</f>
        <v>0.73475509702395714</v>
      </c>
      <c r="I497" s="132">
        <f t="shared" si="60"/>
        <v>3.115244902976043</v>
      </c>
      <c r="J497" s="132"/>
      <c r="K497" s="133">
        <f>IF(A497&gt;$B$15,IF(I497&gt;Helper_calcs!$B$27,23,3),0)</f>
        <v>23</v>
      </c>
      <c r="L497">
        <f t="shared" si="58"/>
        <v>2</v>
      </c>
      <c r="M497">
        <f t="shared" si="61"/>
        <v>2</v>
      </c>
      <c r="N497" s="132">
        <f t="shared" si="62"/>
        <v>3.375</v>
      </c>
      <c r="O497" s="132">
        <f t="shared" si="63"/>
        <v>3.0350719424460841</v>
      </c>
      <c r="P497" s="134">
        <f>IF(OR(M497=0,M497=3),loop_gain!$B$18,IF(Current_limit!M497=1,Current_limit!$B$12/(2*(Current_limit!N497-Helper_calcs!$B$27)),IF(OR(M497=2,M497=23),(Main!$B$19-Current_limit!O497)*Current_limit!O497/(Main!$B$19*loop_gain!$B$17*(Helper_calcs!$B$26-Helper_calcs!$B$27)),x)))</f>
        <v>1591181.3809081614</v>
      </c>
      <c r="Q497" s="132"/>
    </row>
    <row r="498" spans="1:17" x14ac:dyDescent="0.3">
      <c r="A498">
        <f t="shared" si="64"/>
        <v>5.5699999999999248</v>
      </c>
      <c r="B498">
        <f>Main!$B$20/A498</f>
        <v>0.89766606822263328</v>
      </c>
      <c r="D498" s="132">
        <f t="shared" si="57"/>
        <v>0.89766606822263328</v>
      </c>
      <c r="E498" s="132">
        <f>-B498*Main!$B$19-2*Main!$B$19*loop_gain!$B$17*loop_gain!$B$18</f>
        <v>-86.3719928186716</v>
      </c>
      <c r="F498" s="132">
        <f>2*Main!$B$19*loop_gain!$B$17*loop_gain!$B$18*Helper_calcs!$B$26*Current_limit!B498</f>
        <v>261.2746858168797</v>
      </c>
      <c r="G498" s="132">
        <f t="shared" si="59"/>
        <v>3.1265908644685592</v>
      </c>
      <c r="H498" s="132">
        <f>(Main!$B$19-Current_limit!G498)*Current_limit!G498/(Main!$B$19*loop_gain!$B$17*loop_gain!$B$18)</f>
        <v>0.73395555396413903</v>
      </c>
      <c r="I498" s="132">
        <f t="shared" si="60"/>
        <v>3.1160444460358581</v>
      </c>
      <c r="J498" s="132"/>
      <c r="K498" s="133">
        <f>IF(A498&gt;$B$15,IF(I498&gt;Helper_calcs!$B$27,23,3),0)</f>
        <v>23</v>
      </c>
      <c r="L498">
        <f t="shared" si="58"/>
        <v>2</v>
      </c>
      <c r="M498">
        <f t="shared" si="61"/>
        <v>2</v>
      </c>
      <c r="N498" s="132">
        <f t="shared" si="62"/>
        <v>3.375</v>
      </c>
      <c r="O498" s="132">
        <f t="shared" si="63"/>
        <v>3.0296229802513874</v>
      </c>
      <c r="P498" s="134">
        <f>IF(OR(M498=0,M498=3),loop_gain!$B$18,IF(Current_limit!M498=1,Current_limit!$B$12/(2*(Current_limit!N498-Helper_calcs!$B$27)),IF(OR(M498=2,M498=23),(Main!$B$19-Current_limit!O498)*Current_limit!O498/(Main!$B$19*loop_gain!$B$17*(Helper_calcs!$B$26-Helper_calcs!$B$27)),x)))</f>
        <v>1589290.0795642894</v>
      </c>
      <c r="Q498" s="132"/>
    </row>
    <row r="499" spans="1:17" x14ac:dyDescent="0.3">
      <c r="A499">
        <f t="shared" si="64"/>
        <v>5.5799999999999246</v>
      </c>
      <c r="B499">
        <f>Main!$B$20/A499</f>
        <v>0.89605734767026302</v>
      </c>
      <c r="D499" s="132">
        <f t="shared" si="57"/>
        <v>0.89605734767026302</v>
      </c>
      <c r="E499" s="132">
        <f>-B499*Main!$B$19-2*Main!$B$19*loop_gain!$B$17*loop_gain!$B$18</f>
        <v>-86.352688172043159</v>
      </c>
      <c r="F499" s="132">
        <f>2*Main!$B$19*loop_gain!$B$17*loop_gain!$B$18*Helper_calcs!$B$26*Current_limit!B499</f>
        <v>260.80645161290681</v>
      </c>
      <c r="G499" s="132">
        <f t="shared" si="59"/>
        <v>3.1213452829013932</v>
      </c>
      <c r="H499" s="132">
        <f>(Main!$B$19-Current_limit!G499)*Current_limit!G499/(Main!$B$19*loop_gain!$B$17*loop_gain!$B$18)</f>
        <v>0.73315732856417826</v>
      </c>
      <c r="I499" s="132">
        <f t="shared" si="60"/>
        <v>3.1168426714358186</v>
      </c>
      <c r="J499" s="132"/>
      <c r="K499" s="133">
        <f>IF(A499&gt;$B$15,IF(I499&gt;Helper_calcs!$B$27,23,3),0)</f>
        <v>23</v>
      </c>
      <c r="L499">
        <f t="shared" si="58"/>
        <v>2</v>
      </c>
      <c r="M499">
        <f t="shared" si="61"/>
        <v>2</v>
      </c>
      <c r="N499" s="132">
        <f t="shared" si="62"/>
        <v>3.375</v>
      </c>
      <c r="O499" s="132">
        <f t="shared" si="63"/>
        <v>3.0241935483871378</v>
      </c>
      <c r="P499" s="134">
        <f>IF(OR(M499=0,M499=3),loop_gain!$B$18,IF(Current_limit!M499=1,Current_limit!$B$12/(2*(Current_limit!N499-Helper_calcs!$B$27)),IF(OR(M499=2,M499=23),(Main!$B$19-Current_limit!O499)*Current_limit!O499/(Main!$B$19*loop_gain!$B$17*(Helper_calcs!$B$26-Helper_calcs!$B$27)),x)))</f>
        <v>1587402.1030724715</v>
      </c>
      <c r="Q499" s="132"/>
    </row>
    <row r="500" spans="1:17" x14ac:dyDescent="0.3">
      <c r="A500">
        <f t="shared" si="64"/>
        <v>5.5899999999999244</v>
      </c>
      <c r="B500">
        <f>Main!$B$20/A500</f>
        <v>0.89445438282648793</v>
      </c>
      <c r="D500" s="132">
        <f t="shared" si="57"/>
        <v>0.89445438282648793</v>
      </c>
      <c r="E500" s="132">
        <f>-B500*Main!$B$19-2*Main!$B$19*loop_gain!$B$17*loop_gain!$B$18</f>
        <v>-86.333452593917869</v>
      </c>
      <c r="F500" s="132">
        <f>2*Main!$B$19*loop_gain!$B$17*loop_gain!$B$18*Helper_calcs!$B$26*Current_limit!B500</f>
        <v>260.33989266547763</v>
      </c>
      <c r="G500" s="132">
        <f t="shared" si="59"/>
        <v>3.1161178796694537</v>
      </c>
      <c r="H500" s="132">
        <f>(Main!$B$19-Current_limit!G500)*Current_limit!G500/(Main!$B$19*loop_gain!$B$17*loop_gain!$B$18)</f>
        <v>0.73236042105920085</v>
      </c>
      <c r="I500" s="132">
        <f t="shared" si="60"/>
        <v>3.117639578940802</v>
      </c>
      <c r="J500" s="132"/>
      <c r="K500" s="133">
        <f>IF(A500&gt;$B$15,IF(I500&gt;Helper_calcs!$B$27,23,3),0)</f>
        <v>23</v>
      </c>
      <c r="L500">
        <f t="shared" si="58"/>
        <v>2</v>
      </c>
      <c r="M500">
        <f t="shared" si="61"/>
        <v>2</v>
      </c>
      <c r="N500" s="132">
        <f t="shared" si="62"/>
        <v>3.375</v>
      </c>
      <c r="O500" s="132">
        <f t="shared" si="63"/>
        <v>3.0187835420393969</v>
      </c>
      <c r="P500" s="134">
        <f>IF(OR(M500=0,M500=3),loop_gain!$B$18,IF(Current_limit!M500=1,Current_limit!$B$12/(2*(Current_limit!N500-Helper_calcs!$B$27)),IF(OR(M500=2,M500=23),(Main!$B$19-Current_limit!O500)*Current_limit!O500/(Main!$B$19*loop_gain!$B$17*(Helper_calcs!$B$26-Helper_calcs!$B$27)),x)))</f>
        <v>1585517.4520926801</v>
      </c>
      <c r="Q500" s="132"/>
    </row>
    <row r="501" spans="1:17" x14ac:dyDescent="0.3">
      <c r="A501">
        <f t="shared" si="64"/>
        <v>5.5999999999999241</v>
      </c>
      <c r="B501">
        <f>Main!$B$20/A501</f>
        <v>0.89285714285715501</v>
      </c>
      <c r="D501" s="132">
        <f t="shared" si="57"/>
        <v>0.89285714285715501</v>
      </c>
      <c r="E501" s="132">
        <f>-B501*Main!$B$19-2*Main!$B$19*loop_gain!$B$17*loop_gain!$B$18</f>
        <v>-86.314285714285873</v>
      </c>
      <c r="F501" s="132">
        <f>2*Main!$B$19*loop_gain!$B$17*loop_gain!$B$18*Helper_calcs!$B$26*Current_limit!B501</f>
        <v>259.87500000000358</v>
      </c>
      <c r="G501" s="132">
        <f t="shared" si="59"/>
        <v>3.1109085573064168</v>
      </c>
      <c r="H501" s="132">
        <f>(Main!$B$19-Current_limit!G501)*Current_limit!G501/(Main!$B$19*loop_gain!$B$17*loop_gain!$B$18)</f>
        <v>0.73156483163372243</v>
      </c>
      <c r="I501" s="132">
        <f t="shared" si="60"/>
        <v>3.1184351683662781</v>
      </c>
      <c r="J501" s="132"/>
      <c r="K501" s="133">
        <f>IF(A501&gt;$B$15,IF(I501&gt;Helper_calcs!$B$27,23,3),0)</f>
        <v>23</v>
      </c>
      <c r="L501">
        <f t="shared" si="58"/>
        <v>2</v>
      </c>
      <c r="M501">
        <f t="shared" si="61"/>
        <v>2</v>
      </c>
      <c r="N501" s="132">
        <f t="shared" si="62"/>
        <v>3.375</v>
      </c>
      <c r="O501" s="132">
        <f t="shared" si="63"/>
        <v>3.0133928571428981</v>
      </c>
      <c r="P501" s="134">
        <f>IF(OR(M501=0,M501=3),loop_gain!$B$18,IF(Current_limit!M501=1,Current_limit!$B$12/(2*(Current_limit!N501-Helper_calcs!$B$27)),IF(OR(M501=2,M501=23),(Main!$B$19-Current_limit!O501)*Current_limit!O501/(Main!$B$19*loop_gain!$B$17*(Helper_calcs!$B$26-Helper_calcs!$B$27)),x)))</f>
        <v>1583636.1271482417</v>
      </c>
      <c r="Q501" s="132"/>
    </row>
    <row r="502" spans="1:17" x14ac:dyDescent="0.3">
      <c r="A502">
        <f t="shared" si="64"/>
        <v>5.6099999999999239</v>
      </c>
      <c r="B502">
        <f>Main!$B$20/A502</f>
        <v>0.89126559714796216</v>
      </c>
      <c r="D502" s="132">
        <f t="shared" si="57"/>
        <v>0.89126559714796216</v>
      </c>
      <c r="E502" s="132">
        <f>-B502*Main!$B$19-2*Main!$B$19*loop_gain!$B$17*loop_gain!$B$18</f>
        <v>-86.295187165775559</v>
      </c>
      <c r="F502" s="132">
        <f>2*Main!$B$19*loop_gain!$B$17*loop_gain!$B$18*Helper_calcs!$B$26*Current_limit!B502</f>
        <v>259.4117647058859</v>
      </c>
      <c r="G502" s="132">
        <f t="shared" si="59"/>
        <v>3.1057172190630826</v>
      </c>
      <c r="H502" s="132">
        <f>(Main!$B$19-Current_limit!G502)*Current_limit!G502/(Main!$B$19*loop_gain!$B$17*loop_gain!$B$18)</f>
        <v>0.73077056042254129</v>
      </c>
      <c r="I502" s="132">
        <f t="shared" si="60"/>
        <v>3.1192294395774609</v>
      </c>
      <c r="J502" s="132"/>
      <c r="K502" s="133">
        <f>IF(A502&gt;$B$15,IF(I502&gt;Helper_calcs!$B$27,23,3),0)</f>
        <v>23</v>
      </c>
      <c r="L502">
        <f t="shared" si="58"/>
        <v>2</v>
      </c>
      <c r="M502">
        <f t="shared" si="61"/>
        <v>2</v>
      </c>
      <c r="N502" s="132">
        <f t="shared" si="62"/>
        <v>3.375</v>
      </c>
      <c r="O502" s="132">
        <f t="shared" si="63"/>
        <v>3.0080213903743722</v>
      </c>
      <c r="P502" s="134">
        <f>IF(OR(M502=0,M502=3),loop_gain!$B$18,IF(Current_limit!M502=1,Current_limit!$B$12/(2*(Current_limit!N502-Helper_calcs!$B$27)),IF(OR(M502=2,M502=23),(Main!$B$19-Current_limit!O502)*Current_limit!O502/(Main!$B$19*loop_gain!$B$17*(Helper_calcs!$B$26-Helper_calcs!$B$27)),x)))</f>
        <v>1581758.1286282276</v>
      </c>
      <c r="Q502" s="132"/>
    </row>
    <row r="503" spans="1:17" x14ac:dyDescent="0.3">
      <c r="A503">
        <f t="shared" si="64"/>
        <v>5.6199999999999237</v>
      </c>
      <c r="B503">
        <f>Main!$B$20/A503</f>
        <v>0.88967971530250323</v>
      </c>
      <c r="D503" s="132">
        <f t="shared" si="57"/>
        <v>0.88967971530250323</v>
      </c>
      <c r="E503" s="132">
        <f>-B503*Main!$B$19-2*Main!$B$19*loop_gain!$B$17*loop_gain!$B$18</f>
        <v>-86.276156583630041</v>
      </c>
      <c r="F503" s="132">
        <f>2*Main!$B$19*loop_gain!$B$17*loop_gain!$B$18*Helper_calcs!$B$26*Current_limit!B503</f>
        <v>258.95017793594667</v>
      </c>
      <c r="G503" s="132">
        <f t="shared" si="59"/>
        <v>3.1005437689005744</v>
      </c>
      <c r="H503" s="132">
        <f>(Main!$B$19-Current_limit!G503)*Current_limit!G503/(Main!$B$19*loop_gain!$B$17*loop_gain!$B$18)</f>
        <v>0.72997760751160601</v>
      </c>
      <c r="I503" s="132">
        <f t="shared" si="60"/>
        <v>3.1200223924883952</v>
      </c>
      <c r="J503" s="132"/>
      <c r="K503" s="133">
        <f>IF(A503&gt;$B$15,IF(I503&gt;Helper_calcs!$B$27,23,3),0)</f>
        <v>23</v>
      </c>
      <c r="L503">
        <f t="shared" si="58"/>
        <v>2</v>
      </c>
      <c r="M503">
        <f t="shared" si="61"/>
        <v>2</v>
      </c>
      <c r="N503" s="132">
        <f t="shared" si="62"/>
        <v>3.375</v>
      </c>
      <c r="O503" s="132">
        <f t="shared" si="63"/>
        <v>3.0026690391459483</v>
      </c>
      <c r="P503" s="134">
        <f>IF(OR(M503=0,M503=3),loop_gain!$B$18,IF(Current_limit!M503=1,Current_limit!$B$12/(2*(Current_limit!N503-Helper_calcs!$B$27)),IF(OR(M503=2,M503=23),(Main!$B$19-Current_limit!O503)*Current_limit!O503/(Main!$B$19*loop_gain!$B$17*(Helper_calcs!$B$26-Helper_calcs!$B$27)),x)))</f>
        <v>1579883.4567898086</v>
      </c>
      <c r="Q503" s="132"/>
    </row>
    <row r="504" spans="1:17" x14ac:dyDescent="0.3">
      <c r="A504">
        <f t="shared" si="64"/>
        <v>5.6299999999999235</v>
      </c>
      <c r="B504">
        <f>Main!$B$20/A504</f>
        <v>0.88809946714033183</v>
      </c>
      <c r="D504" s="132">
        <f t="shared" si="57"/>
        <v>0.88809946714033183</v>
      </c>
      <c r="E504" s="132">
        <f>-B504*Main!$B$19-2*Main!$B$19*loop_gain!$B$17*loop_gain!$B$18</f>
        <v>-86.257193605683995</v>
      </c>
      <c r="F504" s="132">
        <f>2*Main!$B$19*loop_gain!$B$17*loop_gain!$B$18*Helper_calcs!$B$26*Current_limit!B504</f>
        <v>258.49023090586502</v>
      </c>
      <c r="G504" s="132">
        <f t="shared" si="59"/>
        <v>3.0953881114836639</v>
      </c>
      <c r="H504" s="132">
        <f>(Main!$B$19-Current_limit!G504)*Current_limit!G504/(Main!$B$19*loop_gain!$B$17*loop_gain!$B$18)</f>
        <v>0.72918597293887721</v>
      </c>
      <c r="I504" s="132">
        <f t="shared" si="60"/>
        <v>3.1208140270611193</v>
      </c>
      <c r="J504" s="132"/>
      <c r="K504" s="133">
        <f>IF(A504&gt;$B$15,IF(I504&gt;Helper_calcs!$B$27,23,3),0)</f>
        <v>23</v>
      </c>
      <c r="L504">
        <f t="shared" si="58"/>
        <v>2</v>
      </c>
      <c r="M504">
        <f t="shared" si="61"/>
        <v>2</v>
      </c>
      <c r="N504" s="132">
        <f t="shared" si="62"/>
        <v>3.375</v>
      </c>
      <c r="O504" s="132">
        <f t="shared" si="63"/>
        <v>2.9973357015986197</v>
      </c>
      <c r="P504" s="134">
        <f>IF(OR(M504=0,M504=3),loop_gain!$B$18,IF(Current_limit!M504=1,Current_limit!$B$12/(2*(Current_limit!N504-Helper_calcs!$B$27)),IF(OR(M504=2,M504=23),(Main!$B$19-Current_limit!O504)*Current_limit!O504/(Main!$B$19*loop_gain!$B$17*(Helper_calcs!$B$26-Helper_calcs!$B$27)),x)))</f>
        <v>1578012.11176057</v>
      </c>
      <c r="Q504" s="132"/>
    </row>
    <row r="505" spans="1:17" x14ac:dyDescent="0.3">
      <c r="A505">
        <f t="shared" si="64"/>
        <v>5.6399999999999233</v>
      </c>
      <c r="B505">
        <f>Main!$B$20/A505</f>
        <v>0.88652482269504751</v>
      </c>
      <c r="D505" s="132">
        <f t="shared" si="57"/>
        <v>0.88652482269504751</v>
      </c>
      <c r="E505" s="132">
        <f>-B505*Main!$B$19-2*Main!$B$19*loop_gain!$B$17*loop_gain!$B$18</f>
        <v>-86.238297872340581</v>
      </c>
      <c r="F505" s="132">
        <f>2*Main!$B$19*loop_gain!$B$17*loop_gain!$B$18*Helper_calcs!$B$26*Current_limit!B505</f>
        <v>258.03191489362058</v>
      </c>
      <c r="G505" s="132">
        <f t="shared" si="59"/>
        <v>3.0902501521741641</v>
      </c>
      <c r="H505" s="132">
        <f>(Main!$B$19-Current_limit!G505)*Current_limit!G505/(Main!$B$19*loop_gain!$B$17*loop_gain!$B$18)</f>
        <v>0.72839565669517248</v>
      </c>
      <c r="I505" s="132">
        <f t="shared" si="60"/>
        <v>3.1216043433048233</v>
      </c>
      <c r="J505" s="132"/>
      <c r="K505" s="133">
        <f>IF(A505&gt;$B$15,IF(I505&gt;Helper_calcs!$B$27,23,3),0)</f>
        <v>23</v>
      </c>
      <c r="L505">
        <f t="shared" si="58"/>
        <v>2</v>
      </c>
      <c r="M505">
        <f t="shared" si="61"/>
        <v>2</v>
      </c>
      <c r="N505" s="132">
        <f t="shared" si="62"/>
        <v>3.375</v>
      </c>
      <c r="O505" s="132">
        <f t="shared" si="63"/>
        <v>2.9920212765957852</v>
      </c>
      <c r="P505" s="134">
        <f>IF(OR(M505=0,M505=3),loop_gain!$B$18,IF(Current_limit!M505=1,Current_limit!$B$12/(2*(Current_limit!N505-Helper_calcs!$B$27)),IF(OR(M505=2,M505=23),(Main!$B$19-Current_limit!O505)*Current_limit!O505/(Main!$B$19*loop_gain!$B$17*(Helper_calcs!$B$26-Helper_calcs!$B$27)),x)))</f>
        <v>1576144.0935407921</v>
      </c>
      <c r="Q505" s="132"/>
    </row>
    <row r="506" spans="1:17" x14ac:dyDescent="0.3">
      <c r="A506">
        <f t="shared" si="64"/>
        <v>5.6499999999999231</v>
      </c>
      <c r="B506">
        <f>Main!$B$20/A506</f>
        <v>0.88495575221240141</v>
      </c>
      <c r="D506" s="132">
        <f t="shared" si="57"/>
        <v>0.88495575221240141</v>
      </c>
      <c r="E506" s="132">
        <f>-B506*Main!$B$19-2*Main!$B$19*loop_gain!$B$17*loop_gain!$B$18</f>
        <v>-86.219469026548822</v>
      </c>
      <c r="F506" s="132">
        <f>2*Main!$B$19*loop_gain!$B$17*loop_gain!$B$18*Helper_calcs!$B$26*Current_limit!B506</f>
        <v>257.57522123894159</v>
      </c>
      <c r="G506" s="132">
        <f t="shared" si="59"/>
        <v>3.0851297970243774</v>
      </c>
      <c r="H506" s="132">
        <f>(Main!$B$19-Current_limit!G506)*Current_limit!G506/(Main!$B$19*loop_gain!$B$17*loop_gain!$B$18)</f>
        <v>0.72760665872499608</v>
      </c>
      <c r="I506" s="132">
        <f t="shared" si="60"/>
        <v>3.1223933412750009</v>
      </c>
      <c r="J506" s="132"/>
      <c r="K506" s="133">
        <f>IF(A506&gt;$B$15,IF(I506&gt;Helper_calcs!$B$27,23,3),0)</f>
        <v>23</v>
      </c>
      <c r="L506">
        <f t="shared" si="58"/>
        <v>2</v>
      </c>
      <c r="M506">
        <f t="shared" si="61"/>
        <v>2</v>
      </c>
      <c r="N506" s="132">
        <f t="shared" si="62"/>
        <v>3.375</v>
      </c>
      <c r="O506" s="132">
        <f t="shared" si="63"/>
        <v>2.9867256637168547</v>
      </c>
      <c r="P506" s="134">
        <f>IF(OR(M506=0,M506=3),loop_gain!$B$18,IF(Current_limit!M506=1,Current_limit!$B$12/(2*(Current_limit!N506-Helper_calcs!$B$27)),IF(OR(M506=2,M506=23),(Main!$B$19-Current_limit!O506)*Current_limit!O506/(Main!$B$19*loop_gain!$B$17*(Helper_calcs!$B$26-Helper_calcs!$B$27)),x)))</f>
        <v>1574279.4020056941</v>
      </c>
      <c r="Q506" s="132"/>
    </row>
    <row r="507" spans="1:17" x14ac:dyDescent="0.3">
      <c r="A507">
        <f t="shared" si="64"/>
        <v>5.6599999999999229</v>
      </c>
      <c r="B507">
        <f>Main!$B$20/A507</f>
        <v>0.88339222614842194</v>
      </c>
      <c r="D507" s="132">
        <f t="shared" si="57"/>
        <v>0.88339222614842194</v>
      </c>
      <c r="E507" s="132">
        <f>-B507*Main!$B$19-2*Main!$B$19*loop_gain!$B$17*loop_gain!$B$18</f>
        <v>-86.200706713781074</v>
      </c>
      <c r="F507" s="132">
        <f>2*Main!$B$19*loop_gain!$B$17*loop_gain!$B$18*Helper_calcs!$B$26*Current_limit!B507</f>
        <v>257.12014134275972</v>
      </c>
      <c r="G507" s="132">
        <f t="shared" si="59"/>
        <v>3.0800269527706412</v>
      </c>
      <c r="H507" s="132">
        <f>(Main!$B$19-Current_limit!G507)*Current_limit!G507/(Main!$B$19*loop_gain!$B$17*loop_gain!$B$18)</f>
        <v>0.72681897892735692</v>
      </c>
      <c r="I507" s="132">
        <f t="shared" si="60"/>
        <v>3.1231810210726398</v>
      </c>
      <c r="J507" s="132"/>
      <c r="K507" s="133">
        <f>IF(A507&gt;$B$15,IF(I507&gt;Helper_calcs!$B$27,23,3),0)</f>
        <v>23</v>
      </c>
      <c r="L507">
        <f t="shared" si="58"/>
        <v>2</v>
      </c>
      <c r="M507">
        <f t="shared" si="61"/>
        <v>2</v>
      </c>
      <c r="N507" s="132">
        <f t="shared" si="62"/>
        <v>3.375</v>
      </c>
      <c r="O507" s="132">
        <f t="shared" si="63"/>
        <v>2.9814487632509241</v>
      </c>
      <c r="P507" s="134">
        <f>IF(OR(M507=0,M507=3),loop_gain!$B$18,IF(Current_limit!M507=1,Current_limit!$B$12/(2*(Current_limit!N507-Helper_calcs!$B$27)),IF(OR(M507=2,M507=23),(Main!$B$19-Current_limit!O507)*Current_limit!O507/(Main!$B$19*loop_gain!$B$17*(Helper_calcs!$B$26-Helper_calcs!$B$27)),x)))</f>
        <v>1572418.0369076387</v>
      </c>
      <c r="Q507" s="132"/>
    </row>
    <row r="508" spans="1:17" x14ac:dyDescent="0.3">
      <c r="A508">
        <f t="shared" si="64"/>
        <v>5.6699999999999227</v>
      </c>
      <c r="B508">
        <f>Main!$B$20/A508</f>
        <v>0.88183421516756055</v>
      </c>
      <c r="D508" s="132">
        <f t="shared" si="57"/>
        <v>0.88183421516756055</v>
      </c>
      <c r="E508" s="132">
        <f>-B508*Main!$B$19-2*Main!$B$19*loop_gain!$B$17*loop_gain!$B$18</f>
        <v>-86.182010582010733</v>
      </c>
      <c r="F508" s="132">
        <f>2*Main!$B$19*loop_gain!$B$17*loop_gain!$B$18*Helper_calcs!$B$26*Current_limit!B508</f>
        <v>256.66666666667021</v>
      </c>
      <c r="G508" s="132">
        <f t="shared" si="59"/>
        <v>3.0749415268269495</v>
      </c>
      <c r="H508" s="132">
        <f>(Main!$B$19-Current_limit!G508)*Current_limit!G508/(Main!$B$19*loop_gain!$B$17*loop_gain!$B$18)</f>
        <v>0.72603261715657519</v>
      </c>
      <c r="I508" s="132">
        <f t="shared" si="60"/>
        <v>3.1239673828434258</v>
      </c>
      <c r="J508" s="132"/>
      <c r="K508" s="133">
        <f>IF(A508&gt;$B$15,IF(I508&gt;Helper_calcs!$B$27,23,3),0)</f>
        <v>23</v>
      </c>
      <c r="L508">
        <f t="shared" si="58"/>
        <v>2</v>
      </c>
      <c r="M508">
        <f t="shared" si="61"/>
        <v>2</v>
      </c>
      <c r="N508" s="132">
        <f t="shared" si="62"/>
        <v>3.375</v>
      </c>
      <c r="O508" s="132">
        <f t="shared" si="63"/>
        <v>2.9761904761905167</v>
      </c>
      <c r="P508" s="134">
        <f>IF(OR(M508=0,M508=3),loop_gain!$B$18,IF(Current_limit!M508=1,Current_limit!$B$12/(2*(Current_limit!N508-Helper_calcs!$B$27)),IF(OR(M508=2,M508=23),(Main!$B$19-Current_limit!O508)*Current_limit!O508/(Main!$B$19*loop_gain!$B$17*(Helper_calcs!$B$26-Helper_calcs!$B$27)),x)))</f>
        <v>1570559.9978783075</v>
      </c>
      <c r="Q508" s="132"/>
    </row>
    <row r="509" spans="1:17" x14ac:dyDescent="0.3">
      <c r="A509">
        <f t="shared" si="64"/>
        <v>5.6799999999999224</v>
      </c>
      <c r="B509">
        <f>Main!$B$20/A509</f>
        <v>0.88028169014085711</v>
      </c>
      <c r="D509" s="132">
        <f t="shared" si="57"/>
        <v>0.88028169014085711</v>
      </c>
      <c r="E509" s="132">
        <f>-B509*Main!$B$19-2*Main!$B$19*loop_gain!$B$17*loop_gain!$B$18</f>
        <v>-86.163380281690294</v>
      </c>
      <c r="F509" s="132">
        <f>2*Main!$B$19*loop_gain!$B$17*loop_gain!$B$18*Helper_calcs!$B$26*Current_limit!B509</f>
        <v>256.21478873239795</v>
      </c>
      <c r="G509" s="132">
        <f t="shared" si="59"/>
        <v>3.0698734272786248</v>
      </c>
      <c r="H509" s="132">
        <f>(Main!$B$19-Current_limit!G509)*Current_limit!G509/(Main!$B$19*loop_gain!$B$17*loop_gain!$B$18)</f>
        <v>0.7252475732230711</v>
      </c>
      <c r="I509" s="132">
        <f t="shared" si="60"/>
        <v>3.1247524267769347</v>
      </c>
      <c r="J509" s="132"/>
      <c r="K509" s="133">
        <f>IF(A509&gt;$B$15,IF(I509&gt;Helper_calcs!$B$27,23,3),0)</f>
        <v>23</v>
      </c>
      <c r="L509">
        <f t="shared" si="58"/>
        <v>2</v>
      </c>
      <c r="M509">
        <f t="shared" si="61"/>
        <v>2</v>
      </c>
      <c r="N509" s="132">
        <f t="shared" si="62"/>
        <v>3.375</v>
      </c>
      <c r="O509" s="132">
        <f t="shared" si="63"/>
        <v>2.9709507042253929</v>
      </c>
      <c r="P509" s="134">
        <f>IF(OR(M509=0,M509=3),loop_gain!$B$18,IF(Current_limit!M509=1,Current_limit!$B$12/(2*(Current_limit!N509-Helper_calcs!$B$27)),IF(OR(M509=2,M509=23),(Main!$B$19-Current_limit!O509)*Current_limit!O509/(Main!$B$19*loop_gain!$B$17*(Helper_calcs!$B$26-Helper_calcs!$B$27)),x)))</f>
        <v>1568705.2844308394</v>
      </c>
      <c r="Q509" s="132"/>
    </row>
    <row r="510" spans="1:17" x14ac:dyDescent="0.3">
      <c r="A510">
        <f t="shared" si="64"/>
        <v>5.6899999999999222</v>
      </c>
      <c r="B510">
        <f>Main!$B$20/A510</f>
        <v>0.87873462214412446</v>
      </c>
      <c r="D510" s="132">
        <f t="shared" si="57"/>
        <v>0.87873462214412446</v>
      </c>
      <c r="E510" s="132">
        <f>-B510*Main!$B$19-2*Main!$B$19*loop_gain!$B$17*loop_gain!$B$18</f>
        <v>-86.144815465729508</v>
      </c>
      <c r="F510" s="132">
        <f>2*Main!$B$19*loop_gain!$B$17*loop_gain!$B$18*Helper_calcs!$B$26*Current_limit!B510</f>
        <v>255.76449912126893</v>
      </c>
      <c r="G510" s="132">
        <f t="shared" si="59"/>
        <v>3.0648225628760768</v>
      </c>
      <c r="H510" s="132">
        <f>(Main!$B$19-Current_limit!G510)*Current_limit!G510/(Main!$B$19*loop_gain!$B$17*loop_gain!$B$18)</f>
        <v>0.72446384689414367</v>
      </c>
      <c r="I510" s="132">
        <f t="shared" si="60"/>
        <v>3.1255361531058563</v>
      </c>
      <c r="J510" s="132"/>
      <c r="K510" s="133">
        <f>IF(A510&gt;$B$15,IF(I510&gt;Helper_calcs!$B$27,23,3),0)</f>
        <v>23</v>
      </c>
      <c r="L510">
        <f t="shared" si="58"/>
        <v>2</v>
      </c>
      <c r="M510">
        <f t="shared" si="61"/>
        <v>2</v>
      </c>
      <c r="N510" s="132">
        <f t="shared" si="62"/>
        <v>3.375</v>
      </c>
      <c r="O510" s="132">
        <f t="shared" si="63"/>
        <v>2.9657293497364199</v>
      </c>
      <c r="P510" s="134">
        <f>IF(OR(M510=0,M510=3),loop_gain!$B$18,IF(Current_limit!M510=1,Current_limit!$B$12/(2*(Current_limit!N510-Helper_calcs!$B$27)),IF(OR(M510=2,M510=23),(Main!$B$19-Current_limit!O510)*Current_limit!O510/(Main!$B$19*loop_gain!$B$17*(Helper_calcs!$B$26-Helper_calcs!$B$27)),x)))</f>
        <v>1566853.8959619312</v>
      </c>
      <c r="Q510" s="132"/>
    </row>
    <row r="511" spans="1:17" x14ac:dyDescent="0.3">
      <c r="A511">
        <f t="shared" si="64"/>
        <v>5.699999999999922</v>
      </c>
      <c r="B511">
        <f>Main!$B$20/A511</f>
        <v>0.8771929824561524</v>
      </c>
      <c r="D511" s="132">
        <f t="shared" si="57"/>
        <v>0.8771929824561524</v>
      </c>
      <c r="E511" s="132">
        <f>-B511*Main!$B$19-2*Main!$B$19*loop_gain!$B$17*loop_gain!$B$18</f>
        <v>-86.126315789473836</v>
      </c>
      <c r="F511" s="132">
        <f>2*Main!$B$19*loop_gain!$B$17*loop_gain!$B$18*Helper_calcs!$B$26*Current_limit!B511</f>
        <v>255.31578947368777</v>
      </c>
      <c r="G511" s="132">
        <f t="shared" si="59"/>
        <v>3.0597888430286675</v>
      </c>
      <c r="H511" s="132">
        <f>(Main!$B$19-Current_limit!G511)*Current_limit!G511/(Main!$B$19*loop_gain!$B$17*loop_gain!$B$18)</f>
        <v>0.72368143789474337</v>
      </c>
      <c r="I511" s="132">
        <f t="shared" si="60"/>
        <v>3.1263185621052614</v>
      </c>
      <c r="J511" s="132"/>
      <c r="K511" s="133">
        <f>IF(A511&gt;$B$15,IF(I511&gt;Helper_calcs!$B$27,23,3),0)</f>
        <v>23</v>
      </c>
      <c r="L511">
        <f t="shared" si="58"/>
        <v>2</v>
      </c>
      <c r="M511">
        <f t="shared" si="61"/>
        <v>2</v>
      </c>
      <c r="N511" s="132">
        <f t="shared" si="62"/>
        <v>3.375</v>
      </c>
      <c r="O511" s="132">
        <f t="shared" si="63"/>
        <v>2.9605263157895143</v>
      </c>
      <c r="P511" s="134">
        <f>IF(OR(M511=0,M511=3),loop_gain!$B$18,IF(Current_limit!M511=1,Current_limit!$B$12/(2*(Current_limit!N511-Helper_calcs!$B$27)),IF(OR(M511=2,M511=23),(Main!$B$19-Current_limit!O511)*Current_limit!O511/(Main!$B$19*loop_gain!$B$17*(Helper_calcs!$B$26-Helper_calcs!$B$27)),x)))</f>
        <v>1565005.831753914</v>
      </c>
      <c r="Q511" s="132"/>
    </row>
    <row r="512" spans="1:17" x14ac:dyDescent="0.3">
      <c r="A512">
        <f t="shared" si="64"/>
        <v>5.7099999999999218</v>
      </c>
      <c r="B512">
        <f>Main!$B$20/A512</f>
        <v>0.87565674255692971</v>
      </c>
      <c r="D512" s="132">
        <f t="shared" si="57"/>
        <v>0.87565674255692971</v>
      </c>
      <c r="E512" s="132">
        <f>-B512*Main!$B$19-2*Main!$B$19*loop_gain!$B$17*loop_gain!$B$18</f>
        <v>-86.107880910683164</v>
      </c>
      <c r="F512" s="132">
        <f>2*Main!$B$19*loop_gain!$B$17*loop_gain!$B$18*Helper_calcs!$B$26*Current_limit!B512</f>
        <v>254.86865148862</v>
      </c>
      <c r="G512" s="132">
        <f t="shared" si="59"/>
        <v>3.0547721777985428</v>
      </c>
      <c r="H512" s="132">
        <f>(Main!$B$19-Current_limit!G512)*Current_limit!G512/(Main!$B$19*loop_gain!$B$17*loop_gain!$B$18)</f>
        <v>0.72290034590821306</v>
      </c>
      <c r="I512" s="132">
        <f t="shared" si="60"/>
        <v>3.1270996540917815</v>
      </c>
      <c r="J512" s="132"/>
      <c r="K512" s="133">
        <f>IF(A512&gt;$B$15,IF(I512&gt;Helper_calcs!$B$27,23,3),0)</f>
        <v>23</v>
      </c>
      <c r="L512">
        <f t="shared" si="58"/>
        <v>2</v>
      </c>
      <c r="M512">
        <f t="shared" si="61"/>
        <v>2</v>
      </c>
      <c r="N512" s="132">
        <f t="shared" si="62"/>
        <v>3.375</v>
      </c>
      <c r="O512" s="132">
        <f t="shared" si="63"/>
        <v>2.955341506129638</v>
      </c>
      <c r="P512" s="134">
        <f>IF(OR(M512=0,M512=3),loop_gain!$B$18,IF(Current_limit!M512=1,Current_limit!$B$12/(2*(Current_limit!N512-Helper_calcs!$B$27)),IF(OR(M512=2,M512=23),(Main!$B$19-Current_limit!O512)*Current_limit!O512/(Main!$B$19*loop_gain!$B$17*(Helper_calcs!$B$26-Helper_calcs!$B$27)),x)))</f>
        <v>1563161.0909767868</v>
      </c>
      <c r="Q512" s="132"/>
    </row>
    <row r="513" spans="1:17" x14ac:dyDescent="0.3">
      <c r="A513">
        <f t="shared" si="64"/>
        <v>5.7199999999999216</v>
      </c>
      <c r="B513">
        <f>Main!$B$20/A513</f>
        <v>0.87412587412588616</v>
      </c>
      <c r="D513" s="132">
        <f t="shared" si="57"/>
        <v>0.87412587412588616</v>
      </c>
      <c r="E513" s="132">
        <f>-B513*Main!$B$19-2*Main!$B$19*loop_gain!$B$17*loop_gain!$B$18</f>
        <v>-86.089510489510644</v>
      </c>
      <c r="F513" s="132">
        <f>2*Main!$B$19*loop_gain!$B$17*loop_gain!$B$18*Helper_calcs!$B$26*Current_limit!B513</f>
        <v>254.42307692308049</v>
      </c>
      <c r="G513" s="132">
        <f t="shared" si="59"/>
        <v>3.0497724778946909</v>
      </c>
      <c r="H513" s="132">
        <f>(Main!$B$19-Current_limit!G513)*Current_limit!G513/(Main!$B$19*loop_gain!$B$17*loop_gain!$B$18)</f>
        <v>0.72212057057704659</v>
      </c>
      <c r="I513" s="132">
        <f t="shared" si="60"/>
        <v>3.127879429422955</v>
      </c>
      <c r="J513" s="132"/>
      <c r="K513" s="133">
        <f>IF(A513&gt;$B$15,IF(I513&gt;Helper_calcs!$B$27,23,3),0)</f>
        <v>23</v>
      </c>
      <c r="L513">
        <f t="shared" si="58"/>
        <v>2</v>
      </c>
      <c r="M513">
        <f t="shared" si="61"/>
        <v>2</v>
      </c>
      <c r="N513" s="132">
        <f t="shared" si="62"/>
        <v>3.375</v>
      </c>
      <c r="O513" s="132">
        <f t="shared" si="63"/>
        <v>2.9501748251748658</v>
      </c>
      <c r="P513" s="134">
        <f>IF(OR(M513=0,M513=3),loop_gain!$B$18,IF(Current_limit!M513=1,Current_limit!$B$12/(2*(Current_limit!N513-Helper_calcs!$B$27)),IF(OR(M513=2,M513=23),(Main!$B$19-Current_limit!O513)*Current_limit!O513/(Main!$B$19*loop_gain!$B$17*(Helper_calcs!$B$26-Helper_calcs!$B$27)),x)))</f>
        <v>1561319.6726902244</v>
      </c>
      <c r="Q513" s="132"/>
    </row>
    <row r="514" spans="1:17" x14ac:dyDescent="0.3">
      <c r="A514">
        <f t="shared" si="64"/>
        <v>5.7299999999999214</v>
      </c>
      <c r="B514">
        <f>Main!$B$20/A514</f>
        <v>0.8726003490401516</v>
      </c>
      <c r="D514" s="132">
        <f t="shared" si="57"/>
        <v>0.8726003490401516</v>
      </c>
      <c r="E514" s="132">
        <f>-B514*Main!$B$19-2*Main!$B$19*loop_gain!$B$17*loop_gain!$B$18</f>
        <v>-86.071204188481829</v>
      </c>
      <c r="F514" s="132">
        <f>2*Main!$B$19*loop_gain!$B$17*loop_gain!$B$18*Helper_calcs!$B$26*Current_limit!B514</f>
        <v>253.97905759162657</v>
      </c>
      <c r="G514" s="132">
        <f t="shared" si="59"/>
        <v>3.0447896546668849</v>
      </c>
      <c r="H514" s="132">
        <f>(Main!$B$19-Current_limit!G514)*Current_limit!G514/(Main!$B$19*loop_gain!$B$17*loop_gain!$B$18)</f>
        <v>0.72134211150360117</v>
      </c>
      <c r="I514" s="132">
        <f t="shared" si="60"/>
        <v>3.1286578884964018</v>
      </c>
      <c r="J514" s="132"/>
      <c r="K514" s="133">
        <f>IF(A514&gt;$B$15,IF(I514&gt;Helper_calcs!$B$27,23,3),0)</f>
        <v>23</v>
      </c>
      <c r="L514">
        <f t="shared" si="58"/>
        <v>2</v>
      </c>
      <c r="M514">
        <f t="shared" si="61"/>
        <v>2</v>
      </c>
      <c r="N514" s="132">
        <f t="shared" si="62"/>
        <v>3.375</v>
      </c>
      <c r="O514" s="132">
        <f t="shared" si="63"/>
        <v>2.9450261780105116</v>
      </c>
      <c r="P514" s="134">
        <f>IF(OR(M514=0,M514=3),loop_gain!$B$18,IF(Current_limit!M514=1,Current_limit!$B$12/(2*(Current_limit!N514-Helper_calcs!$B$27)),IF(OR(M514=2,M514=23),(Main!$B$19-Current_limit!O514)*Current_limit!O514/(Main!$B$19*loop_gain!$B$17*(Helper_calcs!$B$26-Helper_calcs!$B$27)),x)))</f>
        <v>1559481.5758455517</v>
      </c>
      <c r="Q514" s="132"/>
    </row>
    <row r="515" spans="1:17" x14ac:dyDescent="0.3">
      <c r="A515">
        <f t="shared" si="64"/>
        <v>5.7399999999999212</v>
      </c>
      <c r="B515">
        <f>Main!$B$20/A515</f>
        <v>0.87108013937283424</v>
      </c>
      <c r="D515" s="132">
        <f t="shared" si="57"/>
        <v>0.87108013937283424</v>
      </c>
      <c r="E515" s="132">
        <f>-B515*Main!$B$19-2*Main!$B$19*loop_gain!$B$17*loop_gain!$B$18</f>
        <v>-86.052961672474026</v>
      </c>
      <c r="F515" s="132">
        <f>2*Main!$B$19*loop_gain!$B$17*loop_gain!$B$18*Helper_calcs!$B$26*Current_limit!B515</f>
        <v>253.53658536585718</v>
      </c>
      <c r="G515" s="132">
        <f t="shared" si="59"/>
        <v>3.039823620099857</v>
      </c>
      <c r="H515" s="132">
        <f>(Main!$B$19-Current_limit!G515)*Current_limit!G515/(Main!$B$19*loop_gain!$B$17*loop_gain!$B$18)</f>
        <v>0.72056496825082761</v>
      </c>
      <c r="I515" s="132">
        <f t="shared" si="60"/>
        <v>3.1294350317491744</v>
      </c>
      <c r="J515" s="132"/>
      <c r="K515" s="133">
        <f>IF(A515&gt;$B$15,IF(I515&gt;Helper_calcs!$B$27,23,3),0)</f>
        <v>23</v>
      </c>
      <c r="L515">
        <f t="shared" si="58"/>
        <v>2</v>
      </c>
      <c r="M515">
        <f t="shared" si="61"/>
        <v>2</v>
      </c>
      <c r="N515" s="132">
        <f t="shared" si="62"/>
        <v>3.375</v>
      </c>
      <c r="O515" s="132">
        <f t="shared" si="63"/>
        <v>2.9398954703833153</v>
      </c>
      <c r="P515" s="134">
        <f>IF(OR(M515=0,M515=3),loop_gain!$B$18,IF(Current_limit!M515=1,Current_limit!$B$12/(2*(Current_limit!N515-Helper_calcs!$B$27)),IF(OR(M515=2,M515=23),(Main!$B$19-Current_limit!O515)*Current_limit!O515/(Main!$B$19*loop_gain!$B$17*(Helper_calcs!$B$26-Helper_calcs!$B$27)),x)))</f>
        <v>1557646.7992876866</v>
      </c>
      <c r="Q515" s="132"/>
    </row>
    <row r="516" spans="1:17" x14ac:dyDescent="0.3">
      <c r="A516">
        <f t="shared" si="64"/>
        <v>5.749999999999921</v>
      </c>
      <c r="B516">
        <f>Main!$B$20/A516</f>
        <v>0.86956521739131631</v>
      </c>
      <c r="D516" s="132">
        <f t="shared" si="57"/>
        <v>0.86956521739131631</v>
      </c>
      <c r="E516" s="132">
        <f>-B516*Main!$B$19-2*Main!$B$19*loop_gain!$B$17*loop_gain!$B$18</f>
        <v>-86.034782608695807</v>
      </c>
      <c r="F516" s="132">
        <f>2*Main!$B$19*loop_gain!$B$17*loop_gain!$B$18*Helper_calcs!$B$26*Current_limit!B516</f>
        <v>253.09565217391659</v>
      </c>
      <c r="G516" s="132">
        <f t="shared" si="59"/>
        <v>3.0348742868074421</v>
      </c>
      <c r="H516" s="132">
        <f>(Main!$B$19-Current_limit!G516)*Current_limit!G516/(Main!$B$19*loop_gain!$B$17*loop_gain!$B$18)</f>
        <v>0.71978914034297148</v>
      </c>
      <c r="I516" s="132">
        <f t="shared" si="60"/>
        <v>3.1302108596570246</v>
      </c>
      <c r="J516" s="132"/>
      <c r="K516" s="133">
        <f>IF(A516&gt;$B$15,IF(I516&gt;Helper_calcs!$B$27,23,3),0)</f>
        <v>23</v>
      </c>
      <c r="L516">
        <f t="shared" si="58"/>
        <v>2</v>
      </c>
      <c r="M516">
        <f t="shared" si="61"/>
        <v>2</v>
      </c>
      <c r="N516" s="132">
        <f t="shared" si="62"/>
        <v>3.375</v>
      </c>
      <c r="O516" s="132">
        <f t="shared" si="63"/>
        <v>2.9347826086956927</v>
      </c>
      <c r="P516" s="134">
        <f>IF(OR(M516=0,M516=3),loop_gain!$B$18,IF(Current_limit!M516=1,Current_limit!$B$12/(2*(Current_limit!N516-Helper_calcs!$B$27)),IF(OR(M516=2,M516=23),(Main!$B$19-Current_limit!O516)*Current_limit!O516/(Main!$B$19*loop_gain!$B$17*(Helper_calcs!$B$26-Helper_calcs!$B$27)),x)))</f>
        <v>1555815.3417570533</v>
      </c>
      <c r="Q516" s="132"/>
    </row>
    <row r="517" spans="1:17" x14ac:dyDescent="0.3">
      <c r="A517">
        <f t="shared" si="64"/>
        <v>5.7599999999999207</v>
      </c>
      <c r="B517">
        <f>Main!$B$20/A517</f>
        <v>0.86805555555556746</v>
      </c>
      <c r="D517" s="132">
        <f t="shared" si="57"/>
        <v>0.86805555555556746</v>
      </c>
      <c r="E517" s="132">
        <f>-B517*Main!$B$19-2*Main!$B$19*loop_gain!$B$17*loop_gain!$B$18</f>
        <v>-86.016666666666822</v>
      </c>
      <c r="F517" s="132">
        <f>2*Main!$B$19*loop_gain!$B$17*loop_gain!$B$18*Helper_calcs!$B$26*Current_limit!B517</f>
        <v>252.65625000000352</v>
      </c>
      <c r="G517" s="132">
        <f t="shared" si="59"/>
        <v>3.0299415680268371</v>
      </c>
      <c r="H517" s="132">
        <f>(Main!$B$19-Current_limit!G517)*Current_limit!G517/(Main!$B$19*loop_gain!$B$17*loop_gain!$B$18)</f>
        <v>0.71901462726627285</v>
      </c>
      <c r="I517" s="132">
        <f t="shared" si="60"/>
        <v>3.1309853727337318</v>
      </c>
      <c r="J517" s="132"/>
      <c r="K517" s="133">
        <f>IF(A517&gt;$B$15,IF(I517&gt;Helper_calcs!$B$27,23,3),0)</f>
        <v>23</v>
      </c>
      <c r="L517">
        <f t="shared" si="58"/>
        <v>2</v>
      </c>
      <c r="M517">
        <f t="shared" si="61"/>
        <v>2</v>
      </c>
      <c r="N517" s="132">
        <f t="shared" si="62"/>
        <v>3.375</v>
      </c>
      <c r="O517" s="132">
        <f t="shared" si="63"/>
        <v>2.92968750000004</v>
      </c>
      <c r="P517" s="134">
        <f>IF(OR(M517=0,M517=3),loop_gain!$B$18,IF(Current_limit!M517=1,Current_limit!$B$12/(2*(Current_limit!N517-Helper_calcs!$B$27)),IF(OR(M517=2,M517=23),(Main!$B$19-Current_limit!O517)*Current_limit!O517/(Main!$B$19*loop_gain!$B$17*(Helper_calcs!$B$26-Helper_calcs!$B$27)),x)))</f>
        <v>1553987.2018914616</v>
      </c>
      <c r="Q517" s="132"/>
    </row>
    <row r="518" spans="1:17" x14ac:dyDescent="0.3">
      <c r="A518">
        <f t="shared" si="64"/>
        <v>5.7699999999999205</v>
      </c>
      <c r="B518">
        <f>Main!$B$20/A518</f>
        <v>0.86655112651647637</v>
      </c>
      <c r="D518" s="132">
        <f t="shared" si="57"/>
        <v>0.86655112651647637</v>
      </c>
      <c r="E518" s="132">
        <f>-B518*Main!$B$19-2*Main!$B$19*loop_gain!$B$17*loop_gain!$B$18</f>
        <v>-85.998613518197729</v>
      </c>
      <c r="F518" s="132">
        <f>2*Main!$B$19*loop_gain!$B$17*loop_gain!$B$18*Helper_calcs!$B$26*Current_limit!B518</f>
        <v>252.21837088388565</v>
      </c>
      <c r="G518" s="132">
        <f t="shared" si="59"/>
        <v>3.025025377612848</v>
      </c>
      <c r="H518" s="132">
        <f>(Main!$B$19-Current_limit!G518)*Current_limit!G518/(Main!$B$19*loop_gain!$B$17*loop_gain!$B$18)</f>
        <v>0.71824142846964067</v>
      </c>
      <c r="I518" s="132">
        <f t="shared" si="60"/>
        <v>3.1317585715303582</v>
      </c>
      <c r="J518" s="132"/>
      <c r="K518" s="133">
        <f>IF(A518&gt;$B$15,IF(I518&gt;Helper_calcs!$B$27,23,3),0)</f>
        <v>23</v>
      </c>
      <c r="L518">
        <f t="shared" si="58"/>
        <v>2</v>
      </c>
      <c r="M518">
        <f t="shared" si="61"/>
        <v>2</v>
      </c>
      <c r="N518" s="132">
        <f t="shared" si="62"/>
        <v>3.375</v>
      </c>
      <c r="O518" s="132">
        <f t="shared" si="63"/>
        <v>2.9246100519931075</v>
      </c>
      <c r="P518" s="134">
        <f>IF(OR(M518=0,M518=3),loop_gain!$B$18,IF(Current_limit!M518=1,Current_limit!$B$12/(2*(Current_limit!N518-Helper_calcs!$B$27)),IF(OR(M518=2,M518=23),(Main!$B$19-Current_limit!O518)*Current_limit!O518/(Main!$B$19*loop_gain!$B$17*(Helper_calcs!$B$26-Helper_calcs!$B$27)),x)))</f>
        <v>1552162.3782279624</v>
      </c>
      <c r="Q518" s="132"/>
    </row>
    <row r="519" spans="1:17" x14ac:dyDescent="0.3">
      <c r="A519">
        <f t="shared" si="64"/>
        <v>5.7799999999999203</v>
      </c>
      <c r="B519">
        <f>Main!$B$20/A519</f>
        <v>0.86505190311419877</v>
      </c>
      <c r="D519" s="132">
        <f t="shared" si="57"/>
        <v>0.86505190311419877</v>
      </c>
      <c r="E519" s="132">
        <f>-B519*Main!$B$19-2*Main!$B$19*loop_gain!$B$17*loop_gain!$B$18</f>
        <v>-85.98062283737039</v>
      </c>
      <c r="F519" s="132">
        <f>2*Main!$B$19*loop_gain!$B$17*loop_gain!$B$18*Helper_calcs!$B$26*Current_limit!B519</f>
        <v>251.78200692041875</v>
      </c>
      <c r="G519" s="132">
        <f t="shared" si="59"/>
        <v>3.0201256300323354</v>
      </c>
      <c r="H519" s="132">
        <f>(Main!$B$19-Current_limit!G519)*Current_limit!G519/(Main!$B$19*loop_gain!$B$17*loop_gain!$B$18)</f>
        <v>0.71746954336533886</v>
      </c>
      <c r="I519" s="132">
        <f t="shared" si="60"/>
        <v>3.1325304566346621</v>
      </c>
      <c r="J519" s="132"/>
      <c r="K519" s="133">
        <f>IF(A519&gt;$B$15,IF(I519&gt;Helper_calcs!$B$27,23,3),0)</f>
        <v>23</v>
      </c>
      <c r="L519">
        <f t="shared" si="58"/>
        <v>2</v>
      </c>
      <c r="M519">
        <f t="shared" si="61"/>
        <v>2</v>
      </c>
      <c r="N519" s="132">
        <f t="shared" si="62"/>
        <v>3.375</v>
      </c>
      <c r="O519" s="132">
        <f t="shared" si="63"/>
        <v>2.9195501730104207</v>
      </c>
      <c r="P519" s="134">
        <f>IF(OR(M519=0,M519=3),loop_gain!$B$18,IF(Current_limit!M519=1,Current_limit!$B$12/(2*(Current_limit!N519-Helper_calcs!$B$27)),IF(OR(M519=2,M519=23),(Main!$B$19-Current_limit!O519)*Current_limit!O519/(Main!$B$19*loop_gain!$B$17*(Helper_calcs!$B$26-Helper_calcs!$B$27)),x)))</f>
        <v>1550340.8692046704</v>
      </c>
      <c r="Q519" s="132"/>
    </row>
    <row r="520" spans="1:17" x14ac:dyDescent="0.3">
      <c r="A520">
        <f t="shared" si="64"/>
        <v>5.7899999999999201</v>
      </c>
      <c r="B520">
        <f>Main!$B$20/A520</f>
        <v>0.8635578583765231</v>
      </c>
      <c r="D520" s="132">
        <f t="shared" si="57"/>
        <v>0.8635578583765231</v>
      </c>
      <c r="E520" s="132">
        <f>-B520*Main!$B$19-2*Main!$B$19*loop_gain!$B$17*loop_gain!$B$18</f>
        <v>-85.96269430051828</v>
      </c>
      <c r="F520" s="132">
        <f>2*Main!$B$19*loop_gain!$B$17*loop_gain!$B$18*Helper_calcs!$B$26*Current_limit!B520</f>
        <v>251.34715025907087</v>
      </c>
      <c r="G520" s="132">
        <f t="shared" si="59"/>
        <v>3.0152422403585764</v>
      </c>
      <c r="H520" s="132">
        <f>(Main!$B$19-Current_limit!G520)*Current_limit!G520/(Main!$B$19*loop_gain!$B$17*loop_gain!$B$18)</f>
        <v>0.71669897132963778</v>
      </c>
      <c r="I520" s="132">
        <f t="shared" si="60"/>
        <v>3.1333010286703642</v>
      </c>
      <c r="J520" s="132"/>
      <c r="K520" s="133">
        <f>IF(A520&gt;$B$15,IF(I520&gt;Helper_calcs!$B$27,23,3),0)</f>
        <v>23</v>
      </c>
      <c r="L520">
        <f t="shared" si="58"/>
        <v>2</v>
      </c>
      <c r="M520">
        <f t="shared" si="61"/>
        <v>2</v>
      </c>
      <c r="N520" s="132">
        <f t="shared" si="62"/>
        <v>3.375</v>
      </c>
      <c r="O520" s="132">
        <f t="shared" si="63"/>
        <v>2.9145077720207655</v>
      </c>
      <c r="P520" s="134">
        <f>IF(OR(M520=0,M520=3),loop_gain!$B$18,IF(Current_limit!M520=1,Current_limit!$B$12/(2*(Current_limit!N520-Helper_calcs!$B$27)),IF(OR(M520=2,M520=23),(Main!$B$19-Current_limit!O520)*Current_limit!O520/(Main!$B$19*loop_gain!$B$17*(Helper_calcs!$B$26-Helper_calcs!$B$27)),x)))</f>
        <v>1548522.6731625577</v>
      </c>
      <c r="Q520" s="132"/>
    </row>
    <row r="521" spans="1:17" x14ac:dyDescent="0.3">
      <c r="A521">
        <f t="shared" si="64"/>
        <v>5.7999999999999199</v>
      </c>
      <c r="B521">
        <f>Main!$B$20/A521</f>
        <v>0.86206896551725332</v>
      </c>
      <c r="D521" s="132">
        <f t="shared" si="57"/>
        <v>0.86206896551725332</v>
      </c>
      <c r="E521" s="132">
        <f>-B521*Main!$B$19-2*Main!$B$19*loop_gain!$B$17*loop_gain!$B$18</f>
        <v>-85.944827586207055</v>
      </c>
      <c r="F521" s="132">
        <f>2*Main!$B$19*loop_gain!$B$17*loop_gain!$B$18*Helper_calcs!$B$26*Current_limit!B521</f>
        <v>250.91379310345181</v>
      </c>
      <c r="G521" s="132">
        <f t="shared" si="59"/>
        <v>3.0103751242657832</v>
      </c>
      <c r="H521" s="132">
        <f>(Main!$B$19-Current_limit!G521)*Current_limit!G521/(Main!$B$19*loop_gain!$B$17*loop_gain!$B$18)</f>
        <v>0.71592971170346997</v>
      </c>
      <c r="I521" s="132">
        <f t="shared" si="60"/>
        <v>3.1340702882965248</v>
      </c>
      <c r="J521" s="132"/>
      <c r="K521" s="133">
        <f>IF(A521&gt;$B$15,IF(I521&gt;Helper_calcs!$B$27,23,3),0)</f>
        <v>23</v>
      </c>
      <c r="L521">
        <f t="shared" si="58"/>
        <v>2</v>
      </c>
      <c r="M521">
        <f t="shared" si="61"/>
        <v>2</v>
      </c>
      <c r="N521" s="132">
        <f t="shared" si="62"/>
        <v>3.375</v>
      </c>
      <c r="O521" s="132">
        <f t="shared" si="63"/>
        <v>2.9094827586207299</v>
      </c>
      <c r="P521" s="134">
        <f>IF(OR(M521=0,M521=3),loop_gain!$B$18,IF(Current_limit!M521=1,Current_limit!$B$12/(2*(Current_limit!N521-Helper_calcs!$B$27)),IF(OR(M521=2,M521=23),(Main!$B$19-Current_limit!O521)*Current_limit!O521/(Main!$B$19*loop_gain!$B$17*(Helper_calcs!$B$26-Helper_calcs!$B$27)),x)))</f>
        <v>1546707.78834722</v>
      </c>
      <c r="Q521" s="132"/>
    </row>
    <row r="522" spans="1:17" x14ac:dyDescent="0.3">
      <c r="A522">
        <f t="shared" si="64"/>
        <v>5.8099999999999197</v>
      </c>
      <c r="B522">
        <f>Main!$B$20/A522</f>
        <v>0.86058519793460742</v>
      </c>
      <c r="D522" s="132">
        <f t="shared" si="57"/>
        <v>0.86058519793460742</v>
      </c>
      <c r="E522" s="132">
        <f>-B522*Main!$B$19-2*Main!$B$19*loop_gain!$B$17*loop_gain!$B$18</f>
        <v>-85.927022375215302</v>
      </c>
      <c r="F522" s="132">
        <f>2*Main!$B$19*loop_gain!$B$17*loop_gain!$B$18*Helper_calcs!$B$26*Current_limit!B522</f>
        <v>250.48192771084689</v>
      </c>
      <c r="G522" s="132">
        <f t="shared" si="59"/>
        <v>3.0055241980236751</v>
      </c>
      <c r="H522" s="132">
        <f>(Main!$B$19-Current_limit!G522)*Current_limit!G522/(Main!$B$19*loop_gain!$B$17*loop_gain!$B$18)</f>
        <v>0.71516176379307528</v>
      </c>
      <c r="I522" s="132">
        <f t="shared" si="60"/>
        <v>3.1348382362069245</v>
      </c>
      <c r="J522" s="132"/>
      <c r="K522" s="133">
        <f>IF(A522&gt;$B$15,IF(I522&gt;Helper_calcs!$B$27,23,3),0)</f>
        <v>23</v>
      </c>
      <c r="L522">
        <f t="shared" si="58"/>
        <v>2</v>
      </c>
      <c r="M522">
        <f t="shared" si="61"/>
        <v>2</v>
      </c>
      <c r="N522" s="132">
        <f t="shared" si="62"/>
        <v>3.375</v>
      </c>
      <c r="O522" s="132">
        <f t="shared" si="63"/>
        <v>2.9044750430292998</v>
      </c>
      <c r="P522" s="134">
        <f>IF(OR(M522=0,M522=3),loop_gain!$B$18,IF(Current_limit!M522=1,Current_limit!$B$12/(2*(Current_limit!N522-Helper_calcs!$B$27)),IF(OR(M522=2,M522=23),(Main!$B$19-Current_limit!O522)*Current_limit!O522/(Main!$B$19*loop_gain!$B$17*(Helper_calcs!$B$26-Helper_calcs!$B$27)),x)))</f>
        <v>1544896.2129106163</v>
      </c>
      <c r="Q522" s="132"/>
    </row>
    <row r="523" spans="1:17" x14ac:dyDescent="0.3">
      <c r="A523">
        <f t="shared" si="64"/>
        <v>5.8199999999999195</v>
      </c>
      <c r="B523">
        <f>Main!$B$20/A523</f>
        <v>0.85910652920963393</v>
      </c>
      <c r="D523" s="132">
        <f t="shared" si="57"/>
        <v>0.85910652920963393</v>
      </c>
      <c r="E523" s="132">
        <f>-B523*Main!$B$19-2*Main!$B$19*loop_gain!$B$17*loop_gain!$B$18</f>
        <v>-85.909278350515621</v>
      </c>
      <c r="F523" s="132">
        <f>2*Main!$B$19*loop_gain!$B$17*loop_gain!$B$18*Helper_calcs!$B$26*Current_limit!B523</f>
        <v>250.05154639175609</v>
      </c>
      <c r="G523" s="132">
        <f t="shared" si="59"/>
        <v>3.0006893784920474</v>
      </c>
      <c r="H523" s="132">
        <f>(Main!$B$19-Current_limit!G523)*Current_limit!G523/(Main!$B$19*loop_gain!$B$17*loop_gain!$B$18)</f>
        <v>0.71439512687062368</v>
      </c>
      <c r="I523" s="132">
        <f t="shared" si="60"/>
        <v>3.1356048731293829</v>
      </c>
      <c r="J523" s="132"/>
      <c r="K523" s="133">
        <f>IF(A523&gt;$B$15,IF(I523&gt;Helper_calcs!$B$27,23,3),0)</f>
        <v>23</v>
      </c>
      <c r="L523">
        <f t="shared" si="58"/>
        <v>2</v>
      </c>
      <c r="M523">
        <f t="shared" si="61"/>
        <v>2</v>
      </c>
      <c r="N523" s="132">
        <f t="shared" si="62"/>
        <v>3.375</v>
      </c>
      <c r="O523" s="132">
        <f t="shared" si="63"/>
        <v>2.8994845360825146</v>
      </c>
      <c r="P523" s="134">
        <f>IF(OR(M523=0,M523=3),loop_gain!$B$18,IF(Current_limit!M523=1,Current_limit!$B$12/(2*(Current_limit!N523-Helper_calcs!$B$27)),IF(OR(M523=2,M523=23),(Main!$B$19-Current_limit!O523)*Current_limit!O523/(Main!$B$19*loop_gain!$B$17*(Helper_calcs!$B$26-Helper_calcs!$B$27)),x)))</f>
        <v>1543087.9449127801</v>
      </c>
      <c r="Q523" s="132"/>
    </row>
    <row r="524" spans="1:17" x14ac:dyDescent="0.3">
      <c r="A524">
        <f t="shared" si="64"/>
        <v>5.8299999999999192</v>
      </c>
      <c r="B524">
        <f>Main!$B$20/A524</f>
        <v>0.85763293310464306</v>
      </c>
      <c r="D524" s="132">
        <f t="shared" si="57"/>
        <v>0.85763293310464306</v>
      </c>
      <c r="E524" s="132">
        <f>-B524*Main!$B$19-2*Main!$B$19*loop_gain!$B$17*loop_gain!$B$18</f>
        <v>-85.891595197255725</v>
      </c>
      <c r="F524" s="132">
        <f>2*Main!$B$19*loop_gain!$B$17*loop_gain!$B$18*Helper_calcs!$B$26*Current_limit!B524</f>
        <v>249.62264150943747</v>
      </c>
      <c r="G524" s="132">
        <f t="shared" si="59"/>
        <v>2.9958705831154657</v>
      </c>
      <c r="H524" s="132">
        <f>(Main!$B$19-Current_limit!G524)*Current_limit!G524/(Main!$B$19*loop_gain!$B$17*loop_gain!$B$18)</f>
        <v>0.7136298001748409</v>
      </c>
      <c r="I524" s="132">
        <f t="shared" si="60"/>
        <v>3.1363701998251643</v>
      </c>
      <c r="J524" s="132"/>
      <c r="K524" s="133">
        <f>IF(A524&gt;$B$15,IF(I524&gt;Helper_calcs!$B$27,23,3),0)</f>
        <v>23</v>
      </c>
      <c r="L524">
        <f t="shared" si="58"/>
        <v>2</v>
      </c>
      <c r="M524">
        <f t="shared" si="61"/>
        <v>2</v>
      </c>
      <c r="N524" s="132">
        <f t="shared" si="62"/>
        <v>3.375</v>
      </c>
      <c r="O524" s="132">
        <f t="shared" si="63"/>
        <v>2.8945111492281703</v>
      </c>
      <c r="P524" s="134">
        <f>IF(OR(M524=0,M524=3),loop_gain!$B$18,IF(Current_limit!M524=1,Current_limit!$B$12/(2*(Current_limit!N524-Helper_calcs!$B$27)),IF(OR(M524=2,M524=23),(Main!$B$19-Current_limit!O524)*Current_limit!O524/(Main!$B$19*loop_gain!$B$17*(Helper_calcs!$B$26-Helper_calcs!$B$27)),x)))</f>
        <v>1541282.9823235003</v>
      </c>
      <c r="Q524" s="132"/>
    </row>
    <row r="525" spans="1:17" x14ac:dyDescent="0.3">
      <c r="A525">
        <f t="shared" si="64"/>
        <v>5.839999999999919</v>
      </c>
      <c r="B525">
        <f>Main!$B$20/A525</f>
        <v>0.8561643835616557</v>
      </c>
      <c r="D525" s="132">
        <f t="shared" si="57"/>
        <v>0.8561643835616557</v>
      </c>
      <c r="E525" s="132">
        <f>-B525*Main!$B$19-2*Main!$B$19*loop_gain!$B$17*loop_gain!$B$18</f>
        <v>-85.873972602739883</v>
      </c>
      <c r="F525" s="132">
        <f>2*Main!$B$19*loop_gain!$B$17*loop_gain!$B$18*Helper_calcs!$B$26*Current_limit!B525</f>
        <v>249.19520547945555</v>
      </c>
      <c r="G525" s="132">
        <f t="shared" si="59"/>
        <v>2.9910677299180115</v>
      </c>
      <c r="H525" s="132">
        <f>(Main!$B$19-Current_limit!G525)*Current_limit!G525/(Main!$B$19*loop_gain!$B$17*loop_gain!$B$18)</f>
        <v>0.71286578291162028</v>
      </c>
      <c r="I525" s="132">
        <f t="shared" si="60"/>
        <v>3.1371342170883789</v>
      </c>
      <c r="J525" s="132"/>
      <c r="K525" s="133">
        <f>IF(A525&gt;$B$15,IF(I525&gt;Helper_calcs!$B$27,23,3),0)</f>
        <v>23</v>
      </c>
      <c r="L525">
        <f t="shared" si="58"/>
        <v>2</v>
      </c>
      <c r="M525">
        <f t="shared" si="61"/>
        <v>2</v>
      </c>
      <c r="N525" s="132">
        <f t="shared" si="62"/>
        <v>3.375</v>
      </c>
      <c r="O525" s="132">
        <f t="shared" si="63"/>
        <v>2.8895547945205879</v>
      </c>
      <c r="P525" s="134">
        <f>IF(OR(M525=0,M525=3),loop_gain!$B$18,IF(Current_limit!M525=1,Current_limit!$B$12/(2*(Current_limit!N525-Helper_calcs!$B$27)),IF(OR(M525=2,M525=23),(Main!$B$19-Current_limit!O525)*Current_limit!O525/(Main!$B$19*loop_gain!$B$17*(Helper_calcs!$B$26-Helper_calcs!$B$27)),x)))</f>
        <v>1539481.3230239844</v>
      </c>
      <c r="Q525" s="132"/>
    </row>
    <row r="526" spans="1:17" x14ac:dyDescent="0.3">
      <c r="A526">
        <f t="shared" si="64"/>
        <v>5.8499999999999188</v>
      </c>
      <c r="B526">
        <f>Main!$B$20/A526</f>
        <v>0.85470085470086654</v>
      </c>
      <c r="D526" s="132">
        <f t="shared" si="57"/>
        <v>0.85470085470086654</v>
      </c>
      <c r="E526" s="132">
        <f>-B526*Main!$B$19-2*Main!$B$19*loop_gain!$B$17*loop_gain!$B$18</f>
        <v>-85.856410256410413</v>
      </c>
      <c r="F526" s="132">
        <f>2*Main!$B$19*loop_gain!$B$17*loop_gain!$B$18*Helper_calcs!$B$26*Current_limit!B526</f>
        <v>248.76923076923427</v>
      </c>
      <c r="G526" s="132">
        <f t="shared" si="59"/>
        <v>2.9862807374980647</v>
      </c>
      <c r="H526" s="132">
        <f>(Main!$B$19-Current_limit!G526)*Current_limit!G526/(Main!$B$19*loop_gain!$B$17*loop_gain!$B$18)</f>
        <v>0.71210307425462405</v>
      </c>
      <c r="I526" s="132">
        <f t="shared" si="60"/>
        <v>3.1378969257453755</v>
      </c>
      <c r="J526" s="132"/>
      <c r="K526" s="133">
        <f>IF(A526&gt;$B$15,IF(I526&gt;Helper_calcs!$B$27,23,3),0)</f>
        <v>23</v>
      </c>
      <c r="L526">
        <f t="shared" si="58"/>
        <v>2</v>
      </c>
      <c r="M526">
        <f t="shared" si="61"/>
        <v>2</v>
      </c>
      <c r="N526" s="132">
        <f t="shared" si="62"/>
        <v>3.375</v>
      </c>
      <c r="O526" s="132">
        <f t="shared" si="63"/>
        <v>2.8846153846154245</v>
      </c>
      <c r="P526" s="134">
        <f>IF(OR(M526=0,M526=3),loop_gain!$B$18,IF(Current_limit!M526=1,Current_limit!$B$12/(2*(Current_limit!N526-Helper_calcs!$B$27)),IF(OR(M526=2,M526=23),(Main!$B$19-Current_limit!O526)*Current_limit!O526/(Main!$B$19*loop_gain!$B$17*(Helper_calcs!$B$26-Helper_calcs!$B$27)),x)))</f>
        <v>1537682.9648084852</v>
      </c>
      <c r="Q526" s="132"/>
    </row>
    <row r="527" spans="1:17" x14ac:dyDescent="0.3">
      <c r="A527">
        <f t="shared" si="64"/>
        <v>5.8599999999999186</v>
      </c>
      <c r="B527">
        <f>Main!$B$20/A527</f>
        <v>0.85324232081912443</v>
      </c>
      <c r="D527" s="132">
        <f t="shared" si="57"/>
        <v>0.85324232081912443</v>
      </c>
      <c r="E527" s="132">
        <f>-B527*Main!$B$19-2*Main!$B$19*loop_gain!$B$17*loop_gain!$B$18</f>
        <v>-85.838907849829496</v>
      </c>
      <c r="F527" s="132">
        <f>2*Main!$B$19*loop_gain!$B$17*loop_gain!$B$18*Helper_calcs!$B$26*Current_limit!B527</f>
        <v>248.34470989761442</v>
      </c>
      <c r="G527" s="132">
        <f t="shared" si="59"/>
        <v>2.9815095250231316</v>
      </c>
      <c r="H527" s="132">
        <f>(Main!$B$19-Current_limit!G527)*Current_limit!G527/(Main!$B$19*loop_gain!$B$17*loop_gain!$B$18)</f>
        <v>0.71134167334587073</v>
      </c>
      <c r="I527" s="132">
        <f t="shared" si="60"/>
        <v>3.1386583266541264</v>
      </c>
      <c r="J527" s="132"/>
      <c r="K527" s="133">
        <f>IF(A527&gt;$B$15,IF(I527&gt;Helper_calcs!$B$27,23,3),0)</f>
        <v>23</v>
      </c>
      <c r="L527">
        <f t="shared" si="58"/>
        <v>2</v>
      </c>
      <c r="M527">
        <f t="shared" si="61"/>
        <v>2</v>
      </c>
      <c r="N527" s="132">
        <f t="shared" si="62"/>
        <v>3.375</v>
      </c>
      <c r="O527" s="132">
        <f t="shared" si="63"/>
        <v>2.8796928327645448</v>
      </c>
      <c r="P527" s="134">
        <f>IF(OR(M527=0,M527=3),loop_gain!$B$18,IF(Current_limit!M527=1,Current_limit!$B$12/(2*(Current_limit!N527-Helper_calcs!$B$27)),IF(OR(M527=2,M527=23),(Main!$B$19-Current_limit!O527)*Current_limit!O527/(Main!$B$19*loop_gain!$B$17*(Helper_calcs!$B$26-Helper_calcs!$B$27)),x)))</f>
        <v>1535887.9053859091</v>
      </c>
      <c r="Q527" s="132"/>
    </row>
    <row r="528" spans="1:17" x14ac:dyDescent="0.3">
      <c r="A528">
        <f t="shared" si="64"/>
        <v>5.8699999999999184</v>
      </c>
      <c r="B528">
        <f>Main!$B$20/A528</f>
        <v>0.85178875638842755</v>
      </c>
      <c r="D528" s="132">
        <f t="shared" si="57"/>
        <v>0.85178875638842755</v>
      </c>
      <c r="E528" s="132">
        <f>-B528*Main!$B$19-2*Main!$B$19*loop_gain!$B$17*loop_gain!$B$18</f>
        <v>-85.821465076661141</v>
      </c>
      <c r="F528" s="132">
        <f>2*Main!$B$19*loop_gain!$B$17*loop_gain!$B$18*Helper_calcs!$B$26*Current_limit!B528</f>
        <v>247.92163543441578</v>
      </c>
      <c r="G528" s="132">
        <f t="shared" si="59"/>
        <v>2.9767540122247729</v>
      </c>
      <c r="H528" s="132">
        <f>(Main!$B$19-Current_limit!G528)*Current_limit!G528/(Main!$B$19*loop_gain!$B$17*loop_gain!$B$18)</f>
        <v>0.71058157929632237</v>
      </c>
      <c r="I528" s="132">
        <f t="shared" si="60"/>
        <v>3.1394184207036733</v>
      </c>
      <c r="J528" s="132"/>
      <c r="K528" s="133">
        <f>IF(A528&gt;$B$15,IF(I528&gt;Helper_calcs!$B$27,23,3),0)</f>
        <v>23</v>
      </c>
      <c r="L528">
        <f t="shared" si="58"/>
        <v>2</v>
      </c>
      <c r="M528">
        <f t="shared" si="61"/>
        <v>2</v>
      </c>
      <c r="N528" s="132">
        <f t="shared" si="62"/>
        <v>3.375</v>
      </c>
      <c r="O528" s="132">
        <f t="shared" si="63"/>
        <v>2.8747870528109432</v>
      </c>
      <c r="P528" s="134">
        <f>IF(OR(M528=0,M528=3),loop_gain!$B$18,IF(Current_limit!M528=1,Current_limit!$B$12/(2*(Current_limit!N528-Helper_calcs!$B$27)),IF(OR(M528=2,M528=23),(Main!$B$19-Current_limit!O528)*Current_limit!O528/(Main!$B$19*loop_gain!$B$17*(Helper_calcs!$B$26-Helper_calcs!$B$27)),x)))</f>
        <v>1534096.1423813968</v>
      </c>
      <c r="Q528" s="132"/>
    </row>
    <row r="529" spans="1:17" x14ac:dyDescent="0.3">
      <c r="A529">
        <f t="shared" si="64"/>
        <v>5.8799999999999182</v>
      </c>
      <c r="B529">
        <f>Main!$B$20/A529</f>
        <v>0.85034013605443359</v>
      </c>
      <c r="D529" s="132">
        <f t="shared" si="57"/>
        <v>0.85034013605443359</v>
      </c>
      <c r="E529" s="132">
        <f>-B529*Main!$B$19-2*Main!$B$19*loop_gain!$B$17*loop_gain!$B$18</f>
        <v>-85.804081632653208</v>
      </c>
      <c r="F529" s="132">
        <f>2*Main!$B$19*loop_gain!$B$17*loop_gain!$B$18*Helper_calcs!$B$26*Current_limit!B529</f>
        <v>247.5000000000035</v>
      </c>
      <c r="G529" s="132">
        <f t="shared" si="59"/>
        <v>2.9720141193935565</v>
      </c>
      <c r="H529" s="132">
        <f>(Main!$B$19-Current_limit!G529)*Current_limit!G529/(Main!$B$19*loop_gain!$B$17*loop_gain!$B$18)</f>
        <v>0.70982279118645553</v>
      </c>
      <c r="I529" s="132">
        <f t="shared" si="60"/>
        <v>3.140177208813546</v>
      </c>
      <c r="J529" s="132"/>
      <c r="K529" s="133">
        <f>IF(A529&gt;$B$15,IF(I529&gt;Helper_calcs!$B$27,23,3),0)</f>
        <v>23</v>
      </c>
      <c r="L529">
        <f t="shared" si="58"/>
        <v>2</v>
      </c>
      <c r="M529">
        <f t="shared" si="61"/>
        <v>2</v>
      </c>
      <c r="N529" s="132">
        <f t="shared" si="62"/>
        <v>3.375</v>
      </c>
      <c r="O529" s="132">
        <f t="shared" si="63"/>
        <v>2.8698979591837133</v>
      </c>
      <c r="P529" s="134">
        <f>IF(OR(M529=0,M529=3),loop_gain!$B$18,IF(Current_limit!M529=1,Current_limit!$B$12/(2*(Current_limit!N529-Helper_calcs!$B$27)),IF(OR(M529=2,M529=23),(Main!$B$19-Current_limit!O529)*Current_limit!O529/(Main!$B$19*loop_gain!$B$17*(Helper_calcs!$B$26-Helper_calcs!$B$27)),x)))</f>
        <v>1532307.673337878</v>
      </c>
      <c r="Q529" s="132"/>
    </row>
    <row r="530" spans="1:17" x14ac:dyDescent="0.3">
      <c r="A530">
        <f t="shared" si="64"/>
        <v>5.889999999999918</v>
      </c>
      <c r="B530">
        <f>Main!$B$20/A530</f>
        <v>0.84889643463498632</v>
      </c>
      <c r="D530" s="132">
        <f t="shared" si="57"/>
        <v>0.84889643463498632</v>
      </c>
      <c r="E530" s="132">
        <f>-B530*Main!$B$19-2*Main!$B$19*loop_gain!$B$17*loop_gain!$B$18</f>
        <v>-85.786757215619843</v>
      </c>
      <c r="F530" s="132">
        <f>2*Main!$B$19*loop_gain!$B$17*loop_gain!$B$18*Helper_calcs!$B$26*Current_limit!B530</f>
        <v>247.07979626485917</v>
      </c>
      <c r="G530" s="132">
        <f t="shared" si="59"/>
        <v>2.9672897673740577</v>
      </c>
      <c r="H530" s="132">
        <f>(Main!$B$19-Current_limit!G530)*Current_limit!G530/(Main!$B$19*loop_gain!$B$17*loop_gain!$B$18)</f>
        <v>0.70906530806682266</v>
      </c>
      <c r="I530" s="132">
        <f t="shared" si="60"/>
        <v>3.1409346919331802</v>
      </c>
      <c r="J530" s="132"/>
      <c r="K530" s="133">
        <f>IF(A530&gt;$B$15,IF(I530&gt;Helper_calcs!$B$27,23,3),0)</f>
        <v>23</v>
      </c>
      <c r="L530">
        <f t="shared" si="58"/>
        <v>2</v>
      </c>
      <c r="M530">
        <f t="shared" si="61"/>
        <v>2</v>
      </c>
      <c r="N530" s="132">
        <f t="shared" si="62"/>
        <v>3.375</v>
      </c>
      <c r="O530" s="132">
        <f t="shared" si="63"/>
        <v>2.865025466893079</v>
      </c>
      <c r="P530" s="134">
        <f>IF(OR(M530=0,M530=3),loop_gain!$B$18,IF(Current_limit!M530=1,Current_limit!$B$12/(2*(Current_limit!N530-Helper_calcs!$B$27)),IF(OR(M530=2,M530=23),(Main!$B$19-Current_limit!O530)*Current_limit!O530/(Main!$B$19*loop_gain!$B$17*(Helper_calcs!$B$26-Helper_calcs!$B$27)),x)))</f>
        <v>1530522.4957176046</v>
      </c>
      <c r="Q530" s="132"/>
    </row>
    <row r="531" spans="1:17" x14ac:dyDescent="0.3">
      <c r="A531">
        <f t="shared" si="64"/>
        <v>5.8999999999999178</v>
      </c>
      <c r="B531">
        <f>Main!$B$20/A531</f>
        <v>0.84745762711865591</v>
      </c>
      <c r="D531" s="132">
        <f t="shared" si="57"/>
        <v>0.84745762711865591</v>
      </c>
      <c r="E531" s="132">
        <f>-B531*Main!$B$19-2*Main!$B$19*loop_gain!$B$17*loop_gain!$B$18</f>
        <v>-85.769491525423874</v>
      </c>
      <c r="F531" s="132">
        <f>2*Main!$B$19*loop_gain!$B$17*loop_gain!$B$18*Helper_calcs!$B$26*Current_limit!B531</f>
        <v>246.66101694915605</v>
      </c>
      <c r="G531" s="132">
        <f t="shared" si="59"/>
        <v>2.9625808775599518</v>
      </c>
      <c r="H531" s="132">
        <f>(Main!$B$19-Current_limit!G531)*Current_limit!G531/(Main!$B$19*loop_gain!$B$17*loop_gain!$B$18)</f>
        <v>0.70830912895861176</v>
      </c>
      <c r="I531" s="132">
        <f t="shared" si="60"/>
        <v>3.1416908710413884</v>
      </c>
      <c r="J531" s="132"/>
      <c r="K531" s="133">
        <f>IF(A531&gt;$B$15,IF(I531&gt;Helper_calcs!$B$27,23,3),0)</f>
        <v>23</v>
      </c>
      <c r="L531">
        <f t="shared" si="58"/>
        <v>2</v>
      </c>
      <c r="M531">
        <f t="shared" si="61"/>
        <v>2</v>
      </c>
      <c r="N531" s="132">
        <f t="shared" si="62"/>
        <v>3.375</v>
      </c>
      <c r="O531" s="132">
        <f t="shared" si="63"/>
        <v>2.8601694915254638</v>
      </c>
      <c r="P531" s="134">
        <f>IF(OR(M531=0,M531=3),loop_gain!$B$18,IF(Current_limit!M531=1,Current_limit!$B$12/(2*(Current_limit!N531-Helper_calcs!$B$27)),IF(OR(M531=2,M531=23),(Main!$B$19-Current_limit!O531)*Current_limit!O531/(Main!$B$19*loop_gain!$B$17*(Helper_calcs!$B$26-Helper_calcs!$B$27)),x)))</f>
        <v>1528740.6069036566</v>
      </c>
      <c r="Q531" s="132"/>
    </row>
    <row r="532" spans="1:17" x14ac:dyDescent="0.3">
      <c r="A532">
        <f t="shared" si="64"/>
        <v>5.9099999999999175</v>
      </c>
      <c r="B532">
        <f>Main!$B$20/A532</f>
        <v>0.84602368866329436</v>
      </c>
      <c r="D532" s="132">
        <f t="shared" si="57"/>
        <v>0.84602368866329436</v>
      </c>
      <c r="E532" s="132">
        <f>-B532*Main!$B$19-2*Main!$B$19*loop_gain!$B$17*loop_gain!$B$18</f>
        <v>-85.752284263959538</v>
      </c>
      <c r="F532" s="132">
        <f>2*Main!$B$19*loop_gain!$B$17*loop_gain!$B$18*Helper_calcs!$B$26*Current_limit!B532</f>
        <v>246.2436548223385</v>
      </c>
      <c r="G532" s="132">
        <f t="shared" si="59"/>
        <v>2.9578873718891323</v>
      </c>
      <c r="H532" s="132">
        <f>(Main!$B$19-Current_limit!G532)*Current_limit!G532/(Main!$B$19*loop_gain!$B$17*loop_gain!$B$18)</f>
        <v>0.70755425285419005</v>
      </c>
      <c r="I532" s="132">
        <f t="shared" si="60"/>
        <v>3.1424457471458105</v>
      </c>
      <c r="J532" s="132"/>
      <c r="K532" s="133">
        <f>IF(A532&gt;$B$15,IF(I532&gt;Helper_calcs!$B$27,23,3),0)</f>
        <v>23</v>
      </c>
      <c r="L532">
        <f t="shared" si="58"/>
        <v>2</v>
      </c>
      <c r="M532">
        <f t="shared" si="61"/>
        <v>2</v>
      </c>
      <c r="N532" s="132">
        <f t="shared" si="62"/>
        <v>3.375</v>
      </c>
      <c r="O532" s="132">
        <f t="shared" si="63"/>
        <v>2.8553299492386186</v>
      </c>
      <c r="P532" s="134">
        <f>IF(OR(M532=0,M532=3),loop_gain!$B$18,IF(Current_limit!M532=1,Current_limit!$B$12/(2*(Current_limit!N532-Helper_calcs!$B$27)),IF(OR(M532=2,M532=23),(Main!$B$19-Current_limit!O532)*Current_limit!O532/(Main!$B$19*loop_gain!$B$17*(Helper_calcs!$B$26-Helper_calcs!$B$27)),x)))</f>
        <v>1526962.0042014271</v>
      </c>
      <c r="Q532" s="132"/>
    </row>
    <row r="533" spans="1:17" x14ac:dyDescent="0.3">
      <c r="A533">
        <f t="shared" si="64"/>
        <v>5.9199999999999173</v>
      </c>
      <c r="B533">
        <f>Main!$B$20/A533</f>
        <v>0.8445945945946064</v>
      </c>
      <c r="D533" s="132">
        <f t="shared" si="57"/>
        <v>0.8445945945946064</v>
      </c>
      <c r="E533" s="132">
        <f>-B533*Main!$B$19-2*Main!$B$19*loop_gain!$B$17*loop_gain!$B$18</f>
        <v>-85.73513513513528</v>
      </c>
      <c r="F533" s="132">
        <f>2*Main!$B$19*loop_gain!$B$17*loop_gain!$B$18*Helper_calcs!$B$26*Current_limit!B533</f>
        <v>245.82770270270618</v>
      </c>
      <c r="G533" s="132">
        <f t="shared" si="59"/>
        <v>2.9532091728388732</v>
      </c>
      <c r="H533" s="132">
        <f>(Main!$B$19-Current_limit!G533)*Current_limit!G533/(Main!$B$19*loop_gain!$B$17*loop_gain!$B$18)</f>
        <v>0.70680067871764052</v>
      </c>
      <c r="I533" s="132">
        <f t="shared" si="60"/>
        <v>3.1431993212823568</v>
      </c>
      <c r="J533" s="132"/>
      <c r="K533" s="133">
        <f>IF(A533&gt;$B$15,IF(I533&gt;Helper_calcs!$B$27,23,3),0)</f>
        <v>23</v>
      </c>
      <c r="L533">
        <f t="shared" si="58"/>
        <v>2</v>
      </c>
      <c r="M533">
        <f t="shared" si="61"/>
        <v>2</v>
      </c>
      <c r="N533" s="132">
        <f t="shared" si="62"/>
        <v>3.375</v>
      </c>
      <c r="O533" s="132">
        <f t="shared" si="63"/>
        <v>2.8505067567567965</v>
      </c>
      <c r="P533" s="134">
        <f>IF(OR(M533=0,M533=3),loop_gain!$B$18,IF(Current_limit!M533=1,Current_limit!$B$12/(2*(Current_limit!N533-Helper_calcs!$B$27)),IF(OR(M533=2,M533=23),(Main!$B$19-Current_limit!O533)*Current_limit!O533/(Main!$B$19*loop_gain!$B$17*(Helper_calcs!$B$26-Helper_calcs!$B$27)),x)))</f>
        <v>1525186.6848400822</v>
      </c>
      <c r="Q533" s="132"/>
    </row>
    <row r="534" spans="1:17" x14ac:dyDescent="0.3">
      <c r="A534">
        <f t="shared" si="64"/>
        <v>5.9299999999999171</v>
      </c>
      <c r="B534">
        <f>Main!$B$20/A534</f>
        <v>0.8431703204047335</v>
      </c>
      <c r="D534" s="132">
        <f t="shared" si="57"/>
        <v>0.8431703204047335</v>
      </c>
      <c r="E534" s="132">
        <f>-B534*Main!$B$19-2*Main!$B$19*loop_gain!$B$17*loop_gain!$B$18</f>
        <v>-85.718043844856808</v>
      </c>
      <c r="F534" s="132">
        <f>2*Main!$B$19*loop_gain!$B$17*loop_gain!$B$18*Helper_calcs!$B$26*Current_limit!B534</f>
        <v>245.41315345700178</v>
      </c>
      <c r="G534" s="132">
        <f t="shared" si="59"/>
        <v>2.948546203421079</v>
      </c>
      <c r="H534" s="132">
        <f>(Main!$B$19-Current_limit!G534)*Current_limit!G534/(Main!$B$19*loop_gain!$B$17*loop_gain!$B$18)</f>
        <v>0.70604840548529324</v>
      </c>
      <c r="I534" s="132">
        <f t="shared" si="60"/>
        <v>3.1439515945147041</v>
      </c>
      <c r="J534" s="132"/>
      <c r="K534" s="133">
        <f>IF(A534&gt;$B$15,IF(I534&gt;Helper_calcs!$B$27,23,3),0)</f>
        <v>23</v>
      </c>
      <c r="L534">
        <f t="shared" si="58"/>
        <v>2</v>
      </c>
      <c r="M534">
        <f t="shared" si="61"/>
        <v>2</v>
      </c>
      <c r="N534" s="132">
        <f t="shared" si="62"/>
        <v>3.375</v>
      </c>
      <c r="O534" s="132">
        <f t="shared" si="63"/>
        <v>2.8456998313659754</v>
      </c>
      <c r="P534" s="134">
        <f>IF(OR(M534=0,M534=3),loop_gain!$B$18,IF(Current_limit!M534=1,Current_limit!$B$12/(2*(Current_limit!N534-Helper_calcs!$B$27)),IF(OR(M534=2,M534=23),(Main!$B$19-Current_limit!O534)*Current_limit!O534/(Main!$B$19*loop_gain!$B$17*(Helper_calcs!$B$26-Helper_calcs!$B$27)),x)))</f>
        <v>1523414.6459739977</v>
      </c>
      <c r="Q534" s="132"/>
    </row>
    <row r="535" spans="1:17" x14ac:dyDescent="0.3">
      <c r="A535">
        <f t="shared" si="64"/>
        <v>5.9399999999999169</v>
      </c>
      <c r="B535">
        <f>Main!$B$20/A535</f>
        <v>0.84175084175085357</v>
      </c>
      <c r="D535" s="132">
        <f t="shared" ref="D535:D598" si="65">B535</f>
        <v>0.84175084175085357</v>
      </c>
      <c r="E535" s="132">
        <f>-B535*Main!$B$19-2*Main!$B$19*loop_gain!$B$17*loop_gain!$B$18</f>
        <v>-85.701010101010255</v>
      </c>
      <c r="F535" s="132">
        <f>2*Main!$B$19*loop_gain!$B$17*loop_gain!$B$18*Helper_calcs!$B$26*Current_limit!B535</f>
        <v>245.0000000000035</v>
      </c>
      <c r="G535" s="132">
        <f t="shared" si="59"/>
        <v>2.9438983871775486</v>
      </c>
      <c r="H535" s="132">
        <f>(Main!$B$19-Current_limit!G535)*Current_limit!G535/(Main!$B$19*loop_gain!$B$17*loop_gain!$B$18)</f>
        <v>0.70529743206624373</v>
      </c>
      <c r="I535" s="132">
        <f t="shared" si="60"/>
        <v>3.1447025679337566</v>
      </c>
      <c r="J535" s="132"/>
      <c r="K535" s="133">
        <f>IF(A535&gt;$B$15,IF(I535&gt;Helper_calcs!$B$27,23,3),0)</f>
        <v>23</v>
      </c>
      <c r="L535">
        <f t="shared" ref="L535:L598" si="66">IF(A535&gt;$B$13,IF(A535&gt;$B$14,2,1),0)</f>
        <v>2</v>
      </c>
      <c r="M535">
        <f t="shared" si="61"/>
        <v>2</v>
      </c>
      <c r="N535" s="132">
        <f t="shared" si="62"/>
        <v>3.375</v>
      </c>
      <c r="O535" s="132">
        <f t="shared" si="63"/>
        <v>2.8409090909091308</v>
      </c>
      <c r="P535" s="134">
        <f>IF(OR(M535=0,M535=3),loop_gain!$B$18,IF(Current_limit!M535=1,Current_limit!$B$12/(2*(Current_limit!N535-Helper_calcs!$B$27)),IF(OR(M535=2,M535=23),(Main!$B$19-Current_limit!O535)*Current_limit!O535/(Main!$B$19*loop_gain!$B$17*(Helper_calcs!$B$26-Helper_calcs!$B$27)),x)))</f>
        <v>1521645.8846841769</v>
      </c>
      <c r="Q535" s="132"/>
    </row>
    <row r="536" spans="1:17" x14ac:dyDescent="0.3">
      <c r="A536">
        <f t="shared" si="64"/>
        <v>5.9499999999999167</v>
      </c>
      <c r="B536">
        <f>Main!$B$20/A536</f>
        <v>0.84033613445379329</v>
      </c>
      <c r="D536" s="132">
        <f t="shared" si="65"/>
        <v>0.84033613445379329</v>
      </c>
      <c r="E536" s="132">
        <f>-B536*Main!$B$19-2*Main!$B$19*loop_gain!$B$17*loop_gain!$B$18</f>
        <v>-85.684033613445536</v>
      </c>
      <c r="F536" s="132">
        <f>2*Main!$B$19*loop_gain!$B$17*loop_gain!$B$18*Helper_calcs!$B$26*Current_limit!B536</f>
        <v>244.58823529412112</v>
      </c>
      <c r="G536" s="132">
        <f t="shared" ref="G536:G599" si="67">(-E536-SQRT(E536^2-4*D536*F536))/(2*D536)</f>
        <v>2.9392656481753101</v>
      </c>
      <c r="H536" s="132">
        <f>(Main!$B$19-Current_limit!G536)*Current_limit!G536/(Main!$B$19*loop_gain!$B$17*loop_gain!$B$18)</f>
        <v>0.7045477573428649</v>
      </c>
      <c r="I536" s="132">
        <f t="shared" ref="I536:I599" si="68">(G536/B536)-0.5*H536</f>
        <v>3.1454522426571376</v>
      </c>
      <c r="J536" s="132"/>
      <c r="K536" s="133">
        <f>IF(A536&gt;$B$15,IF(I536&gt;Helper_calcs!$B$27,23,3),0)</f>
        <v>23</v>
      </c>
      <c r="L536">
        <f t="shared" si="66"/>
        <v>2</v>
      </c>
      <c r="M536">
        <f t="shared" ref="M536:M599" si="69">IF($B$16="N",L536,K536)</f>
        <v>2</v>
      </c>
      <c r="N536" s="132">
        <f t="shared" ref="N536:N599" si="70">IF(OR(M536=0,M536=1),A536,IF(OR(M536=2,M536=23),$B$14,G536/B536))</f>
        <v>3.375</v>
      </c>
      <c r="O536" s="132">
        <f t="shared" ref="O536:O599" si="71">N536*B536</f>
        <v>2.8361344537815523</v>
      </c>
      <c r="P536" s="134">
        <f>IF(OR(M536=0,M536=3),loop_gain!$B$18,IF(Current_limit!M536=1,Current_limit!$B$12/(2*(Current_limit!N536-Helper_calcs!$B$27)),IF(OR(M536=2,M536=23),(Main!$B$19-Current_limit!O536)*Current_limit!O536/(Main!$B$19*loop_gain!$B$17*(Helper_calcs!$B$26-Helper_calcs!$B$27)),x)))</f>
        <v>1519880.3979796399</v>
      </c>
      <c r="Q536" s="132"/>
    </row>
    <row r="537" spans="1:17" x14ac:dyDescent="0.3">
      <c r="A537">
        <f t="shared" si="64"/>
        <v>5.9599999999999165</v>
      </c>
      <c r="B537">
        <f>Main!$B$20/A537</f>
        <v>0.83892617449665607</v>
      </c>
      <c r="D537" s="132">
        <f t="shared" si="65"/>
        <v>0.83892617449665607</v>
      </c>
      <c r="E537" s="132">
        <f>-B537*Main!$B$19-2*Main!$B$19*loop_gain!$B$17*loop_gain!$B$18</f>
        <v>-85.667114093959881</v>
      </c>
      <c r="F537" s="132">
        <f>2*Main!$B$19*loop_gain!$B$17*loop_gain!$B$18*Helper_calcs!$B$26*Current_limit!B537</f>
        <v>244.17785234899677</v>
      </c>
      <c r="G537" s="132">
        <f t="shared" si="67"/>
        <v>2.9346479110020063</v>
      </c>
      <c r="H537" s="132">
        <f>(Main!$B$19-Current_limit!G537)*Current_limit!G537/(Main!$B$19*loop_gain!$B$17*loop_gain!$B$18)</f>
        <v>0.70379938017131305</v>
      </c>
      <c r="I537" s="132">
        <f t="shared" si="68"/>
        <v>3.1462006198286856</v>
      </c>
      <c r="J537" s="132"/>
      <c r="K537" s="133">
        <f>IF(A537&gt;$B$15,IF(I537&gt;Helper_calcs!$B$27,23,3),0)</f>
        <v>23</v>
      </c>
      <c r="L537">
        <f t="shared" si="66"/>
        <v>2</v>
      </c>
      <c r="M537">
        <f t="shared" si="69"/>
        <v>2</v>
      </c>
      <c r="N537" s="132">
        <f t="shared" si="70"/>
        <v>3.375</v>
      </c>
      <c r="O537" s="132">
        <f t="shared" si="71"/>
        <v>2.8313758389262143</v>
      </c>
      <c r="P537" s="134">
        <f>IF(OR(M537=0,M537=3),loop_gain!$B$18,IF(Current_limit!M537=1,Current_limit!$B$12/(2*(Current_limit!N537-Helper_calcs!$B$27)),IF(OR(M537=2,M537=23),(Main!$B$19-Current_limit!O537)*Current_limit!O537/(Main!$B$19*loop_gain!$B$17*(Helper_calcs!$B$26-Helper_calcs!$B$27)),x)))</f>
        <v>1518118.182798798</v>
      </c>
      <c r="Q537" s="132"/>
    </row>
    <row r="538" spans="1:17" x14ac:dyDescent="0.3">
      <c r="A538">
        <f t="shared" si="64"/>
        <v>5.9699999999999163</v>
      </c>
      <c r="B538">
        <f>Main!$B$20/A538</f>
        <v>0.83752093802346228</v>
      </c>
      <c r="D538" s="132">
        <f t="shared" si="65"/>
        <v>0.83752093802346228</v>
      </c>
      <c r="E538" s="132">
        <f>-B538*Main!$B$19-2*Main!$B$19*loop_gain!$B$17*loop_gain!$B$18</f>
        <v>-85.650251256281564</v>
      </c>
      <c r="F538" s="132">
        <f>2*Main!$B$19*loop_gain!$B$17*loop_gain!$B$18*Helper_calcs!$B$26*Current_limit!B538</f>
        <v>243.76884422110899</v>
      </c>
      <c r="G538" s="132">
        <f t="shared" si="67"/>
        <v>2.9300451007613355</v>
      </c>
      <c r="H538" s="132">
        <f>(Main!$B$19-Current_limit!G538)*Current_limit!G538/(Main!$B$19*loop_gain!$B$17*loop_gain!$B$18)</f>
        <v>0.70305229938202429</v>
      </c>
      <c r="I538" s="132">
        <f t="shared" si="68"/>
        <v>3.1469477006179734</v>
      </c>
      <c r="J538" s="132"/>
      <c r="K538" s="133">
        <f>IF(A538&gt;$B$15,IF(I538&gt;Helper_calcs!$B$27,23,3),0)</f>
        <v>23</v>
      </c>
      <c r="L538">
        <f t="shared" si="66"/>
        <v>2</v>
      </c>
      <c r="M538">
        <f t="shared" si="69"/>
        <v>2</v>
      </c>
      <c r="N538" s="132">
        <f t="shared" si="70"/>
        <v>3.375</v>
      </c>
      <c r="O538" s="132">
        <f t="shared" si="71"/>
        <v>2.8266331658291852</v>
      </c>
      <c r="P538" s="134">
        <f>IF(OR(M538=0,M538=3),loop_gain!$B$18,IF(Current_limit!M538=1,Current_limit!$B$12/(2*(Current_limit!N538-Helper_calcs!$B$27)),IF(OR(M538=2,M538=23),(Main!$B$19-Current_limit!O538)*Current_limit!O538/(Main!$B$19*loop_gain!$B$17*(Helper_calcs!$B$26-Helper_calcs!$B$27)),x)))</f>
        <v>1516359.2360108008</v>
      </c>
      <c r="Q538" s="132"/>
    </row>
    <row r="539" spans="1:17" x14ac:dyDescent="0.3">
      <c r="A539">
        <f t="shared" si="64"/>
        <v>5.979999999999916</v>
      </c>
      <c r="B539">
        <f>Main!$B$20/A539</f>
        <v>0.83612040133780441</v>
      </c>
      <c r="D539" s="132">
        <f t="shared" si="65"/>
        <v>0.83612040133780441</v>
      </c>
      <c r="E539" s="132">
        <f>-B539*Main!$B$19-2*Main!$B$19*loop_gain!$B$17*loop_gain!$B$18</f>
        <v>-85.633444816053668</v>
      </c>
      <c r="F539" s="132">
        <f>2*Main!$B$19*loop_gain!$B$17*loop_gain!$B$18*Helper_calcs!$B$26*Current_limit!B539</f>
        <v>243.36120401338141</v>
      </c>
      <c r="G539" s="132">
        <f t="shared" si="67"/>
        <v>2.9254571430685146</v>
      </c>
      <c r="H539" s="132">
        <f>(Main!$B$19-Current_limit!G539)*Current_limit!G539/(Main!$B$19*loop_gain!$B$17*loop_gain!$B$18)</f>
        <v>0.70230651378020037</v>
      </c>
      <c r="I539" s="132">
        <f t="shared" si="68"/>
        <v>3.1476934862197936</v>
      </c>
      <c r="J539" s="132"/>
      <c r="K539" s="133">
        <f>IF(A539&gt;$B$15,IF(I539&gt;Helper_calcs!$B$27,23,3),0)</f>
        <v>23</v>
      </c>
      <c r="L539">
        <f t="shared" si="66"/>
        <v>2</v>
      </c>
      <c r="M539">
        <f t="shared" si="69"/>
        <v>2</v>
      </c>
      <c r="N539" s="132">
        <f t="shared" si="70"/>
        <v>3.375</v>
      </c>
      <c r="O539" s="132">
        <f t="shared" si="71"/>
        <v>2.82190635451509</v>
      </c>
      <c r="P539" s="134">
        <f>IF(OR(M539=0,M539=3),loop_gain!$B$18,IF(Current_limit!M539=1,Current_limit!$B$12/(2*(Current_limit!N539-Helper_calcs!$B$27)),IF(OR(M539=2,M539=23),(Main!$B$19-Current_limit!O539)*Current_limit!O539/(Main!$B$19*loop_gain!$B$17*(Helper_calcs!$B$26-Helper_calcs!$B$27)),x)))</f>
        <v>1514603.5544168674</v>
      </c>
      <c r="Q539" s="132"/>
    </row>
    <row r="540" spans="1:17" x14ac:dyDescent="0.3">
      <c r="A540">
        <f t="shared" si="64"/>
        <v>5.9899999999999158</v>
      </c>
      <c r="B540">
        <f>Main!$B$20/A540</f>
        <v>0.83472454090151427</v>
      </c>
      <c r="D540" s="132">
        <f t="shared" si="65"/>
        <v>0.83472454090151427</v>
      </c>
      <c r="E540" s="132">
        <f>-B540*Main!$B$19-2*Main!$B$19*loop_gain!$B$17*loop_gain!$B$18</f>
        <v>-85.616694490818176</v>
      </c>
      <c r="F540" s="132">
        <f>2*Main!$B$19*loop_gain!$B$17*loop_gain!$B$18*Helper_calcs!$B$26*Current_limit!B540</f>
        <v>242.95492487479478</v>
      </c>
      <c r="G540" s="132">
        <f t="shared" si="67"/>
        <v>2.9208839640458302</v>
      </c>
      <c r="H540" s="132">
        <f>(Main!$B$19-Current_limit!G540)*Current_limit!G540/(Main!$B$19*loop_gain!$B$17*loop_gain!$B$18)</f>
        <v>0.70156202214629304</v>
      </c>
      <c r="I540" s="132">
        <f t="shared" si="68"/>
        <v>3.148437977853709</v>
      </c>
      <c r="J540" s="132"/>
      <c r="K540" s="133">
        <f>IF(A540&gt;$B$15,IF(I540&gt;Helper_calcs!$B$27,23,3),0)</f>
        <v>23</v>
      </c>
      <c r="L540">
        <f t="shared" si="66"/>
        <v>2</v>
      </c>
      <c r="M540">
        <f t="shared" si="69"/>
        <v>2</v>
      </c>
      <c r="N540" s="132">
        <f t="shared" si="70"/>
        <v>3.375</v>
      </c>
      <c r="O540" s="132">
        <f t="shared" si="71"/>
        <v>2.8171953255426105</v>
      </c>
      <c r="P540" s="134">
        <f>IF(OR(M540=0,M540=3),loop_gain!$B$18,IF(Current_limit!M540=1,Current_limit!$B$12/(2*(Current_limit!N540-Helper_calcs!$B$27)),IF(OR(M540=2,M540=23),(Main!$B$19-Current_limit!O540)*Current_limit!O540/(Main!$B$19*loop_gain!$B$17*(Helper_calcs!$B$26-Helper_calcs!$B$27)),x)))</f>
        <v>1512851.1347515902</v>
      </c>
      <c r="Q540" s="132"/>
    </row>
    <row r="541" spans="1:17" x14ac:dyDescent="0.3">
      <c r="A541">
        <f t="shared" si="64"/>
        <v>5.9999999999999156</v>
      </c>
      <c r="B541">
        <f>Main!$B$20/A541</f>
        <v>0.83333333333334503</v>
      </c>
      <c r="D541" s="132">
        <f t="shared" si="65"/>
        <v>0.83333333333334503</v>
      </c>
      <c r="E541" s="132">
        <f>-B541*Main!$B$19-2*Main!$B$19*loop_gain!$B$17*loop_gain!$B$18</f>
        <v>-85.600000000000151</v>
      </c>
      <c r="F541" s="132">
        <f>2*Main!$B$19*loop_gain!$B$17*loop_gain!$B$18*Helper_calcs!$B$26*Current_limit!B541</f>
        <v>242.55000000000345</v>
      </c>
      <c r="G541" s="132">
        <f t="shared" si="67"/>
        <v>2.9163254903181768</v>
      </c>
      <c r="H541" s="132">
        <f>(Main!$B$19-Current_limit!G541)*Current_limit!G541/(Main!$B$19*loop_gain!$B$17*loop_gain!$B$18)</f>
        <v>0.70081882323647005</v>
      </c>
      <c r="I541" s="132">
        <f t="shared" si="68"/>
        <v>3.1491811767635278</v>
      </c>
      <c r="J541" s="132"/>
      <c r="K541" s="133">
        <f>IF(A541&gt;$B$15,IF(I541&gt;Helper_calcs!$B$27,23,3),0)</f>
        <v>23</v>
      </c>
      <c r="L541">
        <f t="shared" si="66"/>
        <v>2</v>
      </c>
      <c r="M541">
        <f t="shared" si="69"/>
        <v>2</v>
      </c>
      <c r="N541" s="132">
        <f t="shared" si="70"/>
        <v>3.375</v>
      </c>
      <c r="O541" s="132">
        <f t="shared" si="71"/>
        <v>2.8125000000000395</v>
      </c>
      <c r="P541" s="134">
        <f>IF(OR(M541=0,M541=3),loop_gain!$B$18,IF(Current_limit!M541=1,Current_limit!$B$12/(2*(Current_limit!N541-Helper_calcs!$B$27)),IF(OR(M541=2,M541=23),(Main!$B$19-Current_limit!O541)*Current_limit!O541/(Main!$B$19*loop_gain!$B$17*(Helper_calcs!$B$26-Helper_calcs!$B$27)),x)))</f>
        <v>1511101.973684225</v>
      </c>
      <c r="Q541" s="132"/>
    </row>
    <row r="542" spans="1:17" x14ac:dyDescent="0.3">
      <c r="A542">
        <f t="shared" si="64"/>
        <v>6.0099999999999154</v>
      </c>
      <c r="B542">
        <f>Main!$B$20/A542</f>
        <v>0.83194675540766561</v>
      </c>
      <c r="D542" s="132">
        <f t="shared" si="65"/>
        <v>0.83194675540766561</v>
      </c>
      <c r="E542" s="132">
        <f>-B542*Main!$B$19-2*Main!$B$19*loop_gain!$B$17*loop_gain!$B$18</f>
        <v>-85.583361064891989</v>
      </c>
      <c r="F542" s="132">
        <f>2*Main!$B$19*loop_gain!$B$17*loop_gain!$B$18*Helper_calcs!$B$26*Current_limit!B542</f>
        <v>242.14642262895521</v>
      </c>
      <c r="G542" s="132">
        <f t="shared" si="67"/>
        <v>2.9117816490087423</v>
      </c>
      <c r="H542" s="132">
        <f>(Main!$B$19-Current_limit!G542)*Current_limit!G542/(Main!$B$19*loop_gain!$B$17*loop_gain!$B$18)</f>
        <v>0.70007691578309084</v>
      </c>
      <c r="I542" s="132">
        <f t="shared" si="68"/>
        <v>3.1499230842169137</v>
      </c>
      <c r="J542" s="132"/>
      <c r="K542" s="133">
        <f>IF(A542&gt;$B$15,IF(I542&gt;Helper_calcs!$B$27,23,3),0)</f>
        <v>23</v>
      </c>
      <c r="L542">
        <f t="shared" si="66"/>
        <v>2</v>
      </c>
      <c r="M542">
        <f t="shared" si="69"/>
        <v>2</v>
      </c>
      <c r="N542" s="132">
        <f t="shared" si="70"/>
        <v>3.375</v>
      </c>
      <c r="O542" s="132">
        <f t="shared" si="71"/>
        <v>2.8078202995008716</v>
      </c>
      <c r="P542" s="134">
        <f>IF(OR(M542=0,M542=3),loop_gain!$B$18,IF(Current_limit!M542=1,Current_limit!$B$12/(2*(Current_limit!N542-Helper_calcs!$B$27)),IF(OR(M542=2,M542=23),(Main!$B$19-Current_limit!O542)*Current_limit!O542/(Main!$B$19*loop_gain!$B$17*(Helper_calcs!$B$26-Helper_calcs!$B$27)),x)))</f>
        <v>1509356.0678199586</v>
      </c>
      <c r="Q542" s="132"/>
    </row>
    <row r="543" spans="1:17" x14ac:dyDescent="0.3">
      <c r="A543">
        <f t="shared" si="64"/>
        <v>6.0199999999999152</v>
      </c>
      <c r="B543">
        <f>Main!$B$20/A543</f>
        <v>0.8305647840531678</v>
      </c>
      <c r="D543" s="132">
        <f t="shared" si="65"/>
        <v>0.8305647840531678</v>
      </c>
      <c r="E543" s="132">
        <f>-B543*Main!$B$19-2*Main!$B$19*loop_gain!$B$17*loop_gain!$B$18</f>
        <v>-85.566777408638018</v>
      </c>
      <c r="F543" s="132">
        <f>2*Main!$B$19*loop_gain!$B$17*loop_gain!$B$18*Helper_calcs!$B$26*Current_limit!B543</f>
        <v>241.74418604651507</v>
      </c>
      <c r="G543" s="132">
        <f t="shared" si="67"/>
        <v>2.9072523677346114</v>
      </c>
      <c r="H543" s="132">
        <f>(Main!$B$19-Current_limit!G543)*Current_limit!G543/(Main!$B$19*loop_gain!$B$17*loop_gain!$B$18)</f>
        <v>0.69933629849515433</v>
      </c>
      <c r="I543" s="132">
        <f t="shared" si="68"/>
        <v>3.1506637015048455</v>
      </c>
      <c r="J543" s="132"/>
      <c r="K543" s="133">
        <f>IF(A543&gt;$B$15,IF(I543&gt;Helper_calcs!$B$27,23,3),0)</f>
        <v>23</v>
      </c>
      <c r="L543">
        <f t="shared" si="66"/>
        <v>2</v>
      </c>
      <c r="M543">
        <f t="shared" si="69"/>
        <v>2</v>
      </c>
      <c r="N543" s="132">
        <f t="shared" si="70"/>
        <v>3.375</v>
      </c>
      <c r="O543" s="132">
        <f t="shared" si="71"/>
        <v>2.8031561461794414</v>
      </c>
      <c r="P543" s="134">
        <f>IF(OR(M543=0,M543=3),loop_gain!$B$18,IF(Current_limit!M543=1,Current_limit!$B$12/(2*(Current_limit!N543-Helper_calcs!$B$27)),IF(OR(M543=2,M543=23),(Main!$B$19-Current_limit!O543)*Current_limit!O543/(Main!$B$19*loop_gain!$B$17*(Helper_calcs!$B$26-Helper_calcs!$B$27)),x)))</f>
        <v>1507613.4137011529</v>
      </c>
      <c r="Q543" s="132"/>
    </row>
    <row r="544" spans="1:17" x14ac:dyDescent="0.3">
      <c r="A544">
        <f t="shared" si="64"/>
        <v>6.029999999999915</v>
      </c>
      <c r="B544">
        <f>Main!$B$20/A544</f>
        <v>0.82918739635158711</v>
      </c>
      <c r="D544" s="132">
        <f t="shared" si="65"/>
        <v>0.82918739635158711</v>
      </c>
      <c r="E544" s="132">
        <f>-B544*Main!$B$19-2*Main!$B$19*loop_gain!$B$17*loop_gain!$B$18</f>
        <v>-85.550248756219048</v>
      </c>
      <c r="F544" s="132">
        <f>2*Main!$B$19*loop_gain!$B$17*loop_gain!$B$18*Helper_calcs!$B$26*Current_limit!B544</f>
        <v>241.34328358209299</v>
      </c>
      <c r="G544" s="132">
        <f t="shared" si="67"/>
        <v>2.902737574602547</v>
      </c>
      <c r="H544" s="132">
        <f>(Main!$B$19-Current_limit!G544)*Current_limit!G544/(Main!$B$19*loop_gain!$B$17*loop_gain!$B$18)</f>
        <v>0.69859697005875887</v>
      </c>
      <c r="I544" s="132">
        <f t="shared" si="68"/>
        <v>3.151403029941243</v>
      </c>
      <c r="J544" s="132"/>
      <c r="K544" s="133">
        <f>IF(A544&gt;$B$15,IF(I544&gt;Helper_calcs!$B$27,23,3),0)</f>
        <v>23</v>
      </c>
      <c r="L544">
        <f t="shared" si="66"/>
        <v>2</v>
      </c>
      <c r="M544">
        <f t="shared" si="69"/>
        <v>2</v>
      </c>
      <c r="N544" s="132">
        <f t="shared" si="70"/>
        <v>3.375</v>
      </c>
      <c r="O544" s="132">
        <f t="shared" si="71"/>
        <v>2.7985074626866067</v>
      </c>
      <c r="P544" s="134">
        <f>IF(OR(M544=0,M544=3),loop_gain!$B$18,IF(Current_limit!M544=1,Current_limit!$B$12/(2*(Current_limit!N544-Helper_calcs!$B$27)),IF(OR(M544=2,M544=23),(Main!$B$19-Current_limit!O544)*Current_limit!O544/(Main!$B$19*loop_gain!$B$17*(Helper_calcs!$B$26-Helper_calcs!$B$27)),x)))</f>
        <v>1505874.0078085759</v>
      </c>
      <c r="Q544" s="132"/>
    </row>
    <row r="545" spans="1:17" x14ac:dyDescent="0.3">
      <c r="A545">
        <f t="shared" ref="A545:A608" si="72">A544+0.01</f>
        <v>6.0399999999999148</v>
      </c>
      <c r="B545">
        <f>Main!$B$20/A545</f>
        <v>0.82781456953643551</v>
      </c>
      <c r="D545" s="132">
        <f t="shared" si="65"/>
        <v>0.82781456953643551</v>
      </c>
      <c r="E545" s="132">
        <f>-B545*Main!$B$19-2*Main!$B$19*loop_gain!$B$17*loop_gain!$B$18</f>
        <v>-85.533774834437239</v>
      </c>
      <c r="F545" s="132">
        <f>2*Main!$B$19*loop_gain!$B$17*loop_gain!$B$18*Helper_calcs!$B$26*Current_limit!B545</f>
        <v>240.94370860927498</v>
      </c>
      <c r="G545" s="132">
        <f t="shared" si="67"/>
        <v>2.8982371982046988</v>
      </c>
      <c r="H545" s="132">
        <f>(Main!$B$19-Current_limit!G545)*Current_limit!G545/(Main!$B$19*loop_gain!$B$17*loop_gain!$B$18)</f>
        <v>0.69785892913753855</v>
      </c>
      <c r="I545" s="132">
        <f t="shared" si="68"/>
        <v>3.1521410708624575</v>
      </c>
      <c r="J545" s="132"/>
      <c r="K545" s="133">
        <f>IF(A545&gt;$B$15,IF(I545&gt;Helper_calcs!$B$27,23,3),0)</f>
        <v>23</v>
      </c>
      <c r="L545">
        <f t="shared" si="66"/>
        <v>2</v>
      </c>
      <c r="M545">
        <f t="shared" si="69"/>
        <v>2</v>
      </c>
      <c r="N545" s="132">
        <f t="shared" si="70"/>
        <v>3.375</v>
      </c>
      <c r="O545" s="132">
        <f t="shared" si="71"/>
        <v>2.7938741721854696</v>
      </c>
      <c r="P545" s="134">
        <f>IF(OR(M545=0,M545=3),loop_gain!$B$18,IF(Current_limit!M545=1,Current_limit!$B$12/(2*(Current_limit!N545-Helper_calcs!$B$27)),IF(OR(M545=2,M545=23),(Main!$B$19-Current_limit!O545)*Current_limit!O545/(Main!$B$19*loop_gain!$B$17*(Helper_calcs!$B$26-Helper_calcs!$B$27)),x)))</f>
        <v>1504137.8465626074</v>
      </c>
      <c r="Q545" s="132"/>
    </row>
    <row r="546" spans="1:17" x14ac:dyDescent="0.3">
      <c r="A546">
        <f t="shared" si="72"/>
        <v>6.0499999999999146</v>
      </c>
      <c r="B546">
        <f>Main!$B$20/A546</f>
        <v>0.82644628099174722</v>
      </c>
      <c r="D546" s="132">
        <f t="shared" si="65"/>
        <v>0.82644628099174722</v>
      </c>
      <c r="E546" s="132">
        <f>-B546*Main!$B$19-2*Main!$B$19*loop_gain!$B$17*loop_gain!$B$18</f>
        <v>-85.517355371900976</v>
      </c>
      <c r="F546" s="132">
        <f>2*Main!$B$19*loop_gain!$B$17*loop_gain!$B$18*Helper_calcs!$B$26*Current_limit!B546</f>
        <v>240.545454545458</v>
      </c>
      <c r="G546" s="132">
        <f t="shared" si="67"/>
        <v>2.8937511676144614</v>
      </c>
      <c r="H546" s="132">
        <f>(Main!$B$19-Current_limit!G546)*Current_limit!G546/(Main!$B$19*loop_gain!$B$17*loop_gain!$B$18)</f>
        <v>0.69712217437310786</v>
      </c>
      <c r="I546" s="132">
        <f t="shared" si="68"/>
        <v>3.1528778256268946</v>
      </c>
      <c r="J546" s="132"/>
      <c r="K546" s="133">
        <f>IF(A546&gt;$B$15,IF(I546&gt;Helper_calcs!$B$27,23,3),0)</f>
        <v>23</v>
      </c>
      <c r="L546">
        <f t="shared" si="66"/>
        <v>2</v>
      </c>
      <c r="M546">
        <f t="shared" si="69"/>
        <v>2</v>
      </c>
      <c r="N546" s="132">
        <f t="shared" si="70"/>
        <v>3.375</v>
      </c>
      <c r="O546" s="132">
        <f t="shared" si="71"/>
        <v>2.7892561983471467</v>
      </c>
      <c r="P546" s="134">
        <f>IF(OR(M546=0,M546=3),loop_gain!$B$18,IF(Current_limit!M546=1,Current_limit!$B$12/(2*(Current_limit!N546-Helper_calcs!$B$27)),IF(OR(M546=2,M546=23),(Main!$B$19-Current_limit!O546)*Current_limit!O546/(Main!$B$19*loop_gain!$B$17*(Helper_calcs!$B$26-Helper_calcs!$B$27)),x)))</f>
        <v>1502404.9263244316</v>
      </c>
      <c r="Q546" s="132"/>
    </row>
    <row r="547" spans="1:17" x14ac:dyDescent="0.3">
      <c r="A547">
        <f t="shared" si="72"/>
        <v>6.0599999999999143</v>
      </c>
      <c r="B547">
        <f>Main!$B$20/A547</f>
        <v>0.82508250825083673</v>
      </c>
      <c r="D547" s="132">
        <f t="shared" si="65"/>
        <v>0.82508250825083673</v>
      </c>
      <c r="E547" s="132">
        <f>-B547*Main!$B$19-2*Main!$B$19*loop_gain!$B$17*loop_gain!$B$18</f>
        <v>-85.500990099010053</v>
      </c>
      <c r="F547" s="132">
        <f>2*Main!$B$19*loop_gain!$B$17*loop_gain!$B$18*Helper_calcs!$B$26*Current_limit!B547</f>
        <v>240.14851485148859</v>
      </c>
      <c r="G547" s="132">
        <f t="shared" si="67"/>
        <v>2.8892794123822649</v>
      </c>
      <c r="H547" s="132">
        <f>(Main!$B$19-Current_limit!G547)*Current_limit!G547/(Main!$B$19*loop_gain!$B$17*loop_gain!$B$18)</f>
        <v>0.69638670438548067</v>
      </c>
      <c r="I547" s="132">
        <f t="shared" si="68"/>
        <v>3.1536132956145151</v>
      </c>
      <c r="J547" s="132"/>
      <c r="K547" s="133">
        <f>IF(A547&gt;$B$15,IF(I547&gt;Helper_calcs!$B$27,23,3),0)</f>
        <v>23</v>
      </c>
      <c r="L547">
        <f t="shared" si="66"/>
        <v>2</v>
      </c>
      <c r="M547">
        <f t="shared" si="69"/>
        <v>2</v>
      </c>
      <c r="N547" s="132">
        <f t="shared" si="70"/>
        <v>3.375</v>
      </c>
      <c r="O547" s="132">
        <f t="shared" si="71"/>
        <v>2.7846534653465738</v>
      </c>
      <c r="P547" s="134">
        <f>IF(OR(M547=0,M547=3),loop_gain!$B$18,IF(Current_limit!M547=1,Current_limit!$B$12/(2*(Current_limit!N547-Helper_calcs!$B$27)),IF(OR(M547=2,M547=23),(Main!$B$19-Current_limit!O547)*Current_limit!O547/(Main!$B$19*loop_gain!$B$17*(Helper_calcs!$B$26-Helper_calcs!$B$27)),x)))</f>
        <v>1500675.2433972047</v>
      </c>
      <c r="Q547" s="132"/>
    </row>
    <row r="548" spans="1:17" x14ac:dyDescent="0.3">
      <c r="A548">
        <f t="shared" si="72"/>
        <v>6.0699999999999141</v>
      </c>
      <c r="B548">
        <f>Main!$B$20/A548</f>
        <v>0.82372322899506933</v>
      </c>
      <c r="D548" s="132">
        <f t="shared" si="65"/>
        <v>0.82372322899506933</v>
      </c>
      <c r="E548" s="132">
        <f>-B548*Main!$B$19-2*Main!$B$19*loop_gain!$B$17*loop_gain!$B$18</f>
        <v>-85.484678747940848</v>
      </c>
      <c r="F548" s="132">
        <f>2*Main!$B$19*loop_gain!$B$17*loop_gain!$B$18*Helper_calcs!$B$26*Current_limit!B548</f>
        <v>239.75288303130492</v>
      </c>
      <c r="G548" s="132">
        <f t="shared" si="67"/>
        <v>2.8848218625315507</v>
      </c>
      <c r="H548" s="132">
        <f>(Main!$B$19-Current_limit!G548)*Current_limit!G548/(Main!$B$19*loop_gain!$B$17*loop_gain!$B$18)</f>
        <v>0.69565251777350789</v>
      </c>
      <c r="I548" s="132">
        <f t="shared" si="68"/>
        <v>3.1543474822264992</v>
      </c>
      <c r="J548" s="132"/>
      <c r="K548" s="133">
        <f>IF(A548&gt;$B$15,IF(I548&gt;Helper_calcs!$B$27,23,3),0)</f>
        <v>23</v>
      </c>
      <c r="L548">
        <f t="shared" si="66"/>
        <v>2</v>
      </c>
      <c r="M548">
        <f t="shared" si="69"/>
        <v>2</v>
      </c>
      <c r="N548" s="132">
        <f t="shared" si="70"/>
        <v>3.375</v>
      </c>
      <c r="O548" s="132">
        <f t="shared" si="71"/>
        <v>2.7800658978583588</v>
      </c>
      <c r="P548" s="134">
        <f>IF(OR(M548=0,M548=3),loop_gain!$B$18,IF(Current_limit!M548=1,Current_limit!$B$12/(2*(Current_limit!N548-Helper_calcs!$B$27)),IF(OR(M548=2,M548=23),(Main!$B$19-Current_limit!O548)*Current_limit!O548/(Main!$B$19*loop_gain!$B$17*(Helper_calcs!$B$26-Helper_calcs!$B$27)),x)))</f>
        <v>1498948.7940272104</v>
      </c>
      <c r="Q548" s="132"/>
    </row>
    <row r="549" spans="1:17" x14ac:dyDescent="0.3">
      <c r="A549">
        <f t="shared" si="72"/>
        <v>6.0799999999999139</v>
      </c>
      <c r="B549">
        <f>Main!$B$20/A549</f>
        <v>0.82236842105264318</v>
      </c>
      <c r="D549" s="132">
        <f t="shared" si="65"/>
        <v>0.82236842105264318</v>
      </c>
      <c r="E549" s="132">
        <f>-B549*Main!$B$19-2*Main!$B$19*loop_gain!$B$17*loop_gain!$B$18</f>
        <v>-85.468421052631726</v>
      </c>
      <c r="F549" s="132">
        <f>2*Main!$B$19*loop_gain!$B$17*loop_gain!$B$18*Helper_calcs!$B$26*Current_limit!B549</f>
        <v>239.35855263158237</v>
      </c>
      <c r="G549" s="132">
        <f t="shared" si="67"/>
        <v>2.8803784485546169</v>
      </c>
      <c r="H549" s="132">
        <f>(Main!$B$19-Current_limit!G549)*Current_limit!G549/(Main!$B$19*loop_gain!$B$17*loop_gain!$B$18)</f>
        <v>0.69491961311527783</v>
      </c>
      <c r="I549" s="132">
        <f t="shared" si="68"/>
        <v>3.1550803868847255</v>
      </c>
      <c r="J549" s="132"/>
      <c r="K549" s="133">
        <f>IF(A549&gt;$B$15,IF(I549&gt;Helper_calcs!$B$27,23,3),0)</f>
        <v>23</v>
      </c>
      <c r="L549">
        <f t="shared" si="66"/>
        <v>2</v>
      </c>
      <c r="M549">
        <f t="shared" si="69"/>
        <v>2</v>
      </c>
      <c r="N549" s="132">
        <f t="shared" si="70"/>
        <v>3.375</v>
      </c>
      <c r="O549" s="132">
        <f t="shared" si="71"/>
        <v>2.7754934210526709</v>
      </c>
      <c r="P549" s="134">
        <f>IF(OR(M549=0,M549=3),loop_gain!$B$18,IF(Current_limit!M549=1,Current_limit!$B$12/(2*(Current_limit!N549-Helper_calcs!$B$27)),IF(OR(M549=2,M549=23),(Main!$B$19-Current_limit!O549)*Current_limit!O549/(Main!$B$19*loop_gain!$B$17*(Helper_calcs!$B$26-Helper_calcs!$B$27)),x)))</f>
        <v>1497225.5744049936</v>
      </c>
      <c r="Q549" s="132"/>
    </row>
    <row r="550" spans="1:17" x14ac:dyDescent="0.3">
      <c r="A550">
        <f t="shared" si="72"/>
        <v>6.0899999999999137</v>
      </c>
      <c r="B550">
        <f>Main!$B$20/A550</f>
        <v>0.8210180623973844</v>
      </c>
      <c r="D550" s="132">
        <f t="shared" si="65"/>
        <v>0.8210180623973844</v>
      </c>
      <c r="E550" s="132">
        <f>-B550*Main!$B$19-2*Main!$B$19*loop_gain!$B$17*loop_gain!$B$18</f>
        <v>-85.45221674876862</v>
      </c>
      <c r="F550" s="132">
        <f>2*Main!$B$19*loop_gain!$B$17*loop_gain!$B$18*Helper_calcs!$B$26*Current_limit!B550</f>
        <v>238.96551724138274</v>
      </c>
      <c r="G550" s="132">
        <f t="shared" si="67"/>
        <v>2.8759491014086858</v>
      </c>
      <c r="H550" s="132">
        <f>(Main!$B$19-Current_limit!G550)*Current_limit!G550/(Main!$B$19*loop_gain!$B$17*loop_gain!$B$18)</f>
        <v>0.69418798896853962</v>
      </c>
      <c r="I550" s="132">
        <f t="shared" si="68"/>
        <v>3.1558120110314598</v>
      </c>
      <c r="J550" s="132"/>
      <c r="K550" s="133">
        <f>IF(A550&gt;$B$15,IF(I550&gt;Helper_calcs!$B$27,23,3),0)</f>
        <v>23</v>
      </c>
      <c r="L550">
        <f t="shared" si="66"/>
        <v>2</v>
      </c>
      <c r="M550">
        <f t="shared" si="69"/>
        <v>2</v>
      </c>
      <c r="N550" s="132">
        <f t="shared" si="70"/>
        <v>3.375</v>
      </c>
      <c r="O550" s="132">
        <f t="shared" si="71"/>
        <v>2.7709359605911725</v>
      </c>
      <c r="P550" s="134">
        <f>IF(OR(M550=0,M550=3),loop_gain!$B$18,IF(Current_limit!M550=1,Current_limit!$B$12/(2*(Current_limit!N550-Helper_calcs!$B$27)),IF(OR(M550=2,M550=23),(Main!$B$19-Current_limit!O550)*Current_limit!O550/(Main!$B$19*loop_gain!$B$17*(Helper_calcs!$B$26-Helper_calcs!$B$27)),x)))</f>
        <v>1495505.5806664762</v>
      </c>
      <c r="Q550" s="132"/>
    </row>
    <row r="551" spans="1:17" x14ac:dyDescent="0.3">
      <c r="A551">
        <f t="shared" si="72"/>
        <v>6.0999999999999135</v>
      </c>
      <c r="B551">
        <f>Main!$B$20/A551</f>
        <v>0.81967213114755266</v>
      </c>
      <c r="D551" s="132">
        <f t="shared" si="65"/>
        <v>0.81967213114755266</v>
      </c>
      <c r="E551" s="132">
        <f>-B551*Main!$B$19-2*Main!$B$19*loop_gain!$B$17*loop_gain!$B$18</f>
        <v>-85.436065573770634</v>
      </c>
      <c r="F551" s="132">
        <f>2*Main!$B$19*loop_gain!$B$17*loop_gain!$B$18*Helper_calcs!$B$26*Current_limit!B551</f>
        <v>238.57377049180673</v>
      </c>
      <c r="G551" s="132">
        <f t="shared" si="67"/>
        <v>2.8715337525118869</v>
      </c>
      <c r="H551" s="132">
        <f>(Main!$B$19-Current_limit!G551)*Current_limit!G551/(Main!$B$19*loop_gain!$B$17*loop_gain!$B$18)</f>
        <v>0.69345764387110165</v>
      </c>
      <c r="I551" s="132">
        <f t="shared" si="68"/>
        <v>3.1565423561289014</v>
      </c>
      <c r="J551" s="132"/>
      <c r="K551" s="133">
        <f>IF(A551&gt;$B$15,IF(I551&gt;Helper_calcs!$B$27,23,3),0)</f>
        <v>23</v>
      </c>
      <c r="L551">
        <f t="shared" si="66"/>
        <v>2</v>
      </c>
      <c r="M551">
        <f t="shared" si="69"/>
        <v>2</v>
      </c>
      <c r="N551" s="132">
        <f t="shared" si="70"/>
        <v>3.375</v>
      </c>
      <c r="O551" s="132">
        <f t="shared" si="71"/>
        <v>2.7663934426229901</v>
      </c>
      <c r="P551" s="134">
        <f>IF(OR(M551=0,M551=3),loop_gain!$B$18,IF(Current_limit!M551=1,Current_limit!$B$12/(2*(Current_limit!N551-Helper_calcs!$B$27)),IF(OR(M551=2,M551=23),(Main!$B$19-Current_limit!O551)*Current_limit!O551/(Main!$B$19*loop_gain!$B$17*(Helper_calcs!$B$26-Helper_calcs!$B$27)),x)))</f>
        <v>1493788.8088940585</v>
      </c>
      <c r="Q551" s="132"/>
    </row>
    <row r="552" spans="1:17" x14ac:dyDescent="0.3">
      <c r="A552">
        <f t="shared" si="72"/>
        <v>6.1099999999999133</v>
      </c>
      <c r="B552">
        <f>Main!$B$20/A552</f>
        <v>0.81833060556465975</v>
      </c>
      <c r="D552" s="132">
        <f t="shared" si="65"/>
        <v>0.81833060556465975</v>
      </c>
      <c r="E552" s="132">
        <f>-B552*Main!$B$19-2*Main!$B$19*loop_gain!$B$17*loop_gain!$B$18</f>
        <v>-85.419967266775927</v>
      </c>
      <c r="F552" s="132">
        <f>2*Main!$B$19*loop_gain!$B$17*loop_gain!$B$18*Helper_calcs!$B$26*Current_limit!B552</f>
        <v>238.18330605564992</v>
      </c>
      <c r="G552" s="132">
        <f t="shared" si="67"/>
        <v>2.8671323337393129</v>
      </c>
      <c r="H552" s="132">
        <f>(Main!$B$19-Current_limit!G552)*Current_limit!G552/(Main!$B$19*loop_gain!$B$17*loop_gain!$B$18)</f>
        <v>0.6927285763412252</v>
      </c>
      <c r="I552" s="132">
        <f t="shared" si="68"/>
        <v>3.157271423658778</v>
      </c>
      <c r="J552" s="132"/>
      <c r="K552" s="133">
        <f>IF(A552&gt;$B$15,IF(I552&gt;Helper_calcs!$B$27,23,3),0)</f>
        <v>23</v>
      </c>
      <c r="L552">
        <f t="shared" si="66"/>
        <v>2</v>
      </c>
      <c r="M552">
        <f t="shared" si="69"/>
        <v>2</v>
      </c>
      <c r="N552" s="132">
        <f t="shared" si="70"/>
        <v>3.375</v>
      </c>
      <c r="O552" s="132">
        <f t="shared" si="71"/>
        <v>2.7618657937807267</v>
      </c>
      <c r="P552" s="134">
        <f>IF(OR(M552=0,M552=3),loop_gain!$B$18,IF(Current_limit!M552=1,Current_limit!$B$12/(2*(Current_limit!N552-Helper_calcs!$B$27)),IF(OR(M552=2,M552=23),(Main!$B$19-Current_limit!O552)*Current_limit!O552/(Main!$B$19*loop_gain!$B$17*(Helper_calcs!$B$26-Helper_calcs!$B$27)),x)))</f>
        <v>1492075.2551177002</v>
      </c>
      <c r="Q552" s="132"/>
    </row>
    <row r="553" spans="1:17" x14ac:dyDescent="0.3">
      <c r="A553">
        <f t="shared" si="72"/>
        <v>6.1199999999999131</v>
      </c>
      <c r="B553">
        <f>Main!$B$20/A553</f>
        <v>0.81699346405229922</v>
      </c>
      <c r="D553" s="132">
        <f t="shared" si="65"/>
        <v>0.81699346405229922</v>
      </c>
      <c r="E553" s="132">
        <f>-B553*Main!$B$19-2*Main!$B$19*loop_gain!$B$17*loop_gain!$B$18</f>
        <v>-85.403921568627595</v>
      </c>
      <c r="F553" s="132">
        <f>2*Main!$B$19*loop_gain!$B$17*loop_gain!$B$18*Helper_calcs!$B$26*Current_limit!B553</f>
        <v>237.79411764706225</v>
      </c>
      <c r="G553" s="132">
        <f t="shared" si="67"/>
        <v>2.862744777419147</v>
      </c>
      <c r="H553" s="132">
        <f>(Main!$B$19-Current_limit!G553)*Current_limit!G553/(Main!$B$19*loop_gain!$B$17*loop_gain!$B$18)</f>
        <v>0.69200078487802008</v>
      </c>
      <c r="I553" s="132">
        <f t="shared" si="68"/>
        <v>3.1579992151219756</v>
      </c>
      <c r="J553" s="132"/>
      <c r="K553" s="133">
        <f>IF(A553&gt;$B$15,IF(I553&gt;Helper_calcs!$B$27,23,3),0)</f>
        <v>23</v>
      </c>
      <c r="L553">
        <f t="shared" si="66"/>
        <v>2</v>
      </c>
      <c r="M553">
        <f t="shared" si="69"/>
        <v>2</v>
      </c>
      <c r="N553" s="132">
        <f t="shared" si="70"/>
        <v>3.375</v>
      </c>
      <c r="O553" s="132">
        <f t="shared" si="71"/>
        <v>2.7573529411765101</v>
      </c>
      <c r="P553" s="134">
        <f>IF(OR(M553=0,M553=3),loop_gain!$B$18,IF(Current_limit!M553=1,Current_limit!$B$12/(2*(Current_limit!N553-Helper_calcs!$B$27)),IF(OR(M553=2,M553=23),(Main!$B$19-Current_limit!O553)*Current_limit!O553/(Main!$B$19*loop_gain!$B$17*(Helper_calcs!$B$26-Helper_calcs!$B$27)),x)))</f>
        <v>1490364.9153159864</v>
      </c>
      <c r="Q553" s="132"/>
    </row>
    <row r="554" spans="1:17" x14ac:dyDescent="0.3">
      <c r="A554">
        <f t="shared" si="72"/>
        <v>6.1299999999999129</v>
      </c>
      <c r="B554">
        <f>Main!$B$20/A554</f>
        <v>0.81566068515498713</v>
      </c>
      <c r="D554" s="132">
        <f t="shared" si="65"/>
        <v>0.81566068515498713</v>
      </c>
      <c r="E554" s="132">
        <f>-B554*Main!$B$19-2*Main!$B$19*loop_gain!$B$17*loop_gain!$B$18</f>
        <v>-85.387928221859852</v>
      </c>
      <c r="F554" s="132">
        <f>2*Main!$B$19*loop_gain!$B$17*loop_gain!$B$18*Helper_calcs!$B$26*Current_limit!B554</f>
        <v>237.4061990212106</v>
      </c>
      <c r="G554" s="132">
        <f t="shared" si="67"/>
        <v>2.8583710163288245</v>
      </c>
      <c r="H554" s="132">
        <f>(Main!$B$19-Current_limit!G554)*Current_limit!G554/(Main!$B$19*loop_gain!$B$17*loop_gain!$B$18)</f>
        <v>0.69127426796183111</v>
      </c>
      <c r="I554" s="132">
        <f t="shared" si="68"/>
        <v>3.1587257320381732</v>
      </c>
      <c r="J554" s="132"/>
      <c r="K554" s="133">
        <f>IF(A554&gt;$B$15,IF(I554&gt;Helper_calcs!$B$27,23,3),0)</f>
        <v>23</v>
      </c>
      <c r="L554">
        <f t="shared" si="66"/>
        <v>2</v>
      </c>
      <c r="M554">
        <f t="shared" si="69"/>
        <v>2</v>
      </c>
      <c r="N554" s="132">
        <f t="shared" si="70"/>
        <v>3.375</v>
      </c>
      <c r="O554" s="132">
        <f t="shared" si="71"/>
        <v>2.7528548123980814</v>
      </c>
      <c r="P554" s="134">
        <f>IF(OR(M554=0,M554=3),loop_gain!$B$18,IF(Current_limit!M554=1,Current_limit!$B$12/(2*(Current_limit!N554-Helper_calcs!$B$27)),IF(OR(M554=2,M554=23),(Main!$B$19-Current_limit!O554)*Current_limit!O554/(Main!$B$19*loop_gain!$B$17*(Helper_calcs!$B$26-Helper_calcs!$B$27)),x)))</f>
        <v>1488657.7854171754</v>
      </c>
      <c r="Q554" s="132"/>
    </row>
    <row r="555" spans="1:17" x14ac:dyDescent="0.3">
      <c r="A555">
        <f t="shared" si="72"/>
        <v>6.1399999999999126</v>
      </c>
      <c r="B555">
        <f>Main!$B$20/A555</f>
        <v>0.81433224755701483</v>
      </c>
      <c r="D555" s="132">
        <f t="shared" si="65"/>
        <v>0.81433224755701483</v>
      </c>
      <c r="E555" s="132">
        <f>-B555*Main!$B$19-2*Main!$B$19*loop_gain!$B$17*loop_gain!$B$18</f>
        <v>-85.371986970684191</v>
      </c>
      <c r="F555" s="132">
        <f>2*Main!$B$19*loop_gain!$B$17*loop_gain!$B$18*Helper_calcs!$B$26*Current_limit!B555</f>
        <v>237.01954397394479</v>
      </c>
      <c r="G555" s="132">
        <f t="shared" si="67"/>
        <v>2.8540109836911656</v>
      </c>
      <c r="H555" s="132">
        <f>(Main!$B$19-Current_limit!G555)*Current_limit!G555/(Main!$B$19*loop_gain!$B$17*loop_gain!$B$18)</f>
        <v>0.69054902405460772</v>
      </c>
      <c r="I555" s="132">
        <f t="shared" si="68"/>
        <v>3.1594509759453975</v>
      </c>
      <c r="J555" s="132"/>
      <c r="K555" s="133">
        <f>IF(A555&gt;$B$15,IF(I555&gt;Helper_calcs!$B$27,23,3),0)</f>
        <v>23</v>
      </c>
      <c r="L555">
        <f t="shared" si="66"/>
        <v>2</v>
      </c>
      <c r="M555">
        <f t="shared" si="69"/>
        <v>2</v>
      </c>
      <c r="N555" s="132">
        <f t="shared" si="70"/>
        <v>3.375</v>
      </c>
      <c r="O555" s="132">
        <f t="shared" si="71"/>
        <v>2.7483713355049249</v>
      </c>
      <c r="P555" s="134">
        <f>IF(OR(M555=0,M555=3),loop_gain!$B$18,IF(Current_limit!M555=1,Current_limit!$B$12/(2*(Current_limit!N555-Helper_calcs!$B$27)),IF(OR(M555=2,M555=23),(Main!$B$19-Current_limit!O555)*Current_limit!O555/(Main!$B$19*loop_gain!$B$17*(Helper_calcs!$B$26-Helper_calcs!$B$27)),x)))</f>
        <v>1486953.8613002324</v>
      </c>
      <c r="Q555" s="132"/>
    </row>
    <row r="556" spans="1:17" x14ac:dyDescent="0.3">
      <c r="A556">
        <f t="shared" si="72"/>
        <v>6.1499999999999124</v>
      </c>
      <c r="B556">
        <f>Main!$B$20/A556</f>
        <v>0.81300813008131234</v>
      </c>
      <c r="D556" s="132">
        <f t="shared" si="65"/>
        <v>0.81300813008131234</v>
      </c>
      <c r="E556" s="132">
        <f>-B556*Main!$B$19-2*Main!$B$19*loop_gain!$B$17*loop_gain!$B$18</f>
        <v>-85.356097560975755</v>
      </c>
      <c r="F556" s="132">
        <f>2*Main!$B$19*loop_gain!$B$17*loop_gain!$B$18*Helper_calcs!$B$26*Current_limit!B556</f>
        <v>236.63414634146682</v>
      </c>
      <c r="G556" s="132">
        <f t="shared" si="67"/>
        <v>2.8496646131706571</v>
      </c>
      <c r="H556" s="132">
        <f>(Main!$B$19-Current_limit!G556)*Current_limit!G556/(Main!$B$19*loop_gain!$B$17*loop_gain!$B$18)</f>
        <v>0.68982505160028607</v>
      </c>
      <c r="I556" s="132">
        <f t="shared" si="68"/>
        <v>3.1601749483997157</v>
      </c>
      <c r="J556" s="132"/>
      <c r="K556" s="133">
        <f>IF(A556&gt;$B$15,IF(I556&gt;Helper_calcs!$B$27,23,3),0)</f>
        <v>23</v>
      </c>
      <c r="L556">
        <f t="shared" si="66"/>
        <v>2</v>
      </c>
      <c r="M556">
        <f t="shared" si="69"/>
        <v>2</v>
      </c>
      <c r="N556" s="132">
        <f t="shared" si="70"/>
        <v>3.375</v>
      </c>
      <c r="O556" s="132">
        <f t="shared" si="71"/>
        <v>2.7439024390244291</v>
      </c>
      <c r="P556" s="134">
        <f>IF(OR(M556=0,M556=3),loop_gain!$B$18,IF(Current_limit!M556=1,Current_limit!$B$12/(2*(Current_limit!N556-Helper_calcs!$B$27)),IF(OR(M556=2,M556=23),(Main!$B$19-Current_limit!O556)*Current_limit!O556/(Main!$B$19*loop_gain!$B$17*(Helper_calcs!$B$26-Helper_calcs!$B$27)),x)))</f>
        <v>1485253.138795844</v>
      </c>
      <c r="Q556" s="132"/>
    </row>
    <row r="557" spans="1:17" x14ac:dyDescent="0.3">
      <c r="A557">
        <f t="shared" si="72"/>
        <v>6.1599999999999122</v>
      </c>
      <c r="B557">
        <f>Main!$B$20/A557</f>
        <v>0.81168831168832323</v>
      </c>
      <c r="D557" s="132">
        <f t="shared" si="65"/>
        <v>0.81168831168832323</v>
      </c>
      <c r="E557" s="132">
        <f>-B557*Main!$B$19-2*Main!$B$19*loop_gain!$B$17*loop_gain!$B$18</f>
        <v>-85.340259740259881</v>
      </c>
      <c r="F557" s="132">
        <f>2*Main!$B$19*loop_gain!$B$17*loop_gain!$B$18*Helper_calcs!$B$26*Current_limit!B557</f>
        <v>236.25000000000341</v>
      </c>
      <c r="G557" s="132">
        <f t="shared" si="67"/>
        <v>2.845331838869702</v>
      </c>
      <c r="H557" s="132">
        <f>(Main!$B$19-Current_limit!G557)*Current_limit!G557/(Main!$B$19*loop_gain!$B$17*loop_gain!$B$18)</f>
        <v>0.68910234902515288</v>
      </c>
      <c r="I557" s="132">
        <f t="shared" si="68"/>
        <v>3.1608976509748468</v>
      </c>
      <c r="J557" s="132"/>
      <c r="K557" s="133">
        <f>IF(A557&gt;$B$15,IF(I557&gt;Helper_calcs!$B$27,23,3),0)</f>
        <v>23</v>
      </c>
      <c r="L557">
        <f t="shared" si="66"/>
        <v>2</v>
      </c>
      <c r="M557">
        <f t="shared" si="69"/>
        <v>2</v>
      </c>
      <c r="N557" s="132">
        <f t="shared" si="70"/>
        <v>3.375</v>
      </c>
      <c r="O557" s="132">
        <f t="shared" si="71"/>
        <v>2.739448051948091</v>
      </c>
      <c r="P557" s="134">
        <f>IF(OR(M557=0,M557=3),loop_gain!$B$18,IF(Current_limit!M557=1,Current_limit!$B$12/(2*(Current_limit!N557-Helper_calcs!$B$27)),IF(OR(M557=2,M557=23),(Main!$B$19-Current_limit!O557)*Current_limit!O557/(Main!$B$19*loop_gain!$B$17*(Helper_calcs!$B$26-Helper_calcs!$B$27)),x)))</f>
        <v>1483555.613687421</v>
      </c>
      <c r="Q557" s="132"/>
    </row>
    <row r="558" spans="1:17" x14ac:dyDescent="0.3">
      <c r="A558">
        <f t="shared" si="72"/>
        <v>6.169999999999912</v>
      </c>
      <c r="B558">
        <f>Main!$B$20/A558</f>
        <v>0.81037277147488995</v>
      </c>
      <c r="D558" s="132">
        <f t="shared" si="65"/>
        <v>0.81037277147488995</v>
      </c>
      <c r="E558" s="132">
        <f>-B558*Main!$B$19-2*Main!$B$19*loop_gain!$B$17*loop_gain!$B$18</f>
        <v>-85.324473257698685</v>
      </c>
      <c r="F558" s="132">
        <f>2*Main!$B$19*loop_gain!$B$17*loop_gain!$B$18*Helper_calcs!$B$26*Current_limit!B558</f>
        <v>235.86709886548152</v>
      </c>
      <c r="G558" s="132">
        <f t="shared" si="67"/>
        <v>2.8410125953249126</v>
      </c>
      <c r="H558" s="132">
        <f>(Main!$B$19-Current_limit!G558)*Current_limit!G558/(Main!$B$19*loop_gain!$B$17*loop_gain!$B$18)</f>
        <v>0.68838091473820506</v>
      </c>
      <c r="I558" s="132">
        <f t="shared" si="68"/>
        <v>3.16161908526179</v>
      </c>
      <c r="J558" s="132"/>
      <c r="K558" s="133">
        <f>IF(A558&gt;$B$15,IF(I558&gt;Helper_calcs!$B$27,23,3),0)</f>
        <v>23</v>
      </c>
      <c r="L558">
        <f t="shared" si="66"/>
        <v>2</v>
      </c>
      <c r="M558">
        <f t="shared" si="69"/>
        <v>2</v>
      </c>
      <c r="N558" s="132">
        <f t="shared" si="70"/>
        <v>3.375</v>
      </c>
      <c r="O558" s="132">
        <f t="shared" si="71"/>
        <v>2.7350081037277536</v>
      </c>
      <c r="P558" s="134">
        <f>IF(OR(M558=0,M558=3),loop_gain!$B$18,IF(Current_limit!M558=1,Current_limit!$B$12/(2*(Current_limit!N558-Helper_calcs!$B$27)),IF(OR(M558=2,M558=23),(Main!$B$19-Current_limit!O558)*Current_limit!O558/(Main!$B$19*loop_gain!$B$17*(Helper_calcs!$B$26-Helper_calcs!$B$27)),x)))</f>
        <v>1481861.2817120792</v>
      </c>
      <c r="Q558" s="132"/>
    </row>
    <row r="559" spans="1:17" x14ac:dyDescent="0.3">
      <c r="A559">
        <f t="shared" si="72"/>
        <v>6.1799999999999118</v>
      </c>
      <c r="B559">
        <f>Main!$B$20/A559</f>
        <v>0.80906148867315075</v>
      </c>
      <c r="D559" s="132">
        <f t="shared" si="65"/>
        <v>0.80906148867315075</v>
      </c>
      <c r="E559" s="132">
        <f>-B559*Main!$B$19-2*Main!$B$19*loop_gain!$B$17*loop_gain!$B$18</f>
        <v>-85.308737864077813</v>
      </c>
      <c r="F559" s="132">
        <f>2*Main!$B$19*loop_gain!$B$17*loop_gain!$B$18*Helper_calcs!$B$26*Current_limit!B559</f>
        <v>235.48543689320729</v>
      </c>
      <c r="G559" s="132">
        <f t="shared" si="67"/>
        <v>2.8367068175034724</v>
      </c>
      <c r="H559" s="132">
        <f>(Main!$B$19-Current_limit!G559)*Current_limit!G559/(Main!$B$19*loop_gain!$B$17*loop_gain!$B$18)</f>
        <v>0.6876607471315076</v>
      </c>
      <c r="I559" s="132">
        <f t="shared" si="68"/>
        <v>3.1623392528684877</v>
      </c>
      <c r="J559" s="132"/>
      <c r="K559" s="133">
        <f>IF(A559&gt;$B$15,IF(I559&gt;Helper_calcs!$B$27,23,3),0)</f>
        <v>23</v>
      </c>
      <c r="L559">
        <f t="shared" si="66"/>
        <v>2</v>
      </c>
      <c r="M559">
        <f t="shared" si="69"/>
        <v>2</v>
      </c>
      <c r="N559" s="132">
        <f t="shared" si="70"/>
        <v>3.375</v>
      </c>
      <c r="O559" s="132">
        <f t="shared" si="71"/>
        <v>2.7305825242718837</v>
      </c>
      <c r="P559" s="134">
        <f>IF(OR(M559=0,M559=3),loop_gain!$B$18,IF(Current_limit!M559=1,Current_limit!$B$12/(2*(Current_limit!N559-Helper_calcs!$B$27)),IF(OR(M559=2,M559=23),(Main!$B$19-Current_limit!O559)*Current_limit!O559/(Main!$B$19*loop_gain!$B$17*(Helper_calcs!$B$26-Helper_calcs!$B$27)),x)))</f>
        <v>1480170.1385616132</v>
      </c>
      <c r="Q559" s="132"/>
    </row>
    <row r="560" spans="1:17" x14ac:dyDescent="0.3">
      <c r="A560">
        <f t="shared" si="72"/>
        <v>6.1899999999999116</v>
      </c>
      <c r="B560">
        <f>Main!$B$20/A560</f>
        <v>0.80775444264944607</v>
      </c>
      <c r="D560" s="132">
        <f t="shared" si="65"/>
        <v>0.80775444264944607</v>
      </c>
      <c r="E560" s="132">
        <f>-B560*Main!$B$19-2*Main!$B$19*loop_gain!$B$17*loop_gain!$B$18</f>
        <v>-85.293053311793358</v>
      </c>
      <c r="F560" s="132">
        <f>2*Main!$B$19*loop_gain!$B$17*loop_gain!$B$18*Helper_calcs!$B$26*Current_limit!B560</f>
        <v>235.10500807754781</v>
      </c>
      <c r="G560" s="132">
        <f t="shared" si="67"/>
        <v>2.8324144407994956</v>
      </c>
      <c r="H560" s="132">
        <f>(Main!$B$19-Current_limit!G560)*Current_limit!G560/(Main!$B$19*loop_gain!$B$17*loop_gain!$B$18)</f>
        <v>0.68694184458054031</v>
      </c>
      <c r="I560" s="132">
        <f t="shared" si="68"/>
        <v>3.1630581554194555</v>
      </c>
      <c r="J560" s="132"/>
      <c r="K560" s="133">
        <f>IF(A560&gt;$B$15,IF(I560&gt;Helper_calcs!$B$27,23,3),0)</f>
        <v>23</v>
      </c>
      <c r="L560">
        <f t="shared" si="66"/>
        <v>2</v>
      </c>
      <c r="M560">
        <f t="shared" si="69"/>
        <v>2</v>
      </c>
      <c r="N560" s="132">
        <f t="shared" si="70"/>
        <v>3.375</v>
      </c>
      <c r="O560" s="132">
        <f t="shared" si="71"/>
        <v>2.7261712439418804</v>
      </c>
      <c r="P560" s="134">
        <f>IF(OR(M560=0,M560=3),loop_gain!$B$18,IF(Current_limit!M560=1,Current_limit!$B$12/(2*(Current_limit!N560-Helper_calcs!$B$27)),IF(OR(M560=2,M560=23),(Main!$B$19-Current_limit!O560)*Current_limit!O560/(Main!$B$19*loop_gain!$B$17*(Helper_calcs!$B$26-Helper_calcs!$B$27)),x)))</f>
        <v>1478482.1798834468</v>
      </c>
      <c r="Q560" s="132"/>
    </row>
    <row r="561" spans="1:17" x14ac:dyDescent="0.3">
      <c r="A561">
        <f t="shared" si="72"/>
        <v>6.1999999999999114</v>
      </c>
      <c r="B561">
        <f>Main!$B$20/A561</f>
        <v>0.8064516129032373</v>
      </c>
      <c r="D561" s="132">
        <f t="shared" si="65"/>
        <v>0.8064516129032373</v>
      </c>
      <c r="E561" s="132">
        <f>-B561*Main!$B$19-2*Main!$B$19*loop_gain!$B$17*loop_gain!$B$18</f>
        <v>-85.277419354838855</v>
      </c>
      <c r="F561" s="132">
        <f>2*Main!$B$19*loop_gain!$B$17*loop_gain!$B$18*Helper_calcs!$B$26*Current_limit!B561</f>
        <v>234.72580645161631</v>
      </c>
      <c r="G561" s="132">
        <f t="shared" si="67"/>
        <v>2.8281354010304667</v>
      </c>
      <c r="H561" s="132">
        <f>(Main!$B$19-Current_limit!G561)*Current_limit!G561/(Main!$B$19*loop_gain!$B$17*loop_gain!$B$18)</f>
        <v>0.68622420544454599</v>
      </c>
      <c r="I561" s="132">
        <f t="shared" si="68"/>
        <v>3.1637757945554559</v>
      </c>
      <c r="J561" s="132"/>
      <c r="K561" s="133">
        <f>IF(A561&gt;$B$15,IF(I561&gt;Helper_calcs!$B$27,23,3),0)</f>
        <v>23</v>
      </c>
      <c r="L561">
        <f t="shared" si="66"/>
        <v>2</v>
      </c>
      <c r="M561">
        <f t="shared" si="69"/>
        <v>2</v>
      </c>
      <c r="N561" s="132">
        <f t="shared" si="70"/>
        <v>3.375</v>
      </c>
      <c r="O561" s="132">
        <f t="shared" si="71"/>
        <v>2.7217741935484261</v>
      </c>
      <c r="P561" s="134">
        <f>IF(OR(M561=0,M561=3),loop_gain!$B$18,IF(Current_limit!M561=1,Current_limit!$B$12/(2*(Current_limit!N561-Helper_calcs!$B$27)),IF(OR(M561=2,M561=23),(Main!$B$19-Current_limit!O561)*Current_limit!O561/(Main!$B$19*loop_gain!$B$17*(Helper_calcs!$B$26-Helper_calcs!$B$27)),x)))</f>
        <v>1476797.4012815745</v>
      </c>
      <c r="Q561" s="132"/>
    </row>
    <row r="562" spans="1:17" x14ac:dyDescent="0.3">
      <c r="A562">
        <f t="shared" si="72"/>
        <v>6.2099999999999111</v>
      </c>
      <c r="B562">
        <f>Main!$B$20/A562</f>
        <v>0.80515297906603411</v>
      </c>
      <c r="D562" s="132">
        <f t="shared" si="65"/>
        <v>0.80515297906603411</v>
      </c>
      <c r="E562" s="132">
        <f>-B562*Main!$B$19-2*Main!$B$19*loop_gain!$B$17*loop_gain!$B$18</f>
        <v>-85.261835748792421</v>
      </c>
      <c r="F562" s="132">
        <f>2*Main!$B$19*loop_gain!$B$17*loop_gain!$B$18*Helper_calcs!$B$26*Current_limit!B562</f>
        <v>234.34782608695994</v>
      </c>
      <c r="G562" s="132">
        <f t="shared" si="67"/>
        <v>2.8238696344336707</v>
      </c>
      <c r="H562" s="132">
        <f>(Main!$B$19-Current_limit!G562)*Current_limit!G562/(Main!$B$19*loop_gain!$B$17*loop_gain!$B$18)</f>
        <v>0.68550782806686494</v>
      </c>
      <c r="I562" s="132">
        <f t="shared" si="68"/>
        <v>3.1644921719331358</v>
      </c>
      <c r="J562" s="132"/>
      <c r="K562" s="133">
        <f>IF(A562&gt;$B$15,IF(I562&gt;Helper_calcs!$B$27,23,3),0)</f>
        <v>23</v>
      </c>
      <c r="L562">
        <f t="shared" si="66"/>
        <v>2</v>
      </c>
      <c r="M562">
        <f t="shared" si="69"/>
        <v>2</v>
      </c>
      <c r="N562" s="132">
        <f t="shared" si="70"/>
        <v>3.375</v>
      </c>
      <c r="O562" s="132">
        <f t="shared" si="71"/>
        <v>2.7173913043478652</v>
      </c>
      <c r="P562" s="134">
        <f>IF(OR(M562=0,M562=3),loop_gain!$B$18,IF(Current_limit!M562=1,Current_limit!$B$12/(2*(Current_limit!N562-Helper_calcs!$B$27)),IF(OR(M562=2,M562=23),(Main!$B$19-Current_limit!O562)*Current_limit!O562/(Main!$B$19*loop_gain!$B$17*(Helper_calcs!$B$26-Helper_calcs!$B$27)),x)))</f>
        <v>1475115.7983174848</v>
      </c>
      <c r="Q562" s="132"/>
    </row>
    <row r="563" spans="1:17" x14ac:dyDescent="0.3">
      <c r="A563">
        <f t="shared" si="72"/>
        <v>6.2199999999999109</v>
      </c>
      <c r="B563">
        <f>Main!$B$20/A563</f>
        <v>0.80385852090033305</v>
      </c>
      <c r="D563" s="132">
        <f t="shared" si="65"/>
        <v>0.80385852090033305</v>
      </c>
      <c r="E563" s="132">
        <f>-B563*Main!$B$19-2*Main!$B$19*loop_gain!$B$17*loop_gain!$B$18</f>
        <v>-85.246302250804007</v>
      </c>
      <c r="F563" s="132">
        <f>2*Main!$B$19*loop_gain!$B$17*loop_gain!$B$18*Helper_calcs!$B$26*Current_limit!B563</f>
        <v>233.971061093251</v>
      </c>
      <c r="G563" s="132">
        <f t="shared" si="67"/>
        <v>2.8196170776627141</v>
      </c>
      <c r="H563" s="132">
        <f>(Main!$B$19-Current_limit!G563)*Current_limit!G563/(Main!$B$19*loop_gain!$B$17*loop_gain!$B$18)</f>
        <v>0.68479271077527359</v>
      </c>
      <c r="I563" s="132">
        <f t="shared" si="68"/>
        <v>3.1652072892247292</v>
      </c>
      <c r="J563" s="132"/>
      <c r="K563" s="133">
        <f>IF(A563&gt;$B$15,IF(I563&gt;Helper_calcs!$B$27,23,3),0)</f>
        <v>23</v>
      </c>
      <c r="L563">
        <f t="shared" si="66"/>
        <v>2</v>
      </c>
      <c r="M563">
        <f t="shared" si="69"/>
        <v>2</v>
      </c>
      <c r="N563" s="132">
        <f t="shared" si="70"/>
        <v>3.375</v>
      </c>
      <c r="O563" s="132">
        <f t="shared" si="71"/>
        <v>2.7130225080386241</v>
      </c>
      <c r="P563" s="134">
        <f>IF(OR(M563=0,M563=3),loop_gain!$B$18,IF(Current_limit!M563=1,Current_limit!$B$12/(2*(Current_limit!N563-Helper_calcs!$B$27)),IF(OR(M563=2,M563=23),(Main!$B$19-Current_limit!O563)*Current_limit!O563/(Main!$B$19*loop_gain!$B$17*(Helper_calcs!$B$26-Helper_calcs!$B$27)),x)))</f>
        <v>1473437.3665110702</v>
      </c>
      <c r="Q563" s="132"/>
    </row>
    <row r="564" spans="1:17" x14ac:dyDescent="0.3">
      <c r="A564">
        <f t="shared" si="72"/>
        <v>6.2299999999999107</v>
      </c>
      <c r="B564">
        <f>Main!$B$20/A564</f>
        <v>0.80256821829856684</v>
      </c>
      <c r="D564" s="132">
        <f t="shared" si="65"/>
        <v>0.80256821829856684</v>
      </c>
      <c r="E564" s="132">
        <f>-B564*Main!$B$19-2*Main!$B$19*loop_gain!$B$17*loop_gain!$B$18</f>
        <v>-85.230818619582806</v>
      </c>
      <c r="F564" s="132">
        <f>2*Main!$B$19*loop_gain!$B$17*loop_gain!$B$18*Helper_calcs!$B$26*Current_limit!B564</f>
        <v>233.5955056179809</v>
      </c>
      <c r="G564" s="132">
        <f t="shared" si="67"/>
        <v>2.815377667784031</v>
      </c>
      <c r="H564" s="132">
        <f>(Main!$B$19-Current_limit!G564)*Current_limit!G564/(Main!$B$19*loop_gain!$B$17*loop_gain!$B$18)</f>
        <v>0.6840788518823101</v>
      </c>
      <c r="I564" s="132">
        <f t="shared" si="68"/>
        <v>3.1659211481176976</v>
      </c>
      <c r="J564" s="132"/>
      <c r="K564" s="133">
        <f>IF(A564&gt;$B$15,IF(I564&gt;Helper_calcs!$B$27,23,3),0)</f>
        <v>23</v>
      </c>
      <c r="L564">
        <f t="shared" si="66"/>
        <v>2</v>
      </c>
      <c r="M564">
        <f t="shared" si="69"/>
        <v>2</v>
      </c>
      <c r="N564" s="132">
        <f t="shared" si="70"/>
        <v>3.375</v>
      </c>
      <c r="O564" s="132">
        <f t="shared" si="71"/>
        <v>2.708667736757663</v>
      </c>
      <c r="P564" s="134">
        <f>IF(OR(M564=0,M564=3),loop_gain!$B$18,IF(Current_limit!M564=1,Current_limit!$B$12/(2*(Current_limit!N564-Helper_calcs!$B$27)),IF(OR(M564=2,M564=23),(Main!$B$19-Current_limit!O564)*Current_limit!O564/(Main!$B$19*loop_gain!$B$17*(Helper_calcs!$B$26-Helper_calcs!$B$27)),x)))</f>
        <v>1471762.1013415249</v>
      </c>
      <c r="Q564" s="132"/>
    </row>
    <row r="565" spans="1:17" x14ac:dyDescent="0.3">
      <c r="A565">
        <f t="shared" si="72"/>
        <v>6.2399999999999105</v>
      </c>
      <c r="B565">
        <f>Main!$B$20/A565</f>
        <v>0.80128205128206276</v>
      </c>
      <c r="D565" s="132">
        <f t="shared" si="65"/>
        <v>0.80128205128206276</v>
      </c>
      <c r="E565" s="132">
        <f>-B565*Main!$B$19-2*Main!$B$19*loop_gain!$B$17*loop_gain!$B$18</f>
        <v>-85.215384615384764</v>
      </c>
      <c r="F565" s="132">
        <f>2*Main!$B$19*loop_gain!$B$17*loop_gain!$B$18*Helper_calcs!$B$26*Current_limit!B565</f>
        <v>233.22115384615722</v>
      </c>
      <c r="G565" s="132">
        <f t="shared" si="67"/>
        <v>2.8111513422734418</v>
      </c>
      <c r="H565" s="132">
        <f>(Main!$B$19-Current_limit!G565)*Current_limit!G565/(Main!$B$19*loop_gain!$B$17*loop_gain!$B$18)</f>
        <v>0.68336624968559589</v>
      </c>
      <c r="I565" s="132">
        <f t="shared" si="68"/>
        <v>3.1666337503144071</v>
      </c>
      <c r="J565" s="132"/>
      <c r="K565" s="133">
        <f>IF(A565&gt;$B$15,IF(I565&gt;Helper_calcs!$B$27,23,3),0)</f>
        <v>23</v>
      </c>
      <c r="L565">
        <f t="shared" si="66"/>
        <v>2</v>
      </c>
      <c r="M565">
        <f t="shared" si="69"/>
        <v>2</v>
      </c>
      <c r="N565" s="132">
        <f t="shared" si="70"/>
        <v>3.375</v>
      </c>
      <c r="O565" s="132">
        <f t="shared" si="71"/>
        <v>2.704326923076962</v>
      </c>
      <c r="P565" s="134">
        <f>IF(OR(M565=0,M565=3),loop_gain!$B$18,IF(Current_limit!M565=1,Current_limit!$B$12/(2*(Current_limit!N565-Helper_calcs!$B$27)),IF(OR(M565=2,M565=23),(Main!$B$19-Current_limit!O565)*Current_limit!O565/(Main!$B$19*loop_gain!$B$17*(Helper_calcs!$B$26-Helper_calcs!$B$27)),x)))</f>
        <v>1470089.9982482241</v>
      </c>
      <c r="Q565" s="132"/>
    </row>
    <row r="566" spans="1:17" x14ac:dyDescent="0.3">
      <c r="A566">
        <f t="shared" si="72"/>
        <v>6.2499999999999103</v>
      </c>
      <c r="B566">
        <f>Main!$B$20/A566</f>
        <v>0.80000000000001148</v>
      </c>
      <c r="D566" s="132">
        <f t="shared" si="65"/>
        <v>0.80000000000001148</v>
      </c>
      <c r="E566" s="132">
        <f>-B566*Main!$B$19-2*Main!$B$19*loop_gain!$B$17*loop_gain!$B$18</f>
        <v>-85.200000000000145</v>
      </c>
      <c r="F566" s="132">
        <f>2*Main!$B$19*loop_gain!$B$17*loop_gain!$B$18*Helper_calcs!$B$26*Current_limit!B566</f>
        <v>232.8480000000034</v>
      </c>
      <c r="G566" s="132">
        <f t="shared" si="67"/>
        <v>2.8069380390127781</v>
      </c>
      <c r="H566" s="132">
        <f>(Main!$B$19-Current_limit!G566)*Current_limit!G566/(Main!$B$19*loop_gain!$B$17*loop_gain!$B$18)</f>
        <v>0.68265490246815963</v>
      </c>
      <c r="I566" s="132">
        <f t="shared" si="68"/>
        <v>3.1673450975318422</v>
      </c>
      <c r="J566" s="132"/>
      <c r="K566" s="133">
        <f>IF(A566&gt;$B$15,IF(I566&gt;Helper_calcs!$B$27,23,3),0)</f>
        <v>23</v>
      </c>
      <c r="L566">
        <f t="shared" si="66"/>
        <v>2</v>
      </c>
      <c r="M566">
        <f t="shared" si="69"/>
        <v>2</v>
      </c>
      <c r="N566" s="132">
        <f t="shared" si="70"/>
        <v>3.375</v>
      </c>
      <c r="O566" s="132">
        <f t="shared" si="71"/>
        <v>2.7000000000000388</v>
      </c>
      <c r="P566" s="134">
        <f>IF(OR(M566=0,M566=3),loop_gain!$B$18,IF(Current_limit!M566=1,Current_limit!$B$12/(2*(Current_limit!N566-Helper_calcs!$B$27)),IF(OR(M566=2,M566=23),(Main!$B$19-Current_limit!O566)*Current_limit!O566/(Main!$B$19*loop_gain!$B$17*(Helper_calcs!$B$26-Helper_calcs!$B$27)),x)))</f>
        <v>1468421.0526315938</v>
      </c>
      <c r="Q566" s="132"/>
    </row>
    <row r="567" spans="1:17" x14ac:dyDescent="0.3">
      <c r="A567">
        <f t="shared" si="72"/>
        <v>6.2599999999999101</v>
      </c>
      <c r="B567">
        <f>Main!$B$20/A567</f>
        <v>0.79872204472844599</v>
      </c>
      <c r="D567" s="132">
        <f t="shared" si="65"/>
        <v>0.79872204472844599</v>
      </c>
      <c r="E567" s="132">
        <f>-B567*Main!$B$19-2*Main!$B$19*loop_gain!$B$17*loop_gain!$B$18</f>
        <v>-85.184664536741366</v>
      </c>
      <c r="F567" s="132">
        <f>2*Main!$B$19*loop_gain!$B$17*loop_gain!$B$18*Helper_calcs!$B$26*Current_limit!B567</f>
        <v>232.47603833866154</v>
      </c>
      <c r="G567" s="132">
        <f t="shared" si="67"/>
        <v>2.8027376962864849</v>
      </c>
      <c r="H567" s="132">
        <f>(Main!$B$19-Current_limit!G567)*Current_limit!G567/(Main!$B$19*loop_gain!$B$17*loop_gain!$B$18)</f>
        <v>0.6819448084987445</v>
      </c>
      <c r="I567" s="132">
        <f t="shared" si="68"/>
        <v>3.1680551915012565</v>
      </c>
      <c r="J567" s="132"/>
      <c r="K567" s="133">
        <f>IF(A567&gt;$B$15,IF(I567&gt;Helper_calcs!$B$27,23,3),0)</f>
        <v>23</v>
      </c>
      <c r="L567">
        <f t="shared" si="66"/>
        <v>2</v>
      </c>
      <c r="M567">
        <f t="shared" si="69"/>
        <v>2</v>
      </c>
      <c r="N567" s="132">
        <f t="shared" si="70"/>
        <v>3.375</v>
      </c>
      <c r="O567" s="132">
        <f t="shared" si="71"/>
        <v>2.6956869009585054</v>
      </c>
      <c r="P567" s="134">
        <f>IF(OR(M567=0,M567=3),loop_gain!$B$18,IF(Current_limit!M567=1,Current_limit!$B$12/(2*(Current_limit!N567-Helper_calcs!$B$27)),IF(OR(M567=2,M567=23),(Main!$B$19-Current_limit!O567)*Current_limit!O567/(Main!$B$19*loop_gain!$B$17*(Helper_calcs!$B$26-Helper_calcs!$B$27)),x)))</f>
        <v>1466755.2598539642</v>
      </c>
      <c r="Q567" s="132"/>
    </row>
    <row r="568" spans="1:17" x14ac:dyDescent="0.3">
      <c r="A568">
        <f t="shared" si="72"/>
        <v>6.2699999999999099</v>
      </c>
      <c r="B568">
        <f>Main!$B$20/A568</f>
        <v>0.79744816586922995</v>
      </c>
      <c r="D568" s="132">
        <f t="shared" si="65"/>
        <v>0.79744816586922995</v>
      </c>
      <c r="E568" s="132">
        <f>-B568*Main!$B$19-2*Main!$B$19*loop_gain!$B$17*loop_gain!$B$18</f>
        <v>-85.169377990430775</v>
      </c>
      <c r="F568" s="132">
        <f>2*Main!$B$19*loop_gain!$B$17*loop_gain!$B$18*Helper_calcs!$B$26*Current_limit!B568</f>
        <v>232.10526315789812</v>
      </c>
      <c r="G568" s="132">
        <f t="shared" si="67"/>
        <v>2.798550252778305</v>
      </c>
      <c r="H568" s="132">
        <f>(Main!$B$19-Current_limit!G568)*Current_limit!G568/(Main!$B$19*loop_gain!$B$17*loop_gain!$B$18)</f>
        <v>0.68123596603212011</v>
      </c>
      <c r="I568" s="132">
        <f t="shared" si="68"/>
        <v>3.168764033967884</v>
      </c>
      <c r="J568" s="132"/>
      <c r="K568" s="133">
        <f>IF(A568&gt;$B$15,IF(I568&gt;Helper_calcs!$B$27,23,3),0)</f>
        <v>23</v>
      </c>
      <c r="L568">
        <f t="shared" si="66"/>
        <v>2</v>
      </c>
      <c r="M568">
        <f t="shared" si="69"/>
        <v>2</v>
      </c>
      <c r="N568" s="132">
        <f t="shared" si="70"/>
        <v>3.375</v>
      </c>
      <c r="O568" s="132">
        <f t="shared" si="71"/>
        <v>2.6913875598086512</v>
      </c>
      <c r="P568" s="134">
        <f>IF(OR(M568=0,M568=3),loop_gain!$B$18,IF(Current_limit!M568=1,Current_limit!$B$12/(2*(Current_limit!N568-Helper_calcs!$B$27)),IF(OR(M568=2,M568=23),(Main!$B$19-Current_limit!O568)*Current_limit!O568/(Main!$B$19*loop_gain!$B$17*(Helper_calcs!$B$26-Helper_calcs!$B$27)),x)))</f>
        <v>1465092.6152404118</v>
      </c>
      <c r="Q568" s="132"/>
    </row>
    <row r="569" spans="1:17" x14ac:dyDescent="0.3">
      <c r="A569">
        <f t="shared" si="72"/>
        <v>6.2799999999999097</v>
      </c>
      <c r="B569">
        <f>Main!$B$20/A569</f>
        <v>0.79617834394905607</v>
      </c>
      <c r="D569" s="132">
        <f t="shared" si="65"/>
        <v>0.79617834394905607</v>
      </c>
      <c r="E569" s="132">
        <f>-B569*Main!$B$19-2*Main!$B$19*loop_gain!$B$17*loop_gain!$B$18</f>
        <v>-85.154140127388686</v>
      </c>
      <c r="F569" s="132">
        <f>2*Main!$B$19*loop_gain!$B$17*loop_gain!$B$18*Helper_calcs!$B$26*Current_limit!B569</f>
        <v>231.73566878981231</v>
      </c>
      <c r="G569" s="132">
        <f t="shared" si="67"/>
        <v>2.7943756475679602</v>
      </c>
      <c r="H569" s="132">
        <f>(Main!$B$19-Current_limit!G569)*Current_limit!G569/(Main!$B$19*loop_gain!$B$17*loop_gain!$B$18)</f>
        <v>0.68052837330938265</v>
      </c>
      <c r="I569" s="132">
        <f t="shared" si="68"/>
        <v>3.1694716266906164</v>
      </c>
      <c r="J569" s="132"/>
      <c r="K569" s="133">
        <f>IF(A569&gt;$B$15,IF(I569&gt;Helper_calcs!$B$27,23,3),0)</f>
        <v>23</v>
      </c>
      <c r="L569">
        <f t="shared" si="66"/>
        <v>2</v>
      </c>
      <c r="M569">
        <f t="shared" si="69"/>
        <v>2</v>
      </c>
      <c r="N569" s="132">
        <f t="shared" si="70"/>
        <v>3.375</v>
      </c>
      <c r="O569" s="132">
        <f t="shared" si="71"/>
        <v>2.6871019108280643</v>
      </c>
      <c r="P569" s="134">
        <f>IF(OR(M569=0,M569=3),loop_gain!$B$18,IF(Current_limit!M569=1,Current_limit!$B$12/(2*(Current_limit!N569-Helper_calcs!$B$27)),IF(OR(M569=2,M569=23),(Main!$B$19-Current_limit!O569)*Current_limit!O569/(Main!$B$19*loop_gain!$B$17*(Helper_calcs!$B$26-Helper_calcs!$B$27)),x)))</f>
        <v>1463433.1140795869</v>
      </c>
      <c r="Q569" s="132"/>
    </row>
    <row r="570" spans="1:17" x14ac:dyDescent="0.3">
      <c r="A570">
        <f t="shared" si="72"/>
        <v>6.2899999999999094</v>
      </c>
      <c r="B570">
        <f>Main!$B$20/A570</f>
        <v>0.79491255961845342</v>
      </c>
      <c r="D570" s="132">
        <f t="shared" si="65"/>
        <v>0.79491255961845342</v>
      </c>
      <c r="E570" s="132">
        <f>-B570*Main!$B$19-2*Main!$B$19*loop_gain!$B$17*loop_gain!$B$18</f>
        <v>-85.138950715421444</v>
      </c>
      <c r="F570" s="132">
        <f>2*Main!$B$19*loop_gain!$B$17*loop_gain!$B$18*Helper_calcs!$B$26*Current_limit!B570</f>
        <v>231.3672496025471</v>
      </c>
      <c r="G570" s="132">
        <f t="shared" si="67"/>
        <v>2.7902138201279167</v>
      </c>
      <c r="H570" s="132">
        <f>(Main!$B$19-Current_limit!G570)*Current_limit!G570/(Main!$B$19*loop_gain!$B$17*loop_gain!$B$18)</f>
        <v>0.67982202855825857</v>
      </c>
      <c r="I570" s="132">
        <f t="shared" si="68"/>
        <v>3.1701779714417393</v>
      </c>
      <c r="J570" s="132"/>
      <c r="K570" s="133">
        <f>IF(A570&gt;$B$15,IF(I570&gt;Helper_calcs!$B$27,23,3),0)</f>
        <v>23</v>
      </c>
      <c r="L570">
        <f t="shared" si="66"/>
        <v>2</v>
      </c>
      <c r="M570">
        <f t="shared" si="69"/>
        <v>2</v>
      </c>
      <c r="N570" s="132">
        <f t="shared" si="70"/>
        <v>3.375</v>
      </c>
      <c r="O570" s="132">
        <f t="shared" si="71"/>
        <v>2.6828298887122801</v>
      </c>
      <c r="P570" s="134">
        <f>IF(OR(M570=0,M570=3),loop_gain!$B$18,IF(Current_limit!M570=1,Current_limit!$B$12/(2*(Current_limit!N570-Helper_calcs!$B$27)),IF(OR(M570=2,M570=23),(Main!$B$19-Current_limit!O570)*Current_limit!O570/(Main!$B$19*loop_gain!$B$17*(Helper_calcs!$B$26-Helper_calcs!$B$27)),x)))</f>
        <v>1461776.7516245269</v>
      </c>
      <c r="Q570" s="132"/>
    </row>
    <row r="571" spans="1:17" x14ac:dyDescent="0.3">
      <c r="A571">
        <f t="shared" si="72"/>
        <v>6.2999999999999092</v>
      </c>
      <c r="B571">
        <f>Main!$B$20/A571</f>
        <v>0.79365079365080504</v>
      </c>
      <c r="D571" s="132">
        <f t="shared" si="65"/>
        <v>0.79365079365080504</v>
      </c>
      <c r="E571" s="132">
        <f>-B571*Main!$B$19-2*Main!$B$19*loop_gain!$B$17*loop_gain!$B$18</f>
        <v>-85.123809523809669</v>
      </c>
      <c r="F571" s="132">
        <f>2*Main!$B$19*loop_gain!$B$17*loop_gain!$B$18*Helper_calcs!$B$26*Current_limit!B571</f>
        <v>231.00000000000335</v>
      </c>
      <c r="G571" s="132">
        <f t="shared" si="67"/>
        <v>2.786064710320121</v>
      </c>
      <c r="H571" s="132">
        <f>(Main!$B$19-Current_limit!G571)*Current_limit!G571/(Main!$B$19*loop_gain!$B$17*loop_gain!$B$18)</f>
        <v>0.67911692999339446</v>
      </c>
      <c r="I571" s="132">
        <f t="shared" si="68"/>
        <v>3.1708830700066049</v>
      </c>
      <c r="J571" s="132"/>
      <c r="K571" s="133">
        <f>IF(A571&gt;$B$15,IF(I571&gt;Helper_calcs!$B$27,23,3),0)</f>
        <v>23</v>
      </c>
      <c r="L571">
        <f t="shared" si="66"/>
        <v>2</v>
      </c>
      <c r="M571">
        <f t="shared" si="69"/>
        <v>2</v>
      </c>
      <c r="N571" s="132">
        <f t="shared" si="70"/>
        <v>3.375</v>
      </c>
      <c r="O571" s="132">
        <f t="shared" si="71"/>
        <v>2.678571428571467</v>
      </c>
      <c r="P571" s="134">
        <f>IF(OR(M571=0,M571=3),loop_gain!$B$18,IF(Current_limit!M571=1,Current_limit!$B$12/(2*(Current_limit!N571-Helper_calcs!$B$27)),IF(OR(M571=2,M571=23),(Main!$B$19-Current_limit!O571)*Current_limit!O571/(Main!$B$19*loop_gain!$B$17*(Helper_calcs!$B$26-Helper_calcs!$B$27)),x)))</f>
        <v>1460123.5230934629</v>
      </c>
      <c r="Q571" s="132"/>
    </row>
    <row r="572" spans="1:17" x14ac:dyDescent="0.3">
      <c r="A572">
        <f t="shared" si="72"/>
        <v>6.309999999999909</v>
      </c>
      <c r="B572">
        <f>Main!$B$20/A572</f>
        <v>0.79239302694137437</v>
      </c>
      <c r="D572" s="132">
        <f t="shared" si="65"/>
        <v>0.79239302694137437</v>
      </c>
      <c r="E572" s="132">
        <f>-B572*Main!$B$19-2*Main!$B$19*loop_gain!$B$17*loop_gain!$B$18</f>
        <v>-85.108716323296505</v>
      </c>
      <c r="F572" s="132">
        <f>2*Main!$B$19*loop_gain!$B$17*loop_gain!$B$18*Helper_calcs!$B$26*Current_limit!B572</f>
        <v>230.63391442155648</v>
      </c>
      <c r="G572" s="132">
        <f t="shared" si="67"/>
        <v>2.7819282583928131</v>
      </c>
      <c r="H572" s="132">
        <f>(Main!$B$19-Current_limit!G572)*Current_limit!G572/(Main!$B$19*loop_gain!$B$17*loop_gain!$B$18)</f>
        <v>0.67841307581664767</v>
      </c>
      <c r="I572" s="132">
        <f t="shared" si="68"/>
        <v>3.1715869241833552</v>
      </c>
      <c r="J572" s="132"/>
      <c r="K572" s="133">
        <f>IF(A572&gt;$B$15,IF(I572&gt;Helper_calcs!$B$27,23,3),0)</f>
        <v>23</v>
      </c>
      <c r="L572">
        <f t="shared" si="66"/>
        <v>2</v>
      </c>
      <c r="M572">
        <f t="shared" si="69"/>
        <v>2</v>
      </c>
      <c r="N572" s="132">
        <f t="shared" si="70"/>
        <v>3.375</v>
      </c>
      <c r="O572" s="132">
        <f t="shared" si="71"/>
        <v>2.6743264659271384</v>
      </c>
      <c r="P572" s="134">
        <f>IF(OR(M572=0,M572=3),loop_gain!$B$18,IF(Current_limit!M572=1,Current_limit!$B$12/(2*(Current_limit!N572-Helper_calcs!$B$27)),IF(OR(M572=2,M572=23),(Main!$B$19-Current_limit!O572)*Current_limit!O572/(Main!$B$19*loop_gain!$B$17*(Helper_calcs!$B$26-Helper_calcs!$B$27)),x)))</f>
        <v>1458473.4236706037</v>
      </c>
      <c r="Q572" s="132"/>
    </row>
    <row r="573" spans="1:17" x14ac:dyDescent="0.3">
      <c r="A573">
        <f t="shared" si="72"/>
        <v>6.3199999999999088</v>
      </c>
      <c r="B573">
        <f>Main!$B$20/A573</f>
        <v>0.79113924050634055</v>
      </c>
      <c r="D573" s="132">
        <f t="shared" si="65"/>
        <v>0.79113924050634055</v>
      </c>
      <c r="E573" s="132">
        <f>-B573*Main!$B$19-2*Main!$B$19*loop_gain!$B$17*loop_gain!$B$18</f>
        <v>-85.093670886076097</v>
      </c>
      <c r="F573" s="132">
        <f>2*Main!$B$19*loop_gain!$B$17*loop_gain!$B$18*Helper_calcs!$B$26*Current_limit!B573</f>
        <v>230.26898734177553</v>
      </c>
      <c r="G573" s="132">
        <f t="shared" si="67"/>
        <v>2.7778044049773434</v>
      </c>
      <c r="H573" s="132">
        <f>(Main!$B$19-Current_limit!G573)*Current_limit!G573/(Main!$B$19*loop_gain!$B$17*loop_gain!$B$18)</f>
        <v>0.67771046421736991</v>
      </c>
      <c r="I573" s="132">
        <f t="shared" si="68"/>
        <v>3.1722895357826264</v>
      </c>
      <c r="J573" s="132"/>
      <c r="K573" s="133">
        <f>IF(A573&gt;$B$15,IF(I573&gt;Helper_calcs!$B$27,23,3),0)</f>
        <v>23</v>
      </c>
      <c r="L573">
        <f t="shared" si="66"/>
        <v>2</v>
      </c>
      <c r="M573">
        <f t="shared" si="69"/>
        <v>2</v>
      </c>
      <c r="N573" s="132">
        <f t="shared" si="70"/>
        <v>3.375</v>
      </c>
      <c r="O573" s="132">
        <f t="shared" si="71"/>
        <v>2.6700949367088995</v>
      </c>
      <c r="P573" s="134">
        <f>IF(OR(M573=0,M573=3),loop_gain!$B$18,IF(Current_limit!M573=1,Current_limit!$B$12/(2*(Current_limit!N573-Helper_calcs!$B$27)),IF(OR(M573=2,M573=23),(Main!$B$19-Current_limit!O573)*Current_limit!O573/(Main!$B$19*loop_gain!$B$17*(Helper_calcs!$B$26-Helper_calcs!$B$27)),x)))</f>
        <v>1456826.4485069176</v>
      </c>
      <c r="Q573" s="132"/>
    </row>
    <row r="574" spans="1:17" x14ac:dyDescent="0.3">
      <c r="A574">
        <f t="shared" si="72"/>
        <v>6.3299999999999086</v>
      </c>
      <c r="B574">
        <f>Main!$B$20/A574</f>
        <v>0.78988941548184399</v>
      </c>
      <c r="D574" s="132">
        <f t="shared" si="65"/>
        <v>0.78988941548184399</v>
      </c>
      <c r="E574" s="132">
        <f>-B574*Main!$B$19-2*Main!$B$19*loop_gain!$B$17*loop_gain!$B$18</f>
        <v>-85.078672985782134</v>
      </c>
      <c r="F574" s="132">
        <f>2*Main!$B$19*loop_gain!$B$17*loop_gain!$B$18*Helper_calcs!$B$26*Current_limit!B574</f>
        <v>229.90521327014557</v>
      </c>
      <c r="G574" s="132">
        <f t="shared" si="67"/>
        <v>2.7736930910850774</v>
      </c>
      <c r="H574" s="132">
        <f>(Main!$B$19-Current_limit!G574)*Current_limit!G574/(Main!$B$19*loop_gain!$B$17*loop_gain!$B$18)</f>
        <v>0.6770090933726941</v>
      </c>
      <c r="I574" s="132">
        <f t="shared" si="68"/>
        <v>3.1729909066273101</v>
      </c>
      <c r="J574" s="132"/>
      <c r="K574" s="133">
        <f>IF(A574&gt;$B$15,IF(I574&gt;Helper_calcs!$B$27,23,3),0)</f>
        <v>23</v>
      </c>
      <c r="L574">
        <f t="shared" si="66"/>
        <v>2</v>
      </c>
      <c r="M574">
        <f t="shared" si="69"/>
        <v>2</v>
      </c>
      <c r="N574" s="132">
        <f t="shared" si="70"/>
        <v>3.375</v>
      </c>
      <c r="O574" s="132">
        <f t="shared" si="71"/>
        <v>2.6658767772512233</v>
      </c>
      <c r="P574" s="134">
        <f>IF(OR(M574=0,M574=3),loop_gain!$B$18,IF(Current_limit!M574=1,Current_limit!$B$12/(2*(Current_limit!N574-Helper_calcs!$B$27)),IF(OR(M574=2,M574=23),(Main!$B$19-Current_limit!O574)*Current_limit!O574/(Main!$B$19*loop_gain!$B$17*(Helper_calcs!$B$26-Helper_calcs!$B$27)),x)))</f>
        <v>1455182.5927208951</v>
      </c>
      <c r="Q574" s="132"/>
    </row>
    <row r="575" spans="1:17" x14ac:dyDescent="0.3">
      <c r="A575">
        <f t="shared" si="72"/>
        <v>6.3399999999999084</v>
      </c>
      <c r="B575">
        <f>Main!$B$20/A575</f>
        <v>0.78864353312303981</v>
      </c>
      <c r="D575" s="132">
        <f t="shared" si="65"/>
        <v>0.78864353312303981</v>
      </c>
      <c r="E575" s="132">
        <f>-B575*Main!$B$19-2*Main!$B$19*loop_gain!$B$17*loop_gain!$B$18</f>
        <v>-85.063722397476482</v>
      </c>
      <c r="F575" s="132">
        <f>2*Main!$B$19*loop_gain!$B$17*loop_gain!$B$18*Helper_calcs!$B$26*Current_limit!B575</f>
        <v>229.54258675079203</v>
      </c>
      <c r="G575" s="132">
        <f t="shared" si="67"/>
        <v>2.7695942581042261</v>
      </c>
      <c r="H575" s="132">
        <f>(Main!$B$19-Current_limit!G575)*Current_limit!G575/(Main!$B$19*loop_gain!$B$17*loop_gain!$B$18)</f>
        <v>0.67630896144779928</v>
      </c>
      <c r="I575" s="132">
        <f t="shared" si="68"/>
        <v>3.1736910385522084</v>
      </c>
      <c r="J575" s="132"/>
      <c r="K575" s="133">
        <f>IF(A575&gt;$B$15,IF(I575&gt;Helper_calcs!$B$27,23,3),0)</f>
        <v>23</v>
      </c>
      <c r="L575">
        <f t="shared" si="66"/>
        <v>2</v>
      </c>
      <c r="M575">
        <f t="shared" si="69"/>
        <v>2</v>
      </c>
      <c r="N575" s="132">
        <f t="shared" si="70"/>
        <v>3.375</v>
      </c>
      <c r="O575" s="132">
        <f t="shared" si="71"/>
        <v>2.6616719242902596</v>
      </c>
      <c r="P575" s="134">
        <f>IF(OR(M575=0,M575=3),loop_gain!$B$18,IF(Current_limit!M575=1,Current_limit!$B$12/(2*(Current_limit!N575-Helper_calcs!$B$27)),IF(OR(M575=2,M575=23),(Main!$B$19-Current_limit!O575)*Current_limit!O575/(Main!$B$19*loop_gain!$B$17*(Helper_calcs!$B$26-Helper_calcs!$B$27)),x)))</f>
        <v>1453541.8513993039</v>
      </c>
      <c r="Q575" s="132"/>
    </row>
    <row r="576" spans="1:17" x14ac:dyDescent="0.3">
      <c r="A576">
        <f t="shared" si="72"/>
        <v>6.3499999999999082</v>
      </c>
      <c r="B576">
        <f>Main!$B$20/A576</f>
        <v>0.78740157480316098</v>
      </c>
      <c r="D576" s="132">
        <f t="shared" si="65"/>
        <v>0.78740157480316098</v>
      </c>
      <c r="E576" s="132">
        <f>-B576*Main!$B$19-2*Main!$B$19*loop_gain!$B$17*loop_gain!$B$18</f>
        <v>-85.048818897637943</v>
      </c>
      <c r="F576" s="132">
        <f>2*Main!$B$19*loop_gain!$B$17*loop_gain!$B$18*Helper_calcs!$B$26*Current_limit!B576</f>
        <v>229.18110236220809</v>
      </c>
      <c r="G576" s="132">
        <f t="shared" si="67"/>
        <v>2.7655078477968145</v>
      </c>
      <c r="H576" s="132">
        <f>(Main!$B$19-Current_limit!G576)*Current_limit!G576/(Main!$B$19*loop_gain!$B$17*loop_gain!$B$18)</f>
        <v>0.67561006659619049</v>
      </c>
      <c r="I576" s="132">
        <f t="shared" si="68"/>
        <v>3.1743899334038082</v>
      </c>
      <c r="J576" s="132"/>
      <c r="K576" s="133">
        <f>IF(A576&gt;$B$15,IF(I576&gt;Helper_calcs!$B$27,23,3),0)</f>
        <v>23</v>
      </c>
      <c r="L576">
        <f t="shared" si="66"/>
        <v>2</v>
      </c>
      <c r="M576">
        <f t="shared" si="69"/>
        <v>2</v>
      </c>
      <c r="N576" s="132">
        <f t="shared" si="70"/>
        <v>3.375</v>
      </c>
      <c r="O576" s="132">
        <f t="shared" si="71"/>
        <v>2.6574803149606683</v>
      </c>
      <c r="P576" s="134">
        <f>IF(OR(M576=0,M576=3),loop_gain!$B$18,IF(Current_limit!M576=1,Current_limit!$B$12/(2*(Current_limit!N576-Helper_calcs!$B$27)),IF(OR(M576=2,M576=23),(Main!$B$19-Current_limit!O576)*Current_limit!O576/(Main!$B$19*loop_gain!$B$17*(Helper_calcs!$B$26-Helper_calcs!$B$27)),x)))</f>
        <v>1451904.2195979275</v>
      </c>
      <c r="Q576" s="132"/>
    </row>
    <row r="577" spans="1:17" x14ac:dyDescent="0.3">
      <c r="A577">
        <f t="shared" si="72"/>
        <v>6.3599999999999079</v>
      </c>
      <c r="B577">
        <f>Main!$B$20/A577</f>
        <v>0.78616352201258999</v>
      </c>
      <c r="D577" s="132">
        <f t="shared" si="65"/>
        <v>0.78616352201258999</v>
      </c>
      <c r="E577" s="132">
        <f>-B577*Main!$B$19-2*Main!$B$19*loop_gain!$B$17*loop_gain!$B$18</f>
        <v>-85.033962264151086</v>
      </c>
      <c r="F577" s="132">
        <f>2*Main!$B$19*loop_gain!$B$17*loop_gain!$B$18*Helper_calcs!$B$26*Current_limit!B577</f>
        <v>228.82075471698448</v>
      </c>
      <c r="G577" s="132">
        <f t="shared" si="67"/>
        <v>2.7614338022956542</v>
      </c>
      <c r="H577" s="132">
        <f>(Main!$B$19-Current_limit!G577)*Current_limit!G577/(Main!$B$19*loop_gain!$B$17*loop_gain!$B$18)</f>
        <v>0.67491240695996857</v>
      </c>
      <c r="I577" s="132">
        <f t="shared" si="68"/>
        <v>3.1750875930400371</v>
      </c>
      <c r="J577" s="132"/>
      <c r="K577" s="133">
        <f>IF(A577&gt;$B$15,IF(I577&gt;Helper_calcs!$B$27,23,3),0)</f>
        <v>23</v>
      </c>
      <c r="L577">
        <f t="shared" si="66"/>
        <v>2</v>
      </c>
      <c r="M577">
        <f t="shared" si="69"/>
        <v>2</v>
      </c>
      <c r="N577" s="132">
        <f t="shared" si="70"/>
        <v>3.375</v>
      </c>
      <c r="O577" s="132">
        <f t="shared" si="71"/>
        <v>2.6533018867924913</v>
      </c>
      <c r="P577" s="134">
        <f>IF(OR(M577=0,M577=3),loop_gain!$B$18,IF(Current_limit!M577=1,Current_limit!$B$12/(2*(Current_limit!N577-Helper_calcs!$B$27)),IF(OR(M577=2,M577=23),(Main!$B$19-Current_limit!O577)*Current_limit!O577/(Main!$B$19*loop_gain!$B$17*(Helper_calcs!$B$26-Helper_calcs!$B$27)),x)))</f>
        <v>1450269.6923422983</v>
      </c>
      <c r="Q577" s="132"/>
    </row>
    <row r="578" spans="1:17" x14ac:dyDescent="0.3">
      <c r="A578">
        <f t="shared" si="72"/>
        <v>6.3699999999999077</v>
      </c>
      <c r="B578">
        <f>Main!$B$20/A578</f>
        <v>0.78492935635793915</v>
      </c>
      <c r="D578" s="132">
        <f t="shared" si="65"/>
        <v>0.78492935635793915</v>
      </c>
      <c r="E578" s="132">
        <f>-B578*Main!$B$19-2*Main!$B$19*loop_gain!$B$17*loop_gain!$B$18</f>
        <v>-85.019152276295273</v>
      </c>
      <c r="F578" s="132">
        <f>2*Main!$B$19*loop_gain!$B$17*loop_gain!$B$18*Helper_calcs!$B$26*Current_limit!B578</f>
        <v>228.46153846154181</v>
      </c>
      <c r="G578" s="132">
        <f t="shared" si="67"/>
        <v>2.7573720641012609</v>
      </c>
      <c r="H578" s="132">
        <f>(Main!$B$19-Current_limit!G578)*Current_limit!G578/(Main!$B$19*loop_gain!$B$17*loop_gain!$B$18)</f>
        <v>0.67421598067008137</v>
      </c>
      <c r="I578" s="132">
        <f t="shared" si="68"/>
        <v>3.1757840193299147</v>
      </c>
      <c r="J578" s="132"/>
      <c r="K578" s="133">
        <f>IF(A578&gt;$B$15,IF(I578&gt;Helper_calcs!$B$27,23,3),0)</f>
        <v>23</v>
      </c>
      <c r="L578">
        <f t="shared" si="66"/>
        <v>2</v>
      </c>
      <c r="M578">
        <f t="shared" si="69"/>
        <v>2</v>
      </c>
      <c r="N578" s="132">
        <f t="shared" si="70"/>
        <v>3.375</v>
      </c>
      <c r="O578" s="132">
        <f t="shared" si="71"/>
        <v>2.6491365777080444</v>
      </c>
      <c r="P578" s="134">
        <f>IF(OR(M578=0,M578=3),loop_gain!$B$18,IF(Current_limit!M578=1,Current_limit!$B$12/(2*(Current_limit!N578-Helper_calcs!$B$27)),IF(OR(M578=2,M578=23),(Main!$B$19-Current_limit!O578)*Current_limit!O578/(Main!$B$19*loop_gain!$B$17*(Helper_calcs!$B$26-Helper_calcs!$B$27)),x)))</f>
        <v>1448638.2646284115</v>
      </c>
      <c r="Q578" s="132"/>
    </row>
    <row r="579" spans="1:17" x14ac:dyDescent="0.3">
      <c r="A579">
        <f t="shared" si="72"/>
        <v>6.3799999999999075</v>
      </c>
      <c r="B579">
        <f>Main!$B$20/A579</f>
        <v>0.78369905956113983</v>
      </c>
      <c r="D579" s="132">
        <f t="shared" si="65"/>
        <v>0.78369905956113983</v>
      </c>
      <c r="E579" s="132">
        <f>-B579*Main!$B$19-2*Main!$B$19*loop_gain!$B$17*loop_gain!$B$18</f>
        <v>-85.004388714733693</v>
      </c>
      <c r="F579" s="132">
        <f>2*Main!$B$19*loop_gain!$B$17*loop_gain!$B$18*Helper_calcs!$B$26*Current_limit!B579</f>
        <v>228.10344827586542</v>
      </c>
      <c r="G579" s="132">
        <f t="shared" si="67"/>
        <v>2.7533225760789648</v>
      </c>
      <c r="H579" s="132">
        <f>(Main!$B$19-Current_limit!G579)*Current_limit!G579/(Main!$B$19*loop_gain!$B$17*loop_gain!$B$18)</f>
        <v>0.67352078584659969</v>
      </c>
      <c r="I579" s="132">
        <f t="shared" si="68"/>
        <v>3.1764792141534084</v>
      </c>
      <c r="J579" s="132"/>
      <c r="K579" s="133">
        <f>IF(A579&gt;$B$15,IF(I579&gt;Helper_calcs!$B$27,23,3),0)</f>
        <v>23</v>
      </c>
      <c r="L579">
        <f t="shared" si="66"/>
        <v>2</v>
      </c>
      <c r="M579">
        <f t="shared" si="69"/>
        <v>2</v>
      </c>
      <c r="N579" s="132">
        <f t="shared" si="70"/>
        <v>3.375</v>
      </c>
      <c r="O579" s="132">
        <f t="shared" si="71"/>
        <v>2.644984326018847</v>
      </c>
      <c r="P579" s="134">
        <f>IF(OR(M579=0,M579=3),loop_gain!$B$18,IF(Current_limit!M579=1,Current_limit!$B$12/(2*(Current_limit!N579-Helper_calcs!$B$27)),IF(OR(M579=2,M579=23),(Main!$B$19-Current_limit!O579)*Current_limit!O579/(Main!$B$19*loop_gain!$B$17*(Helper_calcs!$B$26-Helper_calcs!$B$27)),x)))</f>
        <v>1447009.931423438</v>
      </c>
      <c r="Q579" s="132"/>
    </row>
    <row r="580" spans="1:17" x14ac:dyDescent="0.3">
      <c r="A580">
        <f t="shared" si="72"/>
        <v>6.3899999999999073</v>
      </c>
      <c r="B580">
        <f>Main!$B$20/A580</f>
        <v>0.78247261345854036</v>
      </c>
      <c r="D580" s="132">
        <f t="shared" si="65"/>
        <v>0.78247261345854036</v>
      </c>
      <c r="E580" s="132">
        <f>-B580*Main!$B$19-2*Main!$B$19*loop_gain!$B$17*loop_gain!$B$18</f>
        <v>-84.989671361502488</v>
      </c>
      <c r="F580" s="132">
        <f>2*Main!$B$19*loop_gain!$B$17*loop_gain!$B$18*Helper_calcs!$B$26*Current_limit!B580</f>
        <v>227.74647887324281</v>
      </c>
      <c r="G580" s="132">
        <f t="shared" si="67"/>
        <v>2.7492852814558488</v>
      </c>
      <c r="H580" s="132">
        <f>(Main!$B$19-Current_limit!G580)*Current_limit!G580/(Main!$B$19*loop_gain!$B$17*loop_gain!$B$18)</f>
        <v>0.67282682059895271</v>
      </c>
      <c r="I580" s="132">
        <f t="shared" si="68"/>
        <v>3.1771731794010472</v>
      </c>
      <c r="J580" s="132"/>
      <c r="K580" s="133">
        <f>IF(A580&gt;$B$15,IF(I580&gt;Helper_calcs!$B$27,23,3),0)</f>
        <v>23</v>
      </c>
      <c r="L580">
        <f t="shared" si="66"/>
        <v>2</v>
      </c>
      <c r="M580">
        <f t="shared" si="69"/>
        <v>2</v>
      </c>
      <c r="N580" s="132">
        <f t="shared" si="70"/>
        <v>3.375</v>
      </c>
      <c r="O580" s="132">
        <f t="shared" si="71"/>
        <v>2.6408450704225737</v>
      </c>
      <c r="P580" s="134">
        <f>IF(OR(M580=0,M580=3),loop_gain!$B$18,IF(Current_limit!M580=1,Current_limit!$B$12/(2*(Current_limit!N580-Helper_calcs!$B$27)),IF(OR(M580=2,M580=23),(Main!$B$19-Current_limit!O580)*Current_limit!O580/(Main!$B$19*loop_gain!$B$17*(Helper_calcs!$B$26-Helper_calcs!$B$27)),x)))</f>
        <v>1445384.6876664136</v>
      </c>
      <c r="Q580" s="132"/>
    </row>
    <row r="581" spans="1:17" x14ac:dyDescent="0.3">
      <c r="A581">
        <f t="shared" si="72"/>
        <v>6.3999999999999071</v>
      </c>
      <c r="B581">
        <f>Main!$B$20/A581</f>
        <v>0.78125000000001132</v>
      </c>
      <c r="D581" s="132">
        <f t="shared" si="65"/>
        <v>0.78125000000001132</v>
      </c>
      <c r="E581" s="132">
        <f>-B581*Main!$B$19-2*Main!$B$19*loop_gain!$B$17*loop_gain!$B$18</f>
        <v>-84.975000000000136</v>
      </c>
      <c r="F581" s="132">
        <f>2*Main!$B$19*loop_gain!$B$17*loop_gain!$B$18*Helper_calcs!$B$26*Current_limit!B581</f>
        <v>227.39062500000335</v>
      </c>
      <c r="G581" s="132">
        <f t="shared" si="67"/>
        <v>2.7452601238179306</v>
      </c>
      <c r="H581" s="132">
        <f>(Main!$B$19-Current_limit!G581)*Current_limit!G581/(Main!$B$19*loop_gain!$B$17*loop_gain!$B$18)</f>
        <v>0.67213408302619915</v>
      </c>
      <c r="I581" s="132">
        <f t="shared" si="68"/>
        <v>3.1778659169738006</v>
      </c>
      <c r="J581" s="132"/>
      <c r="K581" s="133">
        <f>IF(A581&gt;$B$15,IF(I581&gt;Helper_calcs!$B$27,23,3),0)</f>
        <v>23</v>
      </c>
      <c r="L581">
        <f t="shared" si="66"/>
        <v>2</v>
      </c>
      <c r="M581">
        <f t="shared" si="69"/>
        <v>2</v>
      </c>
      <c r="N581" s="132">
        <f t="shared" si="70"/>
        <v>3.375</v>
      </c>
      <c r="O581" s="132">
        <f t="shared" si="71"/>
        <v>2.6367187500000382</v>
      </c>
      <c r="P581" s="134">
        <f>IF(OR(M581=0,M581=3),loop_gain!$B$18,IF(Current_limit!M581=1,Current_limit!$B$12/(2*(Current_limit!N581-Helper_calcs!$B$27)),IF(OR(M581=2,M581=23),(Main!$B$19-Current_limit!O581)*Current_limit!O581/(Main!$B$19*loop_gain!$B$17*(Helper_calcs!$B$26-Helper_calcs!$B$27)),x)))</f>
        <v>1443762.5282689293</v>
      </c>
      <c r="Q581" s="132"/>
    </row>
    <row r="582" spans="1:17" x14ac:dyDescent="0.3">
      <c r="A582">
        <f t="shared" si="72"/>
        <v>6.4099999999999069</v>
      </c>
      <c r="B582">
        <f>Main!$B$20/A582</f>
        <v>0.78003120124806125</v>
      </c>
      <c r="D582" s="132">
        <f t="shared" si="65"/>
        <v>0.78003120124806125</v>
      </c>
      <c r="E582" s="132">
        <f>-B582*Main!$B$19-2*Main!$B$19*loop_gain!$B$17*loop_gain!$B$18</f>
        <v>-84.960374414976741</v>
      </c>
      <c r="F582" s="132">
        <f>2*Main!$B$19*loop_gain!$B$17*loop_gain!$B$18*Helper_calcs!$B$26*Current_limit!B582</f>
        <v>227.03588143526076</v>
      </c>
      <c r="G582" s="132">
        <f t="shared" si="67"/>
        <v>2.7412470471071941</v>
      </c>
      <c r="H582" s="132">
        <f>(Main!$B$19-Current_limit!G582)*Current_limit!G582/(Main!$B$19*loop_gain!$B$17*loop_gain!$B$18)</f>
        <v>0.6714425712172597</v>
      </c>
      <c r="I582" s="132">
        <f t="shared" si="68"/>
        <v>3.1785574287827418</v>
      </c>
      <c r="J582" s="132"/>
      <c r="K582" s="133">
        <f>IF(A582&gt;$B$15,IF(I582&gt;Helper_calcs!$B$27,23,3),0)</f>
        <v>23</v>
      </c>
      <c r="L582">
        <f t="shared" si="66"/>
        <v>2</v>
      </c>
      <c r="M582">
        <f t="shared" si="69"/>
        <v>2</v>
      </c>
      <c r="N582" s="132">
        <f t="shared" si="70"/>
        <v>3.375</v>
      </c>
      <c r="O582" s="132">
        <f t="shared" si="71"/>
        <v>2.6326053042122068</v>
      </c>
      <c r="P582" s="134">
        <f>IF(OR(M582=0,M582=3),loop_gain!$B$18,IF(Current_limit!M582=1,Current_limit!$B$12/(2*(Current_limit!N582-Helper_calcs!$B$27)),IF(OR(M582=2,M582=23),(Main!$B$19-Current_limit!O582)*Current_limit!O582/(Main!$B$19*loop_gain!$B$17*(Helper_calcs!$B$26-Helper_calcs!$B$27)),x)))</f>
        <v>1442143.4481158028</v>
      </c>
      <c r="Q582" s="132"/>
    </row>
    <row r="583" spans="1:17" x14ac:dyDescent="0.3">
      <c r="A583">
        <f t="shared" si="72"/>
        <v>6.4199999999999067</v>
      </c>
      <c r="B583">
        <f>Main!$B$20/A583</f>
        <v>0.77881619937695834</v>
      </c>
      <c r="D583" s="132">
        <f t="shared" si="65"/>
        <v>0.77881619937695834</v>
      </c>
      <c r="E583" s="132">
        <f>-B583*Main!$B$19-2*Main!$B$19*loop_gain!$B$17*loop_gain!$B$18</f>
        <v>-84.94579439252351</v>
      </c>
      <c r="F583" s="132">
        <f>2*Main!$B$19*loop_gain!$B$17*loop_gain!$B$18*Helper_calcs!$B$26*Current_limit!B583</f>
        <v>226.68224299065753</v>
      </c>
      <c r="G583" s="132">
        <f t="shared" si="67"/>
        <v>2.7372459956187458</v>
      </c>
      <c r="H583" s="132">
        <f>(Main!$B$19-Current_limit!G583)*Current_limit!G583/(Main!$B$19*loop_gain!$B$17*loop_gain!$B$18)</f>
        <v>0.67075228325116631</v>
      </c>
      <c r="I583" s="132">
        <f t="shared" si="68"/>
        <v>3.1792477167488356</v>
      </c>
      <c r="J583" s="132"/>
      <c r="K583" s="133">
        <f>IF(A583&gt;$B$15,IF(I583&gt;Helper_calcs!$B$27,23,3),0)</f>
        <v>23</v>
      </c>
      <c r="L583">
        <f t="shared" si="66"/>
        <v>2</v>
      </c>
      <c r="M583">
        <f t="shared" si="69"/>
        <v>2</v>
      </c>
      <c r="N583" s="132">
        <f t="shared" si="70"/>
        <v>3.375</v>
      </c>
      <c r="O583" s="132">
        <f t="shared" si="71"/>
        <v>2.6285046728972343</v>
      </c>
      <c r="P583" s="134">
        <f>IF(OR(M583=0,M583=3),loop_gain!$B$18,IF(Current_limit!M583=1,Current_limit!$B$12/(2*(Current_limit!N583-Helper_calcs!$B$27)),IF(OR(M583=2,M583=23),(Main!$B$19-Current_limit!O583)*Current_limit!O583/(Main!$B$19*loop_gain!$B$17*(Helper_calcs!$B$26-Helper_calcs!$B$27)),x)))</f>
        <v>1440527.4420657433</v>
      </c>
      <c r="Q583" s="132"/>
    </row>
    <row r="584" spans="1:17" x14ac:dyDescent="0.3">
      <c r="A584">
        <f t="shared" si="72"/>
        <v>6.4299999999999065</v>
      </c>
      <c r="B584">
        <f>Main!$B$20/A584</f>
        <v>0.77760497667186201</v>
      </c>
      <c r="D584" s="132">
        <f t="shared" si="65"/>
        <v>0.77760497667186201</v>
      </c>
      <c r="E584" s="132">
        <f>-B584*Main!$B$19-2*Main!$B$19*loop_gain!$B$17*loop_gain!$B$18</f>
        <v>-84.931259720062357</v>
      </c>
      <c r="F584" s="132">
        <f>2*Main!$B$19*loop_gain!$B$17*loop_gain!$B$18*Helper_calcs!$B$26*Current_limit!B584</f>
        <v>226.32970451011221</v>
      </c>
      <c r="G584" s="132">
        <f t="shared" si="67"/>
        <v>2.7332569139979737</v>
      </c>
      <c r="H584" s="132">
        <f>(Main!$B$19-Current_limit!G584)*Current_limit!G584/(Main!$B$19*loop_gain!$B$17*loop_gain!$B$18)</f>
        <v>0.67006321719730044</v>
      </c>
      <c r="I584" s="132">
        <f t="shared" si="68"/>
        <v>3.1799367828026925</v>
      </c>
      <c r="J584" s="132"/>
      <c r="K584" s="133">
        <f>IF(A584&gt;$B$15,IF(I584&gt;Helper_calcs!$B$27,23,3),0)</f>
        <v>23</v>
      </c>
      <c r="L584">
        <f t="shared" si="66"/>
        <v>2</v>
      </c>
      <c r="M584">
        <f t="shared" si="69"/>
        <v>2</v>
      </c>
      <c r="N584" s="132">
        <f t="shared" si="70"/>
        <v>3.375</v>
      </c>
      <c r="O584" s="132">
        <f t="shared" si="71"/>
        <v>2.6244167962675342</v>
      </c>
      <c r="P584" s="134">
        <f>IF(OR(M584=0,M584=3),loop_gain!$B$18,IF(Current_limit!M584=1,Current_limit!$B$12/(2*(Current_limit!N584-Helper_calcs!$B$27)),IF(OR(M584=2,M584=23),(Main!$B$19-Current_limit!O584)*Current_limit!O584/(Main!$B$19*loop_gain!$B$17*(Helper_calcs!$B$26-Helper_calcs!$B$27)),x)))</f>
        <v>1438914.5049520035</v>
      </c>
      <c r="Q584" s="132"/>
    </row>
    <row r="585" spans="1:17" x14ac:dyDescent="0.3">
      <c r="A585">
        <f t="shared" si="72"/>
        <v>6.4399999999999062</v>
      </c>
      <c r="B585">
        <f>Main!$B$20/A585</f>
        <v>0.77639751552796166</v>
      </c>
      <c r="D585" s="132">
        <f t="shared" si="65"/>
        <v>0.77639751552796166</v>
      </c>
      <c r="E585" s="132">
        <f>-B585*Main!$B$19-2*Main!$B$19*loop_gain!$B$17*loop_gain!$B$18</f>
        <v>-84.916770186335555</v>
      </c>
      <c r="F585" s="132">
        <f>2*Main!$B$19*loop_gain!$B$17*loop_gain!$B$18*Helper_calcs!$B$26*Current_limit!B585</f>
        <v>225.97826086956857</v>
      </c>
      <c r="G585" s="132">
        <f t="shared" si="67"/>
        <v>2.7292797472377632</v>
      </c>
      <c r="H585" s="132">
        <f>(Main!$B$19-Current_limit!G585)*Current_limit!G585/(Main!$B$19*loop_gain!$B$17*loop_gain!$B$18)</f>
        <v>0.66937537111563294</v>
      </c>
      <c r="I585" s="132">
        <f t="shared" si="68"/>
        <v>3.1806246288843711</v>
      </c>
      <c r="J585" s="132"/>
      <c r="K585" s="133">
        <f>IF(A585&gt;$B$15,IF(I585&gt;Helper_calcs!$B$27,23,3),0)</f>
        <v>23</v>
      </c>
      <c r="L585">
        <f t="shared" si="66"/>
        <v>2</v>
      </c>
      <c r="M585">
        <f t="shared" si="69"/>
        <v>2</v>
      </c>
      <c r="N585" s="132">
        <f t="shared" si="70"/>
        <v>3.375</v>
      </c>
      <c r="O585" s="132">
        <f t="shared" si="71"/>
        <v>2.6203416149068706</v>
      </c>
      <c r="P585" s="134">
        <f>IF(OR(M585=0,M585=3),loop_gain!$B$18,IF(Current_limit!M585=1,Current_limit!$B$12/(2*(Current_limit!N585-Helper_calcs!$B$27)),IF(OR(M585=2,M585=23),(Main!$B$19-Current_limit!O585)*Current_limit!O585/(Main!$B$19*loop_gain!$B$17*(Helper_calcs!$B$26-Helper_calcs!$B$27)),x)))</f>
        <v>1437304.6315830234</v>
      </c>
      <c r="Q585" s="132"/>
    </row>
    <row r="586" spans="1:17" x14ac:dyDescent="0.3">
      <c r="A586">
        <f t="shared" si="72"/>
        <v>6.449999999999906</v>
      </c>
      <c r="B586">
        <f>Main!$B$20/A586</f>
        <v>0.77519379844962366</v>
      </c>
      <c r="D586" s="132">
        <f t="shared" si="65"/>
        <v>0.77519379844962366</v>
      </c>
      <c r="E586" s="132">
        <f>-B586*Main!$B$19-2*Main!$B$19*loop_gain!$B$17*loop_gain!$B$18</f>
        <v>-84.902325581395488</v>
      </c>
      <c r="F586" s="132">
        <f>2*Main!$B$19*loop_gain!$B$17*loop_gain!$B$18*Helper_calcs!$B$26*Current_limit!B586</f>
        <v>225.62790697674751</v>
      </c>
      <c r="G586" s="132">
        <f t="shared" si="67"/>
        <v>2.725314440675648</v>
      </c>
      <c r="H586" s="132">
        <f>(Main!$B$19-Current_limit!G586)*Current_limit!G586/(Main!$B$19*loop_gain!$B$17*loop_gain!$B$18)</f>
        <v>0.66868874305694592</v>
      </c>
      <c r="I586" s="132">
        <f t="shared" si="68"/>
        <v>3.1813112569430619</v>
      </c>
      <c r="J586" s="132"/>
      <c r="K586" s="133">
        <f>IF(A586&gt;$B$15,IF(I586&gt;Helper_calcs!$B$27,23,3),0)</f>
        <v>23</v>
      </c>
      <c r="L586">
        <f t="shared" si="66"/>
        <v>2</v>
      </c>
      <c r="M586">
        <f t="shared" si="69"/>
        <v>2</v>
      </c>
      <c r="N586" s="132">
        <f t="shared" si="70"/>
        <v>3.375</v>
      </c>
      <c r="O586" s="132">
        <f t="shared" si="71"/>
        <v>2.6162790697674798</v>
      </c>
      <c r="P586" s="134">
        <f>IF(OR(M586=0,M586=3),loop_gain!$B$18,IF(Current_limit!M586=1,Current_limit!$B$12/(2*(Current_limit!N586-Helper_calcs!$B$27)),IF(OR(M586=2,M586=23),(Main!$B$19-Current_limit!O586)*Current_limit!O586/(Main!$B$19*loop_gain!$B$17*(Helper_calcs!$B$26-Helper_calcs!$B$27)),x)))</f>
        <v>1435697.8167430623</v>
      </c>
      <c r="Q586" s="132"/>
    </row>
    <row r="587" spans="1:17" x14ac:dyDescent="0.3">
      <c r="A587">
        <f t="shared" si="72"/>
        <v>6.4599999999999058</v>
      </c>
      <c r="B587">
        <f>Main!$B$20/A587</f>
        <v>0.77399380804954687</v>
      </c>
      <c r="D587" s="132">
        <f t="shared" si="65"/>
        <v>0.77399380804954687</v>
      </c>
      <c r="E587" s="132">
        <f>-B587*Main!$B$19-2*Main!$B$19*loop_gain!$B$17*loop_gain!$B$18</f>
        <v>-84.887925696594579</v>
      </c>
      <c r="F587" s="132">
        <f>2*Main!$B$19*loop_gain!$B$17*loop_gain!$B$18*Helper_calcs!$B$26*Current_limit!B587</f>
        <v>225.27863777090116</v>
      </c>
      <c r="G587" s="132">
        <f t="shared" si="67"/>
        <v>2.7213609399911105</v>
      </c>
      <c r="H587" s="132">
        <f>(Main!$B$19-Current_limit!G587)*Current_limit!G587/(Main!$B$19*loop_gain!$B$17*loop_gain!$B$18)</f>
        <v>0.66800333106306931</v>
      </c>
      <c r="I587" s="132">
        <f t="shared" si="68"/>
        <v>3.1819966689369292</v>
      </c>
      <c r="J587" s="132"/>
      <c r="K587" s="133">
        <f>IF(A587&gt;$B$15,IF(I587&gt;Helper_calcs!$B$27,23,3),0)</f>
        <v>23</v>
      </c>
      <c r="L587">
        <f t="shared" si="66"/>
        <v>2</v>
      </c>
      <c r="M587">
        <f t="shared" si="69"/>
        <v>2</v>
      </c>
      <c r="N587" s="132">
        <f t="shared" si="70"/>
        <v>3.375</v>
      </c>
      <c r="O587" s="132">
        <f t="shared" si="71"/>
        <v>2.6122291021672206</v>
      </c>
      <c r="P587" s="134">
        <f>IF(OR(M587=0,M587=3),loop_gain!$B$18,IF(Current_limit!M587=1,Current_limit!$B$12/(2*(Current_limit!N587-Helper_calcs!$B$27)),IF(OR(M587=2,M587=23),(Main!$B$19-Current_limit!O587)*Current_limit!O587/(Main!$B$19*loop_gain!$B$17*(Helper_calcs!$B$26-Helper_calcs!$B$27)),x)))</f>
        <v>1434094.0551928235</v>
      </c>
      <c r="Q587" s="132"/>
    </row>
    <row r="588" spans="1:17" x14ac:dyDescent="0.3">
      <c r="A588">
        <f t="shared" si="72"/>
        <v>6.4699999999999056</v>
      </c>
      <c r="B588">
        <f>Main!$B$20/A588</f>
        <v>0.7727975270479247</v>
      </c>
      <c r="D588" s="132">
        <f t="shared" si="65"/>
        <v>0.7727975270479247</v>
      </c>
      <c r="E588" s="132">
        <f>-B588*Main!$B$19-2*Main!$B$19*loop_gain!$B$17*loop_gain!$B$18</f>
        <v>-84.873570324575098</v>
      </c>
      <c r="F588" s="132">
        <f>2*Main!$B$19*loop_gain!$B$17*loop_gain!$B$18*Helper_calcs!$B$26*Current_limit!B588</f>
        <v>224.930448222569</v>
      </c>
      <c r="G588" s="132">
        <f t="shared" si="67"/>
        <v>2.7174191912028589</v>
      </c>
      <c r="H588" s="132">
        <f>(Main!$B$19-Current_limit!G588)*Current_limit!G588/(Main!$B$19*loop_gain!$B$17*loop_gain!$B$18)</f>
        <v>0.66731913316710856</v>
      </c>
      <c r="I588" s="132">
        <f t="shared" si="68"/>
        <v>3.1826808668328939</v>
      </c>
      <c r="J588" s="132"/>
      <c r="K588" s="133">
        <f>IF(A588&gt;$B$15,IF(I588&gt;Helper_calcs!$B$27,23,3),0)</f>
        <v>23</v>
      </c>
      <c r="L588">
        <f t="shared" si="66"/>
        <v>2</v>
      </c>
      <c r="M588">
        <f t="shared" si="69"/>
        <v>2</v>
      </c>
      <c r="N588" s="132">
        <f t="shared" si="70"/>
        <v>3.375</v>
      </c>
      <c r="O588" s="132">
        <f t="shared" si="71"/>
        <v>2.6081916537867458</v>
      </c>
      <c r="P588" s="134">
        <f>IF(OR(M588=0,M588=3),loop_gain!$B$18,IF(Current_limit!M588=1,Current_limit!$B$12/(2*(Current_limit!N588-Helper_calcs!$B$27)),IF(OR(M588=2,M588=23),(Main!$B$19-Current_limit!O588)*Current_limit!O588/(Main!$B$19*loop_gain!$B$17*(Helper_calcs!$B$26-Helper_calcs!$B$27)),x)))</f>
        <v>1432493.341670065</v>
      </c>
      <c r="Q588" s="132"/>
    </row>
    <row r="589" spans="1:17" x14ac:dyDescent="0.3">
      <c r="A589">
        <f t="shared" si="72"/>
        <v>6.4799999999999054</v>
      </c>
      <c r="B589">
        <f>Main!$B$20/A589</f>
        <v>0.77160493827161625</v>
      </c>
      <c r="D589" s="132">
        <f t="shared" si="65"/>
        <v>0.77160493827161625</v>
      </c>
      <c r="E589" s="132">
        <f>-B589*Main!$B$19-2*Main!$B$19*loop_gain!$B$17*loop_gain!$B$18</f>
        <v>-84.859259259259403</v>
      </c>
      <c r="F589" s="132">
        <f>2*Main!$B$19*loop_gain!$B$17*loop_gain!$B$18*Helper_calcs!$B$26*Current_limit!B589</f>
        <v>224.58333333333667</v>
      </c>
      <c r="G589" s="132">
        <f t="shared" si="67"/>
        <v>2.7134891406660708</v>
      </c>
      <c r="H589" s="132">
        <f>(Main!$B$19-Current_limit!G589)*Current_limit!G589/(Main!$B$19*loop_gain!$B$17*loop_gain!$B$18)</f>
        <v>0.66663614739365495</v>
      </c>
      <c r="I589" s="132">
        <f t="shared" si="68"/>
        <v>3.1833638526063486</v>
      </c>
      <c r="J589" s="132"/>
      <c r="K589" s="133">
        <f>IF(A589&gt;$B$15,IF(I589&gt;Helper_calcs!$B$27,23,3),0)</f>
        <v>23</v>
      </c>
      <c r="L589">
        <f t="shared" si="66"/>
        <v>2</v>
      </c>
      <c r="M589">
        <f t="shared" si="69"/>
        <v>2</v>
      </c>
      <c r="N589" s="132">
        <f t="shared" si="70"/>
        <v>3.375</v>
      </c>
      <c r="O589" s="132">
        <f t="shared" si="71"/>
        <v>2.6041666666667047</v>
      </c>
      <c r="P589" s="134">
        <f>IF(OR(M589=0,M589=3),loop_gain!$B$18,IF(Current_limit!M589=1,Current_limit!$B$12/(2*(Current_limit!N589-Helper_calcs!$B$27)),IF(OR(M589=2,M589=23),(Main!$B$19-Current_limit!O589)*Current_limit!O589/(Main!$B$19*loop_gain!$B$17*(Helper_calcs!$B$26-Helper_calcs!$B$27)),x)))</f>
        <v>1430895.6708902034</v>
      </c>
      <c r="Q589" s="132"/>
    </row>
    <row r="590" spans="1:17" x14ac:dyDescent="0.3">
      <c r="A590">
        <f t="shared" si="72"/>
        <v>6.4899999999999052</v>
      </c>
      <c r="B590">
        <f>Main!$B$20/A590</f>
        <v>0.77041602465332404</v>
      </c>
      <c r="D590" s="132">
        <f t="shared" si="65"/>
        <v>0.77041602465332404</v>
      </c>
      <c r="E590" s="132">
        <f>-B590*Main!$B$19-2*Main!$B$19*loop_gain!$B$17*loop_gain!$B$18</f>
        <v>-84.844992295839901</v>
      </c>
      <c r="F590" s="132">
        <f>2*Main!$B$19*loop_gain!$B$17*loop_gain!$B$18*Helper_calcs!$B$26*Current_limit!B590</f>
        <v>224.23728813559654</v>
      </c>
      <c r="G590" s="132">
        <f t="shared" si="67"/>
        <v>2.7095707350697618</v>
      </c>
      <c r="H590" s="132">
        <f>(Main!$B$19-Current_limit!G590)*Current_limit!G590/(Main!$B$19*loop_gain!$B$17*loop_gain!$B$18)</f>
        <v>0.66595437175901195</v>
      </c>
      <c r="I590" s="132">
        <f t="shared" si="68"/>
        <v>3.1840456282409932</v>
      </c>
      <c r="J590" s="132"/>
      <c r="K590" s="133">
        <f>IF(A590&gt;$B$15,IF(I590&gt;Helper_calcs!$B$27,23,3),0)</f>
        <v>23</v>
      </c>
      <c r="L590">
        <f t="shared" si="66"/>
        <v>2</v>
      </c>
      <c r="M590">
        <f t="shared" si="69"/>
        <v>2</v>
      </c>
      <c r="N590" s="132">
        <f t="shared" si="70"/>
        <v>3.375</v>
      </c>
      <c r="O590" s="132">
        <f t="shared" si="71"/>
        <v>2.6001540832049685</v>
      </c>
      <c r="P590" s="134">
        <f>IF(OR(M590=0,M590=3),loop_gain!$B$18,IF(Current_limit!M590=1,Current_limit!$B$12/(2*(Current_limit!N590-Helper_calcs!$B$27)),IF(OR(M590=2,M590=23),(Main!$B$19-Current_limit!O590)*Current_limit!O590/(Main!$B$19*loop_gain!$B$17*(Helper_calcs!$B$26-Helper_calcs!$B$27)),x)))</f>
        <v>1429301.0375469094</v>
      </c>
      <c r="Q590" s="132"/>
    </row>
    <row r="591" spans="1:17" x14ac:dyDescent="0.3">
      <c r="A591">
        <f t="shared" si="72"/>
        <v>6.499999999999905</v>
      </c>
      <c r="B591">
        <f>Main!$B$20/A591</f>
        <v>0.76923076923078049</v>
      </c>
      <c r="D591" s="132">
        <f t="shared" si="65"/>
        <v>0.76923076923078049</v>
      </c>
      <c r="E591" s="132">
        <f>-B591*Main!$B$19-2*Main!$B$19*loop_gain!$B$17*loop_gain!$B$18</f>
        <v>-84.830769230769377</v>
      </c>
      <c r="F591" s="132">
        <f>2*Main!$B$19*loop_gain!$B$17*loop_gain!$B$18*Helper_calcs!$B$26*Current_limit!B591</f>
        <v>223.89230769231102</v>
      </c>
      <c r="G591" s="132">
        <f t="shared" si="67"/>
        <v>2.7056639214341098</v>
      </c>
      <c r="H591" s="132">
        <f>(Main!$B$19-Current_limit!G591)*Current_limit!G591/(Main!$B$19*loop_gain!$B$17*loop_gain!$B$18)</f>
        <v>0.66527380427140503</v>
      </c>
      <c r="I591" s="132">
        <f t="shared" si="68"/>
        <v>3.1847261957285888</v>
      </c>
      <c r="J591" s="132"/>
      <c r="K591" s="133">
        <f>IF(A591&gt;$B$15,IF(I591&gt;Helper_calcs!$B$27,23,3),0)</f>
        <v>23</v>
      </c>
      <c r="L591">
        <f t="shared" si="66"/>
        <v>2</v>
      </c>
      <c r="M591">
        <f t="shared" si="69"/>
        <v>2</v>
      </c>
      <c r="N591" s="132">
        <f t="shared" si="70"/>
        <v>3.375</v>
      </c>
      <c r="O591" s="132">
        <f t="shared" si="71"/>
        <v>2.596153846153884</v>
      </c>
      <c r="P591" s="134">
        <f>IF(OR(M591=0,M591=3),loop_gain!$B$18,IF(Current_limit!M591=1,Current_limit!$B$12/(2*(Current_limit!N591-Helper_calcs!$B$27)),IF(OR(M591=2,M591=23),(Main!$B$19-Current_limit!O591)*Current_limit!O591/(Main!$B$19*loop_gain!$B$17*(Helper_calcs!$B$26-Helper_calcs!$B$27)),x)))</f>
        <v>1427709.4363126901</v>
      </c>
      <c r="Q591" s="132"/>
    </row>
    <row r="592" spans="1:17" x14ac:dyDescent="0.3">
      <c r="A592">
        <f t="shared" si="72"/>
        <v>6.5099999999999048</v>
      </c>
      <c r="B592">
        <f>Main!$B$20/A592</f>
        <v>0.76804915514594063</v>
      </c>
      <c r="D592" s="132">
        <f t="shared" si="65"/>
        <v>0.76804915514594063</v>
      </c>
      <c r="E592" s="132">
        <f>-B592*Main!$B$19-2*Main!$B$19*loop_gain!$B$17*loop_gain!$B$18</f>
        <v>-84.816589861751297</v>
      </c>
      <c r="F592" s="132">
        <f>2*Main!$B$19*loop_gain!$B$17*loop_gain!$B$18*Helper_calcs!$B$26*Current_limit!B592</f>
        <v>223.54838709677753</v>
      </c>
      <c r="G592" s="132">
        <f t="shared" si="67"/>
        <v>2.701768647107877</v>
      </c>
      <c r="H592" s="132">
        <f>(Main!$B$19-Current_limit!G592)*Current_limit!G592/(Main!$B$19*loop_gain!$B$17*loop_gain!$B$18)</f>
        <v>0.66459444293120096</v>
      </c>
      <c r="I592" s="132">
        <f t="shared" si="68"/>
        <v>3.1854055570688034</v>
      </c>
      <c r="J592" s="132"/>
      <c r="K592" s="133">
        <f>IF(A592&gt;$B$15,IF(I592&gt;Helper_calcs!$B$27,23,3),0)</f>
        <v>23</v>
      </c>
      <c r="L592">
        <f t="shared" si="66"/>
        <v>2</v>
      </c>
      <c r="M592">
        <f t="shared" si="69"/>
        <v>2</v>
      </c>
      <c r="N592" s="132">
        <f t="shared" si="70"/>
        <v>3.375</v>
      </c>
      <c r="O592" s="132">
        <f t="shared" si="71"/>
        <v>2.5921658986175498</v>
      </c>
      <c r="P592" s="134">
        <f>IF(OR(M592=0,M592=3),loop_gain!$B$18,IF(Current_limit!M592=1,Current_limit!$B$12/(2*(Current_limit!N592-Helper_calcs!$B$27)),IF(OR(M592=2,M592=23),(Main!$B$19-Current_limit!O592)*Current_limit!O592/(Main!$B$19*loop_gain!$B$17*(Helper_calcs!$B$26-Helper_calcs!$B$27)),x)))</f>
        <v>1426120.8618394658</v>
      </c>
      <c r="Q592" s="132"/>
    </row>
    <row r="593" spans="1:17" x14ac:dyDescent="0.3">
      <c r="A593">
        <f t="shared" si="72"/>
        <v>6.5199999999999045</v>
      </c>
      <c r="B593">
        <f>Main!$B$20/A593</f>
        <v>0.76687116564418301</v>
      </c>
      <c r="D593" s="132">
        <f t="shared" si="65"/>
        <v>0.76687116564418301</v>
      </c>
      <c r="E593" s="132">
        <f>-B593*Main!$B$19-2*Main!$B$19*loop_gain!$B$17*loop_gain!$B$18</f>
        <v>-84.802453987730203</v>
      </c>
      <c r="F593" s="132">
        <f>2*Main!$B$19*loop_gain!$B$17*loop_gain!$B$18*Helper_calcs!$B$26*Current_limit!B593</f>
        <v>223.20552147239596</v>
      </c>
      <c r="G593" s="132">
        <f t="shared" si="67"/>
        <v>2.6978848597657219</v>
      </c>
      <c r="H593" s="132">
        <f>(Main!$B$19-Current_limit!G593)*Current_limit!G593/(Main!$B$19*loop_gain!$B$17*loop_gain!$B$18)</f>
        <v>0.66391628573109918</v>
      </c>
      <c r="I593" s="132">
        <f t="shared" si="68"/>
        <v>3.1860837142689</v>
      </c>
      <c r="J593" s="132"/>
      <c r="K593" s="133">
        <f>IF(A593&gt;$B$15,IF(I593&gt;Helper_calcs!$B$27,23,3),0)</f>
        <v>23</v>
      </c>
      <c r="L593">
        <f t="shared" si="66"/>
        <v>2</v>
      </c>
      <c r="M593">
        <f t="shared" si="69"/>
        <v>2</v>
      </c>
      <c r="N593" s="132">
        <f t="shared" si="70"/>
        <v>3.375</v>
      </c>
      <c r="O593" s="132">
        <f t="shared" si="71"/>
        <v>2.5881901840491177</v>
      </c>
      <c r="P593" s="134">
        <f>IF(OR(M593=0,M593=3),loop_gain!$B$18,IF(Current_limit!M593=1,Current_limit!$B$12/(2*(Current_limit!N593-Helper_calcs!$B$27)),IF(OR(M593=2,M593=23),(Main!$B$19-Current_limit!O593)*Current_limit!O593/(Main!$B$19*loop_gain!$B$17*(Helper_calcs!$B$26-Helper_calcs!$B$27)),x)))</f>
        <v>1424535.3087591345</v>
      </c>
      <c r="Q593" s="132"/>
    </row>
    <row r="594" spans="1:17" x14ac:dyDescent="0.3">
      <c r="A594">
        <f t="shared" si="72"/>
        <v>6.5299999999999043</v>
      </c>
      <c r="B594">
        <f>Main!$B$20/A594</f>
        <v>0.76569678407351816</v>
      </c>
      <c r="D594" s="132">
        <f t="shared" si="65"/>
        <v>0.76569678407351816</v>
      </c>
      <c r="E594" s="132">
        <f>-B594*Main!$B$19-2*Main!$B$19*loop_gain!$B$17*loop_gain!$B$18</f>
        <v>-84.788361408882224</v>
      </c>
      <c r="F594" s="132">
        <f>2*Main!$B$19*loop_gain!$B$17*loop_gain!$B$18*Helper_calcs!$B$26*Current_limit!B594</f>
        <v>222.86370597243823</v>
      </c>
      <c r="G594" s="132">
        <f t="shared" si="67"/>
        <v>2.6940125074057266</v>
      </c>
      <c r="H594" s="132">
        <f>(Main!$B$19-Current_limit!G594)*Current_limit!G594/(Main!$B$19*loop_gain!$B$17*loop_gain!$B$18)</f>
        <v>0.66323933065635521</v>
      </c>
      <c r="I594" s="132">
        <f t="shared" si="68"/>
        <v>3.1867606693436494</v>
      </c>
      <c r="J594" s="132"/>
      <c r="K594" s="133">
        <f>IF(A594&gt;$B$15,IF(I594&gt;Helper_calcs!$B$27,23,3),0)</f>
        <v>23</v>
      </c>
      <c r="L594">
        <f t="shared" si="66"/>
        <v>2</v>
      </c>
      <c r="M594">
        <f t="shared" si="69"/>
        <v>2</v>
      </c>
      <c r="N594" s="132">
        <f t="shared" si="70"/>
        <v>3.375</v>
      </c>
      <c r="O594" s="132">
        <f t="shared" si="71"/>
        <v>2.5842266462481236</v>
      </c>
      <c r="P594" s="134">
        <f>IF(OR(M594=0,M594=3),loop_gain!$B$18,IF(Current_limit!M594=1,Current_limit!$B$12/(2*(Current_limit!N594-Helper_calcs!$B$27)),IF(OR(M594=2,M594=23),(Main!$B$19-Current_limit!O594)*Current_limit!O594/(Main!$B$19*loop_gain!$B$17*(Helper_calcs!$B$26-Helper_calcs!$B$27)),x)))</f>
        <v>1422952.7716841321</v>
      </c>
      <c r="Q594" s="132"/>
    </row>
    <row r="595" spans="1:17" x14ac:dyDescent="0.3">
      <c r="A595">
        <f t="shared" si="72"/>
        <v>6.5399999999999041</v>
      </c>
      <c r="B595">
        <f>Main!$B$20/A595</f>
        <v>0.76452599388380327</v>
      </c>
      <c r="D595" s="132">
        <f t="shared" si="65"/>
        <v>0.76452599388380327</v>
      </c>
      <c r="E595" s="132">
        <f>-B595*Main!$B$19-2*Main!$B$19*loop_gain!$B$17*loop_gain!$B$18</f>
        <v>-84.774311926605648</v>
      </c>
      <c r="F595" s="132">
        <f>2*Main!$B$19*loop_gain!$B$17*loop_gain!$B$18*Helper_calcs!$B$26*Current_limit!B595</f>
        <v>222.52293577981982</v>
      </c>
      <c r="G595" s="132">
        <f t="shared" si="67"/>
        <v>2.6901515383467705</v>
      </c>
      <c r="H595" s="132">
        <f>(Main!$B$19-Current_limit!G595)*Current_limit!G595/(Main!$B$19*loop_gain!$B$17*loop_gain!$B$18)</f>
        <v>0.66256357568496682</v>
      </c>
      <c r="I595" s="132">
        <f t="shared" si="68"/>
        <v>3.1874364243150408</v>
      </c>
      <c r="J595" s="132"/>
      <c r="K595" s="133">
        <f>IF(A595&gt;$B$15,IF(I595&gt;Helper_calcs!$B$27,23,3),0)</f>
        <v>23</v>
      </c>
      <c r="L595">
        <f t="shared" si="66"/>
        <v>2</v>
      </c>
      <c r="M595">
        <f t="shared" si="69"/>
        <v>2</v>
      </c>
      <c r="N595" s="132">
        <f t="shared" si="70"/>
        <v>3.375</v>
      </c>
      <c r="O595" s="132">
        <f t="shared" si="71"/>
        <v>2.5802752293578362</v>
      </c>
      <c r="P595" s="134">
        <f>IF(OR(M595=0,M595=3),loop_gain!$B$18,IF(Current_limit!M595=1,Current_limit!$B$12/(2*(Current_limit!N595-Helper_calcs!$B$27)),IF(OR(M595=2,M595=23),(Main!$B$19-Current_limit!O595)*Current_limit!O595/(Main!$B$19*loop_gain!$B$17*(Helper_calcs!$B$26-Helper_calcs!$B$27)),x)))</f>
        <v>1421373.2452079763</v>
      </c>
      <c r="Q595" s="132"/>
    </row>
    <row r="596" spans="1:17" x14ac:dyDescent="0.3">
      <c r="A596">
        <f t="shared" si="72"/>
        <v>6.5499999999999039</v>
      </c>
      <c r="B596">
        <f>Main!$B$20/A596</f>
        <v>0.76335877862596535</v>
      </c>
      <c r="D596" s="132">
        <f t="shared" si="65"/>
        <v>0.76335877862596535</v>
      </c>
      <c r="E596" s="132">
        <f>-B596*Main!$B$19-2*Main!$B$19*loop_gain!$B$17*loop_gain!$B$18</f>
        <v>-84.76030534351159</v>
      </c>
      <c r="F596" s="132">
        <f>2*Main!$B$19*loop_gain!$B$17*loop_gain!$B$18*Helper_calcs!$B$26*Current_limit!B596</f>
        <v>222.18320610687351</v>
      </c>
      <c r="G596" s="132">
        <f t="shared" si="67"/>
        <v>2.6863019012260403</v>
      </c>
      <c r="H596" s="132">
        <f>(Main!$B$19-Current_limit!G596)*Current_limit!G596/(Main!$B$19*loop_gain!$B$17*loop_gain!$B$18)</f>
        <v>0.66188901878787942</v>
      </c>
      <c r="I596" s="132">
        <f t="shared" si="68"/>
        <v>3.1881109812121218</v>
      </c>
      <c r="J596" s="132"/>
      <c r="K596" s="133">
        <f>IF(A596&gt;$B$15,IF(I596&gt;Helper_calcs!$B$27,23,3),0)</f>
        <v>23</v>
      </c>
      <c r="L596">
        <f t="shared" si="66"/>
        <v>2</v>
      </c>
      <c r="M596">
        <f t="shared" si="69"/>
        <v>2</v>
      </c>
      <c r="N596" s="132">
        <f t="shared" si="70"/>
        <v>3.375</v>
      </c>
      <c r="O596" s="132">
        <f t="shared" si="71"/>
        <v>2.5763358778626331</v>
      </c>
      <c r="P596" s="134">
        <f>IF(OR(M596=0,M596=3),loop_gain!$B$18,IF(Current_limit!M596=1,Current_limit!$B$12/(2*(Current_limit!N596-Helper_calcs!$B$27)),IF(OR(M596=2,M596=23),(Main!$B$19-Current_limit!O596)*Current_limit!O596/(Main!$B$19*loop_gain!$B$17*(Helper_calcs!$B$26-Helper_calcs!$B$27)),x)))</f>
        <v>1419796.7239058111</v>
      </c>
      <c r="Q596" s="132"/>
    </row>
    <row r="597" spans="1:17" x14ac:dyDescent="0.3">
      <c r="A597">
        <f t="shared" si="72"/>
        <v>6.5599999999999037</v>
      </c>
      <c r="B597">
        <f>Main!$B$20/A597</f>
        <v>0.76219512195123074</v>
      </c>
      <c r="D597" s="132">
        <f t="shared" si="65"/>
        <v>0.76219512195123074</v>
      </c>
      <c r="E597" s="132">
        <f>-B597*Main!$B$19-2*Main!$B$19*loop_gain!$B$17*loop_gain!$B$18</f>
        <v>-84.74634146341478</v>
      </c>
      <c r="F597" s="132">
        <f>2*Main!$B$19*loop_gain!$B$17*loop_gain!$B$18*Helper_calcs!$B$26*Current_limit!B597</f>
        <v>221.84451219512528</v>
      </c>
      <c r="G597" s="132">
        <f t="shared" si="67"/>
        <v>2.6824635449965415</v>
      </c>
      <c r="H597" s="132">
        <f>(Main!$B$19-Current_limit!G597)*Current_limit!G597/(Main!$B$19*loop_gain!$B$17*loop_gain!$B$18)</f>
        <v>0.66121565792918213</v>
      </c>
      <c r="I597" s="132">
        <f t="shared" si="68"/>
        <v>3.1887843420708197</v>
      </c>
      <c r="J597" s="132"/>
      <c r="K597" s="133">
        <f>IF(A597&gt;$B$15,IF(I597&gt;Helper_calcs!$B$27,23,3),0)</f>
        <v>23</v>
      </c>
      <c r="L597">
        <f t="shared" si="66"/>
        <v>2</v>
      </c>
      <c r="M597">
        <f t="shared" si="69"/>
        <v>2</v>
      </c>
      <c r="N597" s="132">
        <f t="shared" si="70"/>
        <v>3.375</v>
      </c>
      <c r="O597" s="132">
        <f t="shared" si="71"/>
        <v>2.5724085365854039</v>
      </c>
      <c r="P597" s="134">
        <f>IF(OR(M597=0,M597=3),loop_gain!$B$18,IF(Current_limit!M597=1,Current_limit!$B$12/(2*(Current_limit!N597-Helper_calcs!$B$27)),IF(OR(M597=2,M597=23),(Main!$B$19-Current_limit!O597)*Current_limit!O597/(Main!$B$19*loop_gain!$B$17*(Helper_calcs!$B$26-Helper_calcs!$B$27)),x)))</f>
        <v>1418223.2023349348</v>
      </c>
      <c r="Q597" s="132"/>
    </row>
    <row r="598" spans="1:17" x14ac:dyDescent="0.3">
      <c r="A598">
        <f t="shared" si="72"/>
        <v>6.5699999999999035</v>
      </c>
      <c r="B598">
        <f>Main!$B$20/A598</f>
        <v>0.76103500761036125</v>
      </c>
      <c r="D598" s="132">
        <f t="shared" si="65"/>
        <v>0.76103500761036125</v>
      </c>
      <c r="E598" s="132">
        <f>-B598*Main!$B$19-2*Main!$B$19*loop_gain!$B$17*loop_gain!$B$18</f>
        <v>-84.732420091324343</v>
      </c>
      <c r="F598" s="132">
        <f>2*Main!$B$19*loop_gain!$B$17*loop_gain!$B$18*Helper_calcs!$B$26*Current_limit!B598</f>
        <v>221.50684931507178</v>
      </c>
      <c r="G598" s="132">
        <f t="shared" si="67"/>
        <v>2.6786364189245888</v>
      </c>
      <c r="H598" s="132">
        <f>(Main!$B$19-Current_limit!G598)*Current_limit!G598/(Main!$B$19*loop_gain!$B$17*loop_gain!$B$18)</f>
        <v>0.66054349106629417</v>
      </c>
      <c r="I598" s="132">
        <f t="shared" si="68"/>
        <v>3.189456508933711</v>
      </c>
      <c r="J598" s="132"/>
      <c r="K598" s="133">
        <f>IF(A598&gt;$B$15,IF(I598&gt;Helper_calcs!$B$27,23,3),0)</f>
        <v>23</v>
      </c>
      <c r="L598">
        <f t="shared" si="66"/>
        <v>2</v>
      </c>
      <c r="M598">
        <f t="shared" si="69"/>
        <v>2</v>
      </c>
      <c r="N598" s="132">
        <f t="shared" si="70"/>
        <v>3.375</v>
      </c>
      <c r="O598" s="132">
        <f t="shared" si="71"/>
        <v>2.5684931506849691</v>
      </c>
      <c r="P598" s="134">
        <f>IF(OR(M598=0,M598=3),loop_gain!$B$18,IF(Current_limit!M598=1,Current_limit!$B$12/(2*(Current_limit!N598-Helper_calcs!$B$27)),IF(OR(M598=2,M598=23),(Main!$B$19-Current_limit!O598)*Current_limit!O598/(Main!$B$19*loop_gain!$B$17*(Helper_calcs!$B$26-Helper_calcs!$B$27)),x)))</f>
        <v>1416652.6750353232</v>
      </c>
      <c r="Q598" s="132"/>
    </row>
    <row r="599" spans="1:17" x14ac:dyDescent="0.3">
      <c r="A599">
        <f t="shared" si="72"/>
        <v>6.5799999999999033</v>
      </c>
      <c r="B599">
        <f>Main!$B$20/A599</f>
        <v>0.75987841945289869</v>
      </c>
      <c r="D599" s="132">
        <f t="shared" ref="D599:D641" si="73">B599</f>
        <v>0.75987841945289869</v>
      </c>
      <c r="E599" s="132">
        <f>-B599*Main!$B$19-2*Main!$B$19*loop_gain!$B$17*loop_gain!$B$18</f>
        <v>-84.718541033434789</v>
      </c>
      <c r="F599" s="132">
        <f>2*Main!$B$19*loop_gain!$B$17*loop_gain!$B$18*Helper_calcs!$B$26*Current_limit!B599</f>
        <v>221.17021276596074</v>
      </c>
      <c r="G599" s="132">
        <f t="shared" si="67"/>
        <v>2.6748204725873643</v>
      </c>
      <c r="H599" s="132">
        <f>(Main!$B$19-Current_limit!G599)*Current_limit!G599/(Main!$B$19*loop_gain!$B$17*loop_gain!$B$18)</f>
        <v>0.65987251615015563</v>
      </c>
      <c r="I599" s="132">
        <f t="shared" si="68"/>
        <v>3.1901274838498419</v>
      </c>
      <c r="J599" s="132"/>
      <c r="K599" s="133">
        <f>IF(A599&gt;$B$15,IF(I599&gt;Helper_calcs!$B$27,23,3),0)</f>
        <v>23</v>
      </c>
      <c r="L599">
        <f t="shared" ref="L599:L643" si="74">IF(A599&gt;$B$13,IF(A599&gt;$B$14,2,1),0)</f>
        <v>2</v>
      </c>
      <c r="M599">
        <f t="shared" si="69"/>
        <v>2</v>
      </c>
      <c r="N599" s="132">
        <f t="shared" si="70"/>
        <v>3.375</v>
      </c>
      <c r="O599" s="132">
        <f t="shared" si="71"/>
        <v>2.564589665653533</v>
      </c>
      <c r="P599" s="134">
        <f>IF(OR(M599=0,M599=3),loop_gain!$B$18,IF(Current_limit!M599=1,Current_limit!$B$12/(2*(Current_limit!N599-Helper_calcs!$B$27)),IF(OR(M599=2,M599=23),(Main!$B$19-Current_limit!O599)*Current_limit!O599/(Main!$B$19*loop_gain!$B$17*(Helper_calcs!$B$26-Helper_calcs!$B$27)),x)))</f>
        <v>1415085.1365301458</v>
      </c>
      <c r="Q599" s="132"/>
    </row>
    <row r="600" spans="1:17" x14ac:dyDescent="0.3">
      <c r="A600">
        <f t="shared" si="72"/>
        <v>6.589999999999903</v>
      </c>
      <c r="B600">
        <f>Main!$B$20/A600</f>
        <v>0.75872534142641479</v>
      </c>
      <c r="D600" s="132">
        <f t="shared" si="73"/>
        <v>0.75872534142641479</v>
      </c>
      <c r="E600" s="132">
        <f>-B600*Main!$B$19-2*Main!$B$19*loop_gain!$B$17*loop_gain!$B$18</f>
        <v>-84.704704097116988</v>
      </c>
      <c r="F600" s="132">
        <f>2*Main!$B$19*loop_gain!$B$17*loop_gain!$B$18*Helper_calcs!$B$26*Current_limit!B600</f>
        <v>220.83459787557234</v>
      </c>
      <c r="G600" s="132">
        <f t="shared" ref="G600:G641" si="75">(-E600-SQRT(E600^2-4*D600*F600))/(2*D600)</f>
        <v>2.671015655870522</v>
      </c>
      <c r="H600" s="132">
        <f>(Main!$B$19-Current_limit!G600)*Current_limit!G600/(Main!$B$19*loop_gain!$B$17*loop_gain!$B$18)</f>
        <v>0.65920273112541872</v>
      </c>
      <c r="I600" s="132">
        <f t="shared" ref="I600:I641" si="76">(G600/B600)-0.5*H600</f>
        <v>3.1907972688745869</v>
      </c>
      <c r="J600" s="132"/>
      <c r="K600" s="133">
        <f>IF(A600&gt;$B$15,IF(I600&gt;Helper_calcs!$B$27,23,3),0)</f>
        <v>23</v>
      </c>
      <c r="L600">
        <f t="shared" si="74"/>
        <v>2</v>
      </c>
      <c r="M600">
        <f t="shared" ref="M600:M643" si="77">IF($B$16="N",L600,K600)</f>
        <v>2</v>
      </c>
      <c r="N600" s="132">
        <f t="shared" ref="N600:N641" si="78">IF(OR(M600=0,M600=1),A600,IF(OR(M600=2,M600=23),$B$14,G600/B600))</f>
        <v>3.375</v>
      </c>
      <c r="O600" s="132">
        <f t="shared" ref="O600:O641" si="79">N600*B600</f>
        <v>2.56069802731415</v>
      </c>
      <c r="P600" s="134">
        <f>IF(OR(M600=0,M600=3),loop_gain!$B$18,IF(Current_limit!M600=1,Current_limit!$B$12/(2*(Current_limit!N600-Helper_calcs!$B$27)),IF(OR(M600=2,M600=23),(Main!$B$19-Current_limit!O600)*Current_limit!O600/(Main!$B$19*loop_gain!$B$17*(Helper_calcs!$B$26-Helper_calcs!$B$27)),x)))</f>
        <v>1413520.58132627</v>
      </c>
      <c r="Q600" s="132"/>
    </row>
    <row r="601" spans="1:17" x14ac:dyDescent="0.3">
      <c r="A601">
        <f t="shared" si="72"/>
        <v>6.5999999999999028</v>
      </c>
      <c r="B601">
        <f>Main!$B$20/A601</f>
        <v>0.75757575757576878</v>
      </c>
      <c r="D601" s="132">
        <f t="shared" si="73"/>
        <v>0.75757575757576878</v>
      </c>
      <c r="E601" s="132">
        <f>-B601*Main!$B$19-2*Main!$B$19*loop_gain!$B$17*loop_gain!$B$18</f>
        <v>-84.69090909090923</v>
      </c>
      <c r="F601" s="132">
        <f>2*Main!$B$19*loop_gain!$B$17*loop_gain!$B$18*Helper_calcs!$B$26*Current_limit!B601</f>
        <v>220.5000000000033</v>
      </c>
      <c r="G601" s="132">
        <f t="shared" si="75"/>
        <v>2.6672219189657125</v>
      </c>
      <c r="H601" s="132">
        <f>(Main!$B$19-Current_limit!G601)*Current_limit!G601/(Main!$B$19*loop_gain!$B$17*loop_gain!$B$18)</f>
        <v>0.65853413393061933</v>
      </c>
      <c r="I601" s="132">
        <f t="shared" si="76"/>
        <v>3.1914658660693789</v>
      </c>
      <c r="J601" s="132"/>
      <c r="K601" s="133">
        <f>IF(A601&gt;$B$15,IF(I601&gt;Helper_calcs!$B$27,23,3),0)</f>
        <v>23</v>
      </c>
      <c r="L601">
        <f t="shared" si="74"/>
        <v>2</v>
      </c>
      <c r="M601">
        <f t="shared" si="77"/>
        <v>2</v>
      </c>
      <c r="N601" s="132">
        <f t="shared" si="78"/>
        <v>3.375</v>
      </c>
      <c r="O601" s="132">
        <f t="shared" si="79"/>
        <v>2.5568181818182198</v>
      </c>
      <c r="P601" s="134">
        <f>IF(OR(M601=0,M601=3),loop_gain!$B$18,IF(Current_limit!M601=1,Current_limit!$B$12/(2*(Current_limit!N601-Helper_calcs!$B$27)),IF(OR(M601=2,M601=23),(Main!$B$19-Current_limit!O601)*Current_limit!O601/(Main!$B$19*loop_gain!$B$17*(Helper_calcs!$B$26-Helper_calcs!$B$27)),x)))</f>
        <v>1411959.0039147609</v>
      </c>
      <c r="Q601" s="132"/>
    </row>
    <row r="602" spans="1:17" x14ac:dyDescent="0.3">
      <c r="A602">
        <f t="shared" si="72"/>
        <v>6.6099999999999026</v>
      </c>
      <c r="B602">
        <f>Main!$B$20/A602</f>
        <v>0.75642965204237123</v>
      </c>
      <c r="D602" s="132">
        <f t="shared" si="73"/>
        <v>0.75642965204237123</v>
      </c>
      <c r="E602" s="132">
        <f>-B602*Main!$B$19-2*Main!$B$19*loop_gain!$B$17*loop_gain!$B$18</f>
        <v>-84.677155824508461</v>
      </c>
      <c r="F602" s="132">
        <f>2*Main!$B$19*loop_gain!$B$17*loop_gain!$B$18*Helper_calcs!$B$26*Current_limit!B602</f>
        <v>220.1664145234526</v>
      </c>
      <c r="G602" s="132">
        <f t="shared" si="75"/>
        <v>2.6634392123682877</v>
      </c>
      <c r="H602" s="132">
        <f>(Main!$B$19-Current_limit!G602)*Current_limit!G602/(Main!$B$19*loop_gain!$B$17*loop_gain!$B$18)</f>
        <v>0.65786672249837153</v>
      </c>
      <c r="I602" s="132">
        <f t="shared" si="76"/>
        <v>3.1921332775016387</v>
      </c>
      <c r="J602" s="132"/>
      <c r="K602" s="133">
        <f>IF(A602&gt;$B$15,IF(I602&gt;Helper_calcs!$B$27,23,3),0)</f>
        <v>23</v>
      </c>
      <c r="L602">
        <f t="shared" si="74"/>
        <v>2</v>
      </c>
      <c r="M602">
        <f t="shared" si="77"/>
        <v>2</v>
      </c>
      <c r="N602" s="132">
        <f t="shared" si="78"/>
        <v>3.375</v>
      </c>
      <c r="O602" s="132">
        <f t="shared" si="79"/>
        <v>2.552950075643003</v>
      </c>
      <c r="P602" s="134">
        <f>IF(OR(M602=0,M602=3),loop_gain!$B$18,IF(Current_limit!M602=1,Current_limit!$B$12/(2*(Current_limit!N602-Helper_calcs!$B$27)),IF(OR(M602=2,M602=23),(Main!$B$19-Current_limit!O602)*Current_limit!O602/(Main!$B$19*loop_gain!$B$17*(Helper_calcs!$B$26-Helper_calcs!$B$27)),x)))</f>
        <v>1410400.3987713694</v>
      </c>
      <c r="Q602" s="132"/>
    </row>
    <row r="603" spans="1:17" x14ac:dyDescent="0.3">
      <c r="A603">
        <f t="shared" si="72"/>
        <v>6.6199999999999024</v>
      </c>
      <c r="B603">
        <f>Main!$B$20/A603</f>
        <v>0.75528700906345525</v>
      </c>
      <c r="D603" s="132">
        <f t="shared" si="73"/>
        <v>0.75528700906345525</v>
      </c>
      <c r="E603" s="132">
        <f>-B603*Main!$B$19-2*Main!$B$19*loop_gain!$B$17*loop_gain!$B$18</f>
        <v>-84.663444108761468</v>
      </c>
      <c r="F603" s="132">
        <f>2*Main!$B$19*loop_gain!$B$17*loop_gain!$B$18*Helper_calcs!$B$26*Current_limit!B603</f>
        <v>219.83383685800933</v>
      </c>
      <c r="G603" s="132">
        <f t="shared" si="75"/>
        <v>2.6596674868748433</v>
      </c>
      <c r="H603" s="132">
        <f>(Main!$B$19-Current_limit!G603)*Current_limit!G603/(Main!$B$19*loop_gain!$B$17*loop_gain!$B$18)</f>
        <v>0.65720049475552833</v>
      </c>
      <c r="I603" s="132">
        <f t="shared" si="76"/>
        <v>3.1927995052444764</v>
      </c>
      <c r="J603" s="132"/>
      <c r="K603" s="133">
        <f>IF(A603&gt;$B$15,IF(I603&gt;Helper_calcs!$B$27,23,3),0)</f>
        <v>23</v>
      </c>
      <c r="L603">
        <f t="shared" si="74"/>
        <v>2</v>
      </c>
      <c r="M603">
        <f t="shared" si="77"/>
        <v>2</v>
      </c>
      <c r="N603" s="132">
        <f t="shared" si="78"/>
        <v>3.375</v>
      </c>
      <c r="O603" s="132">
        <f t="shared" si="79"/>
        <v>2.5490936555891617</v>
      </c>
      <c r="P603" s="134">
        <f>IF(OR(M603=0,M603=3),loop_gain!$B$18,IF(Current_limit!M603=1,Current_limit!$B$12/(2*(Current_limit!N603-Helper_calcs!$B$27)),IF(OR(M603=2,M603=23),(Main!$B$19-Current_limit!O603)*Current_limit!O603/(Main!$B$19*loop_gain!$B$17*(Helper_calcs!$B$26-Helper_calcs!$B$27)),x)))</f>
        <v>1408844.760357019</v>
      </c>
      <c r="Q603" s="132"/>
    </row>
    <row r="604" spans="1:17" x14ac:dyDescent="0.3">
      <c r="A604">
        <f t="shared" si="72"/>
        <v>6.6299999999999022</v>
      </c>
      <c r="B604">
        <f>Main!$B$20/A604</f>
        <v>0.75414781297135347</v>
      </c>
      <c r="D604" s="132">
        <f t="shared" si="73"/>
        <v>0.75414781297135347</v>
      </c>
      <c r="E604" s="132">
        <f>-B604*Main!$B$19-2*Main!$B$19*loop_gain!$B$17*loop_gain!$B$18</f>
        <v>-84.649773755656256</v>
      </c>
      <c r="F604" s="132">
        <f>2*Main!$B$19*loop_gain!$B$17*loop_gain!$B$18*Helper_calcs!$B$26*Current_limit!B604</f>
        <v>219.50226244344219</v>
      </c>
      <c r="G604" s="132">
        <f t="shared" si="75"/>
        <v>2.6559066935809663</v>
      </c>
      <c r="H604" s="132">
        <f>(Main!$B$19-Current_limit!G604)*Current_limit!G604/(Main!$B$19*loop_gain!$B$17*loop_gain!$B$18)</f>
        <v>0.65653544862337065</v>
      </c>
      <c r="I604" s="132">
        <f t="shared" si="76"/>
        <v>3.1934645513766244</v>
      </c>
      <c r="J604" s="132"/>
      <c r="K604" s="133">
        <f>IF(A604&gt;$B$15,IF(I604&gt;Helper_calcs!$B$27,23,3),0)</f>
        <v>23</v>
      </c>
      <c r="L604">
        <f t="shared" si="74"/>
        <v>2</v>
      </c>
      <c r="M604">
        <f t="shared" si="77"/>
        <v>2</v>
      </c>
      <c r="N604" s="132">
        <f t="shared" si="78"/>
        <v>3.375</v>
      </c>
      <c r="O604" s="132">
        <f t="shared" si="79"/>
        <v>2.5452488687783181</v>
      </c>
      <c r="P604" s="134">
        <f>IF(OR(M604=0,M604=3),loop_gain!$B$18,IF(Current_limit!M604=1,Current_limit!$B$12/(2*(Current_limit!N604-Helper_calcs!$B$27)),IF(OR(M604=2,M604=23),(Main!$B$19-Current_limit!O604)*Current_limit!O604/(Main!$B$19*loop_gain!$B$17*(Helper_calcs!$B$26-Helper_calcs!$B$27)),x)))</f>
        <v>1407292.0831182753</v>
      </c>
      <c r="Q604" s="132"/>
    </row>
    <row r="605" spans="1:17" x14ac:dyDescent="0.3">
      <c r="A605">
        <f t="shared" si="72"/>
        <v>6.639999999999902</v>
      </c>
      <c r="B605">
        <f>Main!$B$20/A605</f>
        <v>0.75301204819278222</v>
      </c>
      <c r="D605" s="132">
        <f t="shared" si="73"/>
        <v>0.75301204819278222</v>
      </c>
      <c r="E605" s="132">
        <f>-B605*Main!$B$19-2*Main!$B$19*loop_gain!$B$17*loop_gain!$B$18</f>
        <v>-84.636144578313392</v>
      </c>
      <c r="F605" s="132">
        <f>2*Main!$B$19*loop_gain!$B$17*loop_gain!$B$18*Helper_calcs!$B$26*Current_limit!B605</f>
        <v>219.17168674699124</v>
      </c>
      <c r="G605" s="132">
        <f t="shared" si="75"/>
        <v>2.6521567838788869</v>
      </c>
      <c r="H605" s="132">
        <f>(Main!$B$19-Current_limit!G605)*Current_limit!G605/(Main!$B$19*loop_gain!$B$17*loop_gain!$B$18)</f>
        <v>0.65587158201777351</v>
      </c>
      <c r="I605" s="132">
        <f t="shared" si="76"/>
        <v>3.1941284179822227</v>
      </c>
      <c r="J605" s="132"/>
      <c r="K605" s="133">
        <f>IF(A605&gt;$B$15,IF(I605&gt;Helper_calcs!$B$27,23,3),0)</f>
        <v>23</v>
      </c>
      <c r="L605">
        <f t="shared" si="74"/>
        <v>2</v>
      </c>
      <c r="M605">
        <f t="shared" si="77"/>
        <v>2</v>
      </c>
      <c r="N605" s="132">
        <f t="shared" si="78"/>
        <v>3.375</v>
      </c>
      <c r="O605" s="132">
        <f t="shared" si="79"/>
        <v>2.5414156626506399</v>
      </c>
      <c r="P605" s="134">
        <f>IF(OR(M605=0,M605=3),loop_gain!$B$18,IF(Current_limit!M605=1,Current_limit!$B$12/(2*(Current_limit!N605-Helper_calcs!$B$27)),IF(OR(M605=2,M605=23),(Main!$B$19-Current_limit!O605)*Current_limit!O605/(Main!$B$19*loop_gain!$B$17*(Helper_calcs!$B$26-Helper_calcs!$B$27)),x)))</f>
        <v>1405742.361487818</v>
      </c>
      <c r="Q605" s="132"/>
    </row>
    <row r="606" spans="1:17" x14ac:dyDescent="0.3">
      <c r="A606">
        <f t="shared" si="72"/>
        <v>6.6499999999999018</v>
      </c>
      <c r="B606">
        <f>Main!$B$20/A606</f>
        <v>0.75187969924813136</v>
      </c>
      <c r="D606" s="132">
        <f t="shared" si="73"/>
        <v>0.75187969924813136</v>
      </c>
      <c r="E606" s="132">
        <f>-B606*Main!$B$19-2*Main!$B$19*loop_gain!$B$17*loop_gain!$B$18</f>
        <v>-84.622556390977593</v>
      </c>
      <c r="F606" s="132">
        <f>2*Main!$B$19*loop_gain!$B$17*loop_gain!$B$18*Helper_calcs!$B$26*Current_limit!B606</f>
        <v>218.84210526316116</v>
      </c>
      <c r="G606" s="132">
        <f t="shared" si="75"/>
        <v>2.6484177094551602</v>
      </c>
      <c r="H606" s="132">
        <f>(Main!$B$19-Current_limit!G606)*Current_limit!G606/(Main!$B$19*loop_gain!$B$17*loop_gain!$B$18)</f>
        <v>0.65520889284937045</v>
      </c>
      <c r="I606" s="132">
        <f t="shared" si="76"/>
        <v>3.1947911071506261</v>
      </c>
      <c r="J606" s="132"/>
      <c r="K606" s="133">
        <f>IF(A606&gt;$B$15,IF(I606&gt;Helper_calcs!$B$27,23,3),0)</f>
        <v>23</v>
      </c>
      <c r="L606">
        <f t="shared" si="74"/>
        <v>2</v>
      </c>
      <c r="M606">
        <f t="shared" si="77"/>
        <v>2</v>
      </c>
      <c r="N606" s="132">
        <f t="shared" si="78"/>
        <v>3.375</v>
      </c>
      <c r="O606" s="132">
        <f t="shared" si="79"/>
        <v>2.5375939849624434</v>
      </c>
      <c r="P606" s="134">
        <f>IF(OR(M606=0,M606=3),loop_gain!$B$18,IF(Current_limit!M606=1,Current_limit!$B$12/(2*(Current_limit!N606-Helper_calcs!$B$27)),IF(OR(M606=2,M606=23),(Main!$B$19-Current_limit!O606)*Current_limit!O606/(Main!$B$19*loop_gain!$B$17*(Helper_calcs!$B$26-Helper_calcs!$B$27)),x)))</f>
        <v>1404195.5898848972</v>
      </c>
      <c r="Q606" s="132"/>
    </row>
    <row r="607" spans="1:17" x14ac:dyDescent="0.3">
      <c r="A607">
        <f t="shared" si="72"/>
        <v>6.6599999999999016</v>
      </c>
      <c r="B607">
        <f>Main!$B$20/A607</f>
        <v>0.75075075075076181</v>
      </c>
      <c r="D607" s="132">
        <f t="shared" si="73"/>
        <v>0.75075075075076181</v>
      </c>
      <c r="E607" s="132">
        <f>-B607*Main!$B$19-2*Main!$B$19*loop_gain!$B$17*loop_gain!$B$18</f>
        <v>-84.609009009009156</v>
      </c>
      <c r="F607" s="132">
        <f>2*Main!$B$19*loop_gain!$B$17*loop_gain!$B$18*Helper_calcs!$B$26*Current_limit!B607</f>
        <v>218.51351351351678</v>
      </c>
      <c r="G607" s="132">
        <f t="shared" si="75"/>
        <v>2.6446894222884278</v>
      </c>
      <c r="H607" s="132">
        <f>(Main!$B$19-Current_limit!G607)*Current_limit!G607/(Main!$B$19*loop_gain!$B$17*loop_gain!$B$18)</f>
        <v>0.65454737902372573</v>
      </c>
      <c r="I607" s="132">
        <f t="shared" si="76"/>
        <v>3.1954526209762708</v>
      </c>
      <c r="J607" s="132"/>
      <c r="K607" s="133">
        <f>IF(A607&gt;$B$15,IF(I607&gt;Helper_calcs!$B$27,23,3),0)</f>
        <v>23</v>
      </c>
      <c r="L607">
        <f t="shared" si="74"/>
        <v>2</v>
      </c>
      <c r="M607">
        <f t="shared" si="77"/>
        <v>2</v>
      </c>
      <c r="N607" s="132">
        <f t="shared" si="78"/>
        <v>3.375</v>
      </c>
      <c r="O607" s="132">
        <f t="shared" si="79"/>
        <v>2.5337837837838211</v>
      </c>
      <c r="P607" s="134">
        <f>IF(OR(M607=0,M607=3),loop_gain!$B$18,IF(Current_limit!M607=1,Current_limit!$B$12/(2*(Current_limit!N607-Helper_calcs!$B$27)),IF(OR(M607=2,M607=23),(Main!$B$19-Current_limit!O607)*Current_limit!O607/(Main!$B$19*loop_gain!$B$17*(Helper_calcs!$B$26-Helper_calcs!$B$27)),x)))</f>
        <v>1402651.7627157888</v>
      </c>
      <c r="Q607" s="132"/>
    </row>
    <row r="608" spans="1:17" x14ac:dyDescent="0.3">
      <c r="A608">
        <f t="shared" si="72"/>
        <v>6.6699999999999013</v>
      </c>
      <c r="B608">
        <f>Main!$B$20/A608</f>
        <v>0.7496251874063079</v>
      </c>
      <c r="D608" s="132">
        <f t="shared" si="73"/>
        <v>0.7496251874063079</v>
      </c>
      <c r="E608" s="132">
        <f>-B608*Main!$B$19-2*Main!$B$19*loop_gain!$B$17*loop_gain!$B$18</f>
        <v>-84.595502248875704</v>
      </c>
      <c r="F608" s="132">
        <f>2*Main!$B$19*loop_gain!$B$17*loop_gain!$B$18*Helper_calcs!$B$26*Current_limit!B608</f>
        <v>218.18590704648003</v>
      </c>
      <c r="G608" s="132">
        <f t="shared" si="75"/>
        <v>2.6409718746471507</v>
      </c>
      <c r="H608" s="132">
        <f>(Main!$B$19-Current_limit!G608)*Current_limit!G608/(Main!$B$19*loop_gain!$B$17*loop_gain!$B$18)</f>
        <v>0.65388703844149532</v>
      </c>
      <c r="I608" s="132">
        <f t="shared" si="76"/>
        <v>3.1961129615584993</v>
      </c>
      <c r="J608" s="132"/>
      <c r="K608" s="133">
        <f>IF(A608&gt;$B$15,IF(I608&gt;Helper_calcs!$B$27,23,3),0)</f>
        <v>23</v>
      </c>
      <c r="L608">
        <f t="shared" si="74"/>
        <v>2</v>
      </c>
      <c r="M608">
        <f t="shared" si="77"/>
        <v>2</v>
      </c>
      <c r="N608" s="132">
        <f t="shared" si="78"/>
        <v>3.375</v>
      </c>
      <c r="O608" s="132">
        <f t="shared" si="79"/>
        <v>2.5299850074962893</v>
      </c>
      <c r="P608" s="134">
        <f>IF(OR(M608=0,M608=3),loop_gain!$B$18,IF(Current_limit!M608=1,Current_limit!$B$12/(2*(Current_limit!N608-Helper_calcs!$B$27)),IF(OR(M608=2,M608=23),(Main!$B$19-Current_limit!O608)*Current_limit!O608/(Main!$B$19*loop_gain!$B$17*(Helper_calcs!$B$26-Helper_calcs!$B$27)),x)))</f>
        <v>1401110.8743742381</v>
      </c>
      <c r="Q608" s="132"/>
    </row>
    <row r="609" spans="1:17" x14ac:dyDescent="0.3">
      <c r="A609">
        <f t="shared" ref="A609:A641" si="80">A608+0.01</f>
        <v>6.6799999999999011</v>
      </c>
      <c r="B609">
        <f>Main!$B$20/A609</f>
        <v>0.74850299401198717</v>
      </c>
      <c r="D609" s="132">
        <f t="shared" si="73"/>
        <v>0.74850299401198717</v>
      </c>
      <c r="E609" s="132">
        <f>-B609*Main!$B$19-2*Main!$B$19*loop_gain!$B$17*loop_gain!$B$18</f>
        <v>-84.582035928143853</v>
      </c>
      <c r="F609" s="132">
        <f>2*Main!$B$19*loop_gain!$B$17*loop_gain!$B$18*Helper_calcs!$B$26*Current_limit!B609</f>
        <v>217.85928143712903</v>
      </c>
      <c r="G609" s="132">
        <f t="shared" si="75"/>
        <v>2.6372650190873892</v>
      </c>
      <c r="H609" s="132">
        <f>(Main!$B$19-Current_limit!G609)*Current_limit!G609/(Main!$B$19*loop_gain!$B$17*loop_gain!$B$18)</f>
        <v>0.65322786899858887</v>
      </c>
      <c r="I609" s="132">
        <f t="shared" si="76"/>
        <v>3.196772131001405</v>
      </c>
      <c r="J609" s="132"/>
      <c r="K609" s="133">
        <f>IF(A609&gt;$B$15,IF(I609&gt;Helper_calcs!$B$27,23,3),0)</f>
        <v>23</v>
      </c>
      <c r="L609">
        <f t="shared" si="74"/>
        <v>2</v>
      </c>
      <c r="M609">
        <f t="shared" si="77"/>
        <v>2</v>
      </c>
      <c r="N609" s="132">
        <f t="shared" si="78"/>
        <v>3.375</v>
      </c>
      <c r="O609" s="132">
        <f t="shared" si="79"/>
        <v>2.5261976047904566</v>
      </c>
      <c r="P609" s="134">
        <f>IF(OR(M609=0,M609=3),loop_gain!$B$18,IF(Current_limit!M609=1,Current_limit!$B$12/(2*(Current_limit!N609-Helper_calcs!$B$27)),IF(OR(M609=2,M609=23),(Main!$B$19-Current_limit!O609)*Current_limit!O609/(Main!$B$19*loop_gain!$B$17*(Helper_calcs!$B$26-Helper_calcs!$B$27)),x)))</f>
        <v>1399572.9192418968</v>
      </c>
      <c r="Q609" s="132"/>
    </row>
    <row r="610" spans="1:17" x14ac:dyDescent="0.3">
      <c r="A610">
        <f t="shared" si="80"/>
        <v>6.6899999999999009</v>
      </c>
      <c r="B610">
        <f>Main!$B$20/A610</f>
        <v>0.74738415545591541</v>
      </c>
      <c r="D610" s="132">
        <f t="shared" si="73"/>
        <v>0.74738415545591541</v>
      </c>
      <c r="E610" s="132">
        <f>-B610*Main!$B$19-2*Main!$B$19*loop_gain!$B$17*loop_gain!$B$18</f>
        <v>-84.568609865470989</v>
      </c>
      <c r="F610" s="132">
        <f>2*Main!$B$19*loop_gain!$B$17*loop_gain!$B$18*Helper_calcs!$B$26*Current_limit!B610</f>
        <v>217.5336322869988</v>
      </c>
      <c r="G610" s="132">
        <f t="shared" si="75"/>
        <v>2.6335688084505908</v>
      </c>
      <c r="H610" s="132">
        <f>(Main!$B$19-Current_limit!G610)*Current_limit!G610/(Main!$B$19*loop_gain!$B$17*loop_gain!$B$18)</f>
        <v>0.65256986858632871</v>
      </c>
      <c r="I610" s="132">
        <f t="shared" si="76"/>
        <v>3.1974301314136739</v>
      </c>
      <c r="J610" s="132"/>
      <c r="K610" s="133">
        <f>IF(A610&gt;$B$15,IF(I610&gt;Helper_calcs!$B$27,23,3),0)</f>
        <v>23</v>
      </c>
      <c r="L610">
        <f t="shared" si="74"/>
        <v>2</v>
      </c>
      <c r="M610">
        <f t="shared" si="77"/>
        <v>2</v>
      </c>
      <c r="N610" s="132">
        <f t="shared" si="78"/>
        <v>3.375</v>
      </c>
      <c r="O610" s="132">
        <f t="shared" si="79"/>
        <v>2.5224215246637147</v>
      </c>
      <c r="P610" s="134">
        <f>IF(OR(M610=0,M610=3),loop_gain!$B$18,IF(Current_limit!M610=1,Current_limit!$B$12/(2*(Current_limit!N610-Helper_calcs!$B$27)),IF(OR(M610=2,M610=23),(Main!$B$19-Current_limit!O610)*Current_limit!O610/(Main!$B$19*loop_gain!$B$17*(Helper_calcs!$B$26-Helper_calcs!$B$27)),x)))</f>
        <v>1398037.8916887576</v>
      </c>
      <c r="Q610" s="132"/>
    </row>
    <row r="611" spans="1:17" x14ac:dyDescent="0.3">
      <c r="A611">
        <f t="shared" si="80"/>
        <v>6.6999999999999007</v>
      </c>
      <c r="B611">
        <f>Main!$B$20/A611</f>
        <v>0.74626865671642895</v>
      </c>
      <c r="D611" s="132">
        <f t="shared" si="73"/>
        <v>0.74626865671642895</v>
      </c>
      <c r="E611" s="132">
        <f>-B611*Main!$B$19-2*Main!$B$19*loop_gain!$B$17*loop_gain!$B$18</f>
        <v>-84.555223880597154</v>
      </c>
      <c r="F611" s="132">
        <f>2*Main!$B$19*loop_gain!$B$17*loop_gain!$B$18*Helper_calcs!$B$26*Current_limit!B611</f>
        <v>217.20895522388386</v>
      </c>
      <c r="G611" s="132">
        <f t="shared" si="75"/>
        <v>2.6298831958613818</v>
      </c>
      <c r="H611" s="132">
        <f>(Main!$B$19-Current_limit!G611)*Current_limit!G611/(Main!$B$19*loop_gain!$B$17*loop_gain!$B$18)</f>
        <v>0.65191303509160059</v>
      </c>
      <c r="I611" s="132">
        <f t="shared" si="76"/>
        <v>3.1980869649083994</v>
      </c>
      <c r="J611" s="132"/>
      <c r="K611" s="133">
        <f>IF(A611&gt;$B$15,IF(I611&gt;Helper_calcs!$B$27,23,3),0)</f>
        <v>23</v>
      </c>
      <c r="L611">
        <f t="shared" si="74"/>
        <v>2</v>
      </c>
      <c r="M611">
        <f t="shared" si="77"/>
        <v>2</v>
      </c>
      <c r="N611" s="132">
        <f t="shared" si="78"/>
        <v>3.375</v>
      </c>
      <c r="O611" s="132">
        <f t="shared" si="79"/>
        <v>2.5186567164179476</v>
      </c>
      <c r="P611" s="134">
        <f>IF(OR(M611=0,M611=3),loop_gain!$B$18,IF(Current_limit!M611=1,Current_limit!$B$12/(2*(Current_limit!N611-Helper_calcs!$B$27)),IF(OR(M611=2,M611=23),(Main!$B$19-Current_limit!O611)*Current_limit!O611/(Main!$B$19*loop_gain!$B$17*(Helper_calcs!$B$26-Helper_calcs!$B$27)),x)))</f>
        <v>1396505.786073575</v>
      </c>
      <c r="Q611" s="132"/>
    </row>
    <row r="612" spans="1:17" x14ac:dyDescent="0.3">
      <c r="A612">
        <f t="shared" si="80"/>
        <v>6.7099999999999005</v>
      </c>
      <c r="B612">
        <f>Main!$B$20/A612</f>
        <v>0.7451564828614119</v>
      </c>
      <c r="D612" s="132">
        <f t="shared" si="73"/>
        <v>0.7451564828614119</v>
      </c>
      <c r="E612" s="132">
        <f>-B612*Main!$B$19-2*Main!$B$19*loop_gain!$B$17*loop_gain!$B$18</f>
        <v>-84.541877794336955</v>
      </c>
      <c r="F612" s="132">
        <f>2*Main!$B$19*loop_gain!$B$17*loop_gain!$B$18*Helper_calcs!$B$26*Current_limit!B612</f>
        <v>216.88524590164258</v>
      </c>
      <c r="G612" s="132">
        <f t="shared" si="75"/>
        <v>2.6262081347254389</v>
      </c>
      <c r="H612" s="132">
        <f>(Main!$B$19-Current_limit!G612)*Current_limit!G612/(Main!$B$19*loop_gain!$B$17*loop_gain!$B$18)</f>
        <v>0.65125736639701581</v>
      </c>
      <c r="I612" s="132">
        <f t="shared" si="76"/>
        <v>3.1987426336029792</v>
      </c>
      <c r="J612" s="132"/>
      <c r="K612" s="133">
        <f>IF(A612&gt;$B$15,IF(I612&gt;Helper_calcs!$B$27,23,3),0)</f>
        <v>23</v>
      </c>
      <c r="L612">
        <f t="shared" si="74"/>
        <v>2</v>
      </c>
      <c r="M612">
        <f t="shared" si="77"/>
        <v>2</v>
      </c>
      <c r="N612" s="132">
        <f t="shared" si="78"/>
        <v>3.375</v>
      </c>
      <c r="O612" s="132">
        <f t="shared" si="79"/>
        <v>2.5149031296572653</v>
      </c>
      <c r="P612" s="134">
        <f>IF(OR(M612=0,M612=3),loop_gain!$B$18,IF(Current_limit!M612=1,Current_limit!$B$12/(2*(Current_limit!N612-Helper_calcs!$B$27)),IF(OR(M612=2,M612=23),(Main!$B$19-Current_limit!O612)*Current_limit!O612/(Main!$B$19*loop_gain!$B$17*(Helper_calcs!$B$26-Helper_calcs!$B$27)),x)))</f>
        <v>1394976.596744285</v>
      </c>
      <c r="Q612" s="132"/>
    </row>
    <row r="613" spans="1:17" x14ac:dyDescent="0.3">
      <c r="A613">
        <f t="shared" si="80"/>
        <v>6.7199999999999003</v>
      </c>
      <c r="B613">
        <f>Main!$B$20/A613</f>
        <v>0.74404761904763006</v>
      </c>
      <c r="D613" s="132">
        <f t="shared" si="73"/>
        <v>0.74404761904763006</v>
      </c>
      <c r="E613" s="132">
        <f>-B613*Main!$B$19-2*Main!$B$19*loop_gain!$B$17*loop_gain!$B$18</f>
        <v>-84.528571428571567</v>
      </c>
      <c r="F613" s="132">
        <f>2*Main!$B$19*loop_gain!$B$17*loop_gain!$B$18*Helper_calcs!$B$26*Current_limit!B613</f>
        <v>216.56250000000324</v>
      </c>
      <c r="G613" s="132">
        <f t="shared" si="75"/>
        <v>2.6225435787273268</v>
      </c>
      <c r="H613" s="132">
        <f>(Main!$B$19-Current_limit!G613)*Current_limit!G613/(Main!$B$19*loop_gain!$B$17*loop_gain!$B$18)</f>
        <v>0.65060286038105775</v>
      </c>
      <c r="I613" s="132">
        <f t="shared" si="76"/>
        <v>3.199397139618946</v>
      </c>
      <c r="J613" s="132"/>
      <c r="K613" s="133">
        <f>IF(A613&gt;$B$15,IF(I613&gt;Helper_calcs!$B$27,23,3),0)</f>
        <v>23</v>
      </c>
      <c r="L613">
        <f t="shared" si="74"/>
        <v>2</v>
      </c>
      <c r="M613">
        <f t="shared" si="77"/>
        <v>2</v>
      </c>
      <c r="N613" s="132">
        <f t="shared" si="78"/>
        <v>3.375</v>
      </c>
      <c r="O613" s="132">
        <f t="shared" si="79"/>
        <v>2.5111607142857513</v>
      </c>
      <c r="P613" s="134">
        <f>IF(OR(M613=0,M613=3),loop_gain!$B$18,IF(Current_limit!M613=1,Current_limit!$B$12/(2*(Current_limit!N613-Helper_calcs!$B$27)),IF(OR(M613=2,M613=23),(Main!$B$19-Current_limit!O613)*Current_limit!O613/(Main!$B$19*loop_gain!$B$17*(Helper_calcs!$B$26-Helper_calcs!$B$27)),x)))</f>
        <v>1393450.3180384147</v>
      </c>
      <c r="Q613" s="132"/>
    </row>
    <row r="614" spans="1:17" x14ac:dyDescent="0.3">
      <c r="A614">
        <f t="shared" si="80"/>
        <v>6.7299999999999001</v>
      </c>
      <c r="B614">
        <f>Main!$B$20/A614</f>
        <v>0.74294205052007045</v>
      </c>
      <c r="D614" s="132">
        <f t="shared" si="73"/>
        <v>0.74294205052007045</v>
      </c>
      <c r="E614" s="132">
        <f>-B614*Main!$B$19-2*Main!$B$19*loop_gain!$B$17*loop_gain!$B$18</f>
        <v>-84.515304606240846</v>
      </c>
      <c r="F614" s="132">
        <f>2*Main!$B$19*loop_gain!$B$17*loop_gain!$B$18*Helper_calcs!$B$26*Current_limit!B614</f>
        <v>216.24071322437175</v>
      </c>
      <c r="G614" s="132">
        <f t="shared" si="75"/>
        <v>2.6188894818283317</v>
      </c>
      <c r="H614" s="132">
        <f>(Main!$B$19-Current_limit!G614)*Current_limit!G614/(Main!$B$19*loop_gain!$B$17*loop_gain!$B$18)</f>
        <v>0.64994951491822517</v>
      </c>
      <c r="I614" s="132">
        <f t="shared" si="76"/>
        <v>3.2000504850817699</v>
      </c>
      <c r="J614" s="132"/>
      <c r="K614" s="133">
        <f>IF(A614&gt;$B$15,IF(I614&gt;Helper_calcs!$B$27,23,3),0)</f>
        <v>23</v>
      </c>
      <c r="L614">
        <f t="shared" si="74"/>
        <v>2</v>
      </c>
      <c r="M614">
        <f t="shared" si="77"/>
        <v>2</v>
      </c>
      <c r="N614" s="132">
        <f t="shared" si="78"/>
        <v>3.375</v>
      </c>
      <c r="O614" s="132">
        <f t="shared" si="79"/>
        <v>2.5074294205052379</v>
      </c>
      <c r="P614" s="134">
        <f>IF(OR(M614=0,M614=3),loop_gain!$B$18,IF(Current_limit!M614=1,Current_limit!$B$12/(2*(Current_limit!N614-Helper_calcs!$B$27)),IF(OR(M614=2,M614=23),(Main!$B$19-Current_limit!O614)*Current_limit!O614/(Main!$B$19*loop_gain!$B$17*(Helper_calcs!$B$26-Helper_calcs!$B$27)),x)))</f>
        <v>1391926.9442834863</v>
      </c>
      <c r="Q614" s="132"/>
    </row>
    <row r="615" spans="1:17" x14ac:dyDescent="0.3">
      <c r="A615">
        <f t="shared" si="80"/>
        <v>6.7399999999998998</v>
      </c>
      <c r="B615">
        <f>Main!$B$20/A615</f>
        <v>0.74183976261128703</v>
      </c>
      <c r="D615" s="132">
        <f t="shared" si="73"/>
        <v>0.74183976261128703</v>
      </c>
      <c r="E615" s="132">
        <f>-B615*Main!$B$19-2*Main!$B$19*loop_gain!$B$17*loop_gain!$B$18</f>
        <v>-84.502077151335456</v>
      </c>
      <c r="F615" s="132">
        <f>2*Main!$B$19*loop_gain!$B$17*loop_gain!$B$18*Helper_calcs!$B$26*Current_limit!B615</f>
        <v>215.91988130564124</v>
      </c>
      <c r="G615" s="132">
        <f t="shared" si="75"/>
        <v>2.6152457982644322</v>
      </c>
      <c r="H615" s="132">
        <f>(Main!$B$19-Current_limit!G615)*Current_limit!G615/(Main!$B$19*loop_gain!$B$17*loop_gain!$B$18)</f>
        <v>0.64929732787919092</v>
      </c>
      <c r="I615" s="132">
        <f t="shared" si="76"/>
        <v>3.2007026721208063</v>
      </c>
      <c r="J615" s="132"/>
      <c r="K615" s="133">
        <f>IF(A615&gt;$B$15,IF(I615&gt;Helper_calcs!$B$27,23,3),0)</f>
        <v>23</v>
      </c>
      <c r="L615">
        <f t="shared" si="74"/>
        <v>2</v>
      </c>
      <c r="M615">
        <f t="shared" si="77"/>
        <v>2</v>
      </c>
      <c r="N615" s="132">
        <f t="shared" si="78"/>
        <v>3.375</v>
      </c>
      <c r="O615" s="132">
        <f t="shared" si="79"/>
        <v>2.5037091988130937</v>
      </c>
      <c r="P615" s="134">
        <f>IF(OR(M615=0,M615=3),loop_gain!$B$18,IF(Current_limit!M615=1,Current_limit!$B$12/(2*(Current_limit!N615-Helper_calcs!$B$27)),IF(OR(M615=2,M615=23),(Main!$B$19-Current_limit!O615)*Current_limit!O615/(Main!$B$19*loop_gain!$B$17*(Helper_calcs!$B$26-Helper_calcs!$B$27)),x)))</f>
        <v>1390406.4697974161</v>
      </c>
      <c r="Q615" s="132"/>
    </row>
    <row r="616" spans="1:17" x14ac:dyDescent="0.3">
      <c r="A616">
        <f t="shared" si="80"/>
        <v>6.7499999999998996</v>
      </c>
      <c r="B616">
        <f>Main!$B$20/A616</f>
        <v>0.7407407407407518</v>
      </c>
      <c r="D616" s="132">
        <f t="shared" si="73"/>
        <v>0.7407407407407518</v>
      </c>
      <c r="E616" s="132">
        <f>-B616*Main!$B$19-2*Main!$B$19*loop_gain!$B$17*loop_gain!$B$18</f>
        <v>-84.488888888889022</v>
      </c>
      <c r="F616" s="132">
        <f>2*Main!$B$19*loop_gain!$B$17*loop_gain!$B$18*Helper_calcs!$B$26*Current_limit!B616</f>
        <v>215.60000000000326</v>
      </c>
      <c r="G616" s="132">
        <f t="shared" si="75"/>
        <v>2.6116124825441367</v>
      </c>
      <c r="H616" s="132">
        <f>(Main!$B$19-Current_limit!G616)*Current_limit!G616/(Main!$B$19*loop_gain!$B$17*loop_gain!$B$18)</f>
        <v>0.64864629713093347</v>
      </c>
      <c r="I616" s="132">
        <f t="shared" si="76"/>
        <v>3.2013537028690653</v>
      </c>
      <c r="J616" s="132"/>
      <c r="K616" s="133">
        <f>IF(A616&gt;$B$15,IF(I616&gt;Helper_calcs!$B$27,23,3),0)</f>
        <v>23</v>
      </c>
      <c r="L616">
        <f t="shared" si="74"/>
        <v>2</v>
      </c>
      <c r="M616">
        <f t="shared" si="77"/>
        <v>2</v>
      </c>
      <c r="N616" s="132">
        <f t="shared" si="78"/>
        <v>3.375</v>
      </c>
      <c r="O616" s="132">
        <f t="shared" si="79"/>
        <v>2.5000000000000373</v>
      </c>
      <c r="P616" s="134">
        <f>IF(OR(M616=0,M616=3),loop_gain!$B$18,IF(Current_limit!M616=1,Current_limit!$B$12/(2*(Current_limit!N616-Helper_calcs!$B$27)),IF(OR(M616=2,M616=23),(Main!$B$19-Current_limit!O616)*Current_limit!O616/(Main!$B$19*loop_gain!$B$17*(Helper_calcs!$B$26-Helper_calcs!$B$27)),x)))</f>
        <v>1388888.8888889041</v>
      </c>
      <c r="Q616" s="132"/>
    </row>
    <row r="617" spans="1:17" x14ac:dyDescent="0.3">
      <c r="A617">
        <f t="shared" si="80"/>
        <v>6.7599999999998994</v>
      </c>
      <c r="B617">
        <f>Main!$B$20/A617</f>
        <v>0.73964497041421218</v>
      </c>
      <c r="D617" s="132">
        <f t="shared" si="73"/>
        <v>0.73964497041421218</v>
      </c>
      <c r="E617" s="132">
        <f>-B617*Main!$B$19-2*Main!$B$19*loop_gain!$B$17*loop_gain!$B$18</f>
        <v>-84.47573964497056</v>
      </c>
      <c r="F617" s="132">
        <f>2*Main!$B$19*loop_gain!$B$17*loop_gain!$B$18*Helper_calcs!$B$26*Current_limit!B617</f>
        <v>215.28106508876064</v>
      </c>
      <c r="G617" s="132">
        <f t="shared" si="75"/>
        <v>2.607989489446453</v>
      </c>
      <c r="H617" s="132">
        <f>(Main!$B$19-Current_limit!G617)*Current_limit!G617/(Main!$B$19*loop_gain!$B$17*loop_gain!$B$18)</f>
        <v>0.64799642053688522</v>
      </c>
      <c r="I617" s="132">
        <f t="shared" si="76"/>
        <v>3.2020035794631094</v>
      </c>
      <c r="J617" s="132"/>
      <c r="K617" s="133">
        <f>IF(A617&gt;$B$15,IF(I617&gt;Helper_calcs!$B$27,23,3),0)</f>
        <v>23</v>
      </c>
      <c r="L617">
        <f t="shared" si="74"/>
        <v>2</v>
      </c>
      <c r="M617">
        <f t="shared" si="77"/>
        <v>2</v>
      </c>
      <c r="N617" s="132">
        <f t="shared" si="78"/>
        <v>3.375</v>
      </c>
      <c r="O617" s="132">
        <f t="shared" si="79"/>
        <v>2.4963017751479661</v>
      </c>
      <c r="P617" s="134">
        <f>IF(OR(M617=0,M617=3),loop_gain!$B$18,IF(Current_limit!M617=1,Current_limit!$B$12/(2*(Current_limit!N617-Helper_calcs!$B$27)),IF(OR(M617=2,M617=23),(Main!$B$19-Current_limit!O617)*Current_limit!O617/(Main!$B$19*loop_gain!$B$17*(Helper_calcs!$B$26-Helper_calcs!$B$27)),x)))</f>
        <v>1387374.1958578189</v>
      </c>
      <c r="Q617" s="132"/>
    </row>
    <row r="618" spans="1:17" x14ac:dyDescent="0.3">
      <c r="A618">
        <f t="shared" si="80"/>
        <v>6.7699999999998992</v>
      </c>
      <c r="B618">
        <f>Main!$B$20/A618</f>
        <v>0.73855243722305386</v>
      </c>
      <c r="D618" s="132">
        <f t="shared" si="73"/>
        <v>0.73855243722305386</v>
      </c>
      <c r="E618" s="132">
        <f>-B618*Main!$B$19-2*Main!$B$19*loop_gain!$B$17*loop_gain!$B$18</f>
        <v>-84.462629246676656</v>
      </c>
      <c r="F618" s="132">
        <f>2*Main!$B$19*loop_gain!$B$17*loop_gain!$B$18*Helper_calcs!$B$26*Current_limit!B618</f>
        <v>214.9630723781421</v>
      </c>
      <c r="G618" s="132">
        <f t="shared" si="75"/>
        <v>2.6043767740188506</v>
      </c>
      <c r="H618" s="132">
        <f>(Main!$B$19-Current_limit!G618)*Current_limit!G618/(Main!$B$19*loop_gain!$B$17*loop_gain!$B$18)</f>
        <v>0.6473476959570732</v>
      </c>
      <c r="I618" s="132">
        <f t="shared" si="76"/>
        <v>3.2026523040429344</v>
      </c>
      <c r="J618" s="132"/>
      <c r="K618" s="133">
        <f>IF(A618&gt;$B$15,IF(I618&gt;Helper_calcs!$B$27,23,3),0)</f>
        <v>23</v>
      </c>
      <c r="L618">
        <f t="shared" si="74"/>
        <v>2</v>
      </c>
      <c r="M618">
        <f t="shared" si="77"/>
        <v>2</v>
      </c>
      <c r="N618" s="132">
        <f t="shared" si="78"/>
        <v>3.375</v>
      </c>
      <c r="O618" s="132">
        <f t="shared" si="79"/>
        <v>2.4926144756278066</v>
      </c>
      <c r="P618" s="134">
        <f>IF(OR(M618=0,M618=3),loop_gain!$B$18,IF(Current_limit!M618=1,Current_limit!$B$12/(2*(Current_limit!N618-Helper_calcs!$B$27)),IF(OR(M618=2,M618=23),(Main!$B$19-Current_limit!O618)*Current_limit!O618/(Main!$B$19*loop_gain!$B$17*(Helper_calcs!$B$26-Helper_calcs!$B$27)),x)))</f>
        <v>1385862.3849955783</v>
      </c>
      <c r="Q618" s="132"/>
    </row>
    <row r="619" spans="1:17" x14ac:dyDescent="0.3">
      <c r="A619">
        <f t="shared" si="80"/>
        <v>6.779999999999899</v>
      </c>
      <c r="B619">
        <f>Main!$B$20/A619</f>
        <v>0.73746312684366877</v>
      </c>
      <c r="D619" s="132">
        <f t="shared" si="73"/>
        <v>0.73746312684366877</v>
      </c>
      <c r="E619" s="132">
        <f>-B619*Main!$B$19-2*Main!$B$19*loop_gain!$B$17*loop_gain!$B$18</f>
        <v>-84.449557522124039</v>
      </c>
      <c r="F619" s="132">
        <f>2*Main!$B$19*loop_gain!$B$17*loop_gain!$B$18*Helper_calcs!$B$26*Current_limit!B619</f>
        <v>214.64601769911829</v>
      </c>
      <c r="G619" s="132">
        <f t="shared" si="75"/>
        <v>2.6007742915751733</v>
      </c>
      <c r="H619" s="132">
        <f>(Main!$B$19-Current_limit!G619)*Current_limit!G619/(Main!$B$19*loop_gain!$B$17*loop_gain!$B$18)</f>
        <v>0.64670012124824683</v>
      </c>
      <c r="I619" s="132">
        <f t="shared" si="76"/>
        <v>3.2032998787517588</v>
      </c>
      <c r="J619" s="132"/>
      <c r="K619" s="133">
        <f>IF(A619&gt;$B$15,IF(I619&gt;Helper_calcs!$B$27,23,3),0)</f>
        <v>23</v>
      </c>
      <c r="L619">
        <f t="shared" si="74"/>
        <v>2</v>
      </c>
      <c r="M619">
        <f t="shared" si="77"/>
        <v>2</v>
      </c>
      <c r="N619" s="132">
        <f t="shared" si="78"/>
        <v>3.375</v>
      </c>
      <c r="O619" s="132">
        <f t="shared" si="79"/>
        <v>2.4889380530973821</v>
      </c>
      <c r="P619" s="134">
        <f>IF(OR(M619=0,M619=3),loop_gain!$B$18,IF(Current_limit!M619=1,Current_limit!$B$12/(2*(Current_limit!N619-Helper_calcs!$B$27)),IF(OR(M619=2,M619=23),(Main!$B$19-Current_limit!O619)*Current_limit!O619/(Main!$B$19*loop_gain!$B$17*(Helper_calcs!$B$26-Helper_calcs!$B$27)),x)))</f>
        <v>1384353.4505855201</v>
      </c>
      <c r="Q619" s="132"/>
    </row>
    <row r="620" spans="1:17" x14ac:dyDescent="0.3">
      <c r="A620">
        <f t="shared" si="80"/>
        <v>6.7899999999998988</v>
      </c>
      <c r="B620">
        <f>Main!$B$20/A620</f>
        <v>0.73637702503682978</v>
      </c>
      <c r="D620" s="132">
        <f t="shared" si="73"/>
        <v>0.73637702503682978</v>
      </c>
      <c r="E620" s="132">
        <f>-B620*Main!$B$19-2*Main!$B$19*loop_gain!$B$17*loop_gain!$B$18</f>
        <v>-84.43652430044196</v>
      </c>
      <c r="F620" s="132">
        <f>2*Main!$B$19*loop_gain!$B$17*loop_gain!$B$18*Helper_calcs!$B$26*Current_limit!B620</f>
        <v>214.32989690721971</v>
      </c>
      <c r="G620" s="132">
        <f t="shared" si="75"/>
        <v>2.597181997693697</v>
      </c>
      <c r="H620" s="132">
        <f>(Main!$B$19-Current_limit!G620)*Current_limit!G620/(Main!$B$19*loop_gain!$B$17*loop_gain!$B$18)</f>
        <v>0.64605369426402481</v>
      </c>
      <c r="I620" s="132">
        <f t="shared" si="76"/>
        <v>3.2039463057359754</v>
      </c>
      <c r="J620" s="132"/>
      <c r="K620" s="133">
        <f>IF(A620&gt;$B$15,IF(I620&gt;Helper_calcs!$B$27,23,3),0)</f>
        <v>23</v>
      </c>
      <c r="L620">
        <f t="shared" si="74"/>
        <v>2</v>
      </c>
      <c r="M620">
        <f t="shared" si="77"/>
        <v>2</v>
      </c>
      <c r="N620" s="132">
        <f t="shared" si="78"/>
        <v>3.375</v>
      </c>
      <c r="O620" s="132">
        <f t="shared" si="79"/>
        <v>2.4852724594993005</v>
      </c>
      <c r="P620" s="134">
        <f>IF(OR(M620=0,M620=3),loop_gain!$B$18,IF(Current_limit!M620=1,Current_limit!$B$12/(2*(Current_limit!N620-Helper_calcs!$B$27)),IF(OR(M620=2,M620=23),(Main!$B$19-Current_limit!O620)*Current_limit!O620/(Main!$B$19*loop_gain!$B$17*(Helper_calcs!$B$26-Helper_calcs!$B$27)),x)))</f>
        <v>1382847.386903269</v>
      </c>
      <c r="Q620" s="132"/>
    </row>
    <row r="621" spans="1:17" x14ac:dyDescent="0.3">
      <c r="A621">
        <f t="shared" si="80"/>
        <v>6.7999999999998986</v>
      </c>
      <c r="B621">
        <f>Main!$B$20/A621</f>
        <v>0.73529411764706976</v>
      </c>
      <c r="D621" s="132">
        <f t="shared" si="73"/>
        <v>0.73529411764706976</v>
      </c>
      <c r="E621" s="132">
        <f>-B621*Main!$B$19-2*Main!$B$19*loop_gain!$B$17*loop_gain!$B$18</f>
        <v>-84.423529411764846</v>
      </c>
      <c r="F621" s="132">
        <f>2*Main!$B$19*loop_gain!$B$17*loop_gain!$B$18*Helper_calcs!$B$26*Current_limit!B621</f>
        <v>214.01470588235617</v>
      </c>
      <c r="G621" s="132">
        <f t="shared" si="75"/>
        <v>2.5935998482151059</v>
      </c>
      <c r="H621" s="132">
        <f>(Main!$B$19-Current_limit!G621)*Current_limit!G621/(Main!$B$19*loop_gain!$B$17*loop_gain!$B$18)</f>
        <v>0.64540841285502248</v>
      </c>
      <c r="I621" s="132">
        <f t="shared" si="76"/>
        <v>3.2045915871449804</v>
      </c>
      <c r="J621" s="132"/>
      <c r="K621" s="133">
        <f>IF(A621&gt;$B$15,IF(I621&gt;Helper_calcs!$B$27,23,3),0)</f>
        <v>23</v>
      </c>
      <c r="L621">
        <f t="shared" si="74"/>
        <v>2</v>
      </c>
      <c r="M621">
        <f t="shared" si="77"/>
        <v>2</v>
      </c>
      <c r="N621" s="132">
        <f t="shared" si="78"/>
        <v>3.375</v>
      </c>
      <c r="O621" s="132">
        <f t="shared" si="79"/>
        <v>2.4816176470588602</v>
      </c>
      <c r="P621" s="134">
        <f>IF(OR(M621=0,M621=3),loop_gain!$B$18,IF(Current_limit!M621=1,Current_limit!$B$12/(2*(Current_limit!N621-Helper_calcs!$B$27)),IF(OR(M621=2,M621=23),(Main!$B$19-Current_limit!O621)*Current_limit!O621/(Main!$B$19*loop_gain!$B$17*(Helper_calcs!$B$26-Helper_calcs!$B$27)),x)))</f>
        <v>1381344.1882170977</v>
      </c>
      <c r="Q621" s="132"/>
    </row>
    <row r="622" spans="1:17" x14ac:dyDescent="0.3">
      <c r="A622">
        <f t="shared" si="80"/>
        <v>6.8099999999998984</v>
      </c>
      <c r="B622">
        <f>Main!$B$20/A622</f>
        <v>0.73421439060206672</v>
      </c>
      <c r="D622" s="132">
        <f t="shared" si="73"/>
        <v>0.73421439060206672</v>
      </c>
      <c r="E622" s="132">
        <f>-B622*Main!$B$19-2*Main!$B$19*loop_gain!$B$17*loop_gain!$B$18</f>
        <v>-84.410572687224814</v>
      </c>
      <c r="F622" s="132">
        <f>2*Main!$B$19*loop_gain!$B$17*loop_gain!$B$18*Helper_calcs!$B$26*Current_limit!B622</f>
        <v>213.70044052863759</v>
      </c>
      <c r="G622" s="132">
        <f t="shared" si="75"/>
        <v>2.590027799240501</v>
      </c>
      <c r="H622" s="132">
        <f>(Main!$B$19-Current_limit!G622)*Current_limit!G622/(Main!$B$19*loop_gain!$B$17*loop_gain!$B$18)</f>
        <v>0.64476427486897925</v>
      </c>
      <c r="I622" s="132">
        <f t="shared" si="76"/>
        <v>3.2052357251310202</v>
      </c>
      <c r="J622" s="132"/>
      <c r="K622" s="133">
        <f>IF(A622&gt;$B$15,IF(I622&gt;Helper_calcs!$B$27,23,3),0)</f>
        <v>23</v>
      </c>
      <c r="L622">
        <f t="shared" si="74"/>
        <v>2</v>
      </c>
      <c r="M622">
        <f t="shared" si="77"/>
        <v>2</v>
      </c>
      <c r="N622" s="132">
        <f t="shared" si="78"/>
        <v>3.375</v>
      </c>
      <c r="O622" s="132">
        <f t="shared" si="79"/>
        <v>2.4779735682819752</v>
      </c>
      <c r="P622" s="134">
        <f>IF(OR(M622=0,M622=3),loop_gain!$B$18,IF(Current_limit!M622=1,Current_limit!$B$12/(2*(Current_limit!N622-Helper_calcs!$B$27)),IF(OR(M622=2,M622=23),(Main!$B$19-Current_limit!O622)*Current_limit!O622/(Main!$B$19*loop_gain!$B$17*(Helper_calcs!$B$26-Helper_calcs!$B$27)),x)))</f>
        <v>1379843.8487882805</v>
      </c>
      <c r="Q622" s="132"/>
    </row>
    <row r="623" spans="1:17" x14ac:dyDescent="0.3">
      <c r="A623">
        <f t="shared" si="80"/>
        <v>6.8199999999998981</v>
      </c>
      <c r="B623">
        <f>Main!$B$20/A623</f>
        <v>0.73313782991203436</v>
      </c>
      <c r="D623" s="132">
        <f t="shared" si="73"/>
        <v>0.73313782991203436</v>
      </c>
      <c r="E623" s="132">
        <f>-B623*Main!$B$19-2*Main!$B$19*loop_gain!$B$17*loop_gain!$B$18</f>
        <v>-84.397653958944417</v>
      </c>
      <c r="F623" s="132">
        <f>2*Main!$B$19*loop_gain!$B$17*loop_gain!$B$18*Helper_calcs!$B$26*Current_limit!B623</f>
        <v>213.38709677419675</v>
      </c>
      <c r="G623" s="132">
        <f t="shared" si="75"/>
        <v>2.586465807129473</v>
      </c>
      <c r="H623" s="132">
        <f>(Main!$B$19-Current_limit!G623)*Current_limit!G623/(Main!$B$19*loop_gain!$B$17*loop_gain!$B$18)</f>
        <v>0.64412127815089304</v>
      </c>
      <c r="I623" s="132">
        <f t="shared" si="76"/>
        <v>3.2058787218491025</v>
      </c>
      <c r="J623" s="132"/>
      <c r="K623" s="133">
        <f>IF(A623&gt;$B$15,IF(I623&gt;Helper_calcs!$B$27,23,3),0)</f>
        <v>23</v>
      </c>
      <c r="L623">
        <f t="shared" si="74"/>
        <v>2</v>
      </c>
      <c r="M623">
        <f t="shared" si="77"/>
        <v>2</v>
      </c>
      <c r="N623" s="132">
        <f t="shared" si="78"/>
        <v>3.375</v>
      </c>
      <c r="O623" s="132">
        <f t="shared" si="79"/>
        <v>2.4743401759531158</v>
      </c>
      <c r="P623" s="134">
        <f>IF(OR(M623=0,M623=3),loop_gain!$B$18,IF(Current_limit!M623=1,Current_limit!$B$12/(2*(Current_limit!N623-Helper_calcs!$B$27)),IF(OR(M623=2,M623=23),(Main!$B$19-Current_limit!O623)*Current_limit!O623/(Main!$B$19*loop_gain!$B$17*(Helper_calcs!$B$26-Helper_calcs!$B$27)),x)))</f>
        <v>1378346.3628714436</v>
      </c>
      <c r="Q623" s="132"/>
    </row>
    <row r="624" spans="1:17" x14ac:dyDescent="0.3">
      <c r="A624">
        <f t="shared" si="80"/>
        <v>6.8299999999998979</v>
      </c>
      <c r="B624">
        <f>Main!$B$20/A624</f>
        <v>0.73206442166911778</v>
      </c>
      <c r="D624" s="132">
        <f t="shared" si="73"/>
        <v>0.73206442166911778</v>
      </c>
      <c r="E624" s="132">
        <f>-B624*Main!$B$19-2*Main!$B$19*loop_gain!$B$17*loop_gain!$B$18</f>
        <v>-84.384773060029417</v>
      </c>
      <c r="F624" s="132">
        <f>2*Main!$B$19*loop_gain!$B$17*loop_gain!$B$18*Helper_calcs!$B$26*Current_limit!B624</f>
        <v>213.07467057101346</v>
      </c>
      <c r="G624" s="132">
        <f t="shared" si="75"/>
        <v>2.5829138284981497</v>
      </c>
      <c r="H624" s="132">
        <f>(Main!$B$19-Current_limit!G624)*Current_limit!G624/(Main!$B$19*loop_gain!$B$17*loop_gain!$B$18)</f>
        <v>0.64347942054314344</v>
      </c>
      <c r="I624" s="132">
        <f t="shared" si="76"/>
        <v>3.2065205794568481</v>
      </c>
      <c r="J624" s="132"/>
      <c r="K624" s="133">
        <f>IF(A624&gt;$B$15,IF(I624&gt;Helper_calcs!$B$27,23,3),0)</f>
        <v>23</v>
      </c>
      <c r="L624">
        <f t="shared" si="74"/>
        <v>2</v>
      </c>
      <c r="M624">
        <f t="shared" si="77"/>
        <v>2</v>
      </c>
      <c r="N624" s="132">
        <f t="shared" si="78"/>
        <v>3.375</v>
      </c>
      <c r="O624" s="132">
        <f t="shared" si="79"/>
        <v>2.4707174231332725</v>
      </c>
      <c r="P624" s="134">
        <f>IF(OR(M624=0,M624=3),loop_gain!$B$18,IF(Current_limit!M624=1,Current_limit!$B$12/(2*(Current_limit!N624-Helper_calcs!$B$27)),IF(OR(M624=2,M624=23),(Main!$B$19-Current_limit!O624)*Current_limit!O624/(Main!$B$19*loop_gain!$B$17*(Helper_calcs!$B$26-Helper_calcs!$B$27)),x)))</f>
        <v>1376851.7247149092</v>
      </c>
      <c r="Q624" s="132"/>
    </row>
    <row r="625" spans="1:17" x14ac:dyDescent="0.3">
      <c r="A625">
        <f t="shared" si="80"/>
        <v>6.8399999999998977</v>
      </c>
      <c r="B625">
        <f>Main!$B$20/A625</f>
        <v>0.73099415204679452</v>
      </c>
      <c r="D625" s="132">
        <f t="shared" si="73"/>
        <v>0.73099415204679452</v>
      </c>
      <c r="E625" s="132">
        <f>-B625*Main!$B$19-2*Main!$B$19*loop_gain!$B$17*loop_gain!$B$18</f>
        <v>-84.371929824561548</v>
      </c>
      <c r="F625" s="132">
        <f>2*Main!$B$19*loop_gain!$B$17*loop_gain!$B$18*Helper_calcs!$B$26*Current_limit!B625</f>
        <v>212.76315789474006</v>
      </c>
      <c r="G625" s="132">
        <f t="shared" si="75"/>
        <v>2.579371820217276</v>
      </c>
      <c r="H625" s="132">
        <f>(Main!$B$19-Current_limit!G625)*Current_limit!G625/(Main!$B$19*loop_gain!$B$17*loop_gain!$B$18)</f>
        <v>0.64283869988561715</v>
      </c>
      <c r="I625" s="132">
        <f t="shared" si="76"/>
        <v>3.2071613001143722</v>
      </c>
      <c r="J625" s="132"/>
      <c r="K625" s="133">
        <f>IF(A625&gt;$B$15,IF(I625&gt;Helper_calcs!$B$27,23,3),0)</f>
        <v>23</v>
      </c>
      <c r="L625">
        <f t="shared" si="74"/>
        <v>2</v>
      </c>
      <c r="M625">
        <f t="shared" si="77"/>
        <v>2</v>
      </c>
      <c r="N625" s="132">
        <f t="shared" si="78"/>
        <v>3.375</v>
      </c>
      <c r="O625" s="132">
        <f t="shared" si="79"/>
        <v>2.4671052631579315</v>
      </c>
      <c r="P625" s="134">
        <f>IF(OR(M625=0,M625=3),loop_gain!$B$18,IF(Current_limit!M625=1,Current_limit!$B$12/(2*(Current_limit!N625-Helper_calcs!$B$27)),IF(OR(M625=2,M625=23),(Main!$B$19-Current_limit!O625)*Current_limit!O625/(Main!$B$19*loop_gain!$B$17*(Helper_calcs!$B$26-Helper_calcs!$B$27)),x)))</f>
        <v>1375359.92856103</v>
      </c>
      <c r="Q625" s="132"/>
    </row>
    <row r="626" spans="1:17" x14ac:dyDescent="0.3">
      <c r="A626">
        <f t="shared" si="80"/>
        <v>6.8499999999998975</v>
      </c>
      <c r="B626">
        <f>Main!$B$20/A626</f>
        <v>0.72992700729928095</v>
      </c>
      <c r="D626" s="132">
        <f t="shared" si="73"/>
        <v>0.72992700729928095</v>
      </c>
      <c r="E626" s="132">
        <f>-B626*Main!$B$19-2*Main!$B$19*loop_gain!$B$17*loop_gain!$B$18</f>
        <v>-84.359124087591383</v>
      </c>
      <c r="F626" s="132">
        <f>2*Main!$B$19*loop_gain!$B$17*loop_gain!$B$18*Helper_calcs!$B$26*Current_limit!B626</f>
        <v>212.45255474452875</v>
      </c>
      <c r="G626" s="132">
        <f t="shared" si="75"/>
        <v>2.575839739410319</v>
      </c>
      <c r="H626" s="132">
        <f>(Main!$B$19-Current_limit!G626)*Current_limit!G626/(Main!$B$19*loop_gain!$B$17*loop_gain!$B$18)</f>
        <v>0.64219911401583074</v>
      </c>
      <c r="I626" s="132">
        <f t="shared" si="76"/>
        <v>3.2078008859841693</v>
      </c>
      <c r="J626" s="132"/>
      <c r="K626" s="133">
        <f>IF(A626&gt;$B$15,IF(I626&gt;Helper_calcs!$B$27,23,3),0)</f>
        <v>23</v>
      </c>
      <c r="L626">
        <f t="shared" si="74"/>
        <v>2</v>
      </c>
      <c r="M626">
        <f t="shared" si="77"/>
        <v>2</v>
      </c>
      <c r="N626" s="132">
        <f t="shared" si="78"/>
        <v>3.375</v>
      </c>
      <c r="O626" s="132">
        <f t="shared" si="79"/>
        <v>2.4635036496350731</v>
      </c>
      <c r="P626" s="134">
        <f>IF(OR(M626=0,M626=3),loop_gain!$B$18,IF(Current_limit!M626=1,Current_limit!$B$12/(2*(Current_limit!N626-Helper_calcs!$B$27)),IF(OR(M626=2,M626=23),(Main!$B$19-Current_limit!O626)*Current_limit!O626/(Main!$B$19*loop_gain!$B$17*(Helper_calcs!$B$26-Helper_calcs!$B$27)),x)))</f>
        <v>1373870.9686465235</v>
      </c>
      <c r="Q626" s="132"/>
    </row>
    <row r="627" spans="1:17" x14ac:dyDescent="0.3">
      <c r="A627">
        <f t="shared" si="80"/>
        <v>6.8599999999998973</v>
      </c>
      <c r="B627">
        <f>Main!$B$20/A627</f>
        <v>0.72886297376094389</v>
      </c>
      <c r="D627" s="132">
        <f t="shared" si="73"/>
        <v>0.72886297376094389</v>
      </c>
      <c r="E627" s="132">
        <f>-B627*Main!$B$19-2*Main!$B$19*loop_gain!$B$17*loop_gain!$B$18</f>
        <v>-84.346355685131329</v>
      </c>
      <c r="F627" s="132">
        <f>2*Main!$B$19*loop_gain!$B$17*loop_gain!$B$18*Helper_calcs!$B$26*Current_limit!B627</f>
        <v>212.14285714286038</v>
      </c>
      <c r="G627" s="132">
        <f t="shared" si="75"/>
        <v>2.5723175434515451</v>
      </c>
      <c r="H627" s="132">
        <f>(Main!$B$19-Current_limit!G627)*Current_limit!G627/(Main!$B$19*loop_gain!$B$17*loop_gain!$B$18)</f>
        <v>0.64156066076904616</v>
      </c>
      <c r="I627" s="132">
        <f t="shared" si="76"/>
        <v>3.208439339230944</v>
      </c>
      <c r="J627" s="132"/>
      <c r="K627" s="133">
        <f>IF(A627&gt;$B$15,IF(I627&gt;Helper_calcs!$B$27,23,3),0)</f>
        <v>23</v>
      </c>
      <c r="L627">
        <f t="shared" si="74"/>
        <v>2</v>
      </c>
      <c r="M627">
        <f t="shared" si="77"/>
        <v>2</v>
      </c>
      <c r="N627" s="132">
        <f t="shared" si="78"/>
        <v>3.375</v>
      </c>
      <c r="O627" s="132">
        <f t="shared" si="79"/>
        <v>2.4599125364431855</v>
      </c>
      <c r="P627" s="134">
        <f>IF(OR(M627=0,M627=3),loop_gain!$B$18,IF(Current_limit!M627=1,Current_limit!$B$12/(2*(Current_limit!N627-Helper_calcs!$B$27)),IF(OR(M627=2,M627=23),(Main!$B$19-Current_limit!O627)*Current_limit!O627/(Main!$B$19*loop_gain!$B$17*(Helper_calcs!$B$26-Helper_calcs!$B$27)),x)))</f>
        <v>1372384.8392027998</v>
      </c>
      <c r="Q627" s="132"/>
    </row>
    <row r="628" spans="1:17" x14ac:dyDescent="0.3">
      <c r="A628">
        <f t="shared" si="80"/>
        <v>6.8699999999998971</v>
      </c>
      <c r="B628">
        <f>Main!$B$20/A628</f>
        <v>0.72780203784571684</v>
      </c>
      <c r="D628" s="132">
        <f t="shared" si="73"/>
        <v>0.72780203784571684</v>
      </c>
      <c r="E628" s="132">
        <f>-B628*Main!$B$19-2*Main!$B$19*loop_gain!$B$17*loop_gain!$B$18</f>
        <v>-84.333624454148605</v>
      </c>
      <c r="F628" s="132">
        <f>2*Main!$B$19*loop_gain!$B$17*loop_gain!$B$18*Helper_calcs!$B$26*Current_limit!B628</f>
        <v>211.83406113537438</v>
      </c>
      <c r="G628" s="132">
        <f t="shared" si="75"/>
        <v>2.5688051899642286</v>
      </c>
      <c r="H628" s="132">
        <f>(Main!$B$19-Current_limit!G628)*Current_limit!G628/(Main!$B$19*loop_gain!$B$17*loop_gain!$B$18)</f>
        <v>0.64092333797840162</v>
      </c>
      <c r="I628" s="132">
        <f t="shared" si="76"/>
        <v>3.2090766620215967</v>
      </c>
      <c r="J628" s="132"/>
      <c r="K628" s="133">
        <f>IF(A628&gt;$B$15,IF(I628&gt;Helper_calcs!$B$27,23,3),0)</f>
        <v>23</v>
      </c>
      <c r="L628">
        <f t="shared" si="74"/>
        <v>2</v>
      </c>
      <c r="M628">
        <f t="shared" si="77"/>
        <v>2</v>
      </c>
      <c r="N628" s="132">
        <f t="shared" si="78"/>
        <v>3.375</v>
      </c>
      <c r="O628" s="132">
        <f t="shared" si="79"/>
        <v>2.4563318777292942</v>
      </c>
      <c r="P628" s="134">
        <f>IF(OR(M628=0,M628=3),loop_gain!$B$18,IF(Current_limit!M628=1,Current_limit!$B$12/(2*(Current_limit!N628-Helper_calcs!$B$27)),IF(OR(M628=2,M628=23),(Main!$B$19-Current_limit!O628)*Current_limit!O628/(Main!$B$19*loop_gain!$B$17*(Helper_calcs!$B$26-Helper_calcs!$B$27)),x)))</f>
        <v>1370901.534456281</v>
      </c>
      <c r="Q628" s="132"/>
    </row>
    <row r="629" spans="1:17" x14ac:dyDescent="0.3">
      <c r="A629">
        <f t="shared" si="80"/>
        <v>6.8799999999998969</v>
      </c>
      <c r="B629">
        <f>Main!$B$20/A629</f>
        <v>0.72674418604652247</v>
      </c>
      <c r="D629" s="132">
        <f t="shared" si="73"/>
        <v>0.72674418604652247</v>
      </c>
      <c r="E629" s="132">
        <f>-B629*Main!$B$19-2*Main!$B$19*loop_gain!$B$17*loop_gain!$B$18</f>
        <v>-84.320930232558283</v>
      </c>
      <c r="F629" s="132">
        <f>2*Main!$B$19*loop_gain!$B$17*loop_gain!$B$18*Helper_calcs!$B$26*Current_limit!B629</f>
        <v>211.52616279070088</v>
      </c>
      <c r="G629" s="132">
        <f t="shared" si="75"/>
        <v>2.565302636818712</v>
      </c>
      <c r="H629" s="132">
        <f>(Main!$B$19-Current_limit!G629)*Current_limit!G629/(Main!$B$19*loop_gain!$B$17*loop_gain!$B$18)</f>
        <v>0.64028714347501337</v>
      </c>
      <c r="I629" s="132">
        <f t="shared" si="76"/>
        <v>3.2097128565249884</v>
      </c>
      <c r="J629" s="132"/>
      <c r="K629" s="133">
        <f>IF(A629&gt;$B$15,IF(I629&gt;Helper_calcs!$B$27,23,3),0)</f>
        <v>23</v>
      </c>
      <c r="L629">
        <f t="shared" si="74"/>
        <v>2</v>
      </c>
      <c r="M629">
        <f t="shared" si="77"/>
        <v>2</v>
      </c>
      <c r="N629" s="132">
        <f t="shared" si="78"/>
        <v>3.375</v>
      </c>
      <c r="O629" s="132">
        <f t="shared" si="79"/>
        <v>2.4527616279070132</v>
      </c>
      <c r="P629" s="134">
        <f>IF(OR(M629=0,M629=3),loop_gain!$B$18,IF(Current_limit!M629=1,Current_limit!$B$12/(2*(Current_limit!N629-Helper_calcs!$B$27)),IF(OR(M629=2,M629=23),(Main!$B$19-Current_limit!O629)*Current_limit!O629/(Main!$B$19*loop_gain!$B$17*(Helper_calcs!$B$26-Helper_calcs!$B$27)),x)))</f>
        <v>1369421.0486287191</v>
      </c>
      <c r="Q629" s="132"/>
    </row>
    <row r="630" spans="1:17" x14ac:dyDescent="0.3">
      <c r="A630">
        <f t="shared" si="80"/>
        <v>6.8899999999998967</v>
      </c>
      <c r="B630">
        <f>Main!$B$20/A630</f>
        <v>0.7256894049346988</v>
      </c>
      <c r="D630" s="132">
        <f t="shared" si="73"/>
        <v>0.7256894049346988</v>
      </c>
      <c r="E630" s="132">
        <f>-B630*Main!$B$19-2*Main!$B$19*loop_gain!$B$17*loop_gain!$B$18</f>
        <v>-84.308272859216402</v>
      </c>
      <c r="F630" s="132">
        <f>2*Main!$B$19*loop_gain!$B$17*loop_gain!$B$18*Helper_calcs!$B$26*Current_limit!B630</f>
        <v>211.21915820029346</v>
      </c>
      <c r="G630" s="132">
        <f t="shared" si="75"/>
        <v>2.5618098421306308</v>
      </c>
      <c r="H630" s="132">
        <f>(Main!$B$19-Current_limit!G630)*Current_limit!G630/(Main!$B$19*loop_gain!$B$17*loop_gain!$B$18)</f>
        <v>0.63965207508810051</v>
      </c>
      <c r="I630" s="132">
        <f t="shared" si="76"/>
        <v>3.2103479249119058</v>
      </c>
      <c r="J630" s="132"/>
      <c r="K630" s="133">
        <f>IF(A630&gt;$B$15,IF(I630&gt;Helper_calcs!$B$27,23,3),0)</f>
        <v>23</v>
      </c>
      <c r="L630">
        <f t="shared" si="74"/>
        <v>2</v>
      </c>
      <c r="M630">
        <f t="shared" si="77"/>
        <v>2</v>
      </c>
      <c r="N630" s="132">
        <f t="shared" si="78"/>
        <v>3.375</v>
      </c>
      <c r="O630" s="132">
        <f t="shared" si="79"/>
        <v>2.4492017416546084</v>
      </c>
      <c r="P630" s="134">
        <f>IF(OR(M630=0,M630=3),loop_gain!$B$18,IF(Current_limit!M630=1,Current_limit!$B$12/(2*(Current_limit!N630-Helper_calcs!$B$27)),IF(OR(M630=2,M630=23),(Main!$B$19-Current_limit!O630)*Current_limit!O630/(Main!$B$19*loop_gain!$B$17*(Helper_calcs!$B$26-Helper_calcs!$B$27)),x)))</f>
        <v>1367943.3759375047</v>
      </c>
      <c r="Q630" s="132"/>
    </row>
    <row r="631" spans="1:17" x14ac:dyDescent="0.3">
      <c r="A631">
        <f t="shared" si="80"/>
        <v>6.8999999999998964</v>
      </c>
      <c r="B631">
        <f>Main!$B$20/A631</f>
        <v>0.72463768115943117</v>
      </c>
      <c r="D631" s="132">
        <f t="shared" si="73"/>
        <v>0.72463768115943117</v>
      </c>
      <c r="E631" s="132">
        <f>-B631*Main!$B$19-2*Main!$B$19*loop_gain!$B$17*loop_gain!$B$18</f>
        <v>-84.295652173913183</v>
      </c>
      <c r="F631" s="132">
        <f>2*Main!$B$19*loop_gain!$B$17*loop_gain!$B$18*Helper_calcs!$B$26*Current_limit!B631</f>
        <v>210.91304347826409</v>
      </c>
      <c r="G631" s="132">
        <f t="shared" si="75"/>
        <v>2.5583267642590655</v>
      </c>
      <c r="H631" s="132">
        <f>(Main!$B$19-Current_limit!G631)*Current_limit!G631/(Main!$B$19*loop_gain!$B$17*loop_gain!$B$18)</f>
        <v>0.63901813064509316</v>
      </c>
      <c r="I631" s="132">
        <f t="shared" si="76"/>
        <v>3.210981869354911</v>
      </c>
      <c r="J631" s="132"/>
      <c r="K631" s="133">
        <f>IF(A631&gt;$B$15,IF(I631&gt;Helper_calcs!$B$27,23,3),0)</f>
        <v>23</v>
      </c>
      <c r="L631">
        <f t="shared" si="74"/>
        <v>2</v>
      </c>
      <c r="M631">
        <f t="shared" si="77"/>
        <v>2</v>
      </c>
      <c r="N631" s="132">
        <f t="shared" si="78"/>
        <v>3.375</v>
      </c>
      <c r="O631" s="132">
        <f t="shared" si="79"/>
        <v>2.4456521739130803</v>
      </c>
      <c r="P631" s="134">
        <f>IF(OR(M631=0,M631=3),loop_gain!$B$18,IF(Current_limit!M631=1,Current_limit!$B$12/(2*(Current_limit!N631-Helper_calcs!$B$27)),IF(OR(M631=2,M631=23),(Main!$B$19-Current_limit!O631)*Current_limit!O631/(Main!$B$19*loop_gain!$B$17*(Helper_calcs!$B$26-Helper_calcs!$B$27)),x)))</f>
        <v>1366468.5105959759</v>
      </c>
      <c r="Q631" s="132"/>
    </row>
    <row r="632" spans="1:17" x14ac:dyDescent="0.3">
      <c r="A632">
        <f t="shared" si="80"/>
        <v>6.9099999999998962</v>
      </c>
      <c r="B632">
        <f>Main!$B$20/A632</f>
        <v>0.72358900144718885</v>
      </c>
      <c r="D632" s="132">
        <f t="shared" si="73"/>
        <v>0.72358900144718885</v>
      </c>
      <c r="E632" s="132">
        <f>-B632*Main!$B$19-2*Main!$B$19*loop_gain!$B$17*loop_gain!$B$18</f>
        <v>-84.283068017366276</v>
      </c>
      <c r="F632" s="132">
        <f>2*Main!$B$19*loop_gain!$B$17*loop_gain!$B$18*Helper_calcs!$B$26*Current_limit!B632</f>
        <v>210.60781476121883</v>
      </c>
      <c r="G632" s="132">
        <f t="shared" si="75"/>
        <v>2.5548533618047573</v>
      </c>
      <c r="H632" s="132">
        <f>(Main!$B$19-Current_limit!G632)*Current_limit!G632/(Main!$B$19*loop_gain!$B$17*loop_gain!$B$18)</f>
        <v>0.63838530797174653</v>
      </c>
      <c r="I632" s="132">
        <f t="shared" si="76"/>
        <v>3.2116146920282485</v>
      </c>
      <c r="J632" s="132"/>
      <c r="K632" s="133">
        <f>IF(A632&gt;$B$15,IF(I632&gt;Helper_calcs!$B$27,23,3),0)</f>
        <v>23</v>
      </c>
      <c r="L632">
        <f t="shared" si="74"/>
        <v>2</v>
      </c>
      <c r="M632">
        <f t="shared" si="77"/>
        <v>2</v>
      </c>
      <c r="N632" s="132">
        <f t="shared" si="78"/>
        <v>3.375</v>
      </c>
      <c r="O632" s="132">
        <f t="shared" si="79"/>
        <v>2.4421128798842622</v>
      </c>
      <c r="P632" s="134">
        <f>IF(OR(M632=0,M632=3),loop_gain!$B$18,IF(Current_limit!M632=1,Current_limit!$B$12/(2*(Current_limit!N632-Helper_calcs!$B$27)),IF(OR(M632=2,M632=23),(Main!$B$19-Current_limit!O632)*Current_limit!O632/(Main!$B$19*loop_gain!$B$17*(Helper_calcs!$B$26-Helper_calcs!$B$27)),x)))</f>
        <v>1364996.4468137156</v>
      </c>
      <c r="Q632" s="132"/>
    </row>
    <row r="633" spans="1:17" x14ac:dyDescent="0.3">
      <c r="A633">
        <f t="shared" si="80"/>
        <v>6.919999999999896</v>
      </c>
      <c r="B633">
        <f>Main!$B$20/A633</f>
        <v>0.72254335260116698</v>
      </c>
      <c r="D633" s="132">
        <f t="shared" si="73"/>
        <v>0.72254335260116698</v>
      </c>
      <c r="E633" s="132">
        <f>-B633*Main!$B$19-2*Main!$B$19*loop_gain!$B$17*loop_gain!$B$18</f>
        <v>-84.270520231214007</v>
      </c>
      <c r="F633" s="132">
        <f>2*Main!$B$19*loop_gain!$B$17*loop_gain!$B$18*Helper_calcs!$B$26*Current_limit!B633</f>
        <v>210.30346820809569</v>
      </c>
      <c r="G633" s="132">
        <f t="shared" si="75"/>
        <v>2.5513895936083313</v>
      </c>
      <c r="H633" s="132">
        <f>(Main!$B$19-Current_limit!G633)*Current_limit!G633/(Main!$B$19*loop_gain!$B$17*loop_gain!$B$18)</f>
        <v>0.63775360489225097</v>
      </c>
      <c r="I633" s="132">
        <f t="shared" si="76"/>
        <v>3.2122463951077518</v>
      </c>
      <c r="J633" s="132"/>
      <c r="K633" s="133">
        <f>IF(A633&gt;$B$15,IF(I633&gt;Helper_calcs!$B$27,23,3),0)</f>
        <v>23</v>
      </c>
      <c r="L633">
        <f t="shared" si="74"/>
        <v>2</v>
      </c>
      <c r="M633">
        <f t="shared" si="77"/>
        <v>2</v>
      </c>
      <c r="N633" s="132">
        <f t="shared" si="78"/>
        <v>3.375</v>
      </c>
      <c r="O633" s="132">
        <f t="shared" si="79"/>
        <v>2.4385838150289385</v>
      </c>
      <c r="P633" s="134">
        <f>IF(OR(M633=0,M633=3),loop_gain!$B$18,IF(Current_limit!M633=1,Current_limit!$B$12/(2*(Current_limit!N633-Helper_calcs!$B$27)),IF(OR(M633=2,M633=23),(Main!$B$19-Current_limit!O633)*Current_limit!O633/(Main!$B$19*loop_gain!$B$17*(Helper_calcs!$B$26-Helper_calcs!$B$27)),x)))</f>
        <v>1363527.1787968518</v>
      </c>
      <c r="Q633" s="132"/>
    </row>
    <row r="634" spans="1:17" x14ac:dyDescent="0.3">
      <c r="A634">
        <f t="shared" si="80"/>
        <v>6.9299999999998958</v>
      </c>
      <c r="B634">
        <f>Main!$B$20/A634</f>
        <v>0.7215007215007323</v>
      </c>
      <c r="D634" s="132">
        <f t="shared" si="73"/>
        <v>0.7215007215007323</v>
      </c>
      <c r="E634" s="132">
        <f>-B634*Main!$B$19-2*Main!$B$19*loop_gain!$B$17*loop_gain!$B$18</f>
        <v>-84.258008658008791</v>
      </c>
      <c r="F634" s="132">
        <f>2*Main!$B$19*loop_gain!$B$17*loop_gain!$B$18*Helper_calcs!$B$26*Current_limit!B634</f>
        <v>210.00000000000318</v>
      </c>
      <c r="G634" s="132">
        <f t="shared" si="75"/>
        <v>2.5479354187484722</v>
      </c>
      <c r="H634" s="132">
        <f>(Main!$B$19-Current_limit!G634)*Current_limit!G634/(Main!$B$19*loop_gain!$B$17*loop_gain!$B$18)</f>
        <v>0.6371230192293309</v>
      </c>
      <c r="I634" s="132">
        <f t="shared" si="76"/>
        <v>3.2128769807706643</v>
      </c>
      <c r="J634" s="132"/>
      <c r="K634" s="133">
        <f>IF(A634&gt;$B$15,IF(I634&gt;Helper_calcs!$B$27,23,3),0)</f>
        <v>23</v>
      </c>
      <c r="L634">
        <f t="shared" si="74"/>
        <v>2</v>
      </c>
      <c r="M634">
        <f t="shared" si="77"/>
        <v>2</v>
      </c>
      <c r="N634" s="132">
        <f t="shared" si="78"/>
        <v>3.375</v>
      </c>
      <c r="O634" s="132">
        <f t="shared" si="79"/>
        <v>2.4350649350649713</v>
      </c>
      <c r="P634" s="134">
        <f>IF(OR(M634=0,M634=3),loop_gain!$B$18,IF(Current_limit!M634=1,Current_limit!$B$12/(2*(Current_limit!N634-Helper_calcs!$B$27)),IF(OR(M634=2,M634=23),(Main!$B$19-Current_limit!O634)*Current_limit!O634/(Main!$B$19*loop_gain!$B$17*(Helper_calcs!$B$26-Helper_calcs!$B$27)),x)))</f>
        <v>1362060.7007483437</v>
      </c>
      <c r="Q634" s="132"/>
    </row>
    <row r="635" spans="1:17" x14ac:dyDescent="0.3">
      <c r="A635">
        <f t="shared" si="80"/>
        <v>6.9399999999998956</v>
      </c>
      <c r="B635">
        <f>Main!$B$20/A635</f>
        <v>0.72046109510087541</v>
      </c>
      <c r="D635" s="132">
        <f t="shared" si="73"/>
        <v>0.72046109510087541</v>
      </c>
      <c r="E635" s="132">
        <f>-B635*Main!$B$19-2*Main!$B$19*loop_gain!$B$17*loop_gain!$B$18</f>
        <v>-84.245533141210515</v>
      </c>
      <c r="F635" s="132">
        <f>2*Main!$B$19*loop_gain!$B$17*loop_gain!$B$18*Helper_calcs!$B$26*Current_limit!B635</f>
        <v>209.69740634006084</v>
      </c>
      <c r="G635" s="132">
        <f t="shared" si="75"/>
        <v>2.5444907965402539</v>
      </c>
      <c r="H635" s="132">
        <f>(Main!$B$19-Current_limit!G635)*Current_limit!G635/(Main!$B$19*loop_gain!$B$17*loop_gain!$B$18)</f>
        <v>0.63649354880436471</v>
      </c>
      <c r="I635" s="132">
        <f t="shared" si="76"/>
        <v>3.213506451195637</v>
      </c>
      <c r="J635" s="132"/>
      <c r="K635" s="133">
        <f>IF(A635&gt;$B$15,IF(I635&gt;Helper_calcs!$B$27,23,3),0)</f>
        <v>23</v>
      </c>
      <c r="L635">
        <f t="shared" si="74"/>
        <v>2</v>
      </c>
      <c r="M635">
        <f t="shared" si="77"/>
        <v>2</v>
      </c>
      <c r="N635" s="132">
        <f t="shared" si="78"/>
        <v>3.375</v>
      </c>
      <c r="O635" s="132">
        <f t="shared" si="79"/>
        <v>2.4315561959654546</v>
      </c>
      <c r="P635" s="134">
        <f>IF(OR(M635=0,M635=3),loop_gain!$B$18,IF(Current_limit!M635=1,Current_limit!$B$12/(2*(Current_limit!N635-Helper_calcs!$B$27)),IF(OR(M635=2,M635=23),(Main!$B$19-Current_limit!O635)*Current_limit!O635/(Main!$B$19*loop_gain!$B$17*(Helper_calcs!$B$26-Helper_calcs!$B$27)),x)))</f>
        <v>1360597.0068682726</v>
      </c>
      <c r="Q635" s="132"/>
    </row>
    <row r="636" spans="1:17" x14ac:dyDescent="0.3">
      <c r="A636">
        <f t="shared" si="80"/>
        <v>6.9499999999998954</v>
      </c>
      <c r="B636">
        <f>Main!$B$20/A636</f>
        <v>0.71942446043166552</v>
      </c>
      <c r="D636" s="132">
        <f t="shared" si="73"/>
        <v>0.71942446043166552</v>
      </c>
      <c r="E636" s="132">
        <f>-B636*Main!$B$19-2*Main!$B$19*loop_gain!$B$17*loop_gain!$B$18</f>
        <v>-84.233093525179996</v>
      </c>
      <c r="F636" s="132">
        <f>2*Main!$B$19*loop_gain!$B$17*loop_gain!$B$18*Helper_calcs!$B$26*Current_limit!B636</f>
        <v>209.39568345324062</v>
      </c>
      <c r="G636" s="132">
        <f t="shared" si="75"/>
        <v>2.541055686533316</v>
      </c>
      <c r="H636" s="132">
        <f>(Main!$B$19-Current_limit!G636)*Current_limit!G636/(Main!$B$19*loop_gain!$B$17*loop_gain!$B$18)</f>
        <v>0.63586519143747333</v>
      </c>
      <c r="I636" s="132">
        <f t="shared" si="76"/>
        <v>3.2141348085625197</v>
      </c>
      <c r="J636" s="132"/>
      <c r="K636" s="133">
        <f>IF(A636&gt;$B$15,IF(I636&gt;Helper_calcs!$B$27,23,3),0)</f>
        <v>23</v>
      </c>
      <c r="L636">
        <f t="shared" si="74"/>
        <v>2</v>
      </c>
      <c r="M636">
        <f t="shared" si="77"/>
        <v>2</v>
      </c>
      <c r="N636" s="132">
        <f t="shared" si="78"/>
        <v>3.375</v>
      </c>
      <c r="O636" s="132">
        <f t="shared" si="79"/>
        <v>2.428057553956871</v>
      </c>
      <c r="P636" s="134">
        <f>IF(OR(M636=0,M636=3),loop_gain!$B$18,IF(Current_limit!M636=1,Current_limit!$B$12/(2*(Current_limit!N636-Helper_calcs!$B$27)),IF(OR(M636=2,M636=23),(Main!$B$19-Current_limit!O636)*Current_limit!O636/(Main!$B$19*loop_gain!$B$17*(Helper_calcs!$B$26-Helper_calcs!$B$27)),x)))</f>
        <v>1359136.0913541184</v>
      </c>
      <c r="Q636" s="132"/>
    </row>
    <row r="637" spans="1:17" x14ac:dyDescent="0.3">
      <c r="A637">
        <f t="shared" si="80"/>
        <v>6.9599999999998952</v>
      </c>
      <c r="B637">
        <f>Main!$B$20/A637</f>
        <v>0.71839080459771198</v>
      </c>
      <c r="D637" s="132">
        <f t="shared" si="73"/>
        <v>0.71839080459771198</v>
      </c>
      <c r="E637" s="132">
        <f>-B637*Main!$B$19-2*Main!$B$19*loop_gain!$B$17*loop_gain!$B$18</f>
        <v>-84.220689655172549</v>
      </c>
      <c r="F637" s="132">
        <f>2*Main!$B$19*loop_gain!$B$17*loop_gain!$B$18*Helper_calcs!$B$26*Current_limit!B637</f>
        <v>209.0948275862101</v>
      </c>
      <c r="G637" s="132">
        <f t="shared" si="75"/>
        <v>2.5376300485102283</v>
      </c>
      <c r="H637" s="132">
        <f>(Main!$B$19-Current_limit!G637)*Current_limit!G637/(Main!$B$19*loop_gain!$B$17*loop_gain!$B$18)</f>
        <v>0.63523794494763786</v>
      </c>
      <c r="I637" s="132">
        <f t="shared" si="76"/>
        <v>3.2147620550523657</v>
      </c>
      <c r="J637" s="132"/>
      <c r="K637" s="133">
        <f>IF(A637&gt;$B$15,IF(I637&gt;Helper_calcs!$B$27,23,3),0)</f>
        <v>23</v>
      </c>
      <c r="L637">
        <f t="shared" si="74"/>
        <v>2</v>
      </c>
      <c r="M637">
        <f t="shared" si="77"/>
        <v>2</v>
      </c>
      <c r="N637" s="132">
        <f t="shared" si="78"/>
        <v>3.375</v>
      </c>
      <c r="O637" s="132">
        <f t="shared" si="79"/>
        <v>2.424568965517278</v>
      </c>
      <c r="P637" s="134">
        <f>IF(OR(M637=0,M637=3),loop_gain!$B$18,IF(Current_limit!M637=1,Current_limit!$B$12/(2*(Current_limit!N637-Helper_calcs!$B$27)),IF(OR(M637=2,M637=23),(Main!$B$19-Current_limit!O637)*Current_limit!O637/(Main!$B$19*loop_gain!$B$17*(Helper_calcs!$B$26-Helper_calcs!$B$27)),x)))</f>
        <v>1357677.9484010416</v>
      </c>
      <c r="Q637" s="132"/>
    </row>
    <row r="638" spans="1:17" x14ac:dyDescent="0.3">
      <c r="A638">
        <f t="shared" si="80"/>
        <v>6.9699999999998949</v>
      </c>
      <c r="B638">
        <f>Main!$B$20/A638</f>
        <v>0.71736011477762918</v>
      </c>
      <c r="D638" s="132">
        <f t="shared" si="73"/>
        <v>0.71736011477762918</v>
      </c>
      <c r="E638" s="132">
        <f>-B638*Main!$B$19-2*Main!$B$19*loop_gain!$B$17*loop_gain!$B$18</f>
        <v>-84.208321377331558</v>
      </c>
      <c r="F638" s="132">
        <f>2*Main!$B$19*loop_gain!$B$17*loop_gain!$B$18*Helper_calcs!$B$26*Current_limit!B638</f>
        <v>208.7948350071768</v>
      </c>
      <c r="G638" s="132">
        <f t="shared" si="75"/>
        <v>2.5342138424846903</v>
      </c>
      <c r="H638" s="132">
        <f>(Main!$B$19-Current_limit!G638)*Current_limit!G638/(Main!$B$19*loop_gain!$B$17*loop_gain!$B$18)</f>
        <v>0.63461180715278476</v>
      </c>
      <c r="I638" s="132">
        <f t="shared" si="76"/>
        <v>3.2153881928472123</v>
      </c>
      <c r="J638" s="132"/>
      <c r="K638" s="133">
        <f>IF(A638&gt;$B$15,IF(I638&gt;Helper_calcs!$B$27,23,3),0)</f>
        <v>23</v>
      </c>
      <c r="L638">
        <f t="shared" si="74"/>
        <v>2</v>
      </c>
      <c r="M638">
        <f t="shared" si="77"/>
        <v>2</v>
      </c>
      <c r="N638" s="132">
        <f t="shared" si="78"/>
        <v>3.375</v>
      </c>
      <c r="O638" s="132">
        <f t="shared" si="79"/>
        <v>2.4210903873744987</v>
      </c>
      <c r="P638" s="134">
        <f>IF(OR(M638=0,M638=3),loop_gain!$B$18,IF(Current_limit!M638=1,Current_limit!$B$12/(2*(Current_limit!N638-Helper_calcs!$B$27)),IF(OR(M638=2,M638=23),(Main!$B$19-Current_limit!O638)*Current_limit!O638/(Main!$B$19*loop_gain!$B$17*(Helper_calcs!$B$26-Helper_calcs!$B$27)),x)))</f>
        <v>1356222.5722021509</v>
      </c>
      <c r="Q638" s="132"/>
    </row>
    <row r="639" spans="1:17" x14ac:dyDescent="0.3">
      <c r="A639">
        <f t="shared" si="80"/>
        <v>6.9799999999998947</v>
      </c>
      <c r="B639">
        <f>Main!$B$20/A639</f>
        <v>0.71633237822350648</v>
      </c>
      <c r="D639" s="132">
        <f t="shared" si="73"/>
        <v>0.71633237822350648</v>
      </c>
      <c r="E639" s="132">
        <f>-B639*Main!$B$19-2*Main!$B$19*loop_gain!$B$17*loop_gain!$B$18</f>
        <v>-84.195988538682087</v>
      </c>
      <c r="F639" s="132">
        <f>2*Main!$B$19*loop_gain!$B$17*loop_gain!$B$18*Helper_calcs!$B$26*Current_limit!B639</f>
        <v>208.49570200573385</v>
      </c>
      <c r="G639" s="132">
        <f t="shared" si="75"/>
        <v>2.5308070286999338</v>
      </c>
      <c r="H639" s="132">
        <f>(Main!$B$19-Current_limit!G639)*Current_limit!G639/(Main!$B$19*loop_gain!$B$17*loop_gain!$B$18)</f>
        <v>0.63398677586989982</v>
      </c>
      <c r="I639" s="132">
        <f t="shared" si="76"/>
        <v>3.2160132241301045</v>
      </c>
      <c r="J639" s="132"/>
      <c r="K639" s="133">
        <f>IF(A639&gt;$B$15,IF(I639&gt;Helper_calcs!$B$27,23,3),0)</f>
        <v>23</v>
      </c>
      <c r="L639">
        <f t="shared" si="74"/>
        <v>2</v>
      </c>
      <c r="M639">
        <f t="shared" si="77"/>
        <v>2</v>
      </c>
      <c r="N639" s="132">
        <f t="shared" si="78"/>
        <v>3.375</v>
      </c>
      <c r="O639" s="132">
        <f t="shared" si="79"/>
        <v>2.4176217765043342</v>
      </c>
      <c r="P639" s="134">
        <f>IF(OR(M639=0,M639=3),loop_gain!$B$18,IF(Current_limit!M639=1,Current_limit!$B$12/(2*(Current_limit!N639-Helper_calcs!$B$27)),IF(OR(M639=2,M639=23),(Main!$B$19-Current_limit!O639)*Current_limit!O639/(Main!$B$19*loop_gain!$B$17*(Helper_calcs!$B$26-Helper_calcs!$B$27)),x)))</f>
        <v>1354769.9569487742</v>
      </c>
      <c r="Q639" s="132"/>
    </row>
    <row r="640" spans="1:17" x14ac:dyDescent="0.3">
      <c r="A640">
        <f t="shared" si="80"/>
        <v>6.9899999999998945</v>
      </c>
      <c r="B640">
        <f>Main!$B$20/A640</f>
        <v>0.71530758226038271</v>
      </c>
      <c r="D640" s="132">
        <f t="shared" si="73"/>
        <v>0.71530758226038271</v>
      </c>
      <c r="E640" s="132">
        <f>-B640*Main!$B$19-2*Main!$B$19*loop_gain!$B$17*loop_gain!$B$18</f>
        <v>-84.183690987124606</v>
      </c>
      <c r="F640" s="132">
        <f>2*Main!$B$19*loop_gain!$B$17*loop_gain!$B$18*Helper_calcs!$B$26*Current_limit!B640</f>
        <v>208.19742489270703</v>
      </c>
      <c r="G640" s="132">
        <f t="shared" si="75"/>
        <v>2.5274095676269628</v>
      </c>
      <c r="H640" s="132">
        <f>(Main!$B$19-Current_limit!G640)*Current_limit!G640/(Main!$B$19*loop_gain!$B$17*loop_gain!$B$18)</f>
        <v>0.63336284891511219</v>
      </c>
      <c r="I640" s="132">
        <f t="shared" si="76"/>
        <v>3.2166371510848846</v>
      </c>
      <c r="J640" s="132"/>
      <c r="K640" s="133">
        <f>IF(A640&gt;$B$15,IF(I640&gt;Helper_calcs!$B$27,23,3),0)</f>
        <v>23</v>
      </c>
      <c r="L640">
        <f t="shared" si="74"/>
        <v>2</v>
      </c>
      <c r="M640">
        <f t="shared" si="77"/>
        <v>2</v>
      </c>
      <c r="N640" s="132">
        <f t="shared" si="78"/>
        <v>3.375</v>
      </c>
      <c r="O640" s="132">
        <f t="shared" si="79"/>
        <v>2.4141630901287918</v>
      </c>
      <c r="P640" s="134">
        <f>IF(OR(M640=0,M640=3),loop_gain!$B$18,IF(Current_limit!M640=1,Current_limit!$B$12/(2*(Current_limit!N640-Helper_calcs!$B$27)),IF(OR(M640=2,M640=23),(Main!$B$19-Current_limit!O640)*Current_limit!O640/(Main!$B$19*loop_gain!$B$17*(Helper_calcs!$B$26-Helper_calcs!$B$27)),x)))</f>
        <v>1353320.0968307194</v>
      </c>
      <c r="Q640" s="132"/>
    </row>
    <row r="641" spans="1:17" x14ac:dyDescent="0.3">
      <c r="A641">
        <f t="shared" si="80"/>
        <v>6.9999999999998943</v>
      </c>
      <c r="B641">
        <f>Main!$B$20/A641</f>
        <v>0.71428571428572507</v>
      </c>
      <c r="D641" s="132">
        <f t="shared" si="73"/>
        <v>0.71428571428572507</v>
      </c>
      <c r="E641" s="132">
        <f>-B641*Main!$B$19-2*Main!$B$19*loop_gain!$B$17*loop_gain!$B$18</f>
        <v>-84.171428571428706</v>
      </c>
      <c r="F641" s="132">
        <f>2*Main!$B$19*loop_gain!$B$17*loop_gain!$B$18*Helper_calcs!$B$26*Current_limit!B641</f>
        <v>207.90000000000319</v>
      </c>
      <c r="G641" s="132">
        <f t="shared" si="75"/>
        <v>2.5240214199629678</v>
      </c>
      <c r="H641" s="132">
        <f>(Main!$B$19-Current_limit!G641)*Current_limit!G641/(Main!$B$19*loop_gain!$B$17*loop_gain!$B$18)</f>
        <v>0.63274002410380248</v>
      </c>
      <c r="I641" s="132">
        <f t="shared" si="76"/>
        <v>3.2172599758962002</v>
      </c>
      <c r="J641" s="132"/>
      <c r="K641" s="133">
        <f>IF(A641&gt;$B$15,IF(I641&gt;Helper_calcs!$B$27,23,3),0)</f>
        <v>23</v>
      </c>
      <c r="L641">
        <f t="shared" si="74"/>
        <v>2</v>
      </c>
      <c r="M641">
        <f t="shared" si="77"/>
        <v>2</v>
      </c>
      <c r="N641" s="132">
        <f t="shared" si="78"/>
        <v>3.375</v>
      </c>
      <c r="O641" s="132">
        <f t="shared" si="79"/>
        <v>2.410714285714322</v>
      </c>
      <c r="P641" s="134">
        <f>IF(OR(M641=0,M641=3),loop_gain!$B$18,IF(Current_limit!M641=1,Current_limit!$B$12/(2*(Current_limit!N641-Helper_calcs!$B$27)),IF(OR(M641=2,M641=23),(Main!$B$19-Current_limit!O641)*Current_limit!O641/(Main!$B$19*loop_gain!$B$17*(Helper_calcs!$B$26-Helper_calcs!$B$27)),x)))</f>
        <v>1351872.9860365349</v>
      </c>
      <c r="Q641" s="132"/>
    </row>
    <row r="642" spans="1:17" x14ac:dyDescent="0.3">
      <c r="K642" s="133"/>
    </row>
    <row r="643" spans="1:17" x14ac:dyDescent="0.3">
      <c r="A643" s="37">
        <f>Main!B21</f>
        <v>3</v>
      </c>
      <c r="B643" s="37"/>
      <c r="C643" s="37"/>
      <c r="D643" s="37"/>
      <c r="E643" s="37"/>
      <c r="F643" s="37"/>
      <c r="G643" s="37"/>
      <c r="H643" s="37"/>
      <c r="I643" s="37"/>
      <c r="J643" s="37"/>
      <c r="K643" s="135">
        <f>IF(A643&gt;$B$15,IF(I643&gt;Helper_calcs!$B$27,23,3),0)</f>
        <v>0</v>
      </c>
      <c r="L643" s="37">
        <f t="shared" si="74"/>
        <v>0</v>
      </c>
      <c r="M643" s="37">
        <f t="shared" si="77"/>
        <v>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0:D18"/>
  <sheetViews>
    <sheetView workbookViewId="0">
      <selection activeCell="D17" sqref="D17"/>
    </sheetView>
  </sheetViews>
  <sheetFormatPr baseColWidth="10" defaultColWidth="8.796875" defaultRowHeight="15.6" x14ac:dyDescent="0.3"/>
  <cols>
    <col min="2" max="2" width="14" customWidth="1"/>
    <col min="3" max="3" width="21.69921875" customWidth="1"/>
    <col min="4" max="4" width="57.69921875" customWidth="1"/>
  </cols>
  <sheetData>
    <row r="10" spans="2:4" ht="16.2" thickBot="1" x14ac:dyDescent="0.35"/>
    <row r="11" spans="2:4" ht="22.8" x14ac:dyDescent="0.3">
      <c r="B11" s="139" t="s">
        <v>232</v>
      </c>
      <c r="C11" s="140" t="s">
        <v>233</v>
      </c>
      <c r="D11" s="141" t="s">
        <v>234</v>
      </c>
    </row>
    <row r="12" spans="2:4" ht="16.2" thickBot="1" x14ac:dyDescent="0.35">
      <c r="B12" s="142"/>
      <c r="D12" s="143"/>
    </row>
    <row r="13" spans="2:4" ht="21" x14ac:dyDescent="0.4">
      <c r="B13" s="144" t="s">
        <v>31</v>
      </c>
      <c r="C13" s="145" t="s">
        <v>236</v>
      </c>
      <c r="D13" s="146" t="s">
        <v>235</v>
      </c>
    </row>
    <row r="14" spans="2:4" ht="21" x14ac:dyDescent="0.4">
      <c r="B14" s="147"/>
      <c r="C14" s="148"/>
      <c r="D14" s="149"/>
    </row>
    <row r="15" spans="2:4" ht="21" x14ac:dyDescent="0.4">
      <c r="B15" s="147"/>
      <c r="C15" s="150"/>
      <c r="D15" s="149"/>
    </row>
    <row r="16" spans="2:4" ht="21" x14ac:dyDescent="0.4">
      <c r="B16" s="147"/>
      <c r="C16" s="150"/>
      <c r="D16" s="151"/>
    </row>
    <row r="17" spans="2:4" ht="21" x14ac:dyDescent="0.4">
      <c r="B17" s="147"/>
      <c r="C17" s="150"/>
      <c r="D17" s="151"/>
    </row>
    <row r="18" spans="2:4" ht="21.6" thickBot="1" x14ac:dyDescent="0.45">
      <c r="B18" s="152"/>
      <c r="C18" s="153"/>
      <c r="D18" s="154"/>
    </row>
  </sheetData>
  <sheetProtection password="DCA3"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1:D130"/>
  <sheetViews>
    <sheetView tabSelected="1" topLeftCell="A35" zoomScaleNormal="100" workbookViewId="0">
      <selection activeCell="B56" sqref="B56"/>
    </sheetView>
  </sheetViews>
  <sheetFormatPr baseColWidth="10" defaultColWidth="9" defaultRowHeight="15.6" x14ac:dyDescent="0.3"/>
  <cols>
    <col min="1" max="1" width="52" style="1" customWidth="1"/>
    <col min="2" max="2" width="19.8984375" style="1" customWidth="1"/>
    <col min="3" max="3" width="51" style="1" customWidth="1"/>
    <col min="4" max="4" width="12.5" style="1" customWidth="1"/>
    <col min="5" max="16384" width="9" style="1"/>
  </cols>
  <sheetData>
    <row r="11" spans="1:3" ht="21.75" customHeight="1" x14ac:dyDescent="0.3">
      <c r="A11"/>
      <c r="B11" s="81" t="s">
        <v>158</v>
      </c>
    </row>
    <row r="12" spans="1:3" ht="21.75" customHeight="1" x14ac:dyDescent="0.3">
      <c r="B12" s="82" t="s">
        <v>159</v>
      </c>
    </row>
    <row r="14" spans="1:3" ht="15" customHeight="1" x14ac:dyDescent="0.3">
      <c r="A14" s="43"/>
    </row>
    <row r="15" spans="1:3" ht="30.75" customHeight="1" thickBot="1" x14ac:dyDescent="0.35">
      <c r="A15" s="44" t="s">
        <v>130</v>
      </c>
      <c r="B15" s="45"/>
      <c r="C15" s="45"/>
    </row>
    <row r="16" spans="1:3" ht="24.6" customHeight="1" x14ac:dyDescent="0.3">
      <c r="A16" s="64" t="s">
        <v>120</v>
      </c>
      <c r="B16" s="89" t="s">
        <v>169</v>
      </c>
      <c r="C16" s="103"/>
    </row>
    <row r="17" spans="1:4" customFormat="1" ht="25.5" customHeight="1" thickBot="1" x14ac:dyDescent="0.35">
      <c r="A17" s="67" t="s">
        <v>172</v>
      </c>
      <c r="B17" s="155" t="s">
        <v>173</v>
      </c>
      <c r="C17" s="104"/>
    </row>
    <row r="18" spans="1:4" customFormat="1" ht="16.2" thickBot="1" x14ac:dyDescent="0.35">
      <c r="C18" s="104"/>
    </row>
    <row r="19" spans="1:4" x14ac:dyDescent="0.3">
      <c r="A19" s="64" t="s">
        <v>0</v>
      </c>
      <c r="B19" s="89">
        <v>12</v>
      </c>
      <c r="C19" s="103" t="str">
        <f>IF(OR(Main!B19&gt;Helper_calcs!B40,Main!B19&lt;Helper_calcs!B39,B19&lt;=B20),"OUT OF RANGE","")</f>
        <v/>
      </c>
    </row>
    <row r="20" spans="1:4" x14ac:dyDescent="0.3">
      <c r="A20" s="66" t="s">
        <v>1</v>
      </c>
      <c r="B20" s="90">
        <v>5</v>
      </c>
      <c r="C20" s="103" t="str">
        <f>IF(OR(B20&gt;=B19,B20&gt;24,B20&lt;1),"OUT OF RANGE","")</f>
        <v/>
      </c>
      <c r="D20" s="98" t="s">
        <v>168</v>
      </c>
    </row>
    <row r="21" spans="1:4" x14ac:dyDescent="0.3">
      <c r="A21" s="66" t="s">
        <v>2</v>
      </c>
      <c r="B21" s="90">
        <v>3</v>
      </c>
      <c r="C21" s="125" t="str">
        <f>IF(OR(AND(B21&gt;Helper_calcs!B22,Current_limit!B18=0),B21&lt;0),"OUT OF RANGE",IF(Current_limit!B18&lt;&gt;0,"CURRENT LIMIT",""))</f>
        <v/>
      </c>
      <c r="D21" s="98"/>
    </row>
    <row r="22" spans="1:4" x14ac:dyDescent="0.3">
      <c r="A22" s="66" t="s">
        <v>3</v>
      </c>
      <c r="B22" s="90">
        <v>2100</v>
      </c>
      <c r="C22" s="125" t="str">
        <f>IF(AND(Main!B22=1000,OR(Main!B16="lmr33620",Main!B16="lmr33630")),"OUT OF RANGE",IF(AND(Main!B16="lmr33640",OR(Main!B22=1400,Main!B22=2100)),"OUT OF RANGE",""))</f>
        <v/>
      </c>
      <c r="D22" s="98"/>
    </row>
    <row r="23" spans="1:4" x14ac:dyDescent="0.3">
      <c r="A23" s="66"/>
      <c r="B23" s="48"/>
      <c r="C23" s="103"/>
    </row>
    <row r="24" spans="1:4" ht="16.2" thickBot="1" x14ac:dyDescent="0.35">
      <c r="A24" s="67" t="s">
        <v>161</v>
      </c>
      <c r="B24" s="91">
        <v>0.3</v>
      </c>
      <c r="C24" s="103"/>
    </row>
    <row r="25" spans="1:4" x14ac:dyDescent="0.25">
      <c r="A25" s="47"/>
      <c r="B25" s="47"/>
      <c r="C25" s="47"/>
    </row>
    <row r="26" spans="1:4" x14ac:dyDescent="0.25">
      <c r="A26" s="47"/>
      <c r="B26" s="47"/>
      <c r="C26" s="45"/>
    </row>
    <row r="27" spans="1:4" x14ac:dyDescent="0.3">
      <c r="A27" s="45"/>
      <c r="B27" s="45"/>
      <c r="C27" s="45"/>
    </row>
    <row r="28" spans="1:4" ht="33" customHeight="1" thickBot="1" x14ac:dyDescent="0.35">
      <c r="A28" s="44" t="s">
        <v>131</v>
      </c>
      <c r="B28" s="45"/>
      <c r="C28" s="45"/>
    </row>
    <row r="29" spans="1:4" ht="22.5" customHeight="1" x14ac:dyDescent="0.3">
      <c r="A29" s="64" t="s">
        <v>137</v>
      </c>
      <c r="B29" s="49">
        <f>Helper_calcs!B64*1000000</f>
        <v>1.5432098765432101</v>
      </c>
      <c r="C29" s="50"/>
    </row>
    <row r="30" spans="1:4" ht="27.75" customHeight="1" x14ac:dyDescent="0.3">
      <c r="A30" s="66" t="s">
        <v>108</v>
      </c>
      <c r="B30" s="51">
        <f>Helper_calcs!B62*1000000</f>
        <v>0.66137566137566139</v>
      </c>
      <c r="C30" s="48"/>
    </row>
    <row r="31" spans="1:4" ht="32.25" customHeight="1" thickBot="1" x14ac:dyDescent="0.35">
      <c r="A31" s="68" t="s">
        <v>9</v>
      </c>
      <c r="B31" s="92">
        <v>1.5</v>
      </c>
      <c r="C31" s="52" t="s">
        <v>11</v>
      </c>
      <c r="D31"/>
    </row>
    <row r="32" spans="1:4" ht="17.25" customHeight="1" x14ac:dyDescent="0.3">
      <c r="A32"/>
      <c r="B32"/>
      <c r="C32"/>
      <c r="D32"/>
    </row>
    <row r="33" spans="1:4" ht="16.5" customHeight="1" x14ac:dyDescent="0.3">
      <c r="A33"/>
      <c r="B33"/>
      <c r="C33"/>
      <c r="D33"/>
    </row>
    <row r="34" spans="1:4" x14ac:dyDescent="0.3">
      <c r="A34" s="45"/>
      <c r="B34" s="53"/>
      <c r="C34" s="45"/>
    </row>
    <row r="35" spans="1:4" ht="32.25" customHeight="1" thickBot="1" x14ac:dyDescent="0.35">
      <c r="A35" s="44" t="s">
        <v>132</v>
      </c>
      <c r="B35" s="53"/>
      <c r="C35" s="45"/>
    </row>
    <row r="36" spans="1:4" ht="26.25" customHeight="1" x14ac:dyDescent="0.3">
      <c r="A36" s="64" t="s">
        <v>109</v>
      </c>
      <c r="B36" s="54">
        <f>cout_calc2!B28</f>
        <v>36</v>
      </c>
      <c r="C36" s="50"/>
    </row>
    <row r="37" spans="1:4" ht="24" customHeight="1" x14ac:dyDescent="0.25">
      <c r="A37" s="66" t="s">
        <v>110</v>
      </c>
      <c r="B37" s="86">
        <f>cout_min_calc2!B30</f>
        <v>26</v>
      </c>
      <c r="C37" s="48"/>
    </row>
    <row r="38" spans="1:4" ht="38.25" customHeight="1" x14ac:dyDescent="0.3">
      <c r="A38" s="87" t="s">
        <v>111</v>
      </c>
      <c r="B38" s="93">
        <v>33</v>
      </c>
      <c r="C38" s="87" t="s">
        <v>107</v>
      </c>
    </row>
    <row r="39" spans="1:4" ht="17.25" customHeight="1" x14ac:dyDescent="0.3">
      <c r="A39" s="65"/>
      <c r="B39" s="47"/>
      <c r="C39" s="46"/>
    </row>
    <row r="40" spans="1:4" ht="32.25" customHeight="1" x14ac:dyDescent="0.3">
      <c r="A40" s="66" t="s">
        <v>115</v>
      </c>
      <c r="B40" s="94">
        <v>0</v>
      </c>
      <c r="C40" s="48"/>
    </row>
    <row r="41" spans="1:4" ht="31.5" customHeight="1" thickBot="1" x14ac:dyDescent="0.35">
      <c r="A41" s="67" t="s">
        <v>156</v>
      </c>
      <c r="B41" s="92">
        <v>12</v>
      </c>
      <c r="C41" s="55"/>
    </row>
    <row r="42" spans="1:4" ht="17.25" customHeight="1" x14ac:dyDescent="0.3">
      <c r="A42" s="73"/>
      <c r="B42"/>
      <c r="C42" s="45"/>
    </row>
    <row r="43" spans="1:4" ht="17.25" customHeight="1" x14ac:dyDescent="0.25">
      <c r="A43" s="45"/>
      <c r="B43" s="47"/>
      <c r="C43" s="45"/>
    </row>
    <row r="44" spans="1:4" ht="31.5" customHeight="1" thickBot="1" x14ac:dyDescent="0.3">
      <c r="A44" s="44" t="s">
        <v>134</v>
      </c>
      <c r="B44" s="47"/>
      <c r="C44" s="47"/>
    </row>
    <row r="45" spans="1:4" ht="31.5" customHeight="1" x14ac:dyDescent="0.3">
      <c r="A45" s="64" t="s">
        <v>4</v>
      </c>
      <c r="B45" s="58" t="str">
        <f>IF(B20=1,"SHORT","Enter Value at Right")</f>
        <v>Enter Value at Right</v>
      </c>
      <c r="C45" s="115">
        <v>100</v>
      </c>
    </row>
    <row r="46" spans="1:4" ht="31.5" customHeight="1" thickBot="1" x14ac:dyDescent="0.35">
      <c r="A46" s="67" t="s">
        <v>5</v>
      </c>
      <c r="B46" s="59">
        <f>IF(B20=1,"OPEN",C45/(B20-1))</f>
        <v>25</v>
      </c>
      <c r="C46" s="55"/>
    </row>
    <row r="47" spans="1:4" ht="13.5" customHeight="1" x14ac:dyDescent="0.25">
      <c r="A47" s="45"/>
      <c r="B47" s="47"/>
      <c r="C47" s="45"/>
    </row>
    <row r="48" spans="1:4" ht="16.5" customHeight="1" x14ac:dyDescent="0.25">
      <c r="A48" s="45"/>
      <c r="B48" s="47"/>
      <c r="C48" s="45"/>
    </row>
    <row r="49" spans="1:3" ht="29.25" customHeight="1" thickBot="1" x14ac:dyDescent="0.3">
      <c r="A49" s="44" t="s">
        <v>133</v>
      </c>
      <c r="B49" s="47"/>
      <c r="C49" s="47"/>
    </row>
    <row r="50" spans="1:3" ht="28.5" customHeight="1" x14ac:dyDescent="0.25">
      <c r="A50" s="64" t="s">
        <v>114</v>
      </c>
      <c r="B50" s="56">
        <f>IF(B20=1,"N/A",loop_gain!B26*1000000000000)</f>
        <v>35.184672748302987</v>
      </c>
      <c r="C50" s="57"/>
    </row>
    <row r="51" spans="1:3" ht="44.25" customHeight="1" thickBot="1" x14ac:dyDescent="0.3">
      <c r="A51" s="68" t="s">
        <v>118</v>
      </c>
      <c r="B51" s="95">
        <v>0</v>
      </c>
      <c r="C51" s="52" t="s">
        <v>107</v>
      </c>
    </row>
    <row r="52" spans="1:3" ht="18" customHeight="1" x14ac:dyDescent="0.25">
      <c r="A52" s="47"/>
      <c r="B52" s="47"/>
      <c r="C52" s="47"/>
    </row>
    <row r="53" spans="1:3" ht="18" customHeight="1" x14ac:dyDescent="0.3"/>
    <row r="54" spans="1:3" ht="15" customHeight="1" x14ac:dyDescent="0.3">
      <c r="A54" s="73"/>
      <c r="B54"/>
      <c r="C54" s="45"/>
    </row>
    <row r="55" spans="1:3" ht="29.25" customHeight="1" thickBot="1" x14ac:dyDescent="0.35">
      <c r="A55" s="44" t="s">
        <v>151</v>
      </c>
      <c r="B55"/>
      <c r="C55" s="45"/>
    </row>
    <row r="56" spans="1:3" ht="34.5" customHeight="1" x14ac:dyDescent="0.25">
      <c r="A56" s="74" t="s">
        <v>152</v>
      </c>
      <c r="B56" s="96">
        <v>70</v>
      </c>
      <c r="C56" s="45"/>
    </row>
    <row r="57" spans="1:3" ht="54" customHeight="1" x14ac:dyDescent="0.25">
      <c r="A57" s="75" t="s">
        <v>153</v>
      </c>
      <c r="B57" s="77">
        <f>Helper_calcs!C55</f>
        <v>24.576807760141094</v>
      </c>
      <c r="C57" s="88" t="s">
        <v>162</v>
      </c>
    </row>
    <row r="58" spans="1:3" ht="48.75" customHeight="1" x14ac:dyDescent="0.25">
      <c r="A58" s="75" t="s">
        <v>154</v>
      </c>
      <c r="B58" s="77">
        <f>Helper_calcs!C56</f>
        <v>6.8937614120511261</v>
      </c>
      <c r="C58" s="88" t="s">
        <v>163</v>
      </c>
    </row>
    <row r="59" spans="1:3" ht="48" customHeight="1" thickBot="1" x14ac:dyDescent="0.3">
      <c r="A59" s="76" t="s">
        <v>155</v>
      </c>
      <c r="B59" s="78">
        <f>Helper_calcs!C57</f>
        <v>5.7423222222222225</v>
      </c>
      <c r="C59" s="88" t="s">
        <v>164</v>
      </c>
    </row>
    <row r="60" spans="1:3" ht="15.75" customHeight="1" x14ac:dyDescent="0.3">
      <c r="A60" s="45"/>
      <c r="C60" s="45"/>
    </row>
    <row r="61" spans="1:3" ht="15.75" customHeight="1" x14ac:dyDescent="0.25">
      <c r="A61" s="45"/>
      <c r="B61" s="47"/>
      <c r="C61" s="45"/>
    </row>
    <row r="62" spans="1:3" ht="18" customHeight="1" x14ac:dyDescent="0.25">
      <c r="A62" s="45"/>
      <c r="B62" s="47"/>
      <c r="C62" s="45"/>
    </row>
    <row r="63" spans="1:3" ht="34.5" customHeight="1" x14ac:dyDescent="0.25">
      <c r="A63" s="44" t="s">
        <v>135</v>
      </c>
      <c r="B63" s="47"/>
      <c r="C63" s="47"/>
    </row>
    <row r="64" spans="1:3" ht="16.2" thickBot="1" x14ac:dyDescent="0.35">
      <c r="A64"/>
      <c r="B64"/>
      <c r="C64" s="45"/>
    </row>
    <row r="65" spans="1:3" ht="23.25" customHeight="1" x14ac:dyDescent="0.3">
      <c r="A65" s="64" t="s">
        <v>6</v>
      </c>
      <c r="B65" s="99">
        <v>1</v>
      </c>
      <c r="C65" s="45"/>
    </row>
    <row r="66" spans="1:3" ht="23.25" customHeight="1" x14ac:dyDescent="0.3">
      <c r="A66" s="66" t="s">
        <v>7</v>
      </c>
      <c r="B66" s="60">
        <v>0.1</v>
      </c>
      <c r="C66" s="45"/>
    </row>
    <row r="67" spans="1:3" ht="22.5" customHeight="1" x14ac:dyDescent="0.3">
      <c r="A67" s="66" t="s">
        <v>8</v>
      </c>
      <c r="B67" s="60">
        <v>0.22</v>
      </c>
      <c r="C67" s="45"/>
    </row>
    <row r="68" spans="1:3" ht="26.25" customHeight="1" thickBot="1" x14ac:dyDescent="0.35">
      <c r="A68" s="67" t="s">
        <v>10</v>
      </c>
      <c r="B68" s="61">
        <v>10</v>
      </c>
      <c r="C68" s="45"/>
    </row>
    <row r="69" spans="1:3" x14ac:dyDescent="0.3">
      <c r="A69" s="45"/>
      <c r="B69" s="45"/>
      <c r="C69" s="45"/>
    </row>
    <row r="70" spans="1:3" ht="21.75" customHeight="1" x14ac:dyDescent="0.3">
      <c r="A70" s="45"/>
      <c r="B70" s="45"/>
      <c r="C70" s="45"/>
    </row>
    <row r="71" spans="1:3" ht="24" customHeight="1" x14ac:dyDescent="0.3">
      <c r="A71" s="45"/>
      <c r="B71" s="45"/>
      <c r="C71" s="45"/>
    </row>
    <row r="72" spans="1:3" ht="29.25" customHeight="1" thickBot="1" x14ac:dyDescent="0.35">
      <c r="A72" s="44" t="s">
        <v>225</v>
      </c>
      <c r="B72" s="45"/>
      <c r="C72" s="45"/>
    </row>
    <row r="73" spans="1:3" ht="24.75" customHeight="1" x14ac:dyDescent="0.3">
      <c r="A73" s="64" t="s">
        <v>12</v>
      </c>
      <c r="B73" s="49">
        <f>Helper_calcs!B31</f>
        <v>3.4629629629629628</v>
      </c>
      <c r="C73"/>
    </row>
    <row r="74" spans="1:3" ht="27.75" customHeight="1" x14ac:dyDescent="0.3">
      <c r="A74" s="66" t="s">
        <v>13</v>
      </c>
      <c r="B74" s="62">
        <f>Helper_calcs!B32</f>
        <v>2.5370370370370372</v>
      </c>
      <c r="C74"/>
    </row>
    <row r="75" spans="1:3" ht="24.75" customHeight="1" thickBot="1" x14ac:dyDescent="0.35">
      <c r="A75" s="67" t="s">
        <v>14</v>
      </c>
      <c r="B75" s="63">
        <f>Helper_calcs!B30</f>
        <v>0.92592592592592604</v>
      </c>
      <c r="C75"/>
    </row>
    <row r="76" spans="1:3" ht="24.75" customHeight="1" x14ac:dyDescent="0.3">
      <c r="A76" s="73"/>
      <c r="B76"/>
      <c r="C76"/>
    </row>
    <row r="77" spans="1:3" ht="24.75" customHeight="1" thickBot="1" x14ac:dyDescent="0.35">
      <c r="A77" s="44" t="s">
        <v>136</v>
      </c>
      <c r="B77" s="45"/>
      <c r="C77" s="45"/>
    </row>
    <row r="78" spans="1:3" ht="38.25" customHeight="1" x14ac:dyDescent="0.3">
      <c r="A78" s="64" t="s">
        <v>226</v>
      </c>
      <c r="B78" s="136">
        <f>IF(Current_limit!B16="N",Current_limit!B13,"N/A")</f>
        <v>3.3629629629629627</v>
      </c>
      <c r="C78" s="88" t="s">
        <v>227</v>
      </c>
    </row>
    <row r="79" spans="1:3" ht="39.75" customHeight="1" x14ac:dyDescent="0.3">
      <c r="A79" s="66" t="s">
        <v>228</v>
      </c>
      <c r="B79" s="137">
        <f>IF(Current_limit!B16="N",Current_limit!B14,Current_limit!B15)</f>
        <v>3.375</v>
      </c>
      <c r="C79" s="88" t="s">
        <v>229</v>
      </c>
    </row>
    <row r="80" spans="1:3" ht="51.75" customHeight="1" thickBot="1" x14ac:dyDescent="0.35">
      <c r="A80" s="67" t="s">
        <v>230</v>
      </c>
      <c r="B80" s="138">
        <f>IF(Current_limit!B16="N",Current_limit!B14,"N/A")</f>
        <v>3.375</v>
      </c>
      <c r="C80" s="88" t="s">
        <v>231</v>
      </c>
    </row>
    <row r="81" spans="1:3" ht="24.75" customHeight="1" x14ac:dyDescent="0.3">
      <c r="A81" s="73"/>
      <c r="B81"/>
      <c r="C81" s="45"/>
    </row>
    <row r="82" spans="1:3" ht="28.5" customHeight="1" thickBot="1" x14ac:dyDescent="0.35">
      <c r="A82" s="44" t="s">
        <v>157</v>
      </c>
      <c r="B82" s="45"/>
      <c r="C82" s="45"/>
    </row>
    <row r="83" spans="1:3" ht="35.25" customHeight="1" x14ac:dyDescent="0.3">
      <c r="A83" s="64" t="s">
        <v>116</v>
      </c>
      <c r="B83" s="79">
        <f>loop_gain!B87/1000</f>
        <v>45.257112359383555</v>
      </c>
      <c r="C83" s="45"/>
    </row>
    <row r="84" spans="1:3" ht="33" customHeight="1" thickBot="1" x14ac:dyDescent="0.35">
      <c r="A84" s="67" t="s">
        <v>117</v>
      </c>
      <c r="B84" s="80">
        <f>loop_gain!B89</f>
        <v>73.400690782954925</v>
      </c>
      <c r="C84" s="45"/>
    </row>
    <row r="85" spans="1:3" ht="30" customHeight="1" x14ac:dyDescent="0.3"/>
    <row r="86" spans="1:3" ht="27" customHeight="1" x14ac:dyDescent="0.3"/>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17" spans="1:2" x14ac:dyDescent="0.3">
      <c r="A117"/>
      <c r="B117"/>
    </row>
    <row r="118" spans="1:2" x14ac:dyDescent="0.3">
      <c r="A118"/>
      <c r="B118"/>
    </row>
    <row r="119" spans="1:2" x14ac:dyDescent="0.3">
      <c r="A119"/>
      <c r="B119"/>
    </row>
    <row r="124" spans="1:2" x14ac:dyDescent="0.3">
      <c r="B124" s="3"/>
    </row>
    <row r="127" spans="1:2" x14ac:dyDescent="0.3">
      <c r="B127" s="2"/>
    </row>
    <row r="128" spans="1:2" x14ac:dyDescent="0.3">
      <c r="B128" s="4"/>
    </row>
    <row r="129" spans="2:2" x14ac:dyDescent="0.3">
      <c r="B129" s="4"/>
    </row>
    <row r="130" spans="2:2" x14ac:dyDescent="0.3">
      <c r="B130" s="2"/>
    </row>
  </sheetData>
  <sheetProtection password="DCA3" sheet="1" objects="1" scenarios="1" selectLockedCells="1"/>
  <conditionalFormatting sqref="B51:C51">
    <cfRule type="expression" dxfId="5" priority="24">
      <formula>$D$20&lt;&gt;"adj"</formula>
    </cfRule>
  </conditionalFormatting>
  <conditionalFormatting sqref="C19">
    <cfRule type="expression" dxfId="4" priority="4">
      <formula>$C$19="out of range"</formula>
    </cfRule>
  </conditionalFormatting>
  <conditionalFormatting sqref="C20">
    <cfRule type="expression" dxfId="3" priority="3">
      <formula>$C$20="out of range"</formula>
    </cfRule>
  </conditionalFormatting>
  <conditionalFormatting sqref="C22">
    <cfRule type="expression" dxfId="2" priority="2">
      <formula>$C$22="out of range"</formula>
    </cfRule>
  </conditionalFormatting>
  <conditionalFormatting sqref="C45">
    <cfRule type="expression" dxfId="1" priority="1">
      <formula>$B$20=1</formula>
    </cfRule>
    <cfRule type="expression" dxfId="0" priority="23">
      <formula>$D$20="adj"</formula>
    </cfRule>
  </conditionalFormatting>
  <dataValidations count="1">
    <dataValidation allowBlank="1" showErrorMessage="1" promptTitle="Maximum Input Voltage" prompt="This is the maximum input voltage before the switching frequency will drop because of the minimum on-time limitation." sqref="A57" xr:uid="{00000000-0002-0000-0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Helper_calcs!$A$6:$A$8</xm:f>
          </x14:formula1>
          <xm:sqref>B16</xm:sqref>
        </x14:dataValidation>
        <x14:dataValidation type="list" allowBlank="1" showInputMessage="1" showErrorMessage="1" xr:uid="{00000000-0002-0000-0100-000002000000}">
          <x14:formula1>
            <xm:f>Helper_calcs!$A$11:$A$14</xm:f>
          </x14:formula1>
          <xm:sqref>B22</xm:sqref>
        </x14:dataValidation>
        <x14:dataValidation type="list" allowBlank="1" showInputMessage="1" showErrorMessage="1" xr:uid="{00000000-0002-0000-0100-000003000000}">
          <x14:formula1>
            <xm:f>Helper_calcs!$A$16:$A$17</xm:f>
          </x14:formula1>
          <xm:sqref>B17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AM242"/>
  <sheetViews>
    <sheetView topLeftCell="A4" zoomScale="115" zoomScaleNormal="115" workbookViewId="0">
      <selection activeCell="B14" sqref="B14"/>
    </sheetView>
  </sheetViews>
  <sheetFormatPr baseColWidth="10" defaultColWidth="9" defaultRowHeight="14.4" x14ac:dyDescent="0.3"/>
  <cols>
    <col min="1" max="1" width="18" style="8" customWidth="1"/>
    <col min="2" max="2" width="15.59765625" style="8" customWidth="1"/>
    <col min="3" max="3" width="16.8984375" style="8" customWidth="1"/>
    <col min="4" max="4" width="16.5" style="8" customWidth="1"/>
    <col min="5" max="5" width="11.69921875" style="8" customWidth="1"/>
    <col min="6" max="7" width="13" style="8" customWidth="1"/>
    <col min="8" max="8" width="14" style="8" customWidth="1"/>
    <col min="9" max="17" width="13.69921875" style="8" customWidth="1"/>
    <col min="18" max="18" width="14.19921875" style="8" customWidth="1"/>
    <col min="19" max="19" width="12.5" style="8" customWidth="1"/>
    <col min="20" max="20" width="15" style="8" customWidth="1"/>
    <col min="21" max="21" width="13.69921875" style="8" customWidth="1"/>
    <col min="22" max="26" width="11.3984375" style="8" customWidth="1"/>
    <col min="27" max="27" width="13.5" style="8" customWidth="1"/>
    <col min="28" max="28" width="14.19921875" style="8" customWidth="1"/>
    <col min="29" max="29" width="11.8984375" style="8" customWidth="1"/>
    <col min="30" max="30" width="12.59765625" style="8" customWidth="1"/>
    <col min="31" max="31" width="12" style="8" customWidth="1"/>
    <col min="32" max="32" width="13" style="8" customWidth="1"/>
    <col min="33" max="33" width="14.8984375" style="8" customWidth="1"/>
    <col min="34" max="34" width="9" style="8"/>
    <col min="35" max="35" width="11.09765625" style="8" customWidth="1"/>
    <col min="36" max="36" width="12.3984375" style="8" customWidth="1"/>
    <col min="37" max="37" width="9" style="8"/>
    <col min="38" max="38" width="11.3984375" style="8" customWidth="1"/>
    <col min="39" max="39" width="10.8984375" style="8" customWidth="1"/>
    <col min="40" max="16384" width="9" style="8"/>
  </cols>
  <sheetData>
    <row r="6" spans="1:3" x14ac:dyDescent="0.3">
      <c r="A6" s="36">
        <v>43934</v>
      </c>
    </row>
    <row r="8" spans="1:3" x14ac:dyDescent="0.3">
      <c r="A8" s="35" t="s">
        <v>129</v>
      </c>
    </row>
    <row r="9" spans="1:3" x14ac:dyDescent="0.3">
      <c r="A9" s="26"/>
    </row>
    <row r="10" spans="1:3" x14ac:dyDescent="0.3">
      <c r="A10" s="26"/>
    </row>
    <row r="11" spans="1:3" x14ac:dyDescent="0.3">
      <c r="A11" s="26"/>
    </row>
    <row r="12" spans="1:3" x14ac:dyDescent="0.3">
      <c r="A12" s="35" t="s">
        <v>123</v>
      </c>
    </row>
    <row r="13" spans="1:3" x14ac:dyDescent="0.3">
      <c r="A13" s="35" t="s">
        <v>124</v>
      </c>
      <c r="B13" s="16">
        <v>1</v>
      </c>
      <c r="C13" s="10" t="s">
        <v>125</v>
      </c>
    </row>
    <row r="16" spans="1:3" x14ac:dyDescent="0.3">
      <c r="A16" s="27" t="s">
        <v>80</v>
      </c>
    </row>
    <row r="17" spans="1:3" x14ac:dyDescent="0.3">
      <c r="A17" s="27" t="s">
        <v>17</v>
      </c>
      <c r="B17" s="8">
        <f>Main!B31*0.000001</f>
        <v>1.5E-6</v>
      </c>
    </row>
    <row r="18" spans="1:3" x14ac:dyDescent="0.3">
      <c r="A18" s="27" t="s">
        <v>81</v>
      </c>
      <c r="B18" s="111">
        <f>Main!B22*1000</f>
        <v>2100000</v>
      </c>
    </row>
    <row r="19" spans="1:3" x14ac:dyDescent="0.3">
      <c r="A19" s="27" t="s">
        <v>82</v>
      </c>
      <c r="B19" s="8">
        <f>Main!B38*0.000001</f>
        <v>3.2999999999999996E-5</v>
      </c>
    </row>
    <row r="20" spans="1:3" x14ac:dyDescent="0.3">
      <c r="A20" s="27" t="s">
        <v>27</v>
      </c>
      <c r="B20" s="8">
        <f>Main!B40*0.000001</f>
        <v>0</v>
      </c>
    </row>
    <row r="21" spans="1:3" x14ac:dyDescent="0.3">
      <c r="A21" s="27" t="s">
        <v>28</v>
      </c>
      <c r="B21" s="8">
        <f>Main!B41/1000</f>
        <v>1.2E-2</v>
      </c>
    </row>
    <row r="22" spans="1:3" x14ac:dyDescent="0.3">
      <c r="A22" s="27" t="s">
        <v>93</v>
      </c>
      <c r="B22" s="8">
        <f>B19+B20</f>
        <v>3.2999999999999996E-5</v>
      </c>
    </row>
    <row r="23" spans="1:3" x14ac:dyDescent="0.3">
      <c r="A23" s="33" t="s">
        <v>113</v>
      </c>
      <c r="B23" s="8">
        <f>Main!B51/1000000000000</f>
        <v>0</v>
      </c>
    </row>
    <row r="24" spans="1:3" x14ac:dyDescent="0.3">
      <c r="A24" s="27" t="s">
        <v>83</v>
      </c>
      <c r="B24" s="112">
        <f>Main!C45*1000</f>
        <v>100000</v>
      </c>
    </row>
    <row r="25" spans="1:3" x14ac:dyDescent="0.3">
      <c r="A25" s="27"/>
      <c r="B25" s="112"/>
    </row>
    <row r="26" spans="1:3" x14ac:dyDescent="0.3">
      <c r="A26" s="33" t="s">
        <v>112</v>
      </c>
      <c r="B26" s="8">
        <f>1/(6.28*B87*B24)</f>
        <v>3.5184672748302987E-11</v>
      </c>
    </row>
    <row r="27" spans="1:3" x14ac:dyDescent="0.3">
      <c r="A27" s="27"/>
    </row>
    <row r="29" spans="1:3" x14ac:dyDescent="0.3">
      <c r="A29" s="108" t="s">
        <v>182</v>
      </c>
    </row>
    <row r="30" spans="1:3" x14ac:dyDescent="0.3">
      <c r="A30" s="8" t="s">
        <v>29</v>
      </c>
      <c r="B30" s="8">
        <f>Helper_calcs!B35</f>
        <v>4.05</v>
      </c>
      <c r="C30" s="27" t="s">
        <v>85</v>
      </c>
    </row>
    <row r="31" spans="1:3" x14ac:dyDescent="0.3">
      <c r="A31" s="8" t="s">
        <v>30</v>
      </c>
      <c r="B31" s="112">
        <f>Helper_calcs!B36</f>
        <v>3780000</v>
      </c>
      <c r="C31" s="27" t="s">
        <v>86</v>
      </c>
    </row>
    <row r="32" spans="1:3" x14ac:dyDescent="0.3">
      <c r="A32" s="8" t="s">
        <v>31</v>
      </c>
      <c r="B32" s="112">
        <f>Eamp!B20</f>
        <v>100</v>
      </c>
      <c r="C32" s="27" t="s">
        <v>87</v>
      </c>
    </row>
    <row r="33" spans="1:3" x14ac:dyDescent="0.3">
      <c r="A33" s="8" t="s">
        <v>32</v>
      </c>
      <c r="B33" s="9">
        <f>Eamp!B26</f>
        <v>2.3793000000000002E-4</v>
      </c>
      <c r="C33" s="10" t="s">
        <v>88</v>
      </c>
    </row>
    <row r="34" spans="1:3" x14ac:dyDescent="0.3">
      <c r="A34" s="8" t="s">
        <v>33</v>
      </c>
      <c r="B34" s="9">
        <f>Eamp!B23</f>
        <v>2.7929999999999999E-5</v>
      </c>
      <c r="C34" s="10" t="s">
        <v>89</v>
      </c>
    </row>
    <row r="35" spans="1:3" x14ac:dyDescent="0.3">
      <c r="B35" s="9"/>
      <c r="C35" s="10"/>
    </row>
    <row r="36" spans="1:3" x14ac:dyDescent="0.3">
      <c r="A36" s="32"/>
      <c r="C36" s="10"/>
    </row>
    <row r="37" spans="1:3" x14ac:dyDescent="0.3">
      <c r="A37" s="8" t="s">
        <v>35</v>
      </c>
      <c r="B37" s="8">
        <f>IF(Main!B20=1,FB_div!C64,FB_div!B64)</f>
        <v>0</v>
      </c>
      <c r="C37" s="10" t="s">
        <v>92</v>
      </c>
    </row>
    <row r="38" spans="1:3" x14ac:dyDescent="0.3">
      <c r="A38" s="8" t="s">
        <v>36</v>
      </c>
      <c r="B38" s="8">
        <f>IF(Main!B20=1,FB_div!C65,FB_div!B65)</f>
        <v>9.2778000000000016E-14</v>
      </c>
      <c r="C38" s="10" t="s">
        <v>92</v>
      </c>
    </row>
    <row r="39" spans="1:3" x14ac:dyDescent="0.3">
      <c r="A39" s="27" t="s">
        <v>90</v>
      </c>
      <c r="B39" s="8">
        <f>IF(Main!B20=1,FB_div!C66,FB_div!B66)</f>
        <v>8.272E-7</v>
      </c>
      <c r="C39" s="10" t="s">
        <v>92</v>
      </c>
    </row>
    <row r="40" spans="1:3" x14ac:dyDescent="0.3">
      <c r="A40" s="8" t="s">
        <v>37</v>
      </c>
      <c r="B40" s="9">
        <f>IF(Main!B20=1,FB_div!C73,FB_div!B73)</f>
        <v>7.24E-8</v>
      </c>
      <c r="C40" s="10" t="s">
        <v>91</v>
      </c>
    </row>
    <row r="41" spans="1:3" x14ac:dyDescent="0.3">
      <c r="A41" s="32" t="s">
        <v>97</v>
      </c>
      <c r="B41" s="11">
        <f>IF(Main!B20=1,FB_div!C67,FB_div!B67)</f>
        <v>0</v>
      </c>
      <c r="C41" s="10" t="s">
        <v>39</v>
      </c>
    </row>
    <row r="42" spans="1:3" x14ac:dyDescent="0.3">
      <c r="A42" s="108" t="s">
        <v>180</v>
      </c>
      <c r="B42" s="11">
        <f>IF(Main!B20=1,FB_div!C68,FB_div!B68)</f>
        <v>2.35E-7</v>
      </c>
    </row>
    <row r="45" spans="1:3" x14ac:dyDescent="0.3">
      <c r="A45" s="8" t="s">
        <v>40</v>
      </c>
    </row>
    <row r="47" spans="1:3" x14ac:dyDescent="0.3">
      <c r="A47" s="8" t="s">
        <v>41</v>
      </c>
      <c r="B47" s="8">
        <f>1/Main!B20</f>
        <v>0.2</v>
      </c>
    </row>
    <row r="48" spans="1:3" x14ac:dyDescent="0.3">
      <c r="A48" s="8" t="s">
        <v>42</v>
      </c>
      <c r="B48" s="8">
        <f>Main!B20/Main!B19</f>
        <v>0.41666666666666669</v>
      </c>
    </row>
    <row r="49" spans="1:4" x14ac:dyDescent="0.3">
      <c r="A49" s="8" t="s">
        <v>43</v>
      </c>
      <c r="B49" s="8">
        <f>1-B48</f>
        <v>0.58333333333333326</v>
      </c>
    </row>
    <row r="50" spans="1:4" x14ac:dyDescent="0.3">
      <c r="A50" s="8" t="s">
        <v>44</v>
      </c>
      <c r="B50" s="110">
        <f>Main!B20/loop_gain!B17</f>
        <v>3333333.333333333</v>
      </c>
    </row>
    <row r="51" spans="1:4" x14ac:dyDescent="0.3">
      <c r="A51" s="8" t="s">
        <v>45</v>
      </c>
      <c r="B51" s="113">
        <f>(B18*B17)/(0.5-B48+B48*(B31/B50))</f>
        <v>5.6671664167916029</v>
      </c>
    </row>
    <row r="52" spans="1:4" x14ac:dyDescent="0.3">
      <c r="A52" s="8" t="s">
        <v>46</v>
      </c>
      <c r="B52" s="113">
        <f>Main!B20/(Main!B21+0.000003)</f>
        <v>1.6666650000016667</v>
      </c>
    </row>
    <row r="53" spans="1:4" x14ac:dyDescent="0.3">
      <c r="A53" s="8" t="s">
        <v>47</v>
      </c>
      <c r="B53" s="113">
        <f>(B51*B52)/(B51+B52)</f>
        <v>1.2879036044410987</v>
      </c>
    </row>
    <row r="54" spans="1:4" x14ac:dyDescent="0.3">
      <c r="A54" s="8" t="s">
        <v>48</v>
      </c>
      <c r="B54" s="112">
        <f>B32*B47*B53*B30</f>
        <v>104.320191959729</v>
      </c>
      <c r="C54" s="12">
        <f>20*LOG10(B54)</f>
        <v>40.367367550689096</v>
      </c>
    </row>
    <row r="55" spans="1:4" x14ac:dyDescent="0.3">
      <c r="A55" s="8" t="s">
        <v>49</v>
      </c>
      <c r="B55" s="41">
        <f>IF(C55="vatche'",4/(B17*(6.28*B18)^2),D55)</f>
        <v>1.5332425224452138E-8</v>
      </c>
      <c r="C55" s="16" t="s">
        <v>128</v>
      </c>
      <c r="D55" s="42">
        <v>0</v>
      </c>
    </row>
    <row r="56" spans="1:4" x14ac:dyDescent="0.3">
      <c r="A56" s="8" t="s">
        <v>50</v>
      </c>
      <c r="B56" s="8">
        <f>B17*B22*B55*B53</f>
        <v>9.7746094271407871E-19</v>
      </c>
    </row>
    <row r="57" spans="1:4" x14ac:dyDescent="0.3">
      <c r="A57" s="8" t="s">
        <v>51</v>
      </c>
      <c r="B57" s="8">
        <f>(B17/(B51+B52))*(B51*B55+B52*B22)</f>
        <v>1.1266996732274586E-11</v>
      </c>
    </row>
    <row r="58" spans="1:4" x14ac:dyDescent="0.3">
      <c r="A58" s="8" t="s">
        <v>52</v>
      </c>
      <c r="B58" s="8">
        <f>B53*B22+B53*B55+(B17/(B51+B52))</f>
        <v>4.272509719493287E-5</v>
      </c>
    </row>
    <row r="59" spans="1:4" x14ac:dyDescent="0.3">
      <c r="C59" s="10"/>
    </row>
    <row r="60" spans="1:4" x14ac:dyDescent="0.3">
      <c r="C60" s="10"/>
    </row>
    <row r="61" spans="1:4" x14ac:dyDescent="0.3">
      <c r="A61" s="27" t="s">
        <v>94</v>
      </c>
      <c r="C61" s="10"/>
    </row>
    <row r="62" spans="1:4" x14ac:dyDescent="0.3">
      <c r="A62" s="32" t="s">
        <v>105</v>
      </c>
      <c r="B62" s="8">
        <f>B20*B21</f>
        <v>0</v>
      </c>
      <c r="C62" s="10" t="s">
        <v>95</v>
      </c>
    </row>
    <row r="63" spans="1:4" x14ac:dyDescent="0.3">
      <c r="A63" s="32" t="s">
        <v>106</v>
      </c>
      <c r="B63" s="8">
        <f>B21*(B19*B20)/(B19+B20)</f>
        <v>0</v>
      </c>
      <c r="C63" s="10" t="s">
        <v>96</v>
      </c>
    </row>
    <row r="64" spans="1:4" x14ac:dyDescent="0.3">
      <c r="A64" s="8" t="s">
        <v>53</v>
      </c>
    </row>
    <row r="72" spans="1:3" x14ac:dyDescent="0.3">
      <c r="A72" s="13" t="s">
        <v>48</v>
      </c>
      <c r="B72" s="14">
        <f>B54</f>
        <v>104.320191959729</v>
      </c>
    </row>
    <row r="73" spans="1:3" x14ac:dyDescent="0.3">
      <c r="A73" s="15" t="s">
        <v>50</v>
      </c>
      <c r="B73" s="14">
        <f>B56</f>
        <v>9.7746094271407871E-19</v>
      </c>
    </row>
    <row r="74" spans="1:3" x14ac:dyDescent="0.3">
      <c r="A74" s="15" t="s">
        <v>51</v>
      </c>
      <c r="B74" s="14">
        <f>B57</f>
        <v>1.1266996732274586E-11</v>
      </c>
    </row>
    <row r="75" spans="1:3" x14ac:dyDescent="0.3">
      <c r="A75" s="13" t="s">
        <v>52</v>
      </c>
      <c r="B75" s="14">
        <f>B58</f>
        <v>4.272509719493287E-5</v>
      </c>
    </row>
    <row r="76" spans="1:3" x14ac:dyDescent="0.3">
      <c r="A76" s="13" t="s">
        <v>33</v>
      </c>
      <c r="B76" s="14">
        <f>B34</f>
        <v>2.7929999999999999E-5</v>
      </c>
    </row>
    <row r="77" spans="1:3" x14ac:dyDescent="0.3">
      <c r="A77" s="109" t="s">
        <v>180</v>
      </c>
      <c r="B77" s="14">
        <f>B42</f>
        <v>2.35E-7</v>
      </c>
      <c r="C77" s="10"/>
    </row>
    <row r="78" spans="1:3" x14ac:dyDescent="0.3">
      <c r="A78" s="34" t="s">
        <v>97</v>
      </c>
      <c r="B78" s="14">
        <f>B41</f>
        <v>0</v>
      </c>
      <c r="C78" s="10" t="s">
        <v>39</v>
      </c>
    </row>
    <row r="79" spans="1:3" x14ac:dyDescent="0.3">
      <c r="A79" s="13" t="s">
        <v>32</v>
      </c>
      <c r="B79" s="14">
        <f>B33</f>
        <v>2.3793000000000002E-4</v>
      </c>
    </row>
    <row r="80" spans="1:3" x14ac:dyDescent="0.3">
      <c r="A80" s="13" t="s">
        <v>34</v>
      </c>
      <c r="B80" s="14">
        <v>0</v>
      </c>
      <c r="C80" s="10" t="s">
        <v>179</v>
      </c>
    </row>
    <row r="81" spans="1:39" x14ac:dyDescent="0.3">
      <c r="A81" s="13" t="s">
        <v>35</v>
      </c>
      <c r="B81" s="14">
        <f>B37</f>
        <v>0</v>
      </c>
    </row>
    <row r="82" spans="1:39" x14ac:dyDescent="0.3">
      <c r="A82" s="13" t="s">
        <v>36</v>
      </c>
      <c r="B82" s="14">
        <f>B38</f>
        <v>9.2778000000000016E-14</v>
      </c>
    </row>
    <row r="83" spans="1:39" x14ac:dyDescent="0.3">
      <c r="A83" s="30" t="s">
        <v>90</v>
      </c>
      <c r="B83" s="14">
        <f>B39</f>
        <v>8.272E-7</v>
      </c>
    </row>
    <row r="84" spans="1:39" x14ac:dyDescent="0.3">
      <c r="A84" s="13" t="s">
        <v>37</v>
      </c>
      <c r="B84" s="14">
        <f>B40</f>
        <v>7.24E-8</v>
      </c>
      <c r="C84" s="10"/>
    </row>
    <row r="87" spans="1:39" x14ac:dyDescent="0.3">
      <c r="A87" s="16" t="s">
        <v>18</v>
      </c>
      <c r="B87" s="116">
        <f>B237</f>
        <v>45257.112359383558</v>
      </c>
      <c r="C87" s="18" t="s">
        <v>54</v>
      </c>
    </row>
    <row r="88" spans="1:39" x14ac:dyDescent="0.3">
      <c r="A88" s="16" t="s">
        <v>55</v>
      </c>
      <c r="B88" s="17">
        <f>B241</f>
        <v>-106.59930921704508</v>
      </c>
      <c r="C88" s="18" t="s">
        <v>56</v>
      </c>
    </row>
    <row r="89" spans="1:39" x14ac:dyDescent="0.3">
      <c r="A89" s="16" t="s">
        <v>19</v>
      </c>
      <c r="B89" s="17">
        <f>B242</f>
        <v>73.400690782954925</v>
      </c>
      <c r="C89" s="18" t="s">
        <v>57</v>
      </c>
    </row>
    <row r="93" spans="1:39" ht="15.6" x14ac:dyDescent="0.3">
      <c r="AF93" s="156" t="s">
        <v>193</v>
      </c>
      <c r="AG93" s="157"/>
      <c r="AI93" s="156" t="s">
        <v>195</v>
      </c>
      <c r="AJ93" s="157"/>
      <c r="AL93" s="156" t="s">
        <v>196</v>
      </c>
      <c r="AM93" s="157"/>
    </row>
    <row r="94" spans="1:39" ht="15.6" x14ac:dyDescent="0.3">
      <c r="A94" s="19" t="s">
        <v>58</v>
      </c>
      <c r="B94" s="8" t="s">
        <v>59</v>
      </c>
      <c r="C94" s="8" t="s">
        <v>48</v>
      </c>
      <c r="D94" s="8" t="s">
        <v>60</v>
      </c>
      <c r="E94" s="8" t="s">
        <v>61</v>
      </c>
      <c r="F94" s="9" t="s">
        <v>62</v>
      </c>
      <c r="G94" s="8" t="s">
        <v>33</v>
      </c>
      <c r="H94" s="108" t="s">
        <v>180</v>
      </c>
      <c r="I94" s="8" t="s">
        <v>38</v>
      </c>
      <c r="J94" s="8" t="s">
        <v>32</v>
      </c>
      <c r="K94" s="8" t="s">
        <v>34</v>
      </c>
      <c r="L94" s="27" t="s">
        <v>98</v>
      </c>
      <c r="M94" s="27" t="s">
        <v>99</v>
      </c>
      <c r="N94" s="27" t="s">
        <v>100</v>
      </c>
      <c r="O94" s="8" t="s">
        <v>37</v>
      </c>
      <c r="P94" s="31" t="s">
        <v>101</v>
      </c>
      <c r="Q94" s="31" t="s">
        <v>102</v>
      </c>
      <c r="R94" s="19" t="s">
        <v>63</v>
      </c>
      <c r="S94" s="8" t="s">
        <v>64</v>
      </c>
      <c r="T94" s="8" t="s">
        <v>65</v>
      </c>
      <c r="U94" s="108" t="s">
        <v>181</v>
      </c>
      <c r="V94" s="8" t="s">
        <v>66</v>
      </c>
      <c r="W94" s="8" t="s">
        <v>67</v>
      </c>
      <c r="X94" s="8" t="s">
        <v>68</v>
      </c>
      <c r="Y94" s="117" t="s">
        <v>183</v>
      </c>
      <c r="Z94" s="8" t="s">
        <v>69</v>
      </c>
      <c r="AA94" s="31" t="s">
        <v>103</v>
      </c>
      <c r="AB94" s="31" t="s">
        <v>104</v>
      </c>
      <c r="AD94" s="19" t="s">
        <v>70</v>
      </c>
      <c r="AF94" s="120" t="s">
        <v>194</v>
      </c>
      <c r="AG94" s="120" t="s">
        <v>70</v>
      </c>
      <c r="AI94" s="120" t="s">
        <v>194</v>
      </c>
      <c r="AJ94" s="120" t="s">
        <v>70</v>
      </c>
      <c r="AL94" s="120" t="s">
        <v>194</v>
      </c>
      <c r="AM94" s="120" t="s">
        <v>70</v>
      </c>
    </row>
    <row r="95" spans="1:39" x14ac:dyDescent="0.3">
      <c r="A95" s="20">
        <v>0.1</v>
      </c>
      <c r="B95" s="8">
        <f>A95*2*PI()</f>
        <v>0.62831853071795862</v>
      </c>
      <c r="C95" s="9">
        <f>20*LOG10($B$72)</f>
        <v>40.367367550689096</v>
      </c>
      <c r="D95" s="9">
        <f>1-$B$74*B95*B95</f>
        <v>0.999999999995552</v>
      </c>
      <c r="E95" s="9">
        <f>B95*$B$75-$B$73*B95*B95*B95</f>
        <v>2.6844970294301952E-5</v>
      </c>
      <c r="F95" s="9">
        <f>20*LOG10(SQRT(D95^2+E95^2))</f>
        <v>3.0911189063526681E-9</v>
      </c>
      <c r="G95" s="9">
        <f>20*LOG10(SQRT(1+($B$76*B95)^2))</f>
        <v>1.3374759082880405E-9</v>
      </c>
      <c r="H95" s="9">
        <f>20*LOG10(SQRT(1+($B$77*B95)^2))</f>
        <v>9.4504091722221625E-14</v>
      </c>
      <c r="I95" s="9">
        <f>20*LOG10(SQRT(1+($B$78*B95)^2))</f>
        <v>0</v>
      </c>
      <c r="J95" s="9">
        <f>20*LOG10(SQRT(1+($B$79*B95)^2))</f>
        <v>9.7060484720654989E-8</v>
      </c>
      <c r="K95" s="9">
        <f>20*LOG10(SQRT(1+($B$80*B95)^2))</f>
        <v>0</v>
      </c>
      <c r="L95" s="9">
        <f>1-$B$82*B95^2</f>
        <v>0.99999999999996336</v>
      </c>
      <c r="M95" s="9">
        <f>B95*$B$83-$B$81*B95^3</f>
        <v>5.1974508860989533E-7</v>
      </c>
      <c r="N95" s="9">
        <f>20*LOG10(SQRT(L95^2+M95^2))</f>
        <v>8.5632279029927676E-13</v>
      </c>
      <c r="O95" s="9">
        <f t="shared" ref="O95:O126" si="0">20*LOG10(SQRT(1+($B$84*B95)^2))</f>
        <v>7.7146197324262939E-15</v>
      </c>
      <c r="P95" s="9">
        <f>20*LOG10(SQRT(1+($B$62*B95)^2))</f>
        <v>0</v>
      </c>
      <c r="Q95" s="9">
        <f>20*LOG10(SQRT(1+($B$63*B95)^2))</f>
        <v>0</v>
      </c>
      <c r="R95" s="21">
        <f>C95-F95+G95+H95+I95-J95-K95-N95-O95+P95-Q95</f>
        <v>40.367367451874195</v>
      </c>
      <c r="S95" s="8">
        <f t="shared" ref="S95:S126" si="1">ATAN2(D95,E95)</f>
        <v>2.6844970287972729E-5</v>
      </c>
      <c r="T95" s="8">
        <f t="shared" ref="T95:T126" si="2">ATAN($B$76*B95)</f>
        <v>1.7548936561151097E-5</v>
      </c>
      <c r="U95" s="8">
        <f t="shared" ref="U95:U126" si="3">ATAN($B$77*B95)</f>
        <v>1.4765485471871919E-7</v>
      </c>
      <c r="V95" s="8">
        <f t="shared" ref="V95:V126" si="4">ATAN($B$78*B95)</f>
        <v>0</v>
      </c>
      <c r="W95" s="8">
        <f t="shared" ref="W95:W126" si="5">ATAN($B$79*B95)</f>
        <v>1.4949582690002971E-4</v>
      </c>
      <c r="X95" s="8">
        <f t="shared" ref="X95:X126" si="6">ATAN($B$80*B95)</f>
        <v>0</v>
      </c>
      <c r="Y95" s="8">
        <f t="shared" ref="Y95:Y126" si="7">ATAN2(L95,M95)</f>
        <v>5.1974508860986759E-7</v>
      </c>
      <c r="Z95" s="8">
        <f t="shared" ref="Z95:Z126" si="8">ATAN($B$84*B95)</f>
        <v>4.5490261623980174E-8</v>
      </c>
      <c r="AA95" s="8">
        <f>ATAN($B$62*B95)</f>
        <v>0</v>
      </c>
      <c r="AB95" s="8">
        <f>ATAN($B$63*B95)</f>
        <v>0</v>
      </c>
      <c r="AC95" s="8">
        <f t="shared" ref="AC95:AC126" si="9">IF(-S95&gt;0,-S95-2*PI(),-S95)</f>
        <v>-2.6844970287972729E-5</v>
      </c>
      <c r="AD95" s="8">
        <f>(180/PI())*(AC95+T95+U95+V95-W95-X95-Y95-Z95+AA95-AB95)</f>
        <v>-9.1220290349481696E-3</v>
      </c>
      <c r="AF95" s="21">
        <f>20*LOG10($B$30*$B$53)-F95-P95+Q95</f>
        <v>14.346767634318356</v>
      </c>
      <c r="AG95" s="8">
        <f>(-S95+AA95-AB95)*180/3.14</f>
        <v>-1.5388836470812393E-3</v>
      </c>
      <c r="AI95" s="12">
        <f>20*LOG10($B$47)-N95+H95+I95</f>
        <v>-13.979400086721137</v>
      </c>
      <c r="AJ95" s="8">
        <f>(-Y95+U95+V95)*180/3.14</f>
        <v>-2.1330013407772835E-5</v>
      </c>
      <c r="AL95" s="12">
        <f>20*LOG10($B$32)-J95+G95-K95-O95</f>
        <v>39.999999904276983</v>
      </c>
      <c r="AM95" s="8">
        <f>((-W95-X95+T95-Z95)*180/3.14)+180</f>
        <v>179.99243355779998</v>
      </c>
    </row>
    <row r="96" spans="1:39" x14ac:dyDescent="0.3">
      <c r="A96" s="20">
        <v>0.2</v>
      </c>
      <c r="B96" s="8">
        <f t="shared" ref="B96:B159" si="10">A96*2*PI()</f>
        <v>1.2566370614359172</v>
      </c>
      <c r="C96" s="9">
        <f t="shared" ref="C96:C159" si="11">20*LOG10($B$72)</f>
        <v>40.367367550689096</v>
      </c>
      <c r="D96" s="9">
        <f t="shared" ref="D96:D159" si="12">1-$B$74*B96*B96</f>
        <v>0.9999999999822079</v>
      </c>
      <c r="E96" s="9">
        <f t="shared" ref="E96:E159" si="13">B96*$B$75-$B$73*B96*B96*B96</f>
        <v>5.3689940588602455E-5</v>
      </c>
      <c r="F96" s="9">
        <f t="shared" ref="F96:F159" si="14">20*LOG10(SQRT(D96^2+E96^2))</f>
        <v>1.2364473690155371E-8</v>
      </c>
      <c r="G96" s="9">
        <f t="shared" ref="G96:G159" si="15">20*LOG10(SQRT(1+($B$76*B96)^2))</f>
        <v>5.3499017032615426E-9</v>
      </c>
      <c r="H96" s="9">
        <f t="shared" ref="H96:H159" si="16">20*LOG10(SQRT(1+($B$77*B96)^2))</f>
        <v>3.7801636688888034E-13</v>
      </c>
      <c r="I96" s="9">
        <f t="shared" ref="I96:I159" si="17">20*LOG10(SQRT(1+($B$78*B96)^2))</f>
        <v>0</v>
      </c>
      <c r="J96" s="9">
        <f t="shared" ref="J96:J159" si="18">20*LOG10(SQRT(1+($B$79*B96)^2))</f>
        <v>3.8824192273173082E-7</v>
      </c>
      <c r="K96" s="9">
        <f t="shared" ref="K96:K159" si="19">20*LOG10(SQRT(1+($B$80*B96)^2))</f>
        <v>0</v>
      </c>
      <c r="L96" s="9">
        <f t="shared" ref="L96:L159" si="20">1-$B$82*B96^2</f>
        <v>0.99999999999985345</v>
      </c>
      <c r="M96" s="9">
        <f t="shared" ref="M96:M159" si="21">B96*$B$83-$B$81*B96^3</f>
        <v>1.0394901772197907E-6</v>
      </c>
      <c r="N96" s="9">
        <f t="shared" ref="N96:N159" si="22">20*LOG10(SQRT(L96^2+M96^2))</f>
        <v>3.419505196397283E-12</v>
      </c>
      <c r="O96" s="9">
        <f t="shared" si="0"/>
        <v>3.4715788795918267E-14</v>
      </c>
      <c r="P96" s="9">
        <f t="shared" ref="P96:P159" si="23">20*LOG10(SQRT(1+($B$62*B96)^2))</f>
        <v>0</v>
      </c>
      <c r="Q96" s="9">
        <f t="shared" ref="Q96:Q159" si="24">20*LOG10(SQRT(1+($B$63*B96)^2))</f>
        <v>0</v>
      </c>
      <c r="R96" s="21">
        <f t="shared" ref="R96:R159" si="25">C96-F96+G96+H96+I96-J96-K96-N96-O96+P96-Q96</f>
        <v>40.367367155429527</v>
      </c>
      <c r="S96" s="8">
        <f t="shared" si="1"/>
        <v>5.3689940537968662E-5</v>
      </c>
      <c r="T96" s="8">
        <f t="shared" si="2"/>
        <v>3.5097873111493267E-5</v>
      </c>
      <c r="U96" s="8">
        <f t="shared" si="3"/>
        <v>2.9530970943743197E-7</v>
      </c>
      <c r="V96" s="8">
        <f t="shared" si="4"/>
        <v>0</v>
      </c>
      <c r="W96" s="8">
        <f t="shared" si="5"/>
        <v>2.9899164711789456E-4</v>
      </c>
      <c r="X96" s="8">
        <f t="shared" si="6"/>
        <v>0</v>
      </c>
      <c r="Y96" s="8">
        <f t="shared" si="7"/>
        <v>1.0394901772195685E-6</v>
      </c>
      <c r="Z96" s="8">
        <f t="shared" si="8"/>
        <v>9.0980523247960163E-8</v>
      </c>
      <c r="AA96" s="8">
        <f t="shared" ref="AA96:AA159" si="26">ATAN($B$62*B96)</f>
        <v>0</v>
      </c>
      <c r="AB96" s="8">
        <f t="shared" ref="AB96:AB159" si="27">ATAN($B$63*B96)</f>
        <v>0</v>
      </c>
      <c r="AC96" s="8">
        <f t="shared" si="9"/>
        <v>-5.3689940537968662E-5</v>
      </c>
      <c r="AD96" s="8">
        <f t="shared" ref="AD96:AD159" si="28">(180/PI())*(AC96+T96+U96+V96-W96-X96-Y96-Z96+AA96-AB96)</f>
        <v>-1.8244057685479882E-2</v>
      </c>
      <c r="AF96" s="21">
        <f t="shared" ref="AF96:AF159" si="29">20*LOG10($B$30*$B$53)-F96-P96+Q96</f>
        <v>14.346767625045</v>
      </c>
      <c r="AG96" s="8">
        <f t="shared" ref="AG96:AG159" si="30">(-S96+AA96-AB96)*180/3.14</f>
        <v>-3.0777672919854648E-3</v>
      </c>
      <c r="AI96" s="12">
        <f t="shared" ref="AI96:AI159" si="31">20*LOG10($B$47)-N96+H96+I96</f>
        <v>-13.979400086723416</v>
      </c>
      <c r="AJ96" s="8">
        <f t="shared" ref="AJ96:AJ159" si="32">(-Y96+U96+V96)*180/3.14</f>
        <v>-4.2660026815536494E-5</v>
      </c>
      <c r="AL96" s="12">
        <f t="shared" ref="AL96:AL159" si="33">20*LOG10($B$32)-J96+G96-K96-O96</f>
        <v>39.999999617107946</v>
      </c>
      <c r="AM96" s="8">
        <f t="shared" ref="AM96:AM159" si="34">((-W96-X96+T96-Z96)*180/3.14)+180</f>
        <v>179.98486711598238</v>
      </c>
    </row>
    <row r="97" spans="1:39" x14ac:dyDescent="0.3">
      <c r="A97" s="20">
        <v>0.3</v>
      </c>
      <c r="B97" s="8">
        <f t="shared" si="10"/>
        <v>1.8849555921538759</v>
      </c>
      <c r="C97" s="9">
        <f t="shared" si="11"/>
        <v>40.367367550689096</v>
      </c>
      <c r="D97" s="9">
        <f t="shared" si="12"/>
        <v>0.99999999995996769</v>
      </c>
      <c r="E97" s="9">
        <f t="shared" si="13"/>
        <v>8.0534910882900043E-5</v>
      </c>
      <c r="F97" s="9">
        <f t="shared" si="14"/>
        <v>2.7820066260261929E-8</v>
      </c>
      <c r="G97" s="9">
        <f t="shared" si="15"/>
        <v>1.2037281238523307E-8</v>
      </c>
      <c r="H97" s="9">
        <f t="shared" si="16"/>
        <v>8.5246548043306394E-13</v>
      </c>
      <c r="I97" s="9">
        <f t="shared" si="17"/>
        <v>0</v>
      </c>
      <c r="J97" s="9">
        <f t="shared" si="18"/>
        <v>8.7354427715249322E-7</v>
      </c>
      <c r="K97" s="9">
        <f t="shared" si="19"/>
        <v>0</v>
      </c>
      <c r="L97" s="9">
        <f t="shared" si="20"/>
        <v>0.99999999999967037</v>
      </c>
      <c r="M97" s="9">
        <f t="shared" si="21"/>
        <v>1.5592352658296861E-6</v>
      </c>
      <c r="N97" s="9">
        <f t="shared" si="22"/>
        <v>7.6953331830918232E-12</v>
      </c>
      <c r="O97" s="9">
        <f t="shared" si="0"/>
        <v>8.100350719047573E-14</v>
      </c>
      <c r="P97" s="9">
        <f t="shared" si="23"/>
        <v>0</v>
      </c>
      <c r="Q97" s="9">
        <f t="shared" si="24"/>
        <v>0</v>
      </c>
      <c r="R97" s="21">
        <f t="shared" si="25"/>
        <v>40.367366661355113</v>
      </c>
      <c r="S97" s="8">
        <f t="shared" si="1"/>
        <v>8.0534910712010997E-5</v>
      </c>
      <c r="T97" s="8">
        <f t="shared" si="2"/>
        <v>5.2646809640217598E-5</v>
      </c>
      <c r="U97" s="8">
        <f t="shared" si="3"/>
        <v>4.4296456415613187E-7</v>
      </c>
      <c r="V97" s="8">
        <f t="shared" si="4"/>
        <v>0</v>
      </c>
      <c r="W97" s="8">
        <f t="shared" si="5"/>
        <v>4.4848745397143154E-4</v>
      </c>
      <c r="X97" s="8">
        <f t="shared" si="6"/>
        <v>0</v>
      </c>
      <c r="Y97" s="8">
        <f t="shared" si="7"/>
        <v>1.5592352658289365E-6</v>
      </c>
      <c r="Z97" s="8">
        <f t="shared" si="8"/>
        <v>1.3647078487193975E-7</v>
      </c>
      <c r="AA97" s="8">
        <f t="shared" si="26"/>
        <v>0</v>
      </c>
      <c r="AB97" s="8">
        <f t="shared" si="27"/>
        <v>0</v>
      </c>
      <c r="AC97" s="8">
        <f t="shared" si="9"/>
        <v>-8.0534910712010997E-5</v>
      </c>
      <c r="AD97" s="8">
        <f t="shared" si="28"/>
        <v>-2.7366085567178785E-2</v>
      </c>
      <c r="AF97" s="21">
        <f t="shared" si="29"/>
        <v>14.346767609589408</v>
      </c>
      <c r="AG97" s="8">
        <f t="shared" si="30"/>
        <v>-4.6166509325356623E-3</v>
      </c>
      <c r="AI97" s="12">
        <f t="shared" si="31"/>
        <v>-13.979400086727217</v>
      </c>
      <c r="AJ97" s="8">
        <f t="shared" si="32"/>
        <v>-6.3990040223281793E-5</v>
      </c>
      <c r="AL97" s="12">
        <f t="shared" si="33"/>
        <v>39.999999138492925</v>
      </c>
      <c r="AM97" s="8">
        <f t="shared" si="34"/>
        <v>179.97730067492964</v>
      </c>
    </row>
    <row r="98" spans="1:39" x14ac:dyDescent="0.3">
      <c r="A98" s="20">
        <v>0.4</v>
      </c>
      <c r="B98" s="8">
        <f t="shared" si="10"/>
        <v>2.5132741228718345</v>
      </c>
      <c r="C98" s="9">
        <f t="shared" si="11"/>
        <v>40.367367550689096</v>
      </c>
      <c r="D98" s="9">
        <f t="shared" si="12"/>
        <v>0.99999999992883148</v>
      </c>
      <c r="E98" s="9">
        <f t="shared" si="13"/>
        <v>1.0737988117719327E-4</v>
      </c>
      <c r="F98" s="9">
        <f t="shared" si="14"/>
        <v>4.9457896583670497E-8</v>
      </c>
      <c r="G98" s="9">
        <f t="shared" si="15"/>
        <v>2.1399612579239959E-8</v>
      </c>
      <c r="H98" s="9">
        <f t="shared" si="16"/>
        <v>1.5159227774216349E-12</v>
      </c>
      <c r="I98" s="9">
        <f t="shared" si="17"/>
        <v>0</v>
      </c>
      <c r="J98" s="9">
        <f t="shared" si="18"/>
        <v>1.5529674826577541E-6</v>
      </c>
      <c r="K98" s="9">
        <f t="shared" si="19"/>
        <v>0</v>
      </c>
      <c r="L98" s="9">
        <f t="shared" si="20"/>
        <v>0.99999999999941391</v>
      </c>
      <c r="M98" s="9">
        <f t="shared" si="21"/>
        <v>2.0789803544395813E-6</v>
      </c>
      <c r="N98" s="9">
        <f t="shared" si="22"/>
        <v>1.3679949440514157E-11</v>
      </c>
      <c r="O98" s="9">
        <f t="shared" si="0"/>
        <v>1.4272046504988532E-13</v>
      </c>
      <c r="P98" s="9">
        <f t="shared" si="23"/>
        <v>0</v>
      </c>
      <c r="Q98" s="9">
        <f t="shared" si="24"/>
        <v>0</v>
      </c>
      <c r="R98" s="21">
        <f t="shared" si="25"/>
        <v>40.367365969651026</v>
      </c>
      <c r="S98" s="8">
        <f t="shared" si="1"/>
        <v>1.0737988077212295E-4</v>
      </c>
      <c r="T98" s="8">
        <f t="shared" si="2"/>
        <v>7.0195746136515164E-5</v>
      </c>
      <c r="U98" s="8">
        <f t="shared" si="3"/>
        <v>5.9061941887481238E-7</v>
      </c>
      <c r="V98" s="8">
        <f t="shared" si="4"/>
        <v>0</v>
      </c>
      <c r="W98" s="8">
        <f t="shared" si="5"/>
        <v>5.9798324077848109E-4</v>
      </c>
      <c r="X98" s="8">
        <f t="shared" si="6"/>
        <v>0</v>
      </c>
      <c r="Y98" s="8">
        <f t="shared" si="7"/>
        <v>2.0789803544378047E-6</v>
      </c>
      <c r="Z98" s="8">
        <f t="shared" si="8"/>
        <v>1.8196104649591882E-7</v>
      </c>
      <c r="AA98" s="8">
        <f t="shared" si="26"/>
        <v>0</v>
      </c>
      <c r="AB98" s="8">
        <f t="shared" si="27"/>
        <v>0</v>
      </c>
      <c r="AC98" s="8">
        <f t="shared" si="9"/>
        <v>-1.0737988077212295E-4</v>
      </c>
      <c r="AD98" s="8">
        <f t="shared" si="28"/>
        <v>-3.6488112295628726E-2</v>
      </c>
      <c r="AF98" s="21">
        <f t="shared" si="29"/>
        <v>14.346767587951577</v>
      </c>
      <c r="AG98" s="8">
        <f t="shared" si="30"/>
        <v>-6.1555345665548185E-3</v>
      </c>
      <c r="AI98" s="12">
        <f t="shared" si="31"/>
        <v>-13.979400086732539</v>
      </c>
      <c r="AJ98" s="8">
        <f t="shared" si="32"/>
        <v>-8.5320053630999547E-5</v>
      </c>
      <c r="AL98" s="12">
        <f t="shared" si="33"/>
        <v>39.99999846843199</v>
      </c>
      <c r="AM98" s="8">
        <f t="shared" si="34"/>
        <v>179.96973423502422</v>
      </c>
    </row>
    <row r="99" spans="1:39" x14ac:dyDescent="0.3">
      <c r="A99" s="20">
        <v>0.5</v>
      </c>
      <c r="B99" s="8">
        <f t="shared" si="10"/>
        <v>3.1415926535897931</v>
      </c>
      <c r="C99" s="9">
        <f t="shared" si="11"/>
        <v>40.367367550689096</v>
      </c>
      <c r="D99" s="9">
        <f t="shared" si="12"/>
        <v>0.99999999988879917</v>
      </c>
      <c r="E99" s="9">
        <f t="shared" si="13"/>
        <v>1.3422485147148068E-4</v>
      </c>
      <c r="F99" s="9">
        <f t="shared" si="14"/>
        <v>7.7277964614178469E-8</v>
      </c>
      <c r="G99" s="9">
        <f t="shared" si="15"/>
        <v>3.3436893788106757E-8</v>
      </c>
      <c r="H99" s="9">
        <f t="shared" si="16"/>
        <v>2.36838825785455E-12</v>
      </c>
      <c r="I99" s="9">
        <f t="shared" si="17"/>
        <v>0</v>
      </c>
      <c r="J99" s="9">
        <f t="shared" si="18"/>
        <v>2.426511447406545E-6</v>
      </c>
      <c r="K99" s="9">
        <f t="shared" si="19"/>
        <v>0</v>
      </c>
      <c r="L99" s="9">
        <f t="shared" si="20"/>
        <v>0.99999999999908429</v>
      </c>
      <c r="M99" s="9">
        <f t="shared" si="21"/>
        <v>2.5987254430494767E-6</v>
      </c>
      <c r="N99" s="9">
        <f t="shared" si="22"/>
        <v>2.1375282623593859E-11</v>
      </c>
      <c r="O99" s="9">
        <f t="shared" si="0"/>
        <v>2.2372397224035973E-13</v>
      </c>
      <c r="P99" s="9">
        <f t="shared" si="23"/>
        <v>0</v>
      </c>
      <c r="Q99" s="9">
        <f t="shared" si="24"/>
        <v>0</v>
      </c>
      <c r="R99" s="21">
        <f t="shared" si="25"/>
        <v>40.367365080317342</v>
      </c>
      <c r="S99" s="8">
        <f t="shared" si="1"/>
        <v>1.3422485068032773E-4</v>
      </c>
      <c r="T99" s="8">
        <f t="shared" si="2"/>
        <v>8.774468258957703E-5</v>
      </c>
      <c r="U99" s="8">
        <f t="shared" si="3"/>
        <v>7.3827427359346722E-7</v>
      </c>
      <c r="V99" s="8">
        <f t="shared" si="4"/>
        <v>0</v>
      </c>
      <c r="W99" s="8">
        <f t="shared" si="5"/>
        <v>7.4747900085688922E-4</v>
      </c>
      <c r="X99" s="8">
        <f t="shared" si="6"/>
        <v>0</v>
      </c>
      <c r="Y99" s="8">
        <f t="shared" si="7"/>
        <v>2.5987254430460065E-6</v>
      </c>
      <c r="Z99" s="8">
        <f t="shared" si="8"/>
        <v>2.2745130811989711E-7</v>
      </c>
      <c r="AA99" s="8">
        <f t="shared" si="26"/>
        <v>0</v>
      </c>
      <c r="AB99" s="8">
        <f t="shared" si="27"/>
        <v>0</v>
      </c>
      <c r="AC99" s="8">
        <f t="shared" si="9"/>
        <v>-1.3422485068032773E-4</v>
      </c>
      <c r="AD99" s="8">
        <f t="shared" si="28"/>
        <v>-4.5610137486413863E-2</v>
      </c>
      <c r="AF99" s="21">
        <f t="shared" si="29"/>
        <v>14.346767560131509</v>
      </c>
      <c r="AG99" s="8">
        <f t="shared" si="30"/>
        <v>-7.6944181918659213E-3</v>
      </c>
      <c r="AI99" s="12">
        <f t="shared" si="31"/>
        <v>-13.979400086739382</v>
      </c>
      <c r="AJ99" s="8">
        <f t="shared" si="32"/>
        <v>-1.0665006703868059E-4</v>
      </c>
      <c r="AL99" s="12">
        <f t="shared" si="33"/>
        <v>39.99999760692522</v>
      </c>
      <c r="AM99" s="8">
        <f t="shared" si="34"/>
        <v>179.96216779664854</v>
      </c>
    </row>
    <row r="100" spans="1:39" x14ac:dyDescent="0.3">
      <c r="A100" s="20">
        <v>0.6</v>
      </c>
      <c r="B100" s="8">
        <f t="shared" si="10"/>
        <v>3.7699111843077517</v>
      </c>
      <c r="C100" s="9">
        <f t="shared" si="11"/>
        <v>40.367367550689096</v>
      </c>
      <c r="D100" s="9">
        <f t="shared" si="12"/>
        <v>0.99999999983987087</v>
      </c>
      <c r="E100" s="9">
        <f t="shared" si="13"/>
        <v>1.6106982176576081E-4</v>
      </c>
      <c r="F100" s="9">
        <f t="shared" si="14"/>
        <v>1.1128027029238253E-7</v>
      </c>
      <c r="G100" s="9">
        <f t="shared" si="15"/>
        <v>4.8149126782657441E-8</v>
      </c>
      <c r="H100" s="9">
        <f t="shared" si="16"/>
        <v>3.4098619217317541E-12</v>
      </c>
      <c r="I100" s="9">
        <f t="shared" si="17"/>
        <v>0</v>
      </c>
      <c r="J100" s="9">
        <f t="shared" si="18"/>
        <v>3.4941760549707956E-6</v>
      </c>
      <c r="K100" s="9">
        <f t="shared" si="19"/>
        <v>0</v>
      </c>
      <c r="L100" s="9">
        <f t="shared" si="20"/>
        <v>0.99999999999868139</v>
      </c>
      <c r="M100" s="9">
        <f t="shared" si="21"/>
        <v>3.1184705316593722E-6</v>
      </c>
      <c r="N100" s="9">
        <f t="shared" si="22"/>
        <v>3.0781332732326386E-11</v>
      </c>
      <c r="O100" s="9">
        <f t="shared" si="0"/>
        <v>3.2401402876189843E-13</v>
      </c>
      <c r="P100" s="9">
        <f t="shared" si="23"/>
        <v>0</v>
      </c>
      <c r="Q100" s="9">
        <f t="shared" si="24"/>
        <v>0</v>
      </c>
      <c r="R100" s="21">
        <f t="shared" si="25"/>
        <v>40.367363993354196</v>
      </c>
      <c r="S100" s="8">
        <f t="shared" si="1"/>
        <v>1.610698203986485E-4</v>
      </c>
      <c r="T100" s="8">
        <f t="shared" si="2"/>
        <v>1.0529361898859428E-4</v>
      </c>
      <c r="U100" s="8">
        <f t="shared" si="3"/>
        <v>8.8592912831208988E-7</v>
      </c>
      <c r="V100" s="8">
        <f t="shared" si="4"/>
        <v>0</v>
      </c>
      <c r="W100" s="8">
        <f t="shared" si="5"/>
        <v>8.9697472752450899E-4</v>
      </c>
      <c r="X100" s="8">
        <f t="shared" si="6"/>
        <v>0</v>
      </c>
      <c r="Y100" s="8">
        <f t="shared" si="7"/>
        <v>3.1184705316533752E-6</v>
      </c>
      <c r="Z100" s="8">
        <f t="shared" si="8"/>
        <v>2.7294156974387443E-7</v>
      </c>
      <c r="AA100" s="8">
        <f t="shared" si="26"/>
        <v>0</v>
      </c>
      <c r="AB100" s="8">
        <f t="shared" si="27"/>
        <v>0</v>
      </c>
      <c r="AC100" s="8">
        <f t="shared" si="9"/>
        <v>-1.610698203986485E-4</v>
      </c>
      <c r="AD100" s="8">
        <f t="shared" si="28"/>
        <v>-5.4732160755118768E-2</v>
      </c>
      <c r="AF100" s="21">
        <f t="shared" si="29"/>
        <v>14.346767526129204</v>
      </c>
      <c r="AG100" s="8">
        <f t="shared" si="30"/>
        <v>-9.2333018062919527E-3</v>
      </c>
      <c r="AI100" s="12">
        <f t="shared" si="31"/>
        <v>-13.979400086747745</v>
      </c>
      <c r="AJ100" s="8">
        <f t="shared" si="32"/>
        <v>-1.2798008044631571E-4</v>
      </c>
      <c r="AL100" s="12">
        <f t="shared" si="33"/>
        <v>39.999996553972743</v>
      </c>
      <c r="AM100" s="8">
        <f t="shared" si="34"/>
        <v>179.95460136018502</v>
      </c>
    </row>
    <row r="101" spans="1:39" x14ac:dyDescent="0.3">
      <c r="A101" s="20">
        <v>0.7</v>
      </c>
      <c r="B101" s="8">
        <f t="shared" si="10"/>
        <v>4.3982297150257104</v>
      </c>
      <c r="C101" s="9">
        <f t="shared" si="11"/>
        <v>40.367367550689096</v>
      </c>
      <c r="D101" s="9">
        <f t="shared" si="12"/>
        <v>0.99999999978204646</v>
      </c>
      <c r="E101" s="9">
        <f t="shared" si="13"/>
        <v>1.8791479206003222E-4</v>
      </c>
      <c r="F101" s="9">
        <f t="shared" si="14"/>
        <v>1.5146480968836878E-7</v>
      </c>
      <c r="G101" s="9">
        <f t="shared" si="15"/>
        <v>6.5536311549299439E-8</v>
      </c>
      <c r="H101" s="9">
        <f t="shared" si="16"/>
        <v>4.6403437690531782E-12</v>
      </c>
      <c r="I101" s="9">
        <f t="shared" si="17"/>
        <v>0</v>
      </c>
      <c r="J101" s="9">
        <f t="shared" si="18"/>
        <v>4.7559611624067141E-6</v>
      </c>
      <c r="K101" s="9">
        <f t="shared" si="19"/>
        <v>0</v>
      </c>
      <c r="L101" s="9">
        <f t="shared" si="20"/>
        <v>0.99999999999820521</v>
      </c>
      <c r="M101" s="9">
        <f t="shared" si="21"/>
        <v>3.6382156202692676E-6</v>
      </c>
      <c r="N101" s="9">
        <f t="shared" si="22"/>
        <v>4.189617111177307E-11</v>
      </c>
      <c r="O101" s="9">
        <f t="shared" si="0"/>
        <v>4.3973332474828777E-13</v>
      </c>
      <c r="P101" s="9">
        <f t="shared" si="23"/>
        <v>0</v>
      </c>
      <c r="Q101" s="9">
        <f t="shared" si="24"/>
        <v>0</v>
      </c>
      <c r="R101" s="21">
        <f t="shared" si="25"/>
        <v>40.367362708761739</v>
      </c>
      <c r="S101" s="8">
        <f t="shared" si="1"/>
        <v>1.8791478988910851E-4</v>
      </c>
      <c r="T101" s="8">
        <f t="shared" si="2"/>
        <v>1.2284255532275801E-4</v>
      </c>
      <c r="U101" s="8">
        <f t="shared" si="3"/>
        <v>1.033583983030674E-6</v>
      </c>
      <c r="V101" s="8">
        <f t="shared" si="4"/>
        <v>0</v>
      </c>
      <c r="W101" s="8">
        <f t="shared" si="5"/>
        <v>1.0464704140992023E-3</v>
      </c>
      <c r="X101" s="8">
        <f t="shared" si="6"/>
        <v>0</v>
      </c>
      <c r="Y101" s="8">
        <f t="shared" si="7"/>
        <v>3.6382156202597448E-6</v>
      </c>
      <c r="Z101" s="8">
        <f t="shared" si="8"/>
        <v>3.1843183136785068E-7</v>
      </c>
      <c r="AA101" s="8">
        <f t="shared" si="26"/>
        <v>0</v>
      </c>
      <c r="AB101" s="8">
        <f t="shared" si="27"/>
        <v>0</v>
      </c>
      <c r="AC101" s="8">
        <f t="shared" si="9"/>
        <v>-1.8791478988910851E-4</v>
      </c>
      <c r="AD101" s="8">
        <f t="shared" si="28"/>
        <v>-6.3854181717328512E-2</v>
      </c>
      <c r="AF101" s="21">
        <f t="shared" si="29"/>
        <v>14.346767485944664</v>
      </c>
      <c r="AG101" s="8">
        <f t="shared" si="30"/>
        <v>-1.07721854076559E-2</v>
      </c>
      <c r="AI101" s="12">
        <f t="shared" si="31"/>
        <v>-13.97940008675763</v>
      </c>
      <c r="AJ101" s="8">
        <f t="shared" si="32"/>
        <v>-1.4931009385389576E-4</v>
      </c>
      <c r="AL101" s="12">
        <f t="shared" si="33"/>
        <v>39.999995309574707</v>
      </c>
      <c r="AM101" s="8">
        <f t="shared" si="34"/>
        <v>179.9470349260161</v>
      </c>
    </row>
    <row r="102" spans="1:39" x14ac:dyDescent="0.3">
      <c r="A102" s="20">
        <v>0.8</v>
      </c>
      <c r="B102" s="8">
        <f t="shared" si="10"/>
        <v>5.026548245743669</v>
      </c>
      <c r="C102" s="9">
        <f t="shared" si="11"/>
        <v>40.367367550689096</v>
      </c>
      <c r="D102" s="9">
        <f t="shared" si="12"/>
        <v>0.99999999971532594</v>
      </c>
      <c r="E102" s="9">
        <f t="shared" si="13"/>
        <v>2.1475976235429343E-4</v>
      </c>
      <c r="F102" s="9">
        <f t="shared" si="14"/>
        <v>1.9783158657364224E-7</v>
      </c>
      <c r="G102" s="9">
        <f t="shared" si="15"/>
        <v>8.5598448071968823E-8</v>
      </c>
      <c r="H102" s="9">
        <f t="shared" si="16"/>
        <v>6.0598337998187422E-12</v>
      </c>
      <c r="I102" s="9">
        <f t="shared" si="17"/>
        <v>0</v>
      </c>
      <c r="J102" s="9">
        <f t="shared" si="18"/>
        <v>6.2118665983261728E-6</v>
      </c>
      <c r="K102" s="9">
        <f t="shared" si="19"/>
        <v>0</v>
      </c>
      <c r="L102" s="9">
        <f t="shared" si="20"/>
        <v>0.99999999999765588</v>
      </c>
      <c r="M102" s="9">
        <f t="shared" si="21"/>
        <v>4.1579607088791626E-6</v>
      </c>
      <c r="N102" s="9">
        <f t="shared" si="22"/>
        <v>5.4723655071793554E-11</v>
      </c>
      <c r="O102" s="9">
        <f t="shared" si="0"/>
        <v>5.7473917006574018E-13</v>
      </c>
      <c r="P102" s="9">
        <f t="shared" si="23"/>
        <v>0</v>
      </c>
      <c r="Q102" s="9">
        <f t="shared" si="24"/>
        <v>0</v>
      </c>
      <c r="R102" s="21">
        <f t="shared" si="25"/>
        <v>40.367361226540119</v>
      </c>
      <c r="S102" s="8">
        <f t="shared" si="1"/>
        <v>2.1475975911373096E-4</v>
      </c>
      <c r="T102" s="8">
        <f t="shared" si="2"/>
        <v>1.4039149158125928E-4</v>
      </c>
      <c r="U102" s="8">
        <f t="shared" si="3"/>
        <v>1.1812388377492129E-6</v>
      </c>
      <c r="V102" s="8">
        <f t="shared" si="4"/>
        <v>0</v>
      </c>
      <c r="W102" s="8">
        <f t="shared" si="5"/>
        <v>1.1959660538988421E-3</v>
      </c>
      <c r="X102" s="8">
        <f t="shared" si="6"/>
        <v>0</v>
      </c>
      <c r="Y102" s="8">
        <f t="shared" si="7"/>
        <v>4.1579607088649477E-6</v>
      </c>
      <c r="Z102" s="8">
        <f t="shared" si="8"/>
        <v>3.6392209299182562E-7</v>
      </c>
      <c r="AA102" s="8">
        <f t="shared" si="26"/>
        <v>0</v>
      </c>
      <c r="AB102" s="8">
        <f t="shared" si="27"/>
        <v>0</v>
      </c>
      <c r="AC102" s="8">
        <f t="shared" si="9"/>
        <v>-2.1475975911373096E-4</v>
      </c>
      <c r="AD102" s="8">
        <f t="shared" si="28"/>
        <v>-7.2976199988628823E-2</v>
      </c>
      <c r="AF102" s="21">
        <f t="shared" si="29"/>
        <v>14.346767439577889</v>
      </c>
      <c r="AG102" s="8">
        <f t="shared" si="30"/>
        <v>-1.2311068993780755E-2</v>
      </c>
      <c r="AI102" s="12">
        <f t="shared" si="31"/>
        <v>-13.97940008676904</v>
      </c>
      <c r="AJ102" s="8">
        <f t="shared" si="32"/>
        <v>-1.7064010726141154E-4</v>
      </c>
      <c r="AL102" s="12">
        <f t="shared" si="33"/>
        <v>39.999993873731277</v>
      </c>
      <c r="AM102" s="8">
        <f t="shared" si="34"/>
        <v>179.93946849452422</v>
      </c>
    </row>
    <row r="103" spans="1:39" x14ac:dyDescent="0.3">
      <c r="A103" s="20">
        <v>0.9</v>
      </c>
      <c r="B103" s="8">
        <f t="shared" si="10"/>
        <v>5.6548667764616276</v>
      </c>
      <c r="C103" s="9">
        <f t="shared" si="11"/>
        <v>40.367367550689096</v>
      </c>
      <c r="D103" s="9">
        <f t="shared" si="12"/>
        <v>0.99999999963970942</v>
      </c>
      <c r="E103" s="9">
        <f t="shared" si="13"/>
        <v>2.4160473264854302E-4</v>
      </c>
      <c r="F103" s="9">
        <f t="shared" si="14"/>
        <v>2.5038060084919738E-7</v>
      </c>
      <c r="G103" s="9">
        <f t="shared" si="15"/>
        <v>1.0833553440347533E-7</v>
      </c>
      <c r="H103" s="9">
        <f t="shared" si="16"/>
        <v>7.6683320140283542E-12</v>
      </c>
      <c r="I103" s="9">
        <f t="shared" si="17"/>
        <v>0</v>
      </c>
      <c r="J103" s="9">
        <f t="shared" si="18"/>
        <v>7.8618921706113683E-6</v>
      </c>
      <c r="K103" s="9">
        <f t="shared" si="19"/>
        <v>0</v>
      </c>
      <c r="L103" s="9">
        <f t="shared" si="20"/>
        <v>0.99999999999703315</v>
      </c>
      <c r="M103" s="9">
        <f t="shared" si="21"/>
        <v>4.6777057974890581E-6</v>
      </c>
      <c r="N103" s="9">
        <f t="shared" si="22"/>
        <v>6.9257998647580957E-11</v>
      </c>
      <c r="O103" s="9">
        <f t="shared" si="0"/>
        <v>7.2903156471425442E-13</v>
      </c>
      <c r="P103" s="9">
        <f t="shared" si="23"/>
        <v>0</v>
      </c>
      <c r="Q103" s="9">
        <f t="shared" si="24"/>
        <v>0</v>
      </c>
      <c r="R103" s="21">
        <f t="shared" si="25"/>
        <v>40.367359546689535</v>
      </c>
      <c r="S103" s="8">
        <f t="shared" si="1"/>
        <v>2.4160472803453907E-4</v>
      </c>
      <c r="T103" s="8">
        <f t="shared" si="2"/>
        <v>1.5794042775328917E-4</v>
      </c>
      <c r="U103" s="8">
        <f t="shared" si="3"/>
        <v>1.3288936924677003E-6</v>
      </c>
      <c r="V103" s="8">
        <f t="shared" si="4"/>
        <v>0</v>
      </c>
      <c r="W103" s="8">
        <f t="shared" si="5"/>
        <v>1.3454616402413136E-3</v>
      </c>
      <c r="X103" s="8">
        <f t="shared" si="6"/>
        <v>0</v>
      </c>
      <c r="Y103" s="8">
        <f t="shared" si="7"/>
        <v>4.6777057974688182E-6</v>
      </c>
      <c r="Z103" s="8">
        <f t="shared" si="8"/>
        <v>4.0941235461579896E-7</v>
      </c>
      <c r="AA103" s="8">
        <f t="shared" si="26"/>
        <v>0</v>
      </c>
      <c r="AB103" s="8">
        <f t="shared" si="27"/>
        <v>0</v>
      </c>
      <c r="AC103" s="8">
        <f t="shared" si="9"/>
        <v>-2.4160472803453907E-4</v>
      </c>
      <c r="AD103" s="8">
        <f t="shared" si="28"/>
        <v>-8.2098215184606083E-2</v>
      </c>
      <c r="AF103" s="21">
        <f t="shared" si="29"/>
        <v>14.346767387028873</v>
      </c>
      <c r="AG103" s="8">
        <f t="shared" si="30"/>
        <v>-1.38499525624895E-2</v>
      </c>
      <c r="AI103" s="12">
        <f t="shared" si="31"/>
        <v>-13.979400086781965</v>
      </c>
      <c r="AJ103" s="8">
        <f t="shared" si="32"/>
        <v>-1.9197012066885389E-4</v>
      </c>
      <c r="AL103" s="12">
        <f t="shared" si="33"/>
        <v>39.999992246442631</v>
      </c>
      <c r="AM103" s="8">
        <f t="shared" si="34"/>
        <v>179.93190206609182</v>
      </c>
    </row>
    <row r="104" spans="1:39" x14ac:dyDescent="0.3">
      <c r="A104" s="20">
        <v>1</v>
      </c>
      <c r="B104" s="8">
        <f t="shared" si="10"/>
        <v>6.2831853071795862</v>
      </c>
      <c r="C104" s="9">
        <f t="shared" si="11"/>
        <v>40.367367550689096</v>
      </c>
      <c r="D104" s="9">
        <f t="shared" si="12"/>
        <v>0.99999999955519681</v>
      </c>
      <c r="E104" s="9">
        <f t="shared" si="13"/>
        <v>2.6844970294277948E-4</v>
      </c>
      <c r="F104" s="9">
        <f t="shared" si="14"/>
        <v>3.0911185240282795E-7</v>
      </c>
      <c r="G104" s="9">
        <f t="shared" si="15"/>
        <v>1.3374757438012213E-7</v>
      </c>
      <c r="H104" s="9">
        <f t="shared" si="16"/>
        <v>9.469695721548119E-12</v>
      </c>
      <c r="I104" s="9">
        <f t="shared" si="17"/>
        <v>0</v>
      </c>
      <c r="J104" s="9">
        <f t="shared" si="18"/>
        <v>9.7060376567716133E-6</v>
      </c>
      <c r="K104" s="9">
        <f t="shared" si="19"/>
        <v>0</v>
      </c>
      <c r="L104" s="9">
        <f t="shared" si="20"/>
        <v>0.99999999999633726</v>
      </c>
      <c r="M104" s="9">
        <f t="shared" si="21"/>
        <v>5.1974508860989535E-6</v>
      </c>
      <c r="N104" s="9">
        <f t="shared" si="22"/>
        <v>8.5504987803926012E-11</v>
      </c>
      <c r="O104" s="9">
        <f t="shared" si="0"/>
        <v>8.987531988276171E-13</v>
      </c>
      <c r="P104" s="9">
        <f t="shared" si="23"/>
        <v>0</v>
      </c>
      <c r="Q104" s="9">
        <f t="shared" si="24"/>
        <v>0</v>
      </c>
      <c r="R104" s="21">
        <f t="shared" si="25"/>
        <v>40.367357669210229</v>
      </c>
      <c r="S104" s="8">
        <f t="shared" si="1"/>
        <v>2.6844969661355604E-4</v>
      </c>
      <c r="T104" s="8">
        <f t="shared" si="2"/>
        <v>1.7548936382803877E-4</v>
      </c>
      <c r="U104" s="8">
        <f t="shared" si="3"/>
        <v>1.4765485471861298E-6</v>
      </c>
      <c r="V104" s="8">
        <f t="shared" si="4"/>
        <v>0</v>
      </c>
      <c r="W104" s="8">
        <f t="shared" si="5"/>
        <v>1.4949571664445165E-3</v>
      </c>
      <c r="X104" s="8">
        <f t="shared" si="6"/>
        <v>0</v>
      </c>
      <c r="Y104" s="8">
        <f t="shared" si="7"/>
        <v>5.1974508860711903E-6</v>
      </c>
      <c r="Z104" s="8">
        <f t="shared" si="8"/>
        <v>4.5490261623977067E-7</v>
      </c>
      <c r="AA104" s="8">
        <f t="shared" si="26"/>
        <v>0</v>
      </c>
      <c r="AB104" s="8">
        <f t="shared" si="27"/>
        <v>0</v>
      </c>
      <c r="AC104" s="8">
        <f t="shared" si="9"/>
        <v>-2.6844969661355604E-4</v>
      </c>
      <c r="AD104" s="8">
        <f t="shared" si="28"/>
        <v>-9.1220226920847566E-2</v>
      </c>
      <c r="AF104" s="21">
        <f t="shared" si="29"/>
        <v>14.346767328297622</v>
      </c>
      <c r="AG104" s="8">
        <f t="shared" si="30"/>
        <v>-1.5388836111605122E-2</v>
      </c>
      <c r="AI104" s="12">
        <f t="shared" si="31"/>
        <v>-13.97940008679641</v>
      </c>
      <c r="AJ104" s="8">
        <f t="shared" si="32"/>
        <v>-2.1330013407621365E-4</v>
      </c>
      <c r="AL104" s="12">
        <f t="shared" si="33"/>
        <v>39.999990427709022</v>
      </c>
      <c r="AM104" s="8">
        <f t="shared" si="34"/>
        <v>179.92433564110132</v>
      </c>
    </row>
    <row r="105" spans="1:39" x14ac:dyDescent="0.3">
      <c r="A105" s="20">
        <v>2</v>
      </c>
      <c r="B105" s="8">
        <f t="shared" si="10"/>
        <v>12.566370614359172</v>
      </c>
      <c r="C105" s="9">
        <f t="shared" si="11"/>
        <v>40.367367550689096</v>
      </c>
      <c r="D105" s="9">
        <f t="shared" si="12"/>
        <v>0.99999999822078722</v>
      </c>
      <c r="E105" s="9">
        <f t="shared" si="13"/>
        <v>5.3689940588410429E-4</v>
      </c>
      <c r="F105" s="9">
        <f t="shared" si="14"/>
        <v>1.2364472722473981E-6</v>
      </c>
      <c r="G105" s="9">
        <f t="shared" si="15"/>
        <v>5.3499026973437208E-7</v>
      </c>
      <c r="H105" s="9">
        <f t="shared" si="16"/>
        <v>3.7874925576264331E-11</v>
      </c>
      <c r="I105" s="9">
        <f t="shared" si="17"/>
        <v>0</v>
      </c>
      <c r="J105" s="9">
        <f t="shared" si="18"/>
        <v>3.8824020474866743E-5</v>
      </c>
      <c r="K105" s="9">
        <f t="shared" si="19"/>
        <v>0</v>
      </c>
      <c r="L105" s="9">
        <f t="shared" si="20"/>
        <v>0.99999999998534905</v>
      </c>
      <c r="M105" s="9">
        <f t="shared" si="21"/>
        <v>1.0394901772197907E-5</v>
      </c>
      <c r="N105" s="9">
        <f t="shared" si="22"/>
        <v>3.4201609390078765E-10</v>
      </c>
      <c r="O105" s="9">
        <f t="shared" si="0"/>
        <v>3.5950127953099102E-12</v>
      </c>
      <c r="P105" s="9">
        <f t="shared" si="23"/>
        <v>0</v>
      </c>
      <c r="Q105" s="9">
        <f t="shared" si="24"/>
        <v>0</v>
      </c>
      <c r="R105" s="21">
        <f t="shared" si="25"/>
        <v>40.367328024903884</v>
      </c>
      <c r="S105" s="8">
        <f t="shared" si="1"/>
        <v>5.3689935525032305E-4</v>
      </c>
      <c r="T105" s="8">
        <f t="shared" si="2"/>
        <v>3.5097871684715591E-4</v>
      </c>
      <c r="U105" s="8">
        <f t="shared" si="3"/>
        <v>2.9530970943658212E-6</v>
      </c>
      <c r="V105" s="8">
        <f t="shared" si="4"/>
        <v>0</v>
      </c>
      <c r="W105" s="8">
        <f t="shared" si="5"/>
        <v>2.9899076507685389E-3</v>
      </c>
      <c r="X105" s="8">
        <f t="shared" si="6"/>
        <v>0</v>
      </c>
      <c r="Y105" s="8">
        <f t="shared" si="7"/>
        <v>1.0394901771975798E-5</v>
      </c>
      <c r="Z105" s="8">
        <f t="shared" si="8"/>
        <v>9.0980523247935308E-7</v>
      </c>
      <c r="AA105" s="8">
        <f t="shared" si="26"/>
        <v>0</v>
      </c>
      <c r="AB105" s="8">
        <f t="shared" si="27"/>
        <v>0</v>
      </c>
      <c r="AC105" s="8">
        <f t="shared" si="9"/>
        <v>-5.3689935525032305E-4</v>
      </c>
      <c r="AD105" s="8">
        <f t="shared" si="28"/>
        <v>-0.18244006942777927</v>
      </c>
      <c r="AF105" s="21">
        <f t="shared" si="29"/>
        <v>14.346766400962203</v>
      </c>
      <c r="AG105" s="8">
        <f t="shared" si="30"/>
        <v>-3.0777670046196862E-2</v>
      </c>
      <c r="AI105" s="12">
        <f t="shared" si="31"/>
        <v>-13.979400087024516</v>
      </c>
      <c r="AJ105" s="8">
        <f t="shared" si="32"/>
        <v>-4.266002681432471E-4</v>
      </c>
      <c r="AL105" s="12">
        <f t="shared" si="33"/>
        <v>39.999961710966204</v>
      </c>
      <c r="AM105" s="8">
        <f t="shared" si="34"/>
        <v>179.84867166463448</v>
      </c>
    </row>
    <row r="106" spans="1:39" x14ac:dyDescent="0.3">
      <c r="A106" s="20">
        <v>3</v>
      </c>
      <c r="B106" s="8">
        <f t="shared" si="10"/>
        <v>18.849555921538759</v>
      </c>
      <c r="C106" s="9">
        <f t="shared" si="11"/>
        <v>40.367367550689096</v>
      </c>
      <c r="D106" s="9">
        <f t="shared" si="12"/>
        <v>0.99999999599677114</v>
      </c>
      <c r="E106" s="9">
        <f t="shared" si="13"/>
        <v>8.0534910882251948E-4</v>
      </c>
      <c r="F106" s="9">
        <f t="shared" si="14"/>
        <v>2.7820058686572911E-6</v>
      </c>
      <c r="G106" s="9">
        <f t="shared" si="15"/>
        <v>1.2037280162049938E-6</v>
      </c>
      <c r="H106" s="9">
        <f t="shared" si="16"/>
        <v>8.5215689563962853E-11</v>
      </c>
      <c r="I106" s="9">
        <f t="shared" si="17"/>
        <v>0</v>
      </c>
      <c r="J106" s="9">
        <f t="shared" si="18"/>
        <v>8.7353558005119462E-5</v>
      </c>
      <c r="K106" s="9">
        <f t="shared" si="19"/>
        <v>0</v>
      </c>
      <c r="L106" s="9">
        <f t="shared" si="20"/>
        <v>0.99999999996703548</v>
      </c>
      <c r="M106" s="9">
        <f t="shared" si="21"/>
        <v>1.5592352658296861E-5</v>
      </c>
      <c r="N106" s="9">
        <f t="shared" si="22"/>
        <v>7.6953717558530033E-10</v>
      </c>
      <c r="O106" s="9">
        <f t="shared" si="0"/>
        <v>8.0887787894452052E-12</v>
      </c>
      <c r="P106" s="9">
        <f t="shared" si="23"/>
        <v>0</v>
      </c>
      <c r="Q106" s="9">
        <f t="shared" si="24"/>
        <v>0</v>
      </c>
      <c r="R106" s="21">
        <f t="shared" si="25"/>
        <v>40.367278618160825</v>
      </c>
      <c r="S106" s="8">
        <f t="shared" si="1"/>
        <v>8.053489379335442E-4</v>
      </c>
      <c r="T106" s="8">
        <f t="shared" si="2"/>
        <v>5.2646804824843388E-4</v>
      </c>
      <c r="U106" s="8">
        <f t="shared" si="3"/>
        <v>4.4296456415326353E-6</v>
      </c>
      <c r="V106" s="8">
        <f t="shared" si="4"/>
        <v>0</v>
      </c>
      <c r="W106" s="8">
        <f t="shared" si="5"/>
        <v>4.4848447710307757E-3</v>
      </c>
      <c r="X106" s="8">
        <f t="shared" si="6"/>
        <v>0</v>
      </c>
      <c r="Y106" s="8">
        <f t="shared" si="7"/>
        <v>1.5592352657547244E-5</v>
      </c>
      <c r="Z106" s="8">
        <f t="shared" si="8"/>
        <v>1.3647078487185589E-6</v>
      </c>
      <c r="AA106" s="8">
        <f t="shared" si="26"/>
        <v>0</v>
      </c>
      <c r="AB106" s="8">
        <f t="shared" si="27"/>
        <v>0</v>
      </c>
      <c r="AC106" s="8">
        <f t="shared" si="9"/>
        <v>-8.053489379335442E-4</v>
      </c>
      <c r="AD106" s="8">
        <f t="shared" si="28"/>
        <v>-0.27365914311714851</v>
      </c>
      <c r="AF106" s="21">
        <f t="shared" si="29"/>
        <v>14.346764855403606</v>
      </c>
      <c r="AG106" s="8">
        <f t="shared" si="30"/>
        <v>-4.6166499626763682E-2</v>
      </c>
      <c r="AI106" s="12">
        <f t="shared" si="31"/>
        <v>-13.979400087404697</v>
      </c>
      <c r="AJ106" s="8">
        <f t="shared" si="32"/>
        <v>-6.3990040219192017E-4</v>
      </c>
      <c r="AL106" s="12">
        <f t="shared" si="33"/>
        <v>39.999913850161924</v>
      </c>
      <c r="AM106" s="8">
        <f t="shared" si="34"/>
        <v>179.77300845302116</v>
      </c>
    </row>
    <row r="107" spans="1:39" x14ac:dyDescent="0.3">
      <c r="A107" s="20">
        <v>4</v>
      </c>
      <c r="B107" s="8">
        <f t="shared" si="10"/>
        <v>25.132741228718345</v>
      </c>
      <c r="C107" s="9">
        <f t="shared" si="11"/>
        <v>40.367367550689096</v>
      </c>
      <c r="D107" s="9">
        <f t="shared" si="12"/>
        <v>0.99999999288314878</v>
      </c>
      <c r="E107" s="9">
        <f t="shared" si="13"/>
        <v>1.0737988117565705E-3</v>
      </c>
      <c r="F107" s="9">
        <f t="shared" si="14"/>
        <v>4.9457869798860401E-6</v>
      </c>
      <c r="G107" s="9">
        <f t="shared" si="15"/>
        <v>2.1399606864333829E-6</v>
      </c>
      <c r="H107" s="9">
        <f t="shared" si="16"/>
        <v>1.5149584499420024E-10</v>
      </c>
      <c r="I107" s="9">
        <f t="shared" si="17"/>
        <v>0</v>
      </c>
      <c r="J107" s="9">
        <f t="shared" si="18"/>
        <v>1.552939995219681E-4</v>
      </c>
      <c r="K107" s="9">
        <f t="shared" si="19"/>
        <v>0</v>
      </c>
      <c r="L107" s="9">
        <f t="shared" si="20"/>
        <v>0.99999999994139632</v>
      </c>
      <c r="M107" s="9">
        <f t="shared" si="21"/>
        <v>2.0789803544395814E-5</v>
      </c>
      <c r="N107" s="9">
        <f t="shared" si="22"/>
        <v>1.3680643755223469E-9</v>
      </c>
      <c r="O107" s="9">
        <f t="shared" si="0"/>
        <v>1.4380051181230715E-11</v>
      </c>
      <c r="P107" s="9">
        <f t="shared" si="23"/>
        <v>0</v>
      </c>
      <c r="Q107" s="9">
        <f t="shared" si="24"/>
        <v>0</v>
      </c>
      <c r="R107" s="21">
        <f t="shared" si="25"/>
        <v>40.367209449632334</v>
      </c>
      <c r="S107" s="8">
        <f t="shared" si="1"/>
        <v>1.0737984066865281E-3</v>
      </c>
      <c r="T107" s="8">
        <f t="shared" si="2"/>
        <v>7.0195734722296285E-4</v>
      </c>
      <c r="U107" s="8">
        <f t="shared" si="3"/>
        <v>5.9061941886801352E-6</v>
      </c>
      <c r="V107" s="8">
        <f t="shared" si="4"/>
        <v>0</v>
      </c>
      <c r="W107" s="8">
        <f t="shared" si="5"/>
        <v>5.9797618456483327E-3</v>
      </c>
      <c r="X107" s="8">
        <f t="shared" si="6"/>
        <v>0</v>
      </c>
      <c r="Y107" s="8">
        <f t="shared" si="7"/>
        <v>2.0789803542618946E-5</v>
      </c>
      <c r="Z107" s="8">
        <f t="shared" si="8"/>
        <v>1.8196104649571999E-6</v>
      </c>
      <c r="AA107" s="8">
        <f t="shared" si="26"/>
        <v>0</v>
      </c>
      <c r="AB107" s="8">
        <f t="shared" si="27"/>
        <v>0</v>
      </c>
      <c r="AC107" s="8">
        <f t="shared" si="9"/>
        <v>-1.0737984066865281E-3</v>
      </c>
      <c r="AD107" s="8">
        <f t="shared" si="28"/>
        <v>-0.36487706360584643</v>
      </c>
      <c r="AF107" s="21">
        <f t="shared" si="29"/>
        <v>14.346762691622494</v>
      </c>
      <c r="AG107" s="8">
        <f t="shared" si="30"/>
        <v>-6.1555322676297791E-2</v>
      </c>
      <c r="AI107" s="12">
        <f t="shared" si="31"/>
        <v>-13.979400087936943</v>
      </c>
      <c r="AJ107" s="8">
        <f t="shared" si="32"/>
        <v>-8.5320053621305283E-4</v>
      </c>
      <c r="AL107" s="12">
        <f t="shared" si="33"/>
        <v>39.999846845946784</v>
      </c>
      <c r="AM107" s="8">
        <f t="shared" si="34"/>
        <v>179.69734638866234</v>
      </c>
    </row>
    <row r="108" spans="1:39" x14ac:dyDescent="0.3">
      <c r="A108" s="20">
        <v>5</v>
      </c>
      <c r="B108" s="8">
        <f t="shared" si="10"/>
        <v>31.415926535897931</v>
      </c>
      <c r="C108" s="9">
        <f t="shared" si="11"/>
        <v>40.367367550689096</v>
      </c>
      <c r="D108" s="9">
        <f t="shared" si="12"/>
        <v>0.99999998887991992</v>
      </c>
      <c r="E108" s="9">
        <f t="shared" si="13"/>
        <v>1.3422485146848025E-3</v>
      </c>
      <c r="F108" s="9">
        <f t="shared" si="14"/>
        <v>7.7277896810323373E-6</v>
      </c>
      <c r="G108" s="9">
        <f t="shared" si="15"/>
        <v>3.3436881109893693E-6</v>
      </c>
      <c r="H108" s="9">
        <f t="shared" si="16"/>
        <v>2.3671153455667681E-10</v>
      </c>
      <c r="I108" s="9">
        <f t="shared" si="17"/>
        <v>0</v>
      </c>
      <c r="J108" s="9">
        <f t="shared" si="18"/>
        <v>2.4264443404741872E-4</v>
      </c>
      <c r="K108" s="9">
        <f t="shared" si="19"/>
        <v>0</v>
      </c>
      <c r="L108" s="9">
        <f t="shared" si="20"/>
        <v>0.9999999999084318</v>
      </c>
      <c r="M108" s="9">
        <f t="shared" si="21"/>
        <v>2.598725443049477E-5</v>
      </c>
      <c r="N108" s="9">
        <f t="shared" si="22"/>
        <v>2.1376015509864421E-9</v>
      </c>
      <c r="O108" s="9">
        <f t="shared" si="0"/>
        <v>2.2468829970662528E-11</v>
      </c>
      <c r="P108" s="9">
        <f t="shared" si="23"/>
        <v>0</v>
      </c>
      <c r="Q108" s="9">
        <f t="shared" si="24"/>
        <v>0</v>
      </c>
      <c r="R108" s="21">
        <f t="shared" si="25"/>
        <v>40.367120520230124</v>
      </c>
      <c r="S108" s="8">
        <f t="shared" si="1"/>
        <v>1.3422477235326799E-3</v>
      </c>
      <c r="T108" s="8">
        <f t="shared" si="2"/>
        <v>8.7744660296184521E-4</v>
      </c>
      <c r="U108" s="8">
        <f t="shared" si="3"/>
        <v>7.382742735801882E-6</v>
      </c>
      <c r="V108" s="8">
        <f t="shared" si="4"/>
        <v>0</v>
      </c>
      <c r="W108" s="8">
        <f t="shared" si="5"/>
        <v>7.4746521935758758E-3</v>
      </c>
      <c r="X108" s="8">
        <f t="shared" si="6"/>
        <v>0</v>
      </c>
      <c r="Y108" s="8">
        <f t="shared" si="7"/>
        <v>2.5987254427024324E-5</v>
      </c>
      <c r="Z108" s="8">
        <f t="shared" si="8"/>
        <v>2.2745130811950881E-6</v>
      </c>
      <c r="AA108" s="8">
        <f t="shared" si="26"/>
        <v>0</v>
      </c>
      <c r="AB108" s="8">
        <f t="shared" si="27"/>
        <v>0</v>
      </c>
      <c r="AC108" s="8">
        <f t="shared" si="9"/>
        <v>-1.3422477235326799E-3</v>
      </c>
      <c r="AD108" s="8">
        <f t="shared" si="28"/>
        <v>-0.45609344654156936</v>
      </c>
      <c r="AF108" s="21">
        <f t="shared" si="29"/>
        <v>14.346759909619793</v>
      </c>
      <c r="AG108" s="8">
        <f t="shared" si="30"/>
        <v>-7.6944137017796926E-2</v>
      </c>
      <c r="AI108" s="12">
        <f t="shared" si="31"/>
        <v>-13.979400088621265</v>
      </c>
      <c r="AJ108" s="8">
        <f t="shared" si="32"/>
        <v>-1.0665006701974648E-3</v>
      </c>
      <c r="AL108" s="12">
        <f t="shared" si="33"/>
        <v>39.999760699231601</v>
      </c>
      <c r="AM108" s="8">
        <f t="shared" si="34"/>
        <v>179.62168585392831</v>
      </c>
    </row>
    <row r="109" spans="1:39" x14ac:dyDescent="0.3">
      <c r="A109" s="20">
        <v>6</v>
      </c>
      <c r="B109" s="8">
        <f t="shared" si="10"/>
        <v>37.699111843077517</v>
      </c>
      <c r="C109" s="9">
        <f t="shared" si="11"/>
        <v>40.367367550689096</v>
      </c>
      <c r="D109" s="9">
        <f t="shared" si="12"/>
        <v>0.99999998398708467</v>
      </c>
      <c r="E109" s="9">
        <f t="shared" si="13"/>
        <v>1.6106982176057605E-3</v>
      </c>
      <c r="F109" s="9">
        <f t="shared" si="14"/>
        <v>1.1128012784040857E-5</v>
      </c>
      <c r="G109" s="9">
        <f t="shared" si="15"/>
        <v>4.8149100629420503E-6</v>
      </c>
      <c r="H109" s="9">
        <f t="shared" si="16"/>
        <v>3.4086468690576828E-10</v>
      </c>
      <c r="I109" s="9">
        <f t="shared" si="17"/>
        <v>0</v>
      </c>
      <c r="J109" s="9">
        <f t="shared" si="18"/>
        <v>3.4940369039192026E-4</v>
      </c>
      <c r="K109" s="9">
        <f t="shared" si="19"/>
        <v>0</v>
      </c>
      <c r="L109" s="9">
        <f t="shared" si="20"/>
        <v>0.99999999986814181</v>
      </c>
      <c r="M109" s="9">
        <f t="shared" si="21"/>
        <v>3.1184705316593723E-5</v>
      </c>
      <c r="N109" s="9">
        <f t="shared" si="22"/>
        <v>3.0781467732771999E-9</v>
      </c>
      <c r="O109" s="9">
        <f t="shared" si="0"/>
        <v>3.235511515773563E-11</v>
      </c>
      <c r="P109" s="9">
        <f t="shared" si="23"/>
        <v>0</v>
      </c>
      <c r="Q109" s="9">
        <f t="shared" si="24"/>
        <v>0</v>
      </c>
      <c r="R109" s="21">
        <f t="shared" si="25"/>
        <v>40.367011831126334</v>
      </c>
      <c r="S109" s="8">
        <f t="shared" si="1"/>
        <v>1.6106968504955349E-3</v>
      </c>
      <c r="T109" s="8">
        <f t="shared" si="2"/>
        <v>1.0529358046561996E-3</v>
      </c>
      <c r="U109" s="8">
        <f t="shared" si="3"/>
        <v>8.8592912828914356E-6</v>
      </c>
      <c r="V109" s="8">
        <f t="shared" si="4"/>
        <v>0</v>
      </c>
      <c r="W109" s="8">
        <f t="shared" si="5"/>
        <v>8.9695091344847693E-3</v>
      </c>
      <c r="X109" s="8">
        <f t="shared" si="6"/>
        <v>0</v>
      </c>
      <c r="Y109" s="8">
        <f t="shared" si="7"/>
        <v>3.1184705310596784E-5</v>
      </c>
      <c r="Z109" s="8">
        <f t="shared" si="8"/>
        <v>2.7294156974320344E-6</v>
      </c>
      <c r="AA109" s="8">
        <f t="shared" si="26"/>
        <v>0</v>
      </c>
      <c r="AB109" s="8">
        <f t="shared" si="27"/>
        <v>0</v>
      </c>
      <c r="AC109" s="8">
        <f t="shared" si="9"/>
        <v>-1.6106968504955349E-3</v>
      </c>
      <c r="AD109" s="8">
        <f t="shared" si="28"/>
        <v>-0.54730790761308323</v>
      </c>
      <c r="AF109" s="21">
        <f t="shared" si="29"/>
        <v>14.346756509396691</v>
      </c>
      <c r="AG109" s="8">
        <f t="shared" si="30"/>
        <v>-9.2332940474266323E-2</v>
      </c>
      <c r="AI109" s="12">
        <f t="shared" si="31"/>
        <v>-13.979400089457657</v>
      </c>
      <c r="AJ109" s="8">
        <f t="shared" si="32"/>
        <v>-1.2798008041359755E-3</v>
      </c>
      <c r="AL109" s="12">
        <f t="shared" si="33"/>
        <v>39.999655411187312</v>
      </c>
      <c r="AM109" s="8">
        <f t="shared" si="34"/>
        <v>179.5460272311482</v>
      </c>
    </row>
    <row r="110" spans="1:39" x14ac:dyDescent="0.3">
      <c r="A110" s="20">
        <v>7</v>
      </c>
      <c r="B110" s="8">
        <f t="shared" si="10"/>
        <v>43.982297150257104</v>
      </c>
      <c r="C110" s="9">
        <f t="shared" si="11"/>
        <v>40.367367550689096</v>
      </c>
      <c r="D110" s="9">
        <f t="shared" si="12"/>
        <v>0.99999997820464315</v>
      </c>
      <c r="E110" s="9">
        <f t="shared" si="13"/>
        <v>1.8791479205179902E-3</v>
      </c>
      <c r="F110" s="9">
        <f t="shared" si="14"/>
        <v>1.5146454837703307E-5</v>
      </c>
      <c r="G110" s="9">
        <f t="shared" si="15"/>
        <v>6.5536262752177636E-6</v>
      </c>
      <c r="H110" s="9">
        <f t="shared" si="16"/>
        <v>4.639553020407933E-10</v>
      </c>
      <c r="I110" s="9">
        <f t="shared" si="17"/>
        <v>0</v>
      </c>
      <c r="J110" s="9">
        <f t="shared" si="18"/>
        <v>4.7557033721214875E-4</v>
      </c>
      <c r="K110" s="9">
        <f t="shared" si="19"/>
        <v>0</v>
      </c>
      <c r="L110" s="9">
        <f t="shared" si="20"/>
        <v>0.99999999982052634</v>
      </c>
      <c r="M110" s="9">
        <f t="shared" si="21"/>
        <v>3.6382156202692679E-5</v>
      </c>
      <c r="N110" s="9">
        <f t="shared" si="22"/>
        <v>4.1896981136841369E-9</v>
      </c>
      <c r="O110" s="9">
        <f t="shared" si="0"/>
        <v>4.4036978087510776E-11</v>
      </c>
      <c r="P110" s="9">
        <f t="shared" si="23"/>
        <v>0</v>
      </c>
      <c r="Q110" s="9">
        <f t="shared" si="24"/>
        <v>0</v>
      </c>
      <c r="R110" s="21">
        <f t="shared" si="25"/>
        <v>40.366883383753539</v>
      </c>
      <c r="S110" s="8">
        <f t="shared" si="1"/>
        <v>1.8791457495987908E-3</v>
      </c>
      <c r="T110" s="8">
        <f t="shared" si="2"/>
        <v>1.228424941497164E-3</v>
      </c>
      <c r="U110" s="8">
        <f t="shared" si="3"/>
        <v>1.0335839829942362E-5</v>
      </c>
      <c r="V110" s="8">
        <f t="shared" si="4"/>
        <v>0</v>
      </c>
      <c r="W110" s="8">
        <f t="shared" si="5"/>
        <v>1.0464325988942152E-2</v>
      </c>
      <c r="X110" s="8">
        <f t="shared" si="6"/>
        <v>0</v>
      </c>
      <c r="Y110" s="8">
        <f t="shared" si="7"/>
        <v>3.6382156193169772E-5</v>
      </c>
      <c r="Z110" s="8">
        <f t="shared" si="8"/>
        <v>3.1843183136678516E-6</v>
      </c>
      <c r="AA110" s="8">
        <f t="shared" si="26"/>
        <v>0</v>
      </c>
      <c r="AB110" s="8">
        <f t="shared" si="27"/>
        <v>0</v>
      </c>
      <c r="AC110" s="8">
        <f t="shared" si="9"/>
        <v>-1.8791457495987908E-3</v>
      </c>
      <c r="AD110" s="8">
        <f t="shared" si="28"/>
        <v>-0.6385200625604871</v>
      </c>
      <c r="AF110" s="21">
        <f t="shared" si="29"/>
        <v>14.346752490954637</v>
      </c>
      <c r="AG110" s="8">
        <f t="shared" si="30"/>
        <v>-0.10772173086872049</v>
      </c>
      <c r="AI110" s="12">
        <f t="shared" si="31"/>
        <v>-13.979400090446116</v>
      </c>
      <c r="AJ110" s="8">
        <f t="shared" si="32"/>
        <v>-1.4931009380194057E-3</v>
      </c>
      <c r="AL110" s="12">
        <f t="shared" si="33"/>
        <v>39.999530983245023</v>
      </c>
      <c r="AM110" s="8">
        <f t="shared" si="34"/>
        <v>179.47037090259983</v>
      </c>
    </row>
    <row r="111" spans="1:39" x14ac:dyDescent="0.3">
      <c r="A111" s="20">
        <v>8</v>
      </c>
      <c r="B111" s="8">
        <f t="shared" si="10"/>
        <v>50.26548245743669</v>
      </c>
      <c r="C111" s="9">
        <f t="shared" si="11"/>
        <v>40.367367550689096</v>
      </c>
      <c r="D111" s="9">
        <f t="shared" si="12"/>
        <v>0.99999997153259501</v>
      </c>
      <c r="E111" s="9">
        <f t="shared" si="13"/>
        <v>2.1475976234200363E-3</v>
      </c>
      <c r="F111" s="9">
        <f t="shared" si="14"/>
        <v>1.9783114125731079E-5</v>
      </c>
      <c r="G111" s="9">
        <f t="shared" si="15"/>
        <v>8.5598364232423051E-6</v>
      </c>
      <c r="H111" s="9">
        <f t="shared" si="16"/>
        <v>6.0598337996094702E-10</v>
      </c>
      <c r="I111" s="9">
        <f t="shared" si="17"/>
        <v>0</v>
      </c>
      <c r="J111" s="9">
        <f t="shared" si="18"/>
        <v>6.2114268307026732E-4</v>
      </c>
      <c r="K111" s="9">
        <f t="shared" si="19"/>
        <v>0</v>
      </c>
      <c r="L111" s="9">
        <f t="shared" si="20"/>
        <v>0.9999999997655854</v>
      </c>
      <c r="M111" s="9">
        <f t="shared" si="21"/>
        <v>4.1579607088791628E-5</v>
      </c>
      <c r="N111" s="9">
        <f t="shared" si="22"/>
        <v>5.4722594294514639E-9</v>
      </c>
      <c r="O111" s="9">
        <f t="shared" si="0"/>
        <v>5.7516347414913824E-11</v>
      </c>
      <c r="P111" s="9">
        <f t="shared" si="23"/>
        <v>0</v>
      </c>
      <c r="Q111" s="9">
        <f t="shared" si="24"/>
        <v>0</v>
      </c>
      <c r="R111" s="21">
        <f t="shared" si="25"/>
        <v>40.366735179804529</v>
      </c>
      <c r="S111" s="8">
        <f t="shared" si="1"/>
        <v>2.147594382866339E-3</v>
      </c>
      <c r="T111" s="8">
        <f t="shared" si="2"/>
        <v>1.4039140026759005E-3</v>
      </c>
      <c r="U111" s="8">
        <f t="shared" si="3"/>
        <v>1.1812388376948218E-5</v>
      </c>
      <c r="V111" s="8">
        <f t="shared" si="4"/>
        <v>0</v>
      </c>
      <c r="W111" s="8">
        <f t="shared" si="5"/>
        <v>1.1959096078589965E-2</v>
      </c>
      <c r="X111" s="8">
        <f t="shared" si="6"/>
        <v>0</v>
      </c>
      <c r="Y111" s="8">
        <f t="shared" si="7"/>
        <v>4.1579607074576674E-5</v>
      </c>
      <c r="Z111" s="8">
        <f t="shared" si="8"/>
        <v>3.6392209299023508E-6</v>
      </c>
      <c r="AA111" s="8">
        <f t="shared" si="26"/>
        <v>0</v>
      </c>
      <c r="AB111" s="8">
        <f t="shared" si="27"/>
        <v>0</v>
      </c>
      <c r="AC111" s="8">
        <f t="shared" si="9"/>
        <v>-2.147594382866339E-3</v>
      </c>
      <c r="AD111" s="8">
        <f t="shared" si="28"/>
        <v>-0.72972952718547068</v>
      </c>
      <c r="AF111" s="21">
        <f t="shared" si="29"/>
        <v>14.346747854295348</v>
      </c>
      <c r="AG111" s="8">
        <f t="shared" si="30"/>
        <v>-0.12311050602418502</v>
      </c>
      <c r="AI111" s="12">
        <f t="shared" si="31"/>
        <v>-13.979400091586651</v>
      </c>
      <c r="AJ111" s="8">
        <f t="shared" si="32"/>
        <v>-1.7064010718385739E-3</v>
      </c>
      <c r="AL111" s="12">
        <f t="shared" si="33"/>
        <v>39.999387417095832</v>
      </c>
      <c r="AM111" s="8">
        <f t="shared" si="34"/>
        <v>179.39471725049938</v>
      </c>
    </row>
    <row r="112" spans="1:39" x14ac:dyDescent="0.3">
      <c r="A112" s="20">
        <v>9</v>
      </c>
      <c r="B112" s="8">
        <f t="shared" si="10"/>
        <v>56.548667764616276</v>
      </c>
      <c r="C112" s="9">
        <f t="shared" si="11"/>
        <v>40.367367550689096</v>
      </c>
      <c r="D112" s="9">
        <f t="shared" si="12"/>
        <v>0.9999999639709406</v>
      </c>
      <c r="E112" s="9">
        <f t="shared" si="13"/>
        <v>2.416047326310445E-3</v>
      </c>
      <c r="F112" s="9">
        <f t="shared" si="14"/>
        <v>2.503798866868541E-5</v>
      </c>
      <c r="G112" s="9">
        <f t="shared" si="15"/>
        <v>1.0833540134584326E-5</v>
      </c>
      <c r="H112" s="9">
        <f t="shared" si="16"/>
        <v>7.6694506335543442E-10</v>
      </c>
      <c r="I112" s="9">
        <f t="shared" si="17"/>
        <v>0</v>
      </c>
      <c r="J112" s="9">
        <f t="shared" si="18"/>
        <v>7.8611877651008912E-4</v>
      </c>
      <c r="K112" s="9">
        <f t="shared" si="19"/>
        <v>0</v>
      </c>
      <c r="L112" s="9">
        <f t="shared" si="20"/>
        <v>0.99999999970331899</v>
      </c>
      <c r="M112" s="9">
        <f t="shared" si="21"/>
        <v>4.6777057974890584E-5</v>
      </c>
      <c r="N112" s="9">
        <f t="shared" si="22"/>
        <v>6.925828791848496E-9</v>
      </c>
      <c r="O112" s="9">
        <f t="shared" si="0"/>
        <v>7.2795151794869486E-11</v>
      </c>
      <c r="P112" s="9">
        <f t="shared" si="23"/>
        <v>0</v>
      </c>
      <c r="Q112" s="9">
        <f t="shared" si="24"/>
        <v>0</v>
      </c>
      <c r="R112" s="21">
        <f t="shared" si="25"/>
        <v>40.366567221232373</v>
      </c>
      <c r="S112" s="8">
        <f t="shared" si="1"/>
        <v>2.4160427123223003E-3</v>
      </c>
      <c r="T112" s="8">
        <f t="shared" si="2"/>
        <v>1.5794029773835996E-3</v>
      </c>
      <c r="U112" s="8">
        <f t="shared" si="3"/>
        <v>1.3288936923902567E-5</v>
      </c>
      <c r="V112" s="8">
        <f t="shared" si="4"/>
        <v>0</v>
      </c>
      <c r="W112" s="8">
        <f t="shared" si="5"/>
        <v>1.3453812726323905E-2</v>
      </c>
      <c r="X112" s="8">
        <f t="shared" si="6"/>
        <v>0</v>
      </c>
      <c r="Y112" s="8">
        <f t="shared" si="7"/>
        <v>4.6777057954650928E-5</v>
      </c>
      <c r="Z112" s="8">
        <f t="shared" si="8"/>
        <v>4.0941235461353431E-6</v>
      </c>
      <c r="AA112" s="8">
        <f t="shared" si="26"/>
        <v>0</v>
      </c>
      <c r="AB112" s="8">
        <f t="shared" si="27"/>
        <v>0</v>
      </c>
      <c r="AC112" s="8">
        <f t="shared" si="9"/>
        <v>-2.4160427123223003E-3</v>
      </c>
      <c r="AD112" s="8">
        <f t="shared" si="28"/>
        <v>-0.82093591736157068</v>
      </c>
      <c r="AF112" s="21">
        <f t="shared" si="29"/>
        <v>14.346742599420805</v>
      </c>
      <c r="AG112" s="8">
        <f t="shared" si="30"/>
        <v>-0.13849926376369873</v>
      </c>
      <c r="AI112" s="12">
        <f t="shared" si="31"/>
        <v>-13.979400092879258</v>
      </c>
      <c r="AJ112" s="8">
        <f t="shared" si="32"/>
        <v>-1.9197012055843009E-3</v>
      </c>
      <c r="AL112" s="12">
        <f t="shared" si="33"/>
        <v>39.999224714690833</v>
      </c>
      <c r="AM112" s="8">
        <f t="shared" si="34"/>
        <v>179.31906665699123</v>
      </c>
    </row>
    <row r="113" spans="1:39" x14ac:dyDescent="0.3">
      <c r="A113" s="20">
        <v>10</v>
      </c>
      <c r="B113" s="8">
        <f t="shared" si="10"/>
        <v>62.831853071795862</v>
      </c>
      <c r="C113" s="9">
        <f t="shared" si="11"/>
        <v>40.367367550689096</v>
      </c>
      <c r="D113" s="9">
        <f t="shared" si="12"/>
        <v>0.9999999555196798</v>
      </c>
      <c r="E113" s="9">
        <f t="shared" si="13"/>
        <v>2.6844970291877604E-3</v>
      </c>
      <c r="F113" s="9">
        <f t="shared" si="14"/>
        <v>3.0911076222050518E-5</v>
      </c>
      <c r="G113" s="9">
        <f t="shared" si="15"/>
        <v>1.3374736994741427E-5</v>
      </c>
      <c r="H113" s="9">
        <f t="shared" si="16"/>
        <v>9.4684613818800138E-10</v>
      </c>
      <c r="I113" s="9">
        <f t="shared" si="17"/>
        <v>0</v>
      </c>
      <c r="J113" s="9">
        <f t="shared" si="18"/>
        <v>9.7049640614627758E-4</v>
      </c>
      <c r="K113" s="9">
        <f t="shared" si="19"/>
        <v>0</v>
      </c>
      <c r="L113" s="9">
        <f t="shared" si="20"/>
        <v>0.9999999996337271</v>
      </c>
      <c r="M113" s="9">
        <f t="shared" si="21"/>
        <v>5.197450886098954E-5</v>
      </c>
      <c r="N113" s="9">
        <f t="shared" si="22"/>
        <v>8.5504062007893794E-9</v>
      </c>
      <c r="O113" s="9">
        <f t="shared" si="0"/>
        <v>8.9871462572435208E-11</v>
      </c>
      <c r="P113" s="9">
        <f t="shared" si="23"/>
        <v>0</v>
      </c>
      <c r="Q113" s="9">
        <f t="shared" si="24"/>
        <v>0</v>
      </c>
      <c r="R113" s="21">
        <f t="shared" si="25"/>
        <v>40.36637951025029</v>
      </c>
      <c r="S113" s="8">
        <f t="shared" si="1"/>
        <v>2.6844906999910511E-3</v>
      </c>
      <c r="T113" s="8">
        <f t="shared" si="2"/>
        <v>1.7548918548114835E-3</v>
      </c>
      <c r="U113" s="8">
        <f t="shared" si="3"/>
        <v>1.4765485470798973E-5</v>
      </c>
      <c r="V113" s="8">
        <f t="shared" si="4"/>
        <v>0</v>
      </c>
      <c r="W113" s="8">
        <f t="shared" si="5"/>
        <v>1.4948469256472287E-2</v>
      </c>
      <c r="X113" s="8">
        <f t="shared" si="6"/>
        <v>0</v>
      </c>
      <c r="Y113" s="8">
        <f t="shared" si="7"/>
        <v>5.1974508833225955E-5</v>
      </c>
      <c r="Z113" s="8">
        <f t="shared" si="8"/>
        <v>4.5490261623666423E-6</v>
      </c>
      <c r="AA113" s="8">
        <f t="shared" si="26"/>
        <v>0</v>
      </c>
      <c r="AB113" s="8">
        <f t="shared" si="27"/>
        <v>0</v>
      </c>
      <c r="AC113" s="8">
        <f t="shared" si="9"/>
        <v>-2.6844906999910511E-3</v>
      </c>
      <c r="AD113" s="8">
        <f t="shared" si="28"/>
        <v>-0.91213884904441922</v>
      </c>
      <c r="AF113" s="21">
        <f t="shared" si="29"/>
        <v>14.346736726333253</v>
      </c>
      <c r="AG113" s="8">
        <f t="shared" si="30"/>
        <v>-0.15388800191031501</v>
      </c>
      <c r="AI113" s="12">
        <f t="shared" si="31"/>
        <v>-13.979400094323935</v>
      </c>
      <c r="AJ113" s="8">
        <f t="shared" si="32"/>
        <v>-2.1330013392474065E-3</v>
      </c>
      <c r="AL113" s="12">
        <f t="shared" si="33"/>
        <v>39.999042878240978</v>
      </c>
      <c r="AM113" s="8">
        <f t="shared" si="34"/>
        <v>179.24341950413753</v>
      </c>
    </row>
    <row r="114" spans="1:39" x14ac:dyDescent="0.3">
      <c r="A114" s="20">
        <f>A113+5</f>
        <v>15</v>
      </c>
      <c r="B114" s="8">
        <f t="shared" si="10"/>
        <v>94.247779607693786</v>
      </c>
      <c r="C114" s="9">
        <f t="shared" si="11"/>
        <v>40.367367550689096</v>
      </c>
      <c r="D114" s="9">
        <f t="shared" si="12"/>
        <v>0.99999989991927951</v>
      </c>
      <c r="E114" s="9">
        <f t="shared" si="13"/>
        <v>4.0267455433270292E-3</v>
      </c>
      <c r="F114" s="9">
        <f t="shared" si="14"/>
        <v>6.9549612118653068E-5</v>
      </c>
      <c r="G114" s="9">
        <f t="shared" si="15"/>
        <v>3.0093100317257246E-5</v>
      </c>
      <c r="H114" s="9">
        <f t="shared" si="16"/>
        <v>2.130405739432789E-9</v>
      </c>
      <c r="I114" s="9">
        <f t="shared" si="17"/>
        <v>0</v>
      </c>
      <c r="J114" s="9">
        <f t="shared" si="18"/>
        <v>2.1833120170191393E-3</v>
      </c>
      <c r="K114" s="9">
        <f t="shared" si="19"/>
        <v>0</v>
      </c>
      <c r="L114" s="9">
        <f t="shared" si="20"/>
        <v>0.99999999917588611</v>
      </c>
      <c r="M114" s="9">
        <f t="shared" si="21"/>
        <v>7.7961763291484293E-5</v>
      </c>
      <c r="N114" s="9">
        <f t="shared" si="22"/>
        <v>1.9238413939939646E-8</v>
      </c>
      <c r="O114" s="9">
        <f t="shared" si="0"/>
        <v>2.0221175511413808E-10</v>
      </c>
      <c r="P114" s="9">
        <f t="shared" si="23"/>
        <v>0</v>
      </c>
      <c r="Q114" s="9">
        <f t="shared" si="24"/>
        <v>0</v>
      </c>
      <c r="R114" s="21">
        <f t="shared" si="25"/>
        <v>40.365144764850051</v>
      </c>
      <c r="S114" s="8">
        <f t="shared" si="1"/>
        <v>4.0267241824021669E-3</v>
      </c>
      <c r="T114" s="8">
        <f t="shared" si="2"/>
        <v>2.6323344044491903E-3</v>
      </c>
      <c r="U114" s="8">
        <f t="shared" si="3"/>
        <v>2.214822820418648E-5</v>
      </c>
      <c r="V114" s="8">
        <f t="shared" si="4"/>
        <v>0</v>
      </c>
      <c r="W114" s="8">
        <f t="shared" si="5"/>
        <v>2.242061661772099E-2</v>
      </c>
      <c r="X114" s="8">
        <f t="shared" si="6"/>
        <v>0</v>
      </c>
      <c r="Y114" s="8">
        <f t="shared" si="7"/>
        <v>7.7961763197782188E-5</v>
      </c>
      <c r="Z114" s="8">
        <f t="shared" si="8"/>
        <v>6.8235392434911276E-6</v>
      </c>
      <c r="AA114" s="8">
        <f t="shared" si="26"/>
        <v>0</v>
      </c>
      <c r="AB114" s="8">
        <f t="shared" si="27"/>
        <v>0</v>
      </c>
      <c r="AC114" s="8">
        <f t="shared" si="9"/>
        <v>-4.0267241824021669E-3</v>
      </c>
      <c r="AD114" s="8">
        <f t="shared" si="28"/>
        <v>-1.3680881955440136</v>
      </c>
      <c r="AF114" s="21">
        <f t="shared" si="29"/>
        <v>14.346698087797355</v>
      </c>
      <c r="AG114" s="8">
        <f t="shared" si="30"/>
        <v>-0.230831322558086</v>
      </c>
      <c r="AI114" s="12">
        <f t="shared" si="31"/>
        <v>-13.979400103828382</v>
      </c>
      <c r="AJ114" s="8">
        <f t="shared" si="32"/>
        <v>-3.1995020060023014E-3</v>
      </c>
      <c r="AL114" s="12">
        <f t="shared" si="33"/>
        <v>39.997846780881083</v>
      </c>
      <c r="AM114" s="8">
        <f t="shared" si="34"/>
        <v>178.86524871482396</v>
      </c>
    </row>
    <row r="115" spans="1:39" x14ac:dyDescent="0.3">
      <c r="A115" s="20">
        <f t="shared" ref="A115:A131" si="35">A114+5</f>
        <v>20</v>
      </c>
      <c r="B115" s="8">
        <f t="shared" si="10"/>
        <v>125.66370614359172</v>
      </c>
      <c r="C115" s="9">
        <f t="shared" si="11"/>
        <v>40.367367550689096</v>
      </c>
      <c r="D115" s="9">
        <f t="shared" si="12"/>
        <v>0.99999982207871918</v>
      </c>
      <c r="E115" s="9">
        <f t="shared" si="13"/>
        <v>5.3689940569207643E-3</v>
      </c>
      <c r="F115" s="9">
        <f t="shared" si="14"/>
        <v>1.2364298487733532E-4</v>
      </c>
      <c r="G115" s="9">
        <f t="shared" si="15"/>
        <v>5.3498700844771752E-5</v>
      </c>
      <c r="H115" s="9">
        <f t="shared" si="16"/>
        <v>3.7873864807876461E-9</v>
      </c>
      <c r="I115" s="9">
        <f t="shared" si="17"/>
        <v>0</v>
      </c>
      <c r="J115" s="9">
        <f t="shared" si="18"/>
        <v>3.8806850704737749E-3</v>
      </c>
      <c r="K115" s="9">
        <f t="shared" si="19"/>
        <v>0</v>
      </c>
      <c r="L115" s="9">
        <f t="shared" si="20"/>
        <v>0.99999999853490851</v>
      </c>
      <c r="M115" s="9">
        <f t="shared" si="21"/>
        <v>1.0394901772197908E-4</v>
      </c>
      <c r="N115" s="9">
        <f t="shared" si="22"/>
        <v>3.4201624752655296E-8</v>
      </c>
      <c r="O115" s="9">
        <f t="shared" si="0"/>
        <v>3.594858502841615E-10</v>
      </c>
      <c r="P115" s="9">
        <f t="shared" si="23"/>
        <v>0</v>
      </c>
      <c r="Q115" s="9">
        <f t="shared" si="24"/>
        <v>0</v>
      </c>
      <c r="R115" s="21">
        <f t="shared" si="25"/>
        <v>40.363416690560868</v>
      </c>
      <c r="S115" s="8">
        <f t="shared" si="1"/>
        <v>5.3689434239957926E-3</v>
      </c>
      <c r="T115" s="8">
        <f t="shared" si="2"/>
        <v>3.5097729008002078E-3</v>
      </c>
      <c r="U115" s="8">
        <f t="shared" si="3"/>
        <v>2.9530970935159617E-5</v>
      </c>
      <c r="V115" s="8">
        <f t="shared" si="4"/>
        <v>0</v>
      </c>
      <c r="W115" s="8">
        <f t="shared" si="5"/>
        <v>2.9890260824838741E-2</v>
      </c>
      <c r="X115" s="8">
        <f t="shared" si="6"/>
        <v>0</v>
      </c>
      <c r="Y115" s="8">
        <f t="shared" si="7"/>
        <v>1.0394901749987039E-4</v>
      </c>
      <c r="Z115" s="8">
        <f t="shared" si="8"/>
        <v>9.0980523245450128E-6</v>
      </c>
      <c r="AA115" s="8">
        <f t="shared" si="26"/>
        <v>0</v>
      </c>
      <c r="AB115" s="8">
        <f t="shared" si="27"/>
        <v>0</v>
      </c>
      <c r="AC115" s="8">
        <f t="shared" si="9"/>
        <v>-5.3689434239957926E-3</v>
      </c>
      <c r="AD115" s="8">
        <f t="shared" si="28"/>
        <v>-1.8238935381704704</v>
      </c>
      <c r="AF115" s="21">
        <f t="shared" si="29"/>
        <v>14.346643994424596</v>
      </c>
      <c r="AG115" s="8">
        <f t="shared" si="30"/>
        <v>-0.30777382685326199</v>
      </c>
      <c r="AI115" s="12">
        <f t="shared" si="31"/>
        <v>-13.979400117134613</v>
      </c>
      <c r="AJ115" s="8">
        <f t="shared" si="32"/>
        <v>-4.2660026693146294E-3</v>
      </c>
      <c r="AL115" s="12">
        <f t="shared" si="33"/>
        <v>39.996172813270888</v>
      </c>
      <c r="AM115" s="8">
        <f t="shared" si="34"/>
        <v>178.48722118606835</v>
      </c>
    </row>
    <row r="116" spans="1:39" x14ac:dyDescent="0.3">
      <c r="A116" s="20">
        <f t="shared" si="35"/>
        <v>25</v>
      </c>
      <c r="B116" s="8">
        <f t="shared" si="10"/>
        <v>157.07963267948966</v>
      </c>
      <c r="C116" s="9">
        <f t="shared" si="11"/>
        <v>40.367367550689096</v>
      </c>
      <c r="D116" s="9">
        <f t="shared" si="12"/>
        <v>0.99999972199799869</v>
      </c>
      <c r="E116" s="9">
        <f t="shared" si="13"/>
        <v>6.7112425697871212E-3</v>
      </c>
      <c r="F116" s="9">
        <f t="shared" si="14"/>
        <v>1.9319061702466374E-4</v>
      </c>
      <c r="G116" s="9">
        <f t="shared" si="15"/>
        <v>8.3591430463783454E-5</v>
      </c>
      <c r="H116" s="9">
        <f t="shared" si="16"/>
        <v>5.9177922192914942E-9</v>
      </c>
      <c r="I116" s="9">
        <f t="shared" si="17"/>
        <v>0</v>
      </c>
      <c r="J116" s="9">
        <f t="shared" si="18"/>
        <v>6.0620475265727586E-3</v>
      </c>
      <c r="K116" s="9">
        <f t="shared" si="19"/>
        <v>0</v>
      </c>
      <c r="L116" s="9">
        <f t="shared" si="20"/>
        <v>0.99999999771079462</v>
      </c>
      <c r="M116" s="9">
        <f t="shared" si="21"/>
        <v>1.2993627215247385E-4</v>
      </c>
      <c r="N116" s="9">
        <f t="shared" si="22"/>
        <v>5.3440040545496544E-8</v>
      </c>
      <c r="O116" s="9">
        <f t="shared" si="0"/>
        <v>5.6169567673499758E-10</v>
      </c>
      <c r="P116" s="9">
        <f t="shared" si="23"/>
        <v>0</v>
      </c>
      <c r="Q116" s="9">
        <f t="shared" si="24"/>
        <v>0</v>
      </c>
      <c r="R116" s="21">
        <f t="shared" si="25"/>
        <v>40.361195855892021</v>
      </c>
      <c r="S116" s="8">
        <f t="shared" si="1"/>
        <v>6.7111436783057546E-3</v>
      </c>
      <c r="T116" s="8">
        <f t="shared" si="2"/>
        <v>4.387205992827224E-3</v>
      </c>
      <c r="U116" s="8">
        <f t="shared" si="3"/>
        <v>3.6913713662913586E-5</v>
      </c>
      <c r="V116" s="8">
        <f t="shared" si="4"/>
        <v>0</v>
      </c>
      <c r="W116" s="8">
        <f t="shared" si="5"/>
        <v>3.7356570100728986E-2</v>
      </c>
      <c r="X116" s="8">
        <f t="shared" si="6"/>
        <v>0</v>
      </c>
      <c r="Y116" s="8">
        <f t="shared" si="7"/>
        <v>1.2993627171866781E-4</v>
      </c>
      <c r="Z116" s="8">
        <f t="shared" si="8"/>
        <v>1.137256540550476E-5</v>
      </c>
      <c r="AA116" s="8">
        <f t="shared" si="26"/>
        <v>0</v>
      </c>
      <c r="AB116" s="8">
        <f t="shared" si="27"/>
        <v>0</v>
      </c>
      <c r="AC116" s="8">
        <f t="shared" si="9"/>
        <v>-6.7111436783057546E-3</v>
      </c>
      <c r="AD116" s="8">
        <f t="shared" si="28"/>
        <v>-2.2795070250617693</v>
      </c>
      <c r="AF116" s="21">
        <f t="shared" si="29"/>
        <v>14.346574446792451</v>
      </c>
      <c r="AG116" s="8">
        <f t="shared" si="30"/>
        <v>-0.3847152427054254</v>
      </c>
      <c r="AI116" s="12">
        <f t="shared" si="31"/>
        <v>-13.979400134242622</v>
      </c>
      <c r="AJ116" s="8">
        <f t="shared" si="32"/>
        <v>-5.3325033280368665E-3</v>
      </c>
      <c r="AL116" s="12">
        <f t="shared" si="33"/>
        <v>39.9940215433422</v>
      </c>
      <c r="AM116" s="8">
        <f t="shared" si="34"/>
        <v>178.10938452191232</v>
      </c>
    </row>
    <row r="117" spans="1:39" x14ac:dyDescent="0.3">
      <c r="A117" s="20">
        <f t="shared" si="35"/>
        <v>30</v>
      </c>
      <c r="B117" s="8">
        <f t="shared" si="10"/>
        <v>188.49555921538757</v>
      </c>
      <c r="C117" s="9">
        <f t="shared" si="11"/>
        <v>40.367367550689096</v>
      </c>
      <c r="D117" s="9">
        <f t="shared" si="12"/>
        <v>0.99999959967711805</v>
      </c>
      <c r="E117" s="9">
        <f t="shared" si="13"/>
        <v>8.0534910817442549E-3</v>
      </c>
      <c r="F117" s="9">
        <f t="shared" si="14"/>
        <v>2.7819176613361928E-4</v>
      </c>
      <c r="G117" s="9">
        <f t="shared" si="15"/>
        <v>1.2037115016087981E-4</v>
      </c>
      <c r="H117" s="9">
        <f t="shared" si="16"/>
        <v>8.5216210259410525E-9</v>
      </c>
      <c r="I117" s="9">
        <f t="shared" si="17"/>
        <v>0</v>
      </c>
      <c r="J117" s="9">
        <f t="shared" si="18"/>
        <v>8.7266701345771625E-3</v>
      </c>
      <c r="K117" s="9">
        <f t="shared" si="19"/>
        <v>0</v>
      </c>
      <c r="L117" s="9">
        <f t="shared" si="20"/>
        <v>0.99999999670354422</v>
      </c>
      <c r="M117" s="9">
        <f t="shared" si="21"/>
        <v>1.5592352658296859E-4</v>
      </c>
      <c r="N117" s="9">
        <f t="shared" si="22"/>
        <v>7.6953657432746038E-8</v>
      </c>
      <c r="O117" s="9">
        <f t="shared" si="0"/>
        <v>8.0884316311844101E-10</v>
      </c>
      <c r="P117" s="9">
        <f t="shared" si="23"/>
        <v>0</v>
      </c>
      <c r="Q117" s="9">
        <f t="shared" si="24"/>
        <v>0</v>
      </c>
      <c r="R117" s="21">
        <f t="shared" si="25"/>
        <v>40.358482990697667</v>
      </c>
      <c r="S117" s="8">
        <f t="shared" si="1"/>
        <v>8.0533201992712654E-3</v>
      </c>
      <c r="T117" s="8">
        <f t="shared" si="2"/>
        <v>5.2646323295428531E-3</v>
      </c>
      <c r="U117" s="8">
        <f t="shared" si="3"/>
        <v>4.4296456386643596E-5</v>
      </c>
      <c r="V117" s="8">
        <f t="shared" si="4"/>
        <v>0</v>
      </c>
      <c r="W117" s="8">
        <f t="shared" si="5"/>
        <v>4.4818714897782913E-2</v>
      </c>
      <c r="X117" s="8">
        <f t="shared" si="6"/>
        <v>0</v>
      </c>
      <c r="Y117" s="8">
        <f t="shared" si="7"/>
        <v>1.5592352583335175E-4</v>
      </c>
      <c r="Z117" s="8">
        <f t="shared" si="8"/>
        <v>1.3647078486346838E-5</v>
      </c>
      <c r="AA117" s="8">
        <f t="shared" si="26"/>
        <v>0</v>
      </c>
      <c r="AB117" s="8">
        <f t="shared" si="27"/>
        <v>0</v>
      </c>
      <c r="AC117" s="8">
        <f t="shared" si="9"/>
        <v>-8.0533201992712654E-3</v>
      </c>
      <c r="AD117" s="8">
        <f t="shared" si="28"/>
        <v>-2.7348809321164955</v>
      </c>
      <c r="AF117" s="21">
        <f t="shared" si="29"/>
        <v>14.346489445643341</v>
      </c>
      <c r="AG117" s="8">
        <f t="shared" si="30"/>
        <v>-0.46165529804739736</v>
      </c>
      <c r="AI117" s="12">
        <f t="shared" si="31"/>
        <v>-13.979400155152412</v>
      </c>
      <c r="AJ117" s="8">
        <f t="shared" si="32"/>
        <v>-6.3990039810214857E-3</v>
      </c>
      <c r="AL117" s="12">
        <f t="shared" si="33"/>
        <v>39.991393700206736</v>
      </c>
      <c r="AM117" s="8">
        <f t="shared" si="34"/>
        <v>177.7317861985953</v>
      </c>
    </row>
    <row r="118" spans="1:39" x14ac:dyDescent="0.3">
      <c r="A118" s="20">
        <f t="shared" si="35"/>
        <v>35</v>
      </c>
      <c r="B118" s="8">
        <f t="shared" si="10"/>
        <v>219.91148575128551</v>
      </c>
      <c r="C118" s="9">
        <f t="shared" si="11"/>
        <v>40.367367550689096</v>
      </c>
      <c r="D118" s="9">
        <f t="shared" si="12"/>
        <v>0.99999945511607735</v>
      </c>
      <c r="E118" s="9">
        <f t="shared" si="13"/>
        <v>9.3957395926103221E-3</v>
      </c>
      <c r="F118" s="9">
        <f t="shared" si="14"/>
        <v>3.7864552484203674E-4</v>
      </c>
      <c r="G118" s="9">
        <f t="shared" si="15"/>
        <v>1.6383769004721862E-4</v>
      </c>
      <c r="H118" s="9">
        <f t="shared" si="16"/>
        <v>1.1598874828965484E-8</v>
      </c>
      <c r="I118" s="9">
        <f t="shared" si="17"/>
        <v>0</v>
      </c>
      <c r="J118" s="9">
        <f t="shared" si="18"/>
        <v>1.1873663244186971E-2</v>
      </c>
      <c r="K118" s="9">
        <f t="shared" si="19"/>
        <v>0</v>
      </c>
      <c r="L118" s="9">
        <f t="shared" si="20"/>
        <v>0.99999999551315744</v>
      </c>
      <c r="M118" s="9">
        <f t="shared" si="21"/>
        <v>1.8191078101346337E-4</v>
      </c>
      <c r="N118" s="9">
        <f t="shared" si="22"/>
        <v>1.0474247730833842E-7</v>
      </c>
      <c r="O118" s="9">
        <f t="shared" si="0"/>
        <v>1.100922523465857E-9</v>
      </c>
      <c r="P118" s="9">
        <f t="shared" si="23"/>
        <v>0</v>
      </c>
      <c r="Q118" s="9">
        <f t="shared" si="24"/>
        <v>0</v>
      </c>
      <c r="R118" s="21">
        <f t="shared" si="25"/>
        <v>40.355278985365594</v>
      </c>
      <c r="S118" s="8">
        <f t="shared" si="1"/>
        <v>9.395468241338233E-3</v>
      </c>
      <c r="T118" s="8">
        <f t="shared" si="2"/>
        <v>6.1420505600221246E-3</v>
      </c>
      <c r="U118" s="8">
        <f t="shared" si="3"/>
        <v>5.1679199105544861E-5</v>
      </c>
      <c r="V118" s="8">
        <f t="shared" si="4"/>
        <v>0</v>
      </c>
      <c r="W118" s="8">
        <f t="shared" si="5"/>
        <v>5.2275868448259745E-2</v>
      </c>
      <c r="X118" s="8">
        <f t="shared" si="6"/>
        <v>0</v>
      </c>
      <c r="Y118" s="8">
        <f t="shared" si="7"/>
        <v>1.8191077982309959E-4</v>
      </c>
      <c r="Z118" s="8">
        <f t="shared" si="8"/>
        <v>1.5921591567047713E-5</v>
      </c>
      <c r="AA118" s="8">
        <f t="shared" si="26"/>
        <v>0</v>
      </c>
      <c r="AB118" s="8">
        <f t="shared" si="27"/>
        <v>0</v>
      </c>
      <c r="AC118" s="8">
        <f t="shared" si="9"/>
        <v>-9.395468241338233E-3</v>
      </c>
      <c r="AD118" s="8">
        <f t="shared" si="28"/>
        <v>-3.189967694533395</v>
      </c>
      <c r="AF118" s="21">
        <f t="shared" si="29"/>
        <v>14.346388991884632</v>
      </c>
      <c r="AG118" s="8">
        <f t="shared" si="30"/>
        <v>-0.53859372084104518</v>
      </c>
      <c r="AI118" s="12">
        <f t="shared" si="31"/>
        <v>-13.979400179863978</v>
      </c>
      <c r="AJ118" s="8">
        <f t="shared" si="32"/>
        <v>-7.4655046271209719E-3</v>
      </c>
      <c r="AL118" s="12">
        <f t="shared" si="33"/>
        <v>39.988290173344936</v>
      </c>
      <c r="AM118" s="8">
        <f t="shared" si="34"/>
        <v>177.35447353300484</v>
      </c>
    </row>
    <row r="119" spans="1:39" x14ac:dyDescent="0.3">
      <c r="A119" s="20">
        <f t="shared" si="35"/>
        <v>40</v>
      </c>
      <c r="B119" s="8">
        <f t="shared" si="10"/>
        <v>251.32741228718345</v>
      </c>
      <c r="C119" s="9">
        <f t="shared" si="11"/>
        <v>40.367367550689096</v>
      </c>
      <c r="D119" s="9">
        <f t="shared" si="12"/>
        <v>0.99999928831487661</v>
      </c>
      <c r="E119" s="9">
        <f t="shared" si="13"/>
        <v>1.0737988102203477E-2</v>
      </c>
      <c r="F119" s="9">
        <f t="shared" si="14"/>
        <v>4.945508208939964E-4</v>
      </c>
      <c r="G119" s="9">
        <f t="shared" si="15"/>
        <v>2.1399084934473384E-4</v>
      </c>
      <c r="H119" s="9">
        <f t="shared" si="16"/>
        <v>1.5149549770551754E-8</v>
      </c>
      <c r="I119" s="9">
        <f t="shared" si="17"/>
        <v>0</v>
      </c>
      <c r="J119" s="9">
        <f t="shared" si="18"/>
        <v>1.5501977793202133E-2</v>
      </c>
      <c r="K119" s="9">
        <f t="shared" si="19"/>
        <v>0</v>
      </c>
      <c r="L119" s="9">
        <f t="shared" si="20"/>
        <v>0.99999999413963414</v>
      </c>
      <c r="M119" s="9">
        <f t="shared" si="21"/>
        <v>2.0789803544395816E-4</v>
      </c>
      <c r="N119" s="9">
        <f t="shared" si="22"/>
        <v>1.3680650013124066E-7</v>
      </c>
      <c r="O119" s="9">
        <f t="shared" si="0"/>
        <v>1.4379414723924442E-9</v>
      </c>
      <c r="P119" s="9">
        <f t="shared" si="23"/>
        <v>0</v>
      </c>
      <c r="Q119" s="9">
        <f t="shared" si="24"/>
        <v>0</v>
      </c>
      <c r="R119" s="21">
        <f t="shared" si="25"/>
        <v>40.351584889829461</v>
      </c>
      <c r="S119" s="8">
        <f t="shared" si="1"/>
        <v>1.073758305956053E-2</v>
      </c>
      <c r="T119" s="8">
        <f t="shared" si="2"/>
        <v>7.0194593334149472E-3</v>
      </c>
      <c r="U119" s="8">
        <f t="shared" si="3"/>
        <v>5.9061941818812598E-5</v>
      </c>
      <c r="V119" s="8">
        <f t="shared" si="4"/>
        <v>0</v>
      </c>
      <c r="W119" s="8">
        <f t="shared" si="5"/>
        <v>5.9727207310037958E-2</v>
      </c>
      <c r="X119" s="8">
        <f t="shared" si="6"/>
        <v>0</v>
      </c>
      <c r="Y119" s="8">
        <f t="shared" si="7"/>
        <v>2.0789803366708863E-4</v>
      </c>
      <c r="Z119" s="8">
        <f t="shared" si="8"/>
        <v>1.8196104647583849E-5</v>
      </c>
      <c r="AA119" s="8">
        <f t="shared" si="26"/>
        <v>0</v>
      </c>
      <c r="AB119" s="8">
        <f t="shared" si="27"/>
        <v>0</v>
      </c>
      <c r="AC119" s="8">
        <f t="shared" si="9"/>
        <v>-1.073758305956053E-2</v>
      </c>
      <c r="AD119" s="8">
        <f t="shared" si="28"/>
        <v>-3.644719938085704</v>
      </c>
      <c r="AF119" s="21">
        <f t="shared" si="29"/>
        <v>14.34627308658858</v>
      </c>
      <c r="AG119" s="8">
        <f t="shared" si="30"/>
        <v>-0.61553023908308768</v>
      </c>
      <c r="AI119" s="12">
        <f t="shared" si="31"/>
        <v>-13.979400208377326</v>
      </c>
      <c r="AJ119" s="8">
        <f t="shared" si="32"/>
        <v>-8.5320052651877976E-3</v>
      </c>
      <c r="AL119" s="12">
        <f t="shared" si="33"/>
        <v>39.984712011618207</v>
      </c>
      <c r="AM119" s="8">
        <f t="shared" si="34"/>
        <v>176.97749365139214</v>
      </c>
    </row>
    <row r="120" spans="1:39" x14ac:dyDescent="0.3">
      <c r="A120" s="20">
        <f t="shared" si="35"/>
        <v>45</v>
      </c>
      <c r="B120" s="8">
        <f t="shared" si="10"/>
        <v>282.74333882308139</v>
      </c>
      <c r="C120" s="9">
        <f t="shared" si="11"/>
        <v>40.367367550689096</v>
      </c>
      <c r="D120" s="9">
        <f t="shared" si="12"/>
        <v>0.99999909927351571</v>
      </c>
      <c r="E120" s="9">
        <f t="shared" si="13"/>
        <v>1.2080236610341875E-2</v>
      </c>
      <c r="F120" s="9">
        <f t="shared" si="14"/>
        <v>6.2590641716945184E-4</v>
      </c>
      <c r="G120" s="9">
        <f t="shared" si="15"/>
        <v>2.7083039639385346E-4</v>
      </c>
      <c r="H120" s="9">
        <f t="shared" si="16"/>
        <v>1.9173649707429133E-8</v>
      </c>
      <c r="I120" s="9">
        <f t="shared" si="17"/>
        <v>0</v>
      </c>
      <c r="J120" s="9">
        <f t="shared" si="18"/>
        <v>1.9610406469286679E-2</v>
      </c>
      <c r="K120" s="9">
        <f t="shared" si="19"/>
        <v>0</v>
      </c>
      <c r="L120" s="9">
        <f t="shared" si="20"/>
        <v>0.99999999258297456</v>
      </c>
      <c r="M120" s="9">
        <f t="shared" si="21"/>
        <v>2.3388528987445292E-4</v>
      </c>
      <c r="N120" s="9">
        <f t="shared" si="22"/>
        <v>1.7314572778276183E-7</v>
      </c>
      <c r="O120" s="9">
        <f t="shared" si="0"/>
        <v>1.8198942239281734E-9</v>
      </c>
      <c r="P120" s="9">
        <f t="shared" si="23"/>
        <v>0</v>
      </c>
      <c r="Q120" s="9">
        <f t="shared" si="24"/>
        <v>0</v>
      </c>
      <c r="R120" s="21">
        <f t="shared" si="25"/>
        <v>40.347401912407065</v>
      </c>
      <c r="S120" s="8">
        <f t="shared" si="1"/>
        <v>1.2079659909701255E-2</v>
      </c>
      <c r="T120" s="8">
        <f t="shared" si="2"/>
        <v>7.8968572989585959E-3</v>
      </c>
      <c r="U120" s="8">
        <f t="shared" si="3"/>
        <v>6.644468452564201E-5</v>
      </c>
      <c r="V120" s="8">
        <f t="shared" si="4"/>
        <v>0</v>
      </c>
      <c r="W120" s="8">
        <f t="shared" si="5"/>
        <v>6.7171911906843365E-2</v>
      </c>
      <c r="X120" s="8">
        <f t="shared" si="6"/>
        <v>0</v>
      </c>
      <c r="Y120" s="8">
        <f t="shared" si="7"/>
        <v>2.338852873444961E-4</v>
      </c>
      <c r="Z120" s="8">
        <f t="shared" si="8"/>
        <v>2.0470617727931716E-5</v>
      </c>
      <c r="AA120" s="8">
        <f t="shared" si="26"/>
        <v>0</v>
      </c>
      <c r="AB120" s="8">
        <f t="shared" si="27"/>
        <v>0</v>
      </c>
      <c r="AC120" s="8">
        <f t="shared" si="9"/>
        <v>-1.2079659909701255E-2</v>
      </c>
      <c r="AD120" s="8">
        <f t="shared" si="28"/>
        <v>-4.0990905100790265</v>
      </c>
      <c r="AF120" s="21">
        <f t="shared" si="29"/>
        <v>14.346141730992304</v>
      </c>
      <c r="AG120" s="8">
        <f t="shared" si="30"/>
        <v>-0.6924645808108999</v>
      </c>
      <c r="AI120" s="12">
        <f t="shared" si="31"/>
        <v>-13.979400240692453</v>
      </c>
      <c r="AJ120" s="8">
        <f t="shared" si="32"/>
        <v>-9.598505894074438E-3</v>
      </c>
      <c r="AL120" s="12">
        <f t="shared" si="33"/>
        <v>39.980660422107221</v>
      </c>
      <c r="AM120" s="8">
        <f t="shared" si="34"/>
        <v>176.60089345840436</v>
      </c>
    </row>
    <row r="121" spans="1:39" x14ac:dyDescent="0.3">
      <c r="A121" s="20">
        <f t="shared" si="35"/>
        <v>50</v>
      </c>
      <c r="B121" s="8">
        <f t="shared" si="10"/>
        <v>314.15926535897933</v>
      </c>
      <c r="C121" s="9">
        <f t="shared" si="11"/>
        <v>40.367367550689096</v>
      </c>
      <c r="D121" s="9">
        <f t="shared" si="12"/>
        <v>0.99999888799199466</v>
      </c>
      <c r="E121" s="9">
        <f t="shared" si="13"/>
        <v>1.3422485116843673E-2</v>
      </c>
      <c r="F121" s="9">
        <f t="shared" si="14"/>
        <v>7.727109117348775E-4</v>
      </c>
      <c r="G121" s="9">
        <f t="shared" si="15"/>
        <v>3.3435606866151436E-4</v>
      </c>
      <c r="H121" s="9">
        <f t="shared" si="16"/>
        <v>2.3671172710284692E-8</v>
      </c>
      <c r="I121" s="9">
        <f t="shared" si="17"/>
        <v>0</v>
      </c>
      <c r="J121" s="9">
        <f t="shared" si="18"/>
        <v>2.4197585043156764E-2</v>
      </c>
      <c r="K121" s="9">
        <f t="shared" si="19"/>
        <v>0</v>
      </c>
      <c r="L121" s="9">
        <f t="shared" si="20"/>
        <v>0.99999999084317848</v>
      </c>
      <c r="M121" s="9">
        <f t="shared" si="21"/>
        <v>2.5987254430494771E-4</v>
      </c>
      <c r="N121" s="9">
        <f t="shared" si="22"/>
        <v>2.1376015828058837E-7</v>
      </c>
      <c r="O121" s="9">
        <f t="shared" si="0"/>
        <v>2.2467827067220493E-9</v>
      </c>
      <c r="P121" s="9">
        <f t="shared" si="23"/>
        <v>0</v>
      </c>
      <c r="Q121" s="9">
        <f t="shared" si="24"/>
        <v>0</v>
      </c>
      <c r="R121" s="21">
        <f t="shared" si="25"/>
        <v>40.342731418467096</v>
      </c>
      <c r="S121" s="8">
        <f t="shared" si="1"/>
        <v>1.342169404833393E-2</v>
      </c>
      <c r="T121" s="8">
        <f t="shared" si="2"/>
        <v>8.7742431059901847E-3</v>
      </c>
      <c r="U121" s="8">
        <f t="shared" si="3"/>
        <v>7.3827427225228281E-5</v>
      </c>
      <c r="V121" s="8">
        <f t="shared" si="4"/>
        <v>0</v>
      </c>
      <c r="W121" s="8">
        <f t="shared" si="5"/>
        <v>7.4609167062077097E-2</v>
      </c>
      <c r="X121" s="8">
        <f t="shared" si="6"/>
        <v>0</v>
      </c>
      <c r="Y121" s="8">
        <f t="shared" si="7"/>
        <v>2.5987254083449944E-4</v>
      </c>
      <c r="Z121" s="8">
        <f t="shared" si="8"/>
        <v>2.2745130808067774E-5</v>
      </c>
      <c r="AA121" s="8">
        <f t="shared" si="26"/>
        <v>0</v>
      </c>
      <c r="AB121" s="8">
        <f t="shared" si="27"/>
        <v>0</v>
      </c>
      <c r="AC121" s="8">
        <f t="shared" si="9"/>
        <v>-1.342169404833393E-2</v>
      </c>
      <c r="AD121" s="8">
        <f t="shared" si="28"/>
        <v>-4.5530325099425051</v>
      </c>
      <c r="AF121" s="21">
        <f t="shared" si="29"/>
        <v>14.34599492649774</v>
      </c>
      <c r="AG121" s="8">
        <f t="shared" si="30"/>
        <v>-0.76939647410831435</v>
      </c>
      <c r="AI121" s="12">
        <f t="shared" si="31"/>
        <v>-13.979400276809359</v>
      </c>
      <c r="AJ121" s="8">
        <f t="shared" si="32"/>
        <v>-1.0665006512633378E-2</v>
      </c>
      <c r="AL121" s="12">
        <f t="shared" si="33"/>
        <v>39.976136768778723</v>
      </c>
      <c r="AM121" s="8">
        <f t="shared" si="34"/>
        <v>176.22471960648372</v>
      </c>
    </row>
    <row r="122" spans="1:39" x14ac:dyDescent="0.3">
      <c r="A122" s="20">
        <f t="shared" si="35"/>
        <v>55</v>
      </c>
      <c r="B122" s="8">
        <f t="shared" si="10"/>
        <v>345.57519189487726</v>
      </c>
      <c r="C122" s="9">
        <f t="shared" si="11"/>
        <v>40.367367550689096</v>
      </c>
      <c r="D122" s="9">
        <f t="shared" si="12"/>
        <v>0.99999865447031355</v>
      </c>
      <c r="E122" s="9">
        <f t="shared" si="13"/>
        <v>1.4764733621527026E-2</v>
      </c>
      <c r="F122" s="9">
        <f t="shared" si="14"/>
        <v>9.3496273788986131E-4</v>
      </c>
      <c r="G122" s="9">
        <f t="shared" si="15"/>
        <v>4.0456757273983119E-4</v>
      </c>
      <c r="H122" s="9">
        <f t="shared" si="16"/>
        <v>2.8642118778383025E-8</v>
      </c>
      <c r="I122" s="9">
        <f t="shared" si="17"/>
        <v>0</v>
      </c>
      <c r="J122" s="9">
        <f t="shared" si="18"/>
        <v>2.9261993870101873E-2</v>
      </c>
      <c r="K122" s="9">
        <f t="shared" si="19"/>
        <v>0</v>
      </c>
      <c r="L122" s="9">
        <f t="shared" si="20"/>
        <v>0.99999998892024589</v>
      </c>
      <c r="M122" s="9">
        <f t="shared" si="21"/>
        <v>2.8585979873544249E-4</v>
      </c>
      <c r="N122" s="9">
        <f t="shared" si="22"/>
        <v>2.5864978770743919E-7</v>
      </c>
      <c r="O122" s="9">
        <f t="shared" si="0"/>
        <v>2.7186088494223794E-9</v>
      </c>
      <c r="P122" s="9">
        <f t="shared" si="23"/>
        <v>0</v>
      </c>
      <c r="Q122" s="9">
        <f t="shared" si="24"/>
        <v>0</v>
      </c>
      <c r="R122" s="21">
        <f t="shared" si="25"/>
        <v>40.337574928927573</v>
      </c>
      <c r="S122" s="8">
        <f t="shared" si="1"/>
        <v>1.4763680732943672E-2</v>
      </c>
      <c r="T122" s="8">
        <f t="shared" si="2"/>
        <v>9.6516154039591375E-3</v>
      </c>
      <c r="U122" s="8">
        <f t="shared" si="3"/>
        <v>8.1210169916766655E-5</v>
      </c>
      <c r="V122" s="8">
        <f t="shared" si="4"/>
        <v>0</v>
      </c>
      <c r="W122" s="8">
        <f t="shared" si="5"/>
        <v>8.203816252538626E-2</v>
      </c>
      <c r="X122" s="8">
        <f t="shared" si="6"/>
        <v>0</v>
      </c>
      <c r="Y122" s="8">
        <f t="shared" si="7"/>
        <v>2.858597941162759E-4</v>
      </c>
      <c r="Z122" s="8">
        <f t="shared" si="8"/>
        <v>2.5019643887968496E-5</v>
      </c>
      <c r="AA122" s="8">
        <f t="shared" si="26"/>
        <v>0</v>
      </c>
      <c r="AB122" s="8">
        <f t="shared" si="27"/>
        <v>0</v>
      </c>
      <c r="AC122" s="8">
        <f t="shared" si="9"/>
        <v>-1.4763680732943672E-2</v>
      </c>
      <c r="AD122" s="8">
        <f t="shared" si="28"/>
        <v>-5.0064993194041856</v>
      </c>
      <c r="AF122" s="21">
        <f t="shared" si="29"/>
        <v>14.345832674671584</v>
      </c>
      <c r="AG122" s="8">
        <f t="shared" si="30"/>
        <v>-0.84632564711142055</v>
      </c>
      <c r="AI122" s="12">
        <f t="shared" si="31"/>
        <v>-13.979400316728045</v>
      </c>
      <c r="AJ122" s="8">
        <f t="shared" si="32"/>
        <v>-1.1731507119717091E-2</v>
      </c>
      <c r="AL122" s="12">
        <f t="shared" si="33"/>
        <v>39.971142570984028</v>
      </c>
      <c r="AM122" s="8">
        <f t="shared" si="34"/>
        <v>175.84901846568258</v>
      </c>
    </row>
    <row r="123" spans="1:39" x14ac:dyDescent="0.3">
      <c r="A123" s="20">
        <f t="shared" si="35"/>
        <v>60</v>
      </c>
      <c r="B123" s="8">
        <f t="shared" si="10"/>
        <v>376.99111843077515</v>
      </c>
      <c r="C123" s="9">
        <f t="shared" si="11"/>
        <v>40.367367550689096</v>
      </c>
      <c r="D123" s="9">
        <f t="shared" si="12"/>
        <v>0.99999839870847229</v>
      </c>
      <c r="E123" s="9">
        <f t="shared" si="13"/>
        <v>1.6106982124210089E-2</v>
      </c>
      <c r="F123" s="9">
        <f t="shared" si="14"/>
        <v>1.1126601642250723E-3</v>
      </c>
      <c r="G123" s="9">
        <f t="shared" si="15"/>
        <v>4.8146458435277637E-4</v>
      </c>
      <c r="H123" s="9">
        <f t="shared" si="16"/>
        <v>3.40864879109113E-8</v>
      </c>
      <c r="I123" s="9">
        <f t="shared" si="17"/>
        <v>0</v>
      </c>
      <c r="J123" s="9">
        <f t="shared" si="18"/>
        <v>3.480195955641488E-2</v>
      </c>
      <c r="K123" s="9">
        <f t="shared" si="19"/>
        <v>0</v>
      </c>
      <c r="L123" s="9">
        <f t="shared" si="20"/>
        <v>0.9999999868141769</v>
      </c>
      <c r="M123" s="9">
        <f t="shared" si="21"/>
        <v>3.1184705316593717E-4</v>
      </c>
      <c r="N123" s="9">
        <f t="shared" si="22"/>
        <v>3.078146217829948E-7</v>
      </c>
      <c r="O123" s="9">
        <f t="shared" si="0"/>
        <v>3.2353668660570427E-9</v>
      </c>
      <c r="P123" s="9">
        <f t="shared" si="23"/>
        <v>0</v>
      </c>
      <c r="Q123" s="9">
        <f t="shared" si="24"/>
        <v>0</v>
      </c>
      <c r="R123" s="21">
        <f t="shared" si="25"/>
        <v>40.331934118589309</v>
      </c>
      <c r="S123" s="8">
        <f t="shared" si="1"/>
        <v>1.6105615222028302E-2</v>
      </c>
      <c r="T123" s="8">
        <f t="shared" si="2"/>
        <v>1.0528972842439656E-2</v>
      </c>
      <c r="U123" s="8">
        <f t="shared" si="3"/>
        <v>8.8592912599452301E-5</v>
      </c>
      <c r="V123" s="8">
        <f t="shared" si="4"/>
        <v>0</v>
      </c>
      <c r="W123" s="8">
        <f t="shared" si="5"/>
        <v>8.9458093491141963E-2</v>
      </c>
      <c r="X123" s="8">
        <f t="shared" si="6"/>
        <v>0</v>
      </c>
      <c r="Y123" s="8">
        <f t="shared" si="7"/>
        <v>3.1184704716900267E-4</v>
      </c>
      <c r="Z123" s="8">
        <f t="shared" si="8"/>
        <v>2.7294156967610337E-5</v>
      </c>
      <c r="AA123" s="8">
        <f t="shared" si="26"/>
        <v>0</v>
      </c>
      <c r="AB123" s="8">
        <f t="shared" si="27"/>
        <v>0</v>
      </c>
      <c r="AC123" s="8">
        <f t="shared" si="9"/>
        <v>-1.6105615222028302E-2</v>
      </c>
      <c r="AD123" s="8">
        <f t="shared" si="28"/>
        <v>-5.4594446322026897</v>
      </c>
      <c r="AF123" s="21">
        <f t="shared" si="29"/>
        <v>14.34565497724525</v>
      </c>
      <c r="AG123" s="8">
        <f t="shared" si="30"/>
        <v>-0.92325182801436112</v>
      </c>
      <c r="AI123" s="12">
        <f t="shared" si="31"/>
        <v>-13.979400360448508</v>
      </c>
      <c r="AJ123" s="8">
        <f t="shared" si="32"/>
        <v>-1.2798007714178047E-2</v>
      </c>
      <c r="AL123" s="12">
        <f t="shared" si="33"/>
        <v>39.965679501792572</v>
      </c>
      <c r="AM123" s="8">
        <f t="shared" si="34"/>
        <v>175.47383609394248</v>
      </c>
    </row>
    <row r="124" spans="1:39" x14ac:dyDescent="0.3">
      <c r="A124" s="20">
        <f t="shared" si="35"/>
        <v>65</v>
      </c>
      <c r="B124" s="8">
        <f t="shared" si="10"/>
        <v>408.40704496667308</v>
      </c>
      <c r="C124" s="9">
        <f t="shared" si="11"/>
        <v>40.367367550689096</v>
      </c>
      <c r="D124" s="9">
        <f t="shared" si="12"/>
        <v>0.99999812070647098</v>
      </c>
      <c r="E124" s="9">
        <f t="shared" si="13"/>
        <v>1.7449230624711015E-2</v>
      </c>
      <c r="F124" s="9">
        <f t="shared" si="14"/>
        <v>1.3058012946780945E-3</v>
      </c>
      <c r="G124" s="9">
        <f t="shared" si="15"/>
        <v>5.6504674836315707E-4</v>
      </c>
      <c r="H124" s="9">
        <f t="shared" si="16"/>
        <v>4.0004282035634222E-8</v>
      </c>
      <c r="I124" s="9">
        <f t="shared" si="17"/>
        <v>0</v>
      </c>
      <c r="J124" s="9">
        <f t="shared" si="18"/>
        <v>4.0815656786892279E-2</v>
      </c>
      <c r="K124" s="9">
        <f t="shared" si="19"/>
        <v>0</v>
      </c>
      <c r="L124" s="9">
        <f t="shared" si="20"/>
        <v>0.99999998452497152</v>
      </c>
      <c r="M124" s="9">
        <f t="shared" si="21"/>
        <v>3.3783430759643196E-4</v>
      </c>
      <c r="N124" s="9">
        <f t="shared" si="22"/>
        <v>3.6125465850600334E-7</v>
      </c>
      <c r="O124" s="9">
        <f t="shared" si="0"/>
        <v>3.7970625425828163E-9</v>
      </c>
      <c r="P124" s="9">
        <f t="shared" si="23"/>
        <v>0</v>
      </c>
      <c r="Q124" s="9">
        <f t="shared" si="24"/>
        <v>0</v>
      </c>
      <c r="R124" s="21">
        <f t="shared" si="25"/>
        <v>40.325810814308454</v>
      </c>
      <c r="S124" s="8">
        <f t="shared" si="1"/>
        <v>1.744749277519942E-2</v>
      </c>
      <c r="T124" s="8">
        <f t="shared" si="2"/>
        <v>1.1406314071143194E-2</v>
      </c>
      <c r="U124" s="8">
        <f t="shared" si="3"/>
        <v>9.5975655272480484E-5</v>
      </c>
      <c r="V124" s="8">
        <f t="shared" si="4"/>
        <v>0</v>
      </c>
      <c r="W124" s="8">
        <f t="shared" si="5"/>
        <v>9.6868161108014827E-2</v>
      </c>
      <c r="X124" s="8">
        <f t="shared" si="6"/>
        <v>0</v>
      </c>
      <c r="Y124" s="8">
        <f t="shared" si="7"/>
        <v>3.3783429997185727E-4</v>
      </c>
      <c r="Z124" s="8">
        <f t="shared" si="8"/>
        <v>2.9568670046969774E-5</v>
      </c>
      <c r="AA124" s="8">
        <f t="shared" si="26"/>
        <v>0</v>
      </c>
      <c r="AB124" s="8">
        <f t="shared" si="27"/>
        <v>0</v>
      </c>
      <c r="AC124" s="8">
        <f t="shared" si="9"/>
        <v>-1.744749277519942E-2</v>
      </c>
      <c r="AD124" s="8">
        <f t="shared" si="28"/>
        <v>-5.9118224832888231</v>
      </c>
      <c r="AF124" s="21">
        <f t="shared" si="29"/>
        <v>14.345461836114795</v>
      </c>
      <c r="AG124" s="8">
        <f t="shared" si="30"/>
        <v>-1.0001747450751259</v>
      </c>
      <c r="AI124" s="12">
        <f t="shared" si="31"/>
        <v>-13.979400407970751</v>
      </c>
      <c r="AJ124" s="8">
        <f t="shared" si="32"/>
        <v>-1.3864508294868733E-2</v>
      </c>
      <c r="AL124" s="12">
        <f t="shared" si="33"/>
        <v>39.959749386164411</v>
      </c>
      <c r="AM124" s="8">
        <f t="shared" si="34"/>
        <v>175.09921820788364</v>
      </c>
    </row>
    <row r="125" spans="1:39" x14ac:dyDescent="0.3">
      <c r="A125" s="20">
        <f t="shared" si="35"/>
        <v>70</v>
      </c>
      <c r="B125" s="8">
        <f t="shared" si="10"/>
        <v>439.82297150257102</v>
      </c>
      <c r="C125" s="9">
        <f t="shared" si="11"/>
        <v>40.367367550689096</v>
      </c>
      <c r="D125" s="9">
        <f t="shared" si="12"/>
        <v>0.99999782046430952</v>
      </c>
      <c r="E125" s="9">
        <f t="shared" si="13"/>
        <v>1.8791479122847964E-2</v>
      </c>
      <c r="F125" s="9">
        <f t="shared" si="14"/>
        <v>1.5143840686121998E-3</v>
      </c>
      <c r="G125" s="9">
        <f t="shared" si="15"/>
        <v>6.5531367877217424E-4</v>
      </c>
      <c r="H125" s="9">
        <f t="shared" si="16"/>
        <v>4.6395499222929215E-8</v>
      </c>
      <c r="I125" s="9">
        <f t="shared" si="17"/>
        <v>0</v>
      </c>
      <c r="J125" s="9">
        <f t="shared" si="18"/>
        <v>4.7301110309259035E-2</v>
      </c>
      <c r="K125" s="9">
        <f t="shared" si="19"/>
        <v>0</v>
      </c>
      <c r="L125" s="9">
        <f t="shared" si="20"/>
        <v>0.99999998205262974</v>
      </c>
      <c r="M125" s="9">
        <f t="shared" si="21"/>
        <v>3.6382156202692675E-4</v>
      </c>
      <c r="N125" s="9">
        <f t="shared" si="22"/>
        <v>4.1896989779755515E-7</v>
      </c>
      <c r="O125" s="9">
        <f t="shared" si="0"/>
        <v>4.4036939503360514E-9</v>
      </c>
      <c r="P125" s="9">
        <f t="shared" si="23"/>
        <v>0</v>
      </c>
      <c r="Q125" s="9">
        <f t="shared" si="24"/>
        <v>0</v>
      </c>
      <c r="R125" s="21">
        <f t="shared" si="25"/>
        <v>40.319206993011903</v>
      </c>
      <c r="S125" s="8">
        <f t="shared" si="1"/>
        <v>1.8789308653283404E-2</v>
      </c>
      <c r="T125" s="8">
        <f t="shared" si="2"/>
        <v>1.2283637739930919E-2</v>
      </c>
      <c r="U125" s="8">
        <f t="shared" si="3"/>
        <v>1.0335839793504636E-4</v>
      </c>
      <c r="V125" s="8">
        <f t="shared" si="4"/>
        <v>0</v>
      </c>
      <c r="W125" s="8">
        <f t="shared" si="5"/>
        <v>0.10426757297886394</v>
      </c>
      <c r="X125" s="8">
        <f t="shared" si="6"/>
        <v>0</v>
      </c>
      <c r="Y125" s="8">
        <f t="shared" si="7"/>
        <v>3.6382155250401694E-4</v>
      </c>
      <c r="Z125" s="8">
        <f t="shared" si="8"/>
        <v>3.184318312602327E-5</v>
      </c>
      <c r="AA125" s="8">
        <f t="shared" si="26"/>
        <v>0</v>
      </c>
      <c r="AB125" s="8">
        <f t="shared" si="27"/>
        <v>0</v>
      </c>
      <c r="AC125" s="8">
        <f t="shared" si="9"/>
        <v>-1.8789308653283404E-2</v>
      </c>
      <c r="AD125" s="8">
        <f t="shared" si="28"/>
        <v>-6.363587277472174</v>
      </c>
      <c r="AF125" s="21">
        <f t="shared" si="29"/>
        <v>14.345253253340863</v>
      </c>
      <c r="AG125" s="8">
        <f t="shared" si="30"/>
        <v>-1.0770941266213416</v>
      </c>
      <c r="AI125" s="12">
        <f t="shared" si="31"/>
        <v>-13.979400459294773</v>
      </c>
      <c r="AJ125" s="8">
        <f t="shared" si="32"/>
        <v>-1.4931008860641626E-2</v>
      </c>
      <c r="AL125" s="12">
        <f t="shared" si="33"/>
        <v>39.953354198965819</v>
      </c>
      <c r="AM125" s="8">
        <f t="shared" si="34"/>
        <v>174.72521015414949</v>
      </c>
    </row>
    <row r="126" spans="1:39" x14ac:dyDescent="0.3">
      <c r="A126" s="20">
        <f t="shared" si="35"/>
        <v>75</v>
      </c>
      <c r="B126" s="8">
        <f t="shared" si="10"/>
        <v>471.23889803846896</v>
      </c>
      <c r="C126" s="9">
        <f t="shared" si="11"/>
        <v>40.367367550689096</v>
      </c>
      <c r="D126" s="9">
        <f t="shared" si="12"/>
        <v>0.99999749798198789</v>
      </c>
      <c r="E126" s="9">
        <f t="shared" si="13"/>
        <v>2.0133727618439089E-2</v>
      </c>
      <c r="F126" s="9">
        <f t="shared" si="14"/>
        <v>1.7384062608717704E-3</v>
      </c>
      <c r="G126" s="9">
        <f t="shared" si="15"/>
        <v>7.522649587327786E-4</v>
      </c>
      <c r="H126" s="9">
        <f t="shared" si="16"/>
        <v>5.3260139471751205E-8</v>
      </c>
      <c r="I126" s="9">
        <f t="shared" si="17"/>
        <v>0</v>
      </c>
      <c r="J126" s="9">
        <f t="shared" si="18"/>
        <v>5.4256197071053246E-2</v>
      </c>
      <c r="K126" s="9">
        <f t="shared" si="19"/>
        <v>0</v>
      </c>
      <c r="L126" s="9">
        <f t="shared" si="20"/>
        <v>0.99999997939715146</v>
      </c>
      <c r="M126" s="9">
        <f t="shared" si="21"/>
        <v>3.8980881645742153E-4</v>
      </c>
      <c r="N126" s="9">
        <f t="shared" si="22"/>
        <v>4.8096033957242778E-7</v>
      </c>
      <c r="O126" s="9">
        <f t="shared" si="0"/>
        <v>5.0552610893073316E-9</v>
      </c>
      <c r="P126" s="9">
        <f t="shared" si="23"/>
        <v>0</v>
      </c>
      <c r="Q126" s="9">
        <f t="shared" si="24"/>
        <v>0</v>
      </c>
      <c r="R126" s="21">
        <f t="shared" si="25"/>
        <v>40.312124779560442</v>
      </c>
      <c r="S126" s="8">
        <f t="shared" si="1"/>
        <v>2.0131058118422335E-2</v>
      </c>
      <c r="T126" s="8">
        <f t="shared" si="2"/>
        <v>1.3160942498826158E-2</v>
      </c>
      <c r="U126" s="8">
        <f t="shared" si="3"/>
        <v>1.1074114058634518E-4</v>
      </c>
      <c r="V126" s="8">
        <f t="shared" si="4"/>
        <v>0</v>
      </c>
      <c r="W126" s="8">
        <f t="shared" si="5"/>
        <v>0.11165554365018544</v>
      </c>
      <c r="X126" s="8">
        <f t="shared" si="6"/>
        <v>0</v>
      </c>
      <c r="Y126" s="8">
        <f t="shared" si="7"/>
        <v>3.8980880474465905E-4</v>
      </c>
      <c r="Z126" s="8">
        <f t="shared" si="8"/>
        <v>3.4117696204747287E-5</v>
      </c>
      <c r="AA126" s="8">
        <f t="shared" si="26"/>
        <v>0</v>
      </c>
      <c r="AB126" s="8">
        <f t="shared" si="27"/>
        <v>0</v>
      </c>
      <c r="AC126" s="8">
        <f t="shared" si="9"/>
        <v>-2.0131058118422335E-2</v>
      </c>
      <c r="AD126" s="8">
        <f t="shared" si="28"/>
        <v>-6.8146938174695251</v>
      </c>
      <c r="AF126" s="21">
        <f t="shared" si="29"/>
        <v>14.345029231148603</v>
      </c>
      <c r="AG126" s="8">
        <f t="shared" si="30"/>
        <v>-1.1540097010560573</v>
      </c>
      <c r="AI126" s="12">
        <f t="shared" si="31"/>
        <v>-13.979400514420576</v>
      </c>
      <c r="AJ126" s="8">
        <f t="shared" si="32"/>
        <v>-1.5997509410349203E-2</v>
      </c>
      <c r="AL126" s="12">
        <f t="shared" si="33"/>
        <v>39.946496062832416</v>
      </c>
      <c r="AM126" s="8">
        <f t="shared" si="34"/>
        <v>174.35185688134982</v>
      </c>
    </row>
    <row r="127" spans="1:39" x14ac:dyDescent="0.3">
      <c r="A127" s="20">
        <f t="shared" si="35"/>
        <v>80</v>
      </c>
      <c r="B127" s="8">
        <f t="shared" si="10"/>
        <v>502.6548245743669</v>
      </c>
      <c r="C127" s="9">
        <f t="shared" si="11"/>
        <v>40.367367550689096</v>
      </c>
      <c r="D127" s="9">
        <f t="shared" si="12"/>
        <v>0.99999715325950633</v>
      </c>
      <c r="E127" s="9">
        <f t="shared" si="13"/>
        <v>2.1475976111302548E-2</v>
      </c>
      <c r="F127" s="9">
        <f t="shared" si="14"/>
        <v>1.9778654818876475E-3</v>
      </c>
      <c r="G127" s="9">
        <f t="shared" si="15"/>
        <v>8.5590014054789433E-4</v>
      </c>
      <c r="H127" s="9">
        <f t="shared" si="16"/>
        <v>6.0598202780977747E-8</v>
      </c>
      <c r="I127" s="9">
        <f t="shared" si="17"/>
        <v>0</v>
      </c>
      <c r="J127" s="9">
        <f t="shared" si="18"/>
        <v>6.1678648504138518E-2</v>
      </c>
      <c r="K127" s="9">
        <f t="shared" si="19"/>
        <v>0</v>
      </c>
      <c r="L127" s="9">
        <f t="shared" si="20"/>
        <v>0.99999997655853679</v>
      </c>
      <c r="M127" s="9">
        <f t="shared" si="21"/>
        <v>4.1579607088791632E-4</v>
      </c>
      <c r="N127" s="9">
        <f t="shared" si="22"/>
        <v>5.4722598181043111E-7</v>
      </c>
      <c r="O127" s="9">
        <f t="shared" ref="O127:O158" si="36">20*LOG10(SQRT(1+($B$84*B127)^2))</f>
        <v>5.7517639594865449E-9</v>
      </c>
      <c r="P127" s="9">
        <f t="shared" si="23"/>
        <v>0</v>
      </c>
      <c r="Q127" s="9">
        <f t="shared" si="24"/>
        <v>0</v>
      </c>
      <c r="R127" s="21">
        <f t="shared" si="25"/>
        <v>40.304566444464072</v>
      </c>
      <c r="S127" s="8">
        <f t="shared" ref="S127:S158" si="37">ATAN2(D127,E127)</f>
        <v>2.1472736434174886E-2</v>
      </c>
      <c r="T127" s="8">
        <f t="shared" ref="T127:T158" si="38">ATAN($B$76*B127)</f>
        <v>1.4038226998026874E-2</v>
      </c>
      <c r="U127" s="8">
        <f t="shared" ref="U127:U158" si="39">ATAN($B$77*B127)</f>
        <v>1.1812388322557213E-4</v>
      </c>
      <c r="V127" s="8">
        <f t="shared" ref="V127:V158" si="40">ATAN($B$78*B127)</f>
        <v>0</v>
      </c>
      <c r="W127" s="8">
        <f t="shared" ref="W127:W158" si="41">ATAN($B$79*B127)</f>
        <v>0.11903129509039724</v>
      </c>
      <c r="X127" s="8">
        <f t="shared" ref="X127:X158" si="42">ATAN($B$80*B127)</f>
        <v>0</v>
      </c>
      <c r="Y127" s="8">
        <f t="shared" ref="Y127:Y158" si="43">ATAN2(L127,M127)</f>
        <v>4.1579605667296083E-4</v>
      </c>
      <c r="Z127" s="8">
        <f t="shared" ref="Z127:Z159" si="44">ATAN($B$84*B127)</f>
        <v>3.6392209283118301E-5</v>
      </c>
      <c r="AA127" s="8">
        <f t="shared" si="26"/>
        <v>0</v>
      </c>
      <c r="AB127" s="8">
        <f t="shared" si="27"/>
        <v>0</v>
      </c>
      <c r="AC127" s="8">
        <f t="shared" ref="AC127:AC158" si="45">IF(-S127&gt;0,-S127-2*PI(),-S127)</f>
        <v>-2.1472736434174886E-2</v>
      </c>
      <c r="AD127" s="8">
        <f t="shared" si="28"/>
        <v>-7.2650973313136076</v>
      </c>
      <c r="AF127" s="21">
        <f t="shared" si="29"/>
        <v>14.344789771927587</v>
      </c>
      <c r="AG127" s="8">
        <f t="shared" si="30"/>
        <v>-1.2309211968635285</v>
      </c>
      <c r="AI127" s="12">
        <f t="shared" si="31"/>
        <v>-13.979400573348155</v>
      </c>
      <c r="AJ127" s="8">
        <f t="shared" si="32"/>
        <v>-1.7064009942843936E-2</v>
      </c>
      <c r="AL127" s="12">
        <f t="shared" si="33"/>
        <v>39.939177245884643</v>
      </c>
      <c r="AM127" s="8">
        <f t="shared" si="34"/>
        <v>173.97920291264407</v>
      </c>
    </row>
    <row r="128" spans="1:39" x14ac:dyDescent="0.3">
      <c r="A128" s="20">
        <f t="shared" si="35"/>
        <v>85</v>
      </c>
      <c r="B128" s="8">
        <f t="shared" si="10"/>
        <v>534.07075111026484</v>
      </c>
      <c r="C128" s="9">
        <f t="shared" si="11"/>
        <v>40.367367550689096</v>
      </c>
      <c r="D128" s="9">
        <f t="shared" si="12"/>
        <v>0.9999967862968645</v>
      </c>
      <c r="E128" s="9">
        <f t="shared" si="13"/>
        <v>2.2818224601256491E-2</v>
      </c>
      <c r="F128" s="9">
        <f t="shared" si="14"/>
        <v>2.2327591777282709E-3</v>
      </c>
      <c r="G128" s="9">
        <f t="shared" si="15"/>
        <v>9.6621874568629572E-4</v>
      </c>
      <c r="H128" s="9">
        <f t="shared" si="16"/>
        <v>6.8409689149408947E-8</v>
      </c>
      <c r="I128" s="9">
        <f t="shared" si="17"/>
        <v>0</v>
      </c>
      <c r="J128" s="9">
        <f t="shared" si="18"/>
        <v>6.9566052951795188E-2</v>
      </c>
      <c r="K128" s="9">
        <f t="shared" si="19"/>
        <v>0</v>
      </c>
      <c r="L128" s="9">
        <f t="shared" si="20"/>
        <v>0.99999997353678571</v>
      </c>
      <c r="M128" s="9">
        <f t="shared" si="21"/>
        <v>4.4178332531841105E-4</v>
      </c>
      <c r="N128" s="9">
        <f t="shared" si="22"/>
        <v>6.1776682634237197E-7</v>
      </c>
      <c r="O128" s="9">
        <f t="shared" si="36"/>
        <v>6.4932025608628822E-9</v>
      </c>
      <c r="P128" s="9">
        <f t="shared" si="23"/>
        <v>0</v>
      </c>
      <c r="Q128" s="9">
        <f t="shared" si="24"/>
        <v>0</v>
      </c>
      <c r="R128" s="21">
        <f t="shared" si="25"/>
        <v>40.29653440145492</v>
      </c>
      <c r="S128" s="8">
        <f t="shared" si="37"/>
        <v>2.2814338865617109E-2</v>
      </c>
      <c r="T128" s="8">
        <f t="shared" si="38"/>
        <v>1.4915489887918111E-2</v>
      </c>
      <c r="U128" s="8">
        <f t="shared" si="39"/>
        <v>1.2550662585192243E-4</v>
      </c>
      <c r="V128" s="8">
        <f t="shared" si="40"/>
        <v>0</v>
      </c>
      <c r="W128" s="8">
        <f t="shared" si="41"/>
        <v>0.12639405715627</v>
      </c>
      <c r="X128" s="8">
        <f t="shared" si="42"/>
        <v>0</v>
      </c>
      <c r="Y128" s="8">
        <f t="shared" si="43"/>
        <v>4.4178330826809959E-4</v>
      </c>
      <c r="Z128" s="8">
        <f t="shared" si="44"/>
        <v>3.8666722361112765E-5</v>
      </c>
      <c r="AA128" s="8">
        <f t="shared" si="26"/>
        <v>0</v>
      </c>
      <c r="AB128" s="8">
        <f t="shared" si="27"/>
        <v>0</v>
      </c>
      <c r="AC128" s="8">
        <f t="shared" si="45"/>
        <v>-2.2814338865617109E-2</v>
      </c>
      <c r="AD128" s="8">
        <f t="shared" si="28"/>
        <v>-7.7147534990826907</v>
      </c>
      <c r="AF128" s="21">
        <f t="shared" si="29"/>
        <v>14.344534878231746</v>
      </c>
      <c r="AG128" s="8">
        <f t="shared" si="30"/>
        <v>-1.3078283426149935</v>
      </c>
      <c r="AI128" s="12">
        <f t="shared" si="31"/>
        <v>-13.979400636077512</v>
      </c>
      <c r="AJ128" s="8">
        <f t="shared" si="32"/>
        <v>-1.8130510456978308E-2</v>
      </c>
      <c r="AL128" s="12">
        <f t="shared" si="33"/>
        <v>39.931400159300694</v>
      </c>
      <c r="AM128" s="8">
        <f t="shared" si="34"/>
        <v>173.6072923190037</v>
      </c>
    </row>
    <row r="129" spans="1:39" x14ac:dyDescent="0.3">
      <c r="A129" s="20">
        <f t="shared" si="35"/>
        <v>90</v>
      </c>
      <c r="B129" s="8">
        <f t="shared" si="10"/>
        <v>565.48667764616278</v>
      </c>
      <c r="C129" s="9">
        <f t="shared" si="11"/>
        <v>40.367367550689096</v>
      </c>
      <c r="D129" s="9">
        <f t="shared" si="12"/>
        <v>0.99999639709406263</v>
      </c>
      <c r="E129" s="9">
        <f t="shared" si="13"/>
        <v>2.4160473088119076E-2</v>
      </c>
      <c r="F129" s="9">
        <f t="shared" si="14"/>
        <v>2.5030846302238727E-3</v>
      </c>
      <c r="G129" s="9">
        <f t="shared" si="15"/>
        <v>1.0832202647852807E-3</v>
      </c>
      <c r="H129" s="9">
        <f t="shared" si="16"/>
        <v>7.6694600504422431E-8</v>
      </c>
      <c r="I129" s="9">
        <f t="shared" si="17"/>
        <v>0</v>
      </c>
      <c r="J129" s="9">
        <f t="shared" si="18"/>
        <v>7.7915858233004995E-2</v>
      </c>
      <c r="K129" s="9">
        <f t="shared" si="19"/>
        <v>0</v>
      </c>
      <c r="L129" s="9">
        <f t="shared" si="20"/>
        <v>0.99999997033189814</v>
      </c>
      <c r="M129" s="9">
        <f t="shared" si="21"/>
        <v>4.6777057974890584E-4</v>
      </c>
      <c r="N129" s="9">
        <f t="shared" si="22"/>
        <v>6.9258287306408965E-7</v>
      </c>
      <c r="O129" s="9">
        <f t="shared" si="36"/>
        <v>7.2795768934248344E-9</v>
      </c>
      <c r="P129" s="9">
        <f t="shared" si="23"/>
        <v>0</v>
      </c>
      <c r="Q129" s="9">
        <f t="shared" si="24"/>
        <v>0</v>
      </c>
      <c r="R129" s="21">
        <f t="shared" si="25"/>
        <v>40.288031204922795</v>
      </c>
      <c r="S129" s="8">
        <f t="shared" si="37"/>
        <v>2.4155860679443138E-2</v>
      </c>
      <c r="T129" s="8">
        <f t="shared" si="38"/>
        <v>1.5792729819084445E-2</v>
      </c>
      <c r="U129" s="8">
        <f t="shared" si="39"/>
        <v>1.3288936846459124E-4</v>
      </c>
      <c r="V129" s="8">
        <f t="shared" si="40"/>
        <v>0</v>
      </c>
      <c r="W129" s="8">
        <f t="shared" si="41"/>
        <v>0.13374306804684896</v>
      </c>
      <c r="X129" s="8">
        <f t="shared" si="42"/>
        <v>0</v>
      </c>
      <c r="Y129" s="8">
        <f t="shared" si="43"/>
        <v>4.6777055950925279E-4</v>
      </c>
      <c r="Z129" s="8">
        <f t="shared" si="44"/>
        <v>4.0941235438707158E-5</v>
      </c>
      <c r="AA129" s="8">
        <f t="shared" si="26"/>
        <v>0</v>
      </c>
      <c r="AB129" s="8">
        <f t="shared" si="27"/>
        <v>0</v>
      </c>
      <c r="AC129" s="8">
        <f t="shared" si="45"/>
        <v>-2.4155860679443138E-2</v>
      </c>
      <c r="AD129" s="8">
        <f t="shared" si="28"/>
        <v>-8.1636184789134525</v>
      </c>
      <c r="AF129" s="21">
        <f t="shared" si="29"/>
        <v>14.344264552779251</v>
      </c>
      <c r="AG129" s="8">
        <f t="shared" si="30"/>
        <v>-1.3847308669744474</v>
      </c>
      <c r="AI129" s="12">
        <f t="shared" si="31"/>
        <v>-13.979400702608647</v>
      </c>
      <c r="AJ129" s="8">
        <f t="shared" si="32"/>
        <v>-1.9197010951604799E-2</v>
      </c>
      <c r="AL129" s="12">
        <f t="shared" si="33"/>
        <v>39.923167354752202</v>
      </c>
      <c r="AM129" s="8">
        <f t="shared" si="34"/>
        <v>173.23616869319218</v>
      </c>
    </row>
    <row r="130" spans="1:39" x14ac:dyDescent="0.3">
      <c r="A130" s="20">
        <f t="shared" si="35"/>
        <v>95</v>
      </c>
      <c r="B130" s="8">
        <f t="shared" si="10"/>
        <v>596.90260418206071</v>
      </c>
      <c r="C130" s="9">
        <f t="shared" si="11"/>
        <v>40.367367550689096</v>
      </c>
      <c r="D130" s="9">
        <f t="shared" si="12"/>
        <v>0.99999598565110071</v>
      </c>
      <c r="E130" s="9">
        <f t="shared" si="13"/>
        <v>2.5502721571708464E-2</v>
      </c>
      <c r="F130" s="9">
        <f t="shared" si="14"/>
        <v>2.788838957038387E-3</v>
      </c>
      <c r="G130" s="9">
        <f t="shared" si="15"/>
        <v>1.2069041576536397E-3</v>
      </c>
      <c r="H130" s="9">
        <f t="shared" si="16"/>
        <v>8.5452934916008577E-8</v>
      </c>
      <c r="I130" s="9">
        <f t="shared" si="17"/>
        <v>0</v>
      </c>
      <c r="J130" s="9">
        <f t="shared" si="18"/>
        <v>8.6725374338314926E-2</v>
      </c>
      <c r="K130" s="9">
        <f t="shared" si="19"/>
        <v>0</v>
      </c>
      <c r="L130" s="9">
        <f t="shared" si="20"/>
        <v>0.99999996694387416</v>
      </c>
      <c r="M130" s="9">
        <f t="shared" si="21"/>
        <v>4.9375783417940063E-4</v>
      </c>
      <c r="N130" s="9">
        <f t="shared" si="22"/>
        <v>7.7167411993645568E-7</v>
      </c>
      <c r="O130" s="9">
        <f t="shared" si="36"/>
        <v>8.110886957160198E-9</v>
      </c>
      <c r="P130" s="9">
        <f t="shared" si="23"/>
        <v>0</v>
      </c>
      <c r="Q130" s="9">
        <f t="shared" si="24"/>
        <v>0</v>
      </c>
      <c r="R130" s="21">
        <f t="shared" si="25"/>
        <v>40.279059547219326</v>
      </c>
      <c r="S130" s="8">
        <f t="shared" si="37"/>
        <v>2.5497297144065827E-2</v>
      </c>
      <c r="T130" s="8">
        <f t="shared" si="38"/>
        <v>1.6669945442322413E-2</v>
      </c>
      <c r="U130" s="8">
        <f t="shared" si="39"/>
        <v>1.4027211106277385E-4</v>
      </c>
      <c r="V130" s="8">
        <f t="shared" si="40"/>
        <v>0</v>
      </c>
      <c r="W130" s="8">
        <f t="shared" si="41"/>
        <v>0.1410775747442474</v>
      </c>
      <c r="X130" s="8">
        <f t="shared" si="42"/>
        <v>0</v>
      </c>
      <c r="Y130" s="8">
        <f t="shared" si="43"/>
        <v>4.9375781037559773E-4</v>
      </c>
      <c r="Z130" s="8">
        <f t="shared" si="44"/>
        <v>4.3215748515877941E-5</v>
      </c>
      <c r="AA130" s="8">
        <f t="shared" si="26"/>
        <v>0</v>
      </c>
      <c r="AB130" s="8">
        <f t="shared" si="27"/>
        <v>0</v>
      </c>
      <c r="AC130" s="8">
        <f t="shared" si="45"/>
        <v>-2.5497297144065827E-2</v>
      </c>
      <c r="AD130" s="8">
        <f t="shared" si="28"/>
        <v>-8.6116489322616268</v>
      </c>
      <c r="AF130" s="21">
        <f t="shared" si="29"/>
        <v>14.343978798452437</v>
      </c>
      <c r="AG130" s="8">
        <f t="shared" si="30"/>
        <v>-1.4616284987044104</v>
      </c>
      <c r="AI130" s="12">
        <f t="shared" si="31"/>
        <v>-13.97940077294156</v>
      </c>
      <c r="AJ130" s="8">
        <f t="shared" si="32"/>
        <v>-2.0263511425575888E-2</v>
      </c>
      <c r="AL130" s="12">
        <f t="shared" si="33"/>
        <v>39.914481521708453</v>
      </c>
      <c r="AM130" s="8">
        <f t="shared" si="34"/>
        <v>172.86587512449702</v>
      </c>
    </row>
    <row r="131" spans="1:39" x14ac:dyDescent="0.3">
      <c r="A131" s="20">
        <f t="shared" si="35"/>
        <v>100</v>
      </c>
      <c r="B131" s="8">
        <f t="shared" si="10"/>
        <v>628.31853071795865</v>
      </c>
      <c r="C131" s="9">
        <f t="shared" si="11"/>
        <v>40.367367550689096</v>
      </c>
      <c r="D131" s="9">
        <f t="shared" si="12"/>
        <v>0.99999555196797851</v>
      </c>
      <c r="E131" s="9">
        <f t="shared" si="13"/>
        <v>2.68449700518428E-2</v>
      </c>
      <c r="F131" s="9">
        <f t="shared" si="14"/>
        <v>3.0900191117854735E-3</v>
      </c>
      <c r="G131" s="9">
        <f t="shared" si="15"/>
        <v>1.3372698532922783E-3</v>
      </c>
      <c r="H131" s="9">
        <f t="shared" si="16"/>
        <v>9.4684690454080378E-8</v>
      </c>
      <c r="I131" s="9">
        <f t="shared" si="17"/>
        <v>0</v>
      </c>
      <c r="J131" s="9">
        <f t="shared" si="18"/>
        <v>9.5991776251443187E-2</v>
      </c>
      <c r="K131" s="9">
        <f t="shared" si="19"/>
        <v>0</v>
      </c>
      <c r="L131" s="9">
        <f t="shared" si="20"/>
        <v>0.99999996337271368</v>
      </c>
      <c r="M131" s="9">
        <f t="shared" si="21"/>
        <v>5.1974508860989541E-4</v>
      </c>
      <c r="N131" s="9">
        <f t="shared" si="22"/>
        <v>8.550405668426837E-7</v>
      </c>
      <c r="O131" s="9">
        <f t="shared" si="36"/>
        <v>8.9871327520560714E-9</v>
      </c>
      <c r="P131" s="9">
        <f t="shared" si="23"/>
        <v>0</v>
      </c>
      <c r="Q131" s="9">
        <f t="shared" si="24"/>
        <v>0</v>
      </c>
      <c r="R131" s="21">
        <f t="shared" si="25"/>
        <v>40.269622255836154</v>
      </c>
      <c r="S131" s="8">
        <f t="shared" si="37"/>
        <v>2.6838643529717269E-2</v>
      </c>
      <c r="T131" s="8">
        <f t="shared" si="38"/>
        <v>1.7547135408652974E-2</v>
      </c>
      <c r="U131" s="8">
        <f t="shared" si="39"/>
        <v>1.4765485364566541E-4</v>
      </c>
      <c r="V131" s="8">
        <f t="shared" si="40"/>
        <v>0</v>
      </c>
      <c r="W131" s="8">
        <f t="shared" si="41"/>
        <v>0.14839683344073099</v>
      </c>
      <c r="X131" s="8">
        <f t="shared" si="42"/>
        <v>0</v>
      </c>
      <c r="Y131" s="8">
        <f t="shared" si="43"/>
        <v>5.1974506084631156E-4</v>
      </c>
      <c r="Z131" s="8">
        <f t="shared" si="44"/>
        <v>4.5490261592601571E-5</v>
      </c>
      <c r="AA131" s="8">
        <f t="shared" si="26"/>
        <v>0</v>
      </c>
      <c r="AB131" s="8">
        <f t="shared" si="27"/>
        <v>0</v>
      </c>
      <c r="AC131" s="8">
        <f t="shared" si="45"/>
        <v>-2.6838643529717269E-2</v>
      </c>
      <c r="AD131" s="8">
        <f t="shared" si="28"/>
        <v>-9.0588020483771849</v>
      </c>
      <c r="AF131" s="21">
        <f t="shared" si="29"/>
        <v>14.343677618297688</v>
      </c>
      <c r="AG131" s="8">
        <f t="shared" si="30"/>
        <v>-1.5385209666716906</v>
      </c>
      <c r="AI131" s="12">
        <f t="shared" si="31"/>
        <v>-13.979400847076251</v>
      </c>
      <c r="AJ131" s="8">
        <f t="shared" si="32"/>
        <v>-2.1330011877744047E-2</v>
      </c>
      <c r="AL131" s="12">
        <f t="shared" si="33"/>
        <v>39.90534548461472</v>
      </c>
      <c r="AM131" s="8">
        <f t="shared" si="34"/>
        <v>172.49645417424819</v>
      </c>
    </row>
    <row r="132" spans="1:39" x14ac:dyDescent="0.3">
      <c r="A132" s="20">
        <f>A131+50</f>
        <v>150</v>
      </c>
      <c r="B132" s="8">
        <f t="shared" si="10"/>
        <v>942.47779607693792</v>
      </c>
      <c r="C132" s="9">
        <f t="shared" si="11"/>
        <v>40.367367550689096</v>
      </c>
      <c r="D132" s="9">
        <f t="shared" si="12"/>
        <v>0.99998999192795179</v>
      </c>
      <c r="E132" s="9">
        <f t="shared" si="13"/>
        <v>4.0267454623152829E-2</v>
      </c>
      <c r="F132" s="9">
        <f t="shared" si="14"/>
        <v>6.9494539252696417E-3</v>
      </c>
      <c r="G132" s="9">
        <f t="shared" si="15"/>
        <v>3.0082783274854585E-3</v>
      </c>
      <c r="H132" s="9">
        <f t="shared" si="16"/>
        <v>2.1304055207021188E-7</v>
      </c>
      <c r="I132" s="9">
        <f t="shared" si="17"/>
        <v>0</v>
      </c>
      <c r="J132" s="9">
        <f t="shared" si="18"/>
        <v>0.21307268793965162</v>
      </c>
      <c r="K132" s="9">
        <f t="shared" si="19"/>
        <v>0</v>
      </c>
      <c r="L132" s="9">
        <f t="shared" si="20"/>
        <v>0.99999991758860585</v>
      </c>
      <c r="M132" s="9">
        <f t="shared" si="21"/>
        <v>7.7961763291484307E-4</v>
      </c>
      <c r="N132" s="9">
        <f t="shared" si="22"/>
        <v>1.9238410577057905E-6</v>
      </c>
      <c r="O132" s="9">
        <f t="shared" si="36"/>
        <v>2.0221050125540886E-8</v>
      </c>
      <c r="P132" s="9">
        <f t="shared" si="23"/>
        <v>0</v>
      </c>
      <c r="Q132" s="9">
        <f t="shared" si="24"/>
        <v>0</v>
      </c>
      <c r="R132" s="21">
        <f t="shared" si="25"/>
        <v>40.150351956130102</v>
      </c>
      <c r="S132" s="8">
        <f t="shared" si="37"/>
        <v>4.0246113995389306E-2</v>
      </c>
      <c r="T132" s="8">
        <f t="shared" si="38"/>
        <v>2.6317327351989904E-2</v>
      </c>
      <c r="U132" s="8">
        <f t="shared" si="39"/>
        <v>2.2148227845652027E-4</v>
      </c>
      <c r="V132" s="8">
        <f t="shared" si="40"/>
        <v>0</v>
      </c>
      <c r="W132" s="8">
        <f t="shared" si="41"/>
        <v>0.22059450864045591</v>
      </c>
      <c r="X132" s="8">
        <f t="shared" si="42"/>
        <v>0</v>
      </c>
      <c r="Y132" s="8">
        <f t="shared" si="43"/>
        <v>7.7961753921276106E-4</v>
      </c>
      <c r="Z132" s="8">
        <f t="shared" si="44"/>
        <v>6.8235392330067413E-5</v>
      </c>
      <c r="AA132" s="8">
        <f t="shared" si="26"/>
        <v>0</v>
      </c>
      <c r="AB132" s="8">
        <f t="shared" si="27"/>
        <v>0</v>
      </c>
      <c r="AC132" s="8">
        <f t="shared" si="45"/>
        <v>-4.0246113995389306E-2</v>
      </c>
      <c r="AD132" s="8">
        <f t="shared" si="28"/>
        <v>-13.473083412097971</v>
      </c>
      <c r="AF132" s="21">
        <f t="shared" si="29"/>
        <v>14.339818183484205</v>
      </c>
      <c r="AG132" s="8">
        <f t="shared" si="30"/>
        <v>-2.3071020761688135</v>
      </c>
      <c r="AI132" s="12">
        <f t="shared" si="31"/>
        <v>-13.979401797520881</v>
      </c>
      <c r="AJ132" s="8">
        <f t="shared" si="32"/>
        <v>-3.1995014947809979E-2</v>
      </c>
      <c r="AL132" s="12">
        <f t="shared" si="33"/>
        <v>39.789935570166783</v>
      </c>
      <c r="AM132" s="8">
        <f t="shared" si="34"/>
        <v>168.85917993549577</v>
      </c>
    </row>
    <row r="133" spans="1:39" x14ac:dyDescent="0.3">
      <c r="A133" s="20">
        <f t="shared" ref="A133:A149" si="46">A132+50</f>
        <v>200</v>
      </c>
      <c r="B133" s="8">
        <f t="shared" si="10"/>
        <v>1256.6370614359173</v>
      </c>
      <c r="C133" s="9">
        <f t="shared" si="11"/>
        <v>40.367367550689096</v>
      </c>
      <c r="D133" s="9">
        <f t="shared" si="12"/>
        <v>0.99998220787191427</v>
      </c>
      <c r="E133" s="9">
        <f t="shared" si="13"/>
        <v>5.3689938648929229E-2</v>
      </c>
      <c r="F133" s="9">
        <f t="shared" si="14"/>
        <v>1.2346907307408558E-2</v>
      </c>
      <c r="G133" s="9">
        <f t="shared" si="15"/>
        <v>5.3466105719681602E-3</v>
      </c>
      <c r="H133" s="9">
        <f t="shared" si="16"/>
        <v>3.7873875369473255E-7</v>
      </c>
      <c r="I133" s="9">
        <f t="shared" si="17"/>
        <v>0</v>
      </c>
      <c r="J133" s="9">
        <f t="shared" si="18"/>
        <v>0.37185780450869521</v>
      </c>
      <c r="K133" s="9">
        <f t="shared" si="19"/>
        <v>0</v>
      </c>
      <c r="L133" s="9">
        <f t="shared" si="20"/>
        <v>0.99999985349085485</v>
      </c>
      <c r="M133" s="9">
        <f t="shared" si="21"/>
        <v>1.0394901772197908E-3</v>
      </c>
      <c r="N133" s="9">
        <f t="shared" si="22"/>
        <v>3.4201613303302158E-6</v>
      </c>
      <c r="O133" s="9">
        <f t="shared" si="36"/>
        <v>3.5948532881086269E-8</v>
      </c>
      <c r="P133" s="9">
        <f t="shared" si="23"/>
        <v>0</v>
      </c>
      <c r="Q133" s="9">
        <f t="shared" si="24"/>
        <v>0</v>
      </c>
      <c r="R133" s="21">
        <f t="shared" si="25"/>
        <v>39.988506372073857</v>
      </c>
      <c r="S133" s="8">
        <f t="shared" si="37"/>
        <v>5.3639391179085054E-2</v>
      </c>
      <c r="T133" s="8">
        <f t="shared" si="38"/>
        <v>3.5083471871782332E-2</v>
      </c>
      <c r="U133" s="8">
        <f t="shared" si="39"/>
        <v>2.9530970085300188E-4</v>
      </c>
      <c r="V133" s="8">
        <f t="shared" si="40"/>
        <v>0</v>
      </c>
      <c r="W133" s="8">
        <f t="shared" si="41"/>
        <v>0.29053145172200651</v>
      </c>
      <c r="X133" s="8">
        <f t="shared" si="42"/>
        <v>0</v>
      </c>
      <c r="Y133" s="8">
        <f t="shared" si="43"/>
        <v>1.0394899551111959E-3</v>
      </c>
      <c r="Z133" s="8">
        <f t="shared" si="44"/>
        <v>9.0980522996931325E-5</v>
      </c>
      <c r="AA133" s="8">
        <f t="shared" si="26"/>
        <v>0</v>
      </c>
      <c r="AB133" s="8">
        <f t="shared" si="27"/>
        <v>0</v>
      </c>
      <c r="AC133" s="8">
        <f t="shared" si="45"/>
        <v>-5.3639391179085054E-2</v>
      </c>
      <c r="AD133" s="8">
        <f t="shared" si="28"/>
        <v>-17.757253048525154</v>
      </c>
      <c r="AF133" s="21">
        <f t="shared" si="29"/>
        <v>14.334420730102066</v>
      </c>
      <c r="AG133" s="8">
        <f t="shared" si="30"/>
        <v>-3.0748695580367227</v>
      </c>
      <c r="AI133" s="12">
        <f t="shared" si="31"/>
        <v>-13.979403128142952</v>
      </c>
      <c r="AJ133" s="8">
        <f t="shared" si="32"/>
        <v>-4.2660014575310483E-2</v>
      </c>
      <c r="AL133" s="12">
        <f t="shared" si="33"/>
        <v>39.633488770114745</v>
      </c>
      <c r="AM133" s="8">
        <f t="shared" si="34"/>
        <v>165.35126978752237</v>
      </c>
    </row>
    <row r="134" spans="1:39" x14ac:dyDescent="0.3">
      <c r="A134" s="20">
        <v>250</v>
      </c>
      <c r="B134" s="8">
        <f t="shared" si="10"/>
        <v>1570.7963267948965</v>
      </c>
      <c r="C134" s="9">
        <f t="shared" si="11"/>
        <v>40.367367550689096</v>
      </c>
      <c r="D134" s="9">
        <f t="shared" si="12"/>
        <v>0.99997219979986607</v>
      </c>
      <c r="E134" s="9">
        <f t="shared" si="13"/>
        <v>6.711242194732743E-2</v>
      </c>
      <c r="F134" s="9">
        <f t="shared" si="14"/>
        <v>1.9276648387393458E-2</v>
      </c>
      <c r="G134" s="9">
        <f t="shared" si="15"/>
        <v>8.3511889590137285E-3</v>
      </c>
      <c r="H134" s="9">
        <f t="shared" si="16"/>
        <v>5.9177928683226961E-7</v>
      </c>
      <c r="I134" s="9">
        <f t="shared" si="17"/>
        <v>0</v>
      </c>
      <c r="J134" s="9">
        <f t="shared" si="18"/>
        <v>0.56783409510903249</v>
      </c>
      <c r="K134" s="9">
        <f t="shared" si="19"/>
        <v>0</v>
      </c>
      <c r="L134" s="9">
        <f t="shared" si="20"/>
        <v>0.9999997710794607</v>
      </c>
      <c r="M134" s="9">
        <f t="shared" si="21"/>
        <v>1.2993627215247383E-3</v>
      </c>
      <c r="N134" s="9">
        <f t="shared" si="22"/>
        <v>5.3440009786184162E-6</v>
      </c>
      <c r="O134" s="9">
        <f t="shared" si="36"/>
        <v>5.6169582922937739E-8</v>
      </c>
      <c r="P134" s="9">
        <f t="shared" si="23"/>
        <v>0</v>
      </c>
      <c r="Q134" s="9">
        <f t="shared" si="24"/>
        <v>0</v>
      </c>
      <c r="R134" s="21">
        <f t="shared" si="25"/>
        <v>39.788603187760401</v>
      </c>
      <c r="S134" s="8">
        <f t="shared" si="37"/>
        <v>6.7013790954107658E-2</v>
      </c>
      <c r="T134" s="8">
        <f t="shared" si="38"/>
        <v>4.3844225634298586E-2</v>
      </c>
      <c r="U134" s="8">
        <f t="shared" si="39"/>
        <v>3.6913712003031941E-4</v>
      </c>
      <c r="V134" s="8">
        <f t="shared" si="40"/>
        <v>0</v>
      </c>
      <c r="W134" s="8">
        <f t="shared" si="41"/>
        <v>0.35766517812765797</v>
      </c>
      <c r="X134" s="8">
        <f t="shared" si="42"/>
        <v>0</v>
      </c>
      <c r="Y134" s="8">
        <f t="shared" si="43"/>
        <v>1.2993622877189993E-3</v>
      </c>
      <c r="Z134" s="8">
        <f t="shared" si="44"/>
        <v>1.1372565356965933E-4</v>
      </c>
      <c r="AA134" s="8">
        <f t="shared" si="26"/>
        <v>0</v>
      </c>
      <c r="AB134" s="8">
        <f t="shared" si="27"/>
        <v>0</v>
      </c>
      <c r="AC134" s="8">
        <f t="shared" si="45"/>
        <v>-6.7013790954107658E-2</v>
      </c>
      <c r="AD134" s="8">
        <f t="shared" si="28"/>
        <v>-21.880037467564662</v>
      </c>
      <c r="AF134" s="21">
        <f t="shared" si="29"/>
        <v>14.327490989022081</v>
      </c>
      <c r="AG134" s="8">
        <f t="shared" si="30"/>
        <v>-3.8415548954584007</v>
      </c>
      <c r="AI134" s="12">
        <f t="shared" si="31"/>
        <v>-13.979404838942067</v>
      </c>
      <c r="AJ134" s="8">
        <f t="shared" si="32"/>
        <v>-5.3325009612726869E-2</v>
      </c>
      <c r="AL134" s="12">
        <f t="shared" si="33"/>
        <v>39.440517037680394</v>
      </c>
      <c r="AM134" s="8">
        <f t="shared" si="34"/>
        <v>162.00374456482572</v>
      </c>
    </row>
    <row r="135" spans="1:39" x14ac:dyDescent="0.3">
      <c r="A135" s="20">
        <f t="shared" si="46"/>
        <v>300</v>
      </c>
      <c r="B135" s="8">
        <f t="shared" si="10"/>
        <v>1884.9555921538758</v>
      </c>
      <c r="C135" s="9">
        <f t="shared" si="11"/>
        <v>40.367367550689096</v>
      </c>
      <c r="D135" s="9">
        <f t="shared" si="12"/>
        <v>0.99995996771180706</v>
      </c>
      <c r="E135" s="9">
        <f t="shared" si="13"/>
        <v>8.0534904336502899E-2</v>
      </c>
      <c r="F135" s="9">
        <f t="shared" si="14"/>
        <v>2.7731343678401996E-2</v>
      </c>
      <c r="G135" s="9">
        <f t="shared" si="15"/>
        <v>1.2020630805287364E-2</v>
      </c>
      <c r="H135" s="9">
        <f t="shared" si="16"/>
        <v>8.5216214799929885E-7</v>
      </c>
      <c r="I135" s="9">
        <f t="shared" si="17"/>
        <v>0</v>
      </c>
      <c r="J135" s="9">
        <f t="shared" si="18"/>
        <v>0.7959399996207982</v>
      </c>
      <c r="K135" s="9">
        <f t="shared" si="19"/>
        <v>0</v>
      </c>
      <c r="L135" s="9">
        <f t="shared" si="20"/>
        <v>0.99999967035442339</v>
      </c>
      <c r="M135" s="9">
        <f t="shared" si="21"/>
        <v>1.5592352658296861E-3</v>
      </c>
      <c r="N135" s="9">
        <f t="shared" si="22"/>
        <v>7.6953594677713909E-6</v>
      </c>
      <c r="O135" s="9">
        <f t="shared" si="36"/>
        <v>8.0884198291056828E-8</v>
      </c>
      <c r="P135" s="9">
        <f t="shared" si="23"/>
        <v>0</v>
      </c>
      <c r="Q135" s="9">
        <f t="shared" si="24"/>
        <v>0</v>
      </c>
      <c r="R135" s="21">
        <f t="shared" si="25"/>
        <v>39.555709914113663</v>
      </c>
      <c r="S135" s="8">
        <f t="shared" si="37"/>
        <v>8.0364669130879557E-2</v>
      </c>
      <c r="T135" s="8">
        <f t="shared" si="38"/>
        <v>5.2598250266416499E-2</v>
      </c>
      <c r="U135" s="8">
        <f t="shared" si="39"/>
        <v>4.4296453518368227E-4</v>
      </c>
      <c r="V135" s="8">
        <f t="shared" si="40"/>
        <v>0</v>
      </c>
      <c r="W135" s="8">
        <f t="shared" si="41"/>
        <v>0.42159540492685638</v>
      </c>
      <c r="X135" s="8">
        <f t="shared" si="42"/>
        <v>0</v>
      </c>
      <c r="Y135" s="8">
        <f t="shared" si="43"/>
        <v>1.5592345162136025E-3</v>
      </c>
      <c r="Z135" s="8">
        <f t="shared" si="44"/>
        <v>1.3647078402471746E-4</v>
      </c>
      <c r="AA135" s="8">
        <f t="shared" si="26"/>
        <v>0</v>
      </c>
      <c r="AB135" s="8">
        <f t="shared" si="27"/>
        <v>0</v>
      </c>
      <c r="AC135" s="8">
        <f t="shared" si="45"/>
        <v>-8.0364669130879557E-2</v>
      </c>
      <c r="AD135" s="8">
        <f t="shared" si="28"/>
        <v>-25.818312736205609</v>
      </c>
      <c r="AF135" s="21">
        <f t="shared" si="29"/>
        <v>14.319036293731072</v>
      </c>
      <c r="AG135" s="8">
        <f t="shared" si="30"/>
        <v>-4.6068918610058338</v>
      </c>
      <c r="AI135" s="12">
        <f t="shared" si="31"/>
        <v>-13.979406929917694</v>
      </c>
      <c r="AJ135" s="8">
        <f t="shared" si="32"/>
        <v>-6.39899989125432E-2</v>
      </c>
      <c r="AL135" s="12">
        <f t="shared" si="33"/>
        <v>39.21608055030029</v>
      </c>
      <c r="AM135" s="8">
        <f t="shared" si="34"/>
        <v>158.83947370063578</v>
      </c>
    </row>
    <row r="136" spans="1:39" x14ac:dyDescent="0.3">
      <c r="A136" s="20">
        <v>350</v>
      </c>
      <c r="B136" s="8">
        <f t="shared" si="10"/>
        <v>2199.114857512855</v>
      </c>
      <c r="C136" s="9">
        <f t="shared" si="11"/>
        <v>40.367367550689096</v>
      </c>
      <c r="D136" s="9">
        <f t="shared" si="12"/>
        <v>0.99994551160773737</v>
      </c>
      <c r="E136" s="9">
        <f t="shared" si="13"/>
        <v>9.395738563461109E-2</v>
      </c>
      <c r="F136" s="9">
        <f t="shared" si="14"/>
        <v>3.7702082804704669E-2</v>
      </c>
      <c r="G136" s="9">
        <f t="shared" si="15"/>
        <v>1.6353250487788382E-2</v>
      </c>
      <c r="H136" s="9">
        <f t="shared" si="16"/>
        <v>1.1598873271522163E-6</v>
      </c>
      <c r="I136" s="9">
        <f t="shared" si="17"/>
        <v>0</v>
      </c>
      <c r="J136" s="9">
        <f t="shared" si="18"/>
        <v>1.0509281693554338</v>
      </c>
      <c r="K136" s="9">
        <f t="shared" si="19"/>
        <v>0</v>
      </c>
      <c r="L136" s="9">
        <f t="shared" si="20"/>
        <v>0.99999955131574303</v>
      </c>
      <c r="M136" s="9">
        <f t="shared" si="21"/>
        <v>1.8191078101346336E-3</v>
      </c>
      <c r="N136" s="9">
        <f t="shared" si="22"/>
        <v>1.0474236157432851E-5</v>
      </c>
      <c r="O136" s="9">
        <f t="shared" si="36"/>
        <v>1.1009238087574082E-7</v>
      </c>
      <c r="P136" s="9">
        <f t="shared" si="23"/>
        <v>0</v>
      </c>
      <c r="Q136" s="9">
        <f t="shared" si="24"/>
        <v>0</v>
      </c>
      <c r="R136" s="21">
        <f t="shared" si="25"/>
        <v>39.295081124575532</v>
      </c>
      <c r="S136" s="8">
        <f t="shared" si="37"/>
        <v>9.3687431044255004E-2</v>
      </c>
      <c r="T136" s="8">
        <f t="shared" si="38"/>
        <v>6.1344213574357008E-2</v>
      </c>
      <c r="U136" s="8">
        <f t="shared" si="39"/>
        <v>5.1679194550829997E-4</v>
      </c>
      <c r="V136" s="8">
        <f t="shared" si="40"/>
        <v>0</v>
      </c>
      <c r="W136" s="8">
        <f t="shared" si="41"/>
        <v>0.48206267365866956</v>
      </c>
      <c r="X136" s="8">
        <f t="shared" si="42"/>
        <v>0</v>
      </c>
      <c r="Y136" s="8">
        <f t="shared" si="43"/>
        <v>1.8191066197724935E-3</v>
      </c>
      <c r="Z136" s="8">
        <f t="shared" si="44"/>
        <v>1.5921591433857175E-4</v>
      </c>
      <c r="AA136" s="8">
        <f t="shared" si="26"/>
        <v>0</v>
      </c>
      <c r="AB136" s="8">
        <f t="shared" si="27"/>
        <v>0</v>
      </c>
      <c r="AC136" s="8">
        <f t="shared" si="45"/>
        <v>-9.3687431044255004E-2</v>
      </c>
      <c r="AD136" s="8">
        <f t="shared" si="28"/>
        <v>-29.557026052689242</v>
      </c>
      <c r="AF136" s="21">
        <f t="shared" si="29"/>
        <v>14.30906555460477</v>
      </c>
      <c r="AG136" s="8">
        <f t="shared" si="30"/>
        <v>-5.3706170662311781</v>
      </c>
      <c r="AI136" s="12">
        <f t="shared" si="31"/>
        <v>-13.979409401069205</v>
      </c>
      <c r="AJ136" s="8">
        <f t="shared" si="32"/>
        <v>-7.4654981327246767E-2</v>
      </c>
      <c r="AL136" s="12">
        <f t="shared" si="33"/>
        <v>38.965424971039972</v>
      </c>
      <c r="AM136" s="8">
        <f t="shared" si="34"/>
        <v>155.87325424211554</v>
      </c>
    </row>
    <row r="137" spans="1:39" x14ac:dyDescent="0.3">
      <c r="A137" s="20">
        <f t="shared" si="46"/>
        <v>400</v>
      </c>
      <c r="B137" s="8">
        <f t="shared" si="10"/>
        <v>2513.2741228718346</v>
      </c>
      <c r="C137" s="9">
        <f t="shared" si="11"/>
        <v>40.367367550689096</v>
      </c>
      <c r="D137" s="9">
        <f t="shared" si="12"/>
        <v>0.99992883148765699</v>
      </c>
      <c r="E137" s="9">
        <f t="shared" si="13"/>
        <v>0.10737986565980748</v>
      </c>
      <c r="F137" s="9">
        <f t="shared" si="14"/>
        <v>4.9178409557425085E-2</v>
      </c>
      <c r="G137" s="9">
        <f t="shared" si="15"/>
        <v>2.1347062016102251E-2</v>
      </c>
      <c r="H137" s="9">
        <f t="shared" si="16"/>
        <v>1.5149548134733025E-6</v>
      </c>
      <c r="I137" s="9">
        <f t="shared" si="17"/>
        <v>0</v>
      </c>
      <c r="J137" s="9">
        <f t="shared" si="18"/>
        <v>1.3276672417489646</v>
      </c>
      <c r="K137" s="9">
        <f t="shared" si="19"/>
        <v>0</v>
      </c>
      <c r="L137" s="9">
        <f t="shared" si="20"/>
        <v>0.9999994139634194</v>
      </c>
      <c r="M137" s="9">
        <f t="shared" si="21"/>
        <v>2.0789803544395817E-3</v>
      </c>
      <c r="N137" s="9">
        <f t="shared" si="22"/>
        <v>1.3680630280474426E-5</v>
      </c>
      <c r="O137" s="9">
        <f t="shared" si="36"/>
        <v>1.4379412870300303E-7</v>
      </c>
      <c r="P137" s="9">
        <f t="shared" si="23"/>
        <v>0</v>
      </c>
      <c r="Q137" s="9">
        <f t="shared" si="24"/>
        <v>0</v>
      </c>
      <c r="R137" s="21">
        <f t="shared" si="25"/>
        <v>39.011856651929207</v>
      </c>
      <c r="S137" s="8">
        <f t="shared" si="37"/>
        <v>0.10697754088193198</v>
      </c>
      <c r="T137" s="8">
        <f t="shared" si="38"/>
        <v>7.00807907482736E-2</v>
      </c>
      <c r="U137" s="8">
        <f t="shared" si="39"/>
        <v>5.9061935019938264E-4</v>
      </c>
      <c r="V137" s="8">
        <f t="shared" si="40"/>
        <v>0</v>
      </c>
      <c r="W137" s="8">
        <f t="shared" si="41"/>
        <v>0.53893532208022643</v>
      </c>
      <c r="X137" s="8">
        <f t="shared" si="42"/>
        <v>0</v>
      </c>
      <c r="Y137" s="8">
        <f t="shared" si="43"/>
        <v>2.0789785775732345E-3</v>
      </c>
      <c r="Z137" s="8">
        <f t="shared" si="44"/>
        <v>1.8196104448768821E-4</v>
      </c>
      <c r="AA137" s="8">
        <f t="shared" si="26"/>
        <v>0</v>
      </c>
      <c r="AB137" s="8">
        <f t="shared" si="27"/>
        <v>0</v>
      </c>
      <c r="AC137" s="8">
        <f t="shared" si="45"/>
        <v>-0.10697754088193198</v>
      </c>
      <c r="AD137" s="8">
        <f t="shared" si="28"/>
        <v>-33.088449748140853</v>
      </c>
      <c r="AF137" s="21">
        <f t="shared" si="29"/>
        <v>14.297589227852049</v>
      </c>
      <c r="AG137" s="8">
        <f t="shared" si="30"/>
        <v>-6.1324704964164827</v>
      </c>
      <c r="AI137" s="12">
        <f t="shared" si="31"/>
        <v>-13.979412252395841</v>
      </c>
      <c r="AJ137" s="8">
        <f t="shared" si="32"/>
        <v>-8.5319955709329084E-2</v>
      </c>
      <c r="AL137" s="12">
        <f t="shared" si="33"/>
        <v>38.69367967647301</v>
      </c>
      <c r="AM137" s="8">
        <f t="shared" si="34"/>
        <v>153.1125577618601</v>
      </c>
    </row>
    <row r="138" spans="1:39" x14ac:dyDescent="0.3">
      <c r="A138" s="20">
        <f t="shared" si="46"/>
        <v>450</v>
      </c>
      <c r="B138" s="8">
        <f t="shared" si="10"/>
        <v>2827.4333882308138</v>
      </c>
      <c r="C138" s="9">
        <f t="shared" si="11"/>
        <v>40.367367550689096</v>
      </c>
      <c r="D138" s="9">
        <f t="shared" si="12"/>
        <v>0.99990992735156592</v>
      </c>
      <c r="E138" s="9">
        <f t="shared" si="13"/>
        <v>0.12080234423024747</v>
      </c>
      <c r="F138" s="9">
        <f t="shared" si="14"/>
        <v>6.2148358053571287E-2</v>
      </c>
      <c r="G138" s="9">
        <f t="shared" si="15"/>
        <v>2.6999782052788846E-2</v>
      </c>
      <c r="H138" s="9">
        <f t="shared" si="16"/>
        <v>1.917364597299379E-6</v>
      </c>
      <c r="I138" s="9">
        <f t="shared" si="17"/>
        <v>0</v>
      </c>
      <c r="J138" s="9">
        <f t="shared" si="18"/>
        <v>1.6213626390937219</v>
      </c>
      <c r="K138" s="9">
        <f t="shared" si="19"/>
        <v>0</v>
      </c>
      <c r="L138" s="9">
        <f t="shared" si="20"/>
        <v>0.99999925829745273</v>
      </c>
      <c r="M138" s="9">
        <f t="shared" si="21"/>
        <v>2.3388528987445291E-3</v>
      </c>
      <c r="N138" s="9">
        <f t="shared" si="22"/>
        <v>1.7314540958425336E-5</v>
      </c>
      <c r="O138" s="9">
        <f t="shared" si="36"/>
        <v>1.8198944557784736E-7</v>
      </c>
      <c r="P138" s="9">
        <f t="shared" si="23"/>
        <v>0</v>
      </c>
      <c r="Q138" s="9">
        <f t="shared" si="24"/>
        <v>0</v>
      </c>
      <c r="R138" s="21">
        <f t="shared" si="25"/>
        <v>38.710840756428787</v>
      </c>
      <c r="S138" s="8">
        <f t="shared" si="37"/>
        <v>0.12023053070781003</v>
      </c>
      <c r="T138" s="8">
        <f t="shared" si="38"/>
        <v>7.8806665550002139E-2</v>
      </c>
      <c r="U138" s="8">
        <f t="shared" si="39"/>
        <v>6.644467484521405E-4</v>
      </c>
      <c r="V138" s="8">
        <f t="shared" si="40"/>
        <v>0</v>
      </c>
      <c r="W138" s="8">
        <f t="shared" si="41"/>
        <v>0.59218940117342955</v>
      </c>
      <c r="X138" s="8">
        <f t="shared" si="42"/>
        <v>0</v>
      </c>
      <c r="Y138" s="8">
        <f t="shared" si="43"/>
        <v>2.3388503687934653E-3</v>
      </c>
      <c r="Z138" s="8">
        <f t="shared" si="44"/>
        <v>2.0470617444853288E-4</v>
      </c>
      <c r="AA138" s="8">
        <f t="shared" si="26"/>
        <v>0</v>
      </c>
      <c r="AB138" s="8">
        <f t="shared" si="27"/>
        <v>0</v>
      </c>
      <c r="AC138" s="8">
        <f t="shared" si="45"/>
        <v>-0.12023053070781003</v>
      </c>
      <c r="AD138" s="8">
        <f t="shared" si="28"/>
        <v>-36.411031064761637</v>
      </c>
      <c r="AF138" s="21">
        <f t="shared" si="29"/>
        <v>14.284619279355903</v>
      </c>
      <c r="AG138" s="8">
        <f t="shared" si="30"/>
        <v>-6.8921960278362437</v>
      </c>
      <c r="AI138" s="12">
        <f t="shared" si="31"/>
        <v>-13.979415483896735</v>
      </c>
      <c r="AJ138" s="8">
        <f t="shared" si="32"/>
        <v>-9.5984920911286131E-2</v>
      </c>
      <c r="AL138" s="12">
        <f t="shared" si="33"/>
        <v>38.405636960969623</v>
      </c>
      <c r="AM138" s="8">
        <f t="shared" si="34"/>
        <v>150.55868168037654</v>
      </c>
    </row>
    <row r="139" spans="1:39" x14ac:dyDescent="0.3">
      <c r="A139" s="20">
        <f t="shared" si="46"/>
        <v>500</v>
      </c>
      <c r="B139" s="8">
        <f t="shared" si="10"/>
        <v>3141.5926535897929</v>
      </c>
      <c r="C139" s="9">
        <f t="shared" si="11"/>
        <v>40.367367550689096</v>
      </c>
      <c r="D139" s="9">
        <f t="shared" si="12"/>
        <v>0.99988879919946405</v>
      </c>
      <c r="E139" s="9">
        <f t="shared" si="13"/>
        <v>0.13422482116408654</v>
      </c>
      <c r="F139" s="9">
        <f t="shared" si="14"/>
        <v>7.6598493738689682E-2</v>
      </c>
      <c r="G139" s="9">
        <f t="shared" si="15"/>
        <v>3.3308833372240707E-2</v>
      </c>
      <c r="H139" s="9">
        <f t="shared" si="16"/>
        <v>2.3671166643358444E-6</v>
      </c>
      <c r="I139" s="9">
        <f t="shared" si="17"/>
        <v>0</v>
      </c>
      <c r="J139" s="9">
        <f t="shared" si="18"/>
        <v>1.9276951906719244</v>
      </c>
      <c r="K139" s="9">
        <f t="shared" si="19"/>
        <v>0</v>
      </c>
      <c r="L139" s="9">
        <f t="shared" si="20"/>
        <v>0.9999990843178429</v>
      </c>
      <c r="M139" s="9">
        <f t="shared" si="21"/>
        <v>2.5987254430494765E-3</v>
      </c>
      <c r="N139" s="9">
        <f t="shared" si="22"/>
        <v>2.1375967187972386E-5</v>
      </c>
      <c r="O139" s="9">
        <f t="shared" si="36"/>
        <v>2.246783256550292E-7</v>
      </c>
      <c r="P139" s="9">
        <f t="shared" si="23"/>
        <v>0</v>
      </c>
      <c r="Q139" s="9">
        <f t="shared" si="24"/>
        <v>0</v>
      </c>
      <c r="R139" s="21">
        <f t="shared" si="25"/>
        <v>38.396363466121869</v>
      </c>
      <c r="S139" s="8">
        <f t="shared" si="37"/>
        <v>0.13344200913706217</v>
      </c>
      <c r="T139" s="8">
        <f t="shared" si="38"/>
        <v>8.7520531481347544E-2</v>
      </c>
      <c r="U139" s="8">
        <f t="shared" si="39"/>
        <v>7.3827413946178427E-4</v>
      </c>
      <c r="V139" s="8">
        <f t="shared" si="40"/>
        <v>0</v>
      </c>
      <c r="W139" s="8">
        <f t="shared" si="41"/>
        <v>0.64188580530254213</v>
      </c>
      <c r="X139" s="8">
        <f t="shared" si="42"/>
        <v>0</v>
      </c>
      <c r="Y139" s="8">
        <f t="shared" si="43"/>
        <v>2.5987219726109245E-3</v>
      </c>
      <c r="Z139" s="8">
        <f t="shared" si="44"/>
        <v>2.2745130419757174E-4</v>
      </c>
      <c r="AA139" s="8">
        <f t="shared" si="26"/>
        <v>0</v>
      </c>
      <c r="AB139" s="8">
        <f t="shared" si="27"/>
        <v>0</v>
      </c>
      <c r="AC139" s="8">
        <f t="shared" si="45"/>
        <v>-0.13344200913706217</v>
      </c>
      <c r="AD139" s="8">
        <f t="shared" si="28"/>
        <v>-39.528082240487471</v>
      </c>
      <c r="AF139" s="21">
        <f t="shared" si="29"/>
        <v>14.270169143670785</v>
      </c>
      <c r="AG139" s="8">
        <f t="shared" si="30"/>
        <v>-7.6495419250545185</v>
      </c>
      <c r="AI139" s="12">
        <f t="shared" si="31"/>
        <v>-13.979419095570899</v>
      </c>
      <c r="AJ139" s="8">
        <f t="shared" si="32"/>
        <v>-0.10664987578561951</v>
      </c>
      <c r="AL139" s="12">
        <f t="shared" si="33"/>
        <v>38.105613418021989</v>
      </c>
      <c r="AM139" s="8">
        <f t="shared" si="34"/>
        <v>148.2080603431304</v>
      </c>
    </row>
    <row r="140" spans="1:39" x14ac:dyDescent="0.3">
      <c r="A140" s="20">
        <f t="shared" si="46"/>
        <v>550</v>
      </c>
      <c r="B140" s="8">
        <f t="shared" si="10"/>
        <v>3455.7519189487725</v>
      </c>
      <c r="C140" s="9">
        <f t="shared" si="11"/>
        <v>40.367367550689096</v>
      </c>
      <c r="D140" s="9">
        <f t="shared" si="12"/>
        <v>0.9998654470313515</v>
      </c>
      <c r="E140" s="9">
        <f t="shared" si="13"/>
        <v>0.14764729627948017</v>
      </c>
      <c r="F140" s="9">
        <f t="shared" si="14"/>
        <v>9.2513958942480573E-2</v>
      </c>
      <c r="G140" s="9">
        <f t="shared" si="15"/>
        <v>4.0271348747153636E-2</v>
      </c>
      <c r="H140" s="9">
        <f t="shared" si="16"/>
        <v>2.8642109995139836E-6</v>
      </c>
      <c r="I140" s="9">
        <f t="shared" si="17"/>
        <v>0</v>
      </c>
      <c r="J140" s="9">
        <f t="shared" si="18"/>
        <v>2.2428886930933469</v>
      </c>
      <c r="K140" s="9">
        <f t="shared" si="19"/>
        <v>0</v>
      </c>
      <c r="L140" s="9">
        <f t="shared" si="20"/>
        <v>0.99999889202458991</v>
      </c>
      <c r="M140" s="9">
        <f t="shared" si="21"/>
        <v>2.8585979873544248E-3</v>
      </c>
      <c r="N140" s="9">
        <f t="shared" si="22"/>
        <v>2.5864907854461117E-5</v>
      </c>
      <c r="O140" s="9">
        <f t="shared" si="36"/>
        <v>2.718607727256041E-7</v>
      </c>
      <c r="P140" s="9">
        <f t="shared" si="23"/>
        <v>0</v>
      </c>
      <c r="Q140" s="9">
        <f t="shared" si="24"/>
        <v>0</v>
      </c>
      <c r="R140" s="21">
        <f t="shared" si="25"/>
        <v>38.072212974842792</v>
      </c>
      <c r="S140" s="8">
        <f t="shared" si="37"/>
        <v>0.14660766962298033</v>
      </c>
      <c r="T140" s="8">
        <f t="shared" si="38"/>
        <v>9.6221092930365237E-2</v>
      </c>
      <c r="U140" s="8">
        <f t="shared" si="39"/>
        <v>8.121015224235252E-4</v>
      </c>
      <c r="V140" s="8">
        <f t="shared" si="40"/>
        <v>0</v>
      </c>
      <c r="W140" s="8">
        <f t="shared" si="41"/>
        <v>0.68814784802144446</v>
      </c>
      <c r="X140" s="8">
        <f t="shared" si="42"/>
        <v>0</v>
      </c>
      <c r="Y140" s="8">
        <f t="shared" si="43"/>
        <v>2.8585933682034547E-3</v>
      </c>
      <c r="Z140" s="8">
        <f t="shared" si="44"/>
        <v>2.5019643371127089E-4</v>
      </c>
      <c r="AA140" s="8">
        <f t="shared" si="26"/>
        <v>0</v>
      </c>
      <c r="AB140" s="8">
        <f t="shared" si="27"/>
        <v>0</v>
      </c>
      <c r="AC140" s="8">
        <f t="shared" si="45"/>
        <v>-0.14660766962298033</v>
      </c>
      <c r="AD140" s="8">
        <f t="shared" si="28"/>
        <v>-42.446496106509862</v>
      </c>
      <c r="AF140" s="21">
        <f t="shared" si="29"/>
        <v>14.254253678466993</v>
      </c>
      <c r="AG140" s="8">
        <f t="shared" si="30"/>
        <v>-8.404261315967025</v>
      </c>
      <c r="AI140" s="12">
        <f t="shared" si="31"/>
        <v>-13.97942308741723</v>
      </c>
      <c r="AJ140" s="8">
        <f t="shared" si="32"/>
        <v>-0.11731481918483673</v>
      </c>
      <c r="AL140" s="12">
        <f t="shared" si="33"/>
        <v>37.797382383793035</v>
      </c>
      <c r="AM140" s="8">
        <f t="shared" si="34"/>
        <v>146.05355054953429</v>
      </c>
    </row>
    <row r="141" spans="1:39" x14ac:dyDescent="0.3">
      <c r="A141" s="20">
        <f t="shared" si="46"/>
        <v>600</v>
      </c>
      <c r="B141" s="8">
        <f t="shared" si="10"/>
        <v>3769.9111843077517</v>
      </c>
      <c r="C141" s="9">
        <f t="shared" si="11"/>
        <v>40.367367550689096</v>
      </c>
      <c r="D141" s="9">
        <f t="shared" si="12"/>
        <v>0.99983987084722825</v>
      </c>
      <c r="E141" s="9">
        <f t="shared" si="13"/>
        <v>0.16106976939458376</v>
      </c>
      <c r="F141" s="9">
        <f t="shared" si="14"/>
        <v>0.10987852266910557</v>
      </c>
      <c r="G141" s="9">
        <f t="shared" si="15"/>
        <v>4.7884175250330174E-2</v>
      </c>
      <c r="H141" s="9">
        <f t="shared" si="16"/>
        <v>3.4086475889196263E-6</v>
      </c>
      <c r="I141" s="9">
        <f t="shared" si="17"/>
        <v>0</v>
      </c>
      <c r="J141" s="9">
        <f t="shared" si="18"/>
        <v>2.5637231166623482</v>
      </c>
      <c r="K141" s="9">
        <f t="shared" si="19"/>
        <v>0</v>
      </c>
      <c r="L141" s="9">
        <f t="shared" si="20"/>
        <v>0.99999868141769377</v>
      </c>
      <c r="M141" s="9">
        <f t="shared" si="21"/>
        <v>3.1184705316593723E-3</v>
      </c>
      <c r="N141" s="9">
        <f t="shared" si="22"/>
        <v>3.0781361726110513E-5</v>
      </c>
      <c r="O141" s="9">
        <f t="shared" si="36"/>
        <v>3.2353678478768906E-7</v>
      </c>
      <c r="P141" s="9">
        <f t="shared" si="23"/>
        <v>0</v>
      </c>
      <c r="Q141" s="9">
        <f t="shared" si="24"/>
        <v>0</v>
      </c>
      <c r="R141" s="21">
        <f t="shared" si="25"/>
        <v>37.741622390357058</v>
      </c>
      <c r="S141" s="8">
        <f t="shared" si="37"/>
        <v>0.15972329831926538</v>
      </c>
      <c r="T141" s="8">
        <f t="shared" si="38"/>
        <v>0.10490706629318793</v>
      </c>
      <c r="U141" s="8">
        <f t="shared" si="39"/>
        <v>8.8592889653257498E-4</v>
      </c>
      <c r="V141" s="8">
        <f t="shared" si="40"/>
        <v>0</v>
      </c>
      <c r="W141" s="8">
        <f t="shared" si="41"/>
        <v>0.73114129732607391</v>
      </c>
      <c r="X141" s="8">
        <f t="shared" si="42"/>
        <v>0</v>
      </c>
      <c r="Y141" s="8">
        <f t="shared" si="43"/>
        <v>3.1184645347490155E-3</v>
      </c>
      <c r="Z141" s="8">
        <f t="shared" si="44"/>
        <v>2.7294156296609634E-4</v>
      </c>
      <c r="AA141" s="8">
        <f t="shared" si="26"/>
        <v>0</v>
      </c>
      <c r="AB141" s="8">
        <f t="shared" si="27"/>
        <v>0</v>
      </c>
      <c r="AC141" s="8">
        <f t="shared" si="45"/>
        <v>-0.15972329831926538</v>
      </c>
      <c r="AD141" s="8">
        <f t="shared" si="28"/>
        <v>-45.175602577701802</v>
      </c>
      <c r="AF141" s="21">
        <f t="shared" si="29"/>
        <v>14.236889114740368</v>
      </c>
      <c r="AG141" s="8">
        <f t="shared" si="30"/>
        <v>-9.1561126425056578</v>
      </c>
      <c r="AI141" s="12">
        <f t="shared" si="31"/>
        <v>-13.979427459434513</v>
      </c>
      <c r="AJ141" s="8">
        <f t="shared" si="32"/>
        <v>-0.12797974996145201</v>
      </c>
      <c r="AL141" s="12">
        <f t="shared" si="33"/>
        <v>37.484160735051205</v>
      </c>
      <c r="AM141" s="8">
        <f t="shared" si="34"/>
        <v>144.0855760932314</v>
      </c>
    </row>
    <row r="142" spans="1:39" x14ac:dyDescent="0.3">
      <c r="A142" s="20">
        <f t="shared" si="46"/>
        <v>650</v>
      </c>
      <c r="B142" s="8">
        <f t="shared" si="10"/>
        <v>4084.0704496667308</v>
      </c>
      <c r="C142" s="9">
        <f t="shared" si="11"/>
        <v>40.367367550689096</v>
      </c>
      <c r="D142" s="9">
        <f t="shared" si="12"/>
        <v>0.99981207064709432</v>
      </c>
      <c r="E142" s="9">
        <f t="shared" si="13"/>
        <v>0.17449224032755278</v>
      </c>
      <c r="F142" s="9">
        <f t="shared" si="14"/>
        <v>0.12867463428007961</v>
      </c>
      <c r="G142" s="9">
        <f t="shared" si="15"/>
        <v>5.6143878958440835E-2</v>
      </c>
      <c r="H142" s="9">
        <f t="shared" si="16"/>
        <v>4.000426410149872E-6</v>
      </c>
      <c r="I142" s="9">
        <f t="shared" si="17"/>
        <v>0</v>
      </c>
      <c r="J142" s="9">
        <f t="shared" si="18"/>
        <v>2.8875107107679572</v>
      </c>
      <c r="K142" s="9">
        <f t="shared" si="19"/>
        <v>0</v>
      </c>
      <c r="L142" s="9">
        <f t="shared" si="20"/>
        <v>0.99999845249715447</v>
      </c>
      <c r="M142" s="9">
        <f t="shared" si="21"/>
        <v>3.3783430759643197E-3</v>
      </c>
      <c r="N142" s="9">
        <f t="shared" si="22"/>
        <v>3.6125327450156492E-5</v>
      </c>
      <c r="O142" s="9">
        <f t="shared" si="36"/>
        <v>3.7970636368973654E-7</v>
      </c>
      <c r="P142" s="9">
        <f t="shared" si="23"/>
        <v>0</v>
      </c>
      <c r="Q142" s="9">
        <f t="shared" si="24"/>
        <v>0</v>
      </c>
      <c r="R142" s="21">
        <f t="shared" si="25"/>
        <v>37.4072935799921</v>
      </c>
      <c r="S142" s="8">
        <f t="shared" si="37"/>
        <v>0.17278478148531193</v>
      </c>
      <c r="T142" s="8">
        <f t="shared" si="38"/>
        <v>0.11357718106904947</v>
      </c>
      <c r="U142" s="8">
        <f t="shared" si="39"/>
        <v>9.5975626098414595E-4</v>
      </c>
      <c r="V142" s="8">
        <f t="shared" si="40"/>
        <v>0</v>
      </c>
      <c r="W142" s="8">
        <f t="shared" si="41"/>
        <v>0.771057821867694</v>
      </c>
      <c r="X142" s="8">
        <f t="shared" si="42"/>
        <v>0</v>
      </c>
      <c r="Y142" s="8">
        <f t="shared" si="43"/>
        <v>3.3783354514256968E-3</v>
      </c>
      <c r="Z142" s="8">
        <f t="shared" si="44"/>
        <v>2.9568669193851411E-4</v>
      </c>
      <c r="AA142" s="8">
        <f t="shared" si="26"/>
        <v>0</v>
      </c>
      <c r="AB142" s="8">
        <f t="shared" si="27"/>
        <v>0</v>
      </c>
      <c r="AC142" s="8">
        <f t="shared" si="45"/>
        <v>-0.17278478148531193</v>
      </c>
      <c r="AD142" s="8">
        <f t="shared" si="28"/>
        <v>-47.726220552054485</v>
      </c>
      <c r="AF142" s="21">
        <f t="shared" si="29"/>
        <v>14.218093003129395</v>
      </c>
      <c r="AG142" s="8">
        <f t="shared" si="30"/>
        <v>-9.9048600851452697</v>
      </c>
      <c r="AI142" s="12">
        <f t="shared" si="31"/>
        <v>-13.979432211621415</v>
      </c>
      <c r="AJ142" s="8">
        <f t="shared" si="32"/>
        <v>-0.138644666967987</v>
      </c>
      <c r="AL142" s="12">
        <f t="shared" si="33"/>
        <v>37.168632788484125</v>
      </c>
      <c r="AM142" s="8">
        <f t="shared" si="34"/>
        <v>142.29307676805576</v>
      </c>
    </row>
    <row r="143" spans="1:39" x14ac:dyDescent="0.3">
      <c r="A143" s="20">
        <f t="shared" si="46"/>
        <v>700</v>
      </c>
      <c r="B143" s="8">
        <f t="shared" si="10"/>
        <v>4398.22971502571</v>
      </c>
      <c r="C143" s="9">
        <f t="shared" si="11"/>
        <v>40.367367550689096</v>
      </c>
      <c r="D143" s="9">
        <f t="shared" si="12"/>
        <v>0.99978204643094959</v>
      </c>
      <c r="E143" s="9">
        <f t="shared" si="13"/>
        <v>0.18791470889654271</v>
      </c>
      <c r="F143" s="9">
        <f t="shared" si="14"/>
        <v>0.14888348070775409</v>
      </c>
      <c r="G143" s="9">
        <f t="shared" si="15"/>
        <v>6.5046750043190618E-2</v>
      </c>
      <c r="H143" s="9">
        <f t="shared" si="16"/>
        <v>4.6395474496709838E-6</v>
      </c>
      <c r="I143" s="9">
        <f t="shared" si="17"/>
        <v>0</v>
      </c>
      <c r="J143" s="9">
        <f t="shared" si="18"/>
        <v>3.2120499048784712</v>
      </c>
      <c r="K143" s="9">
        <f t="shared" si="19"/>
        <v>0</v>
      </c>
      <c r="L143" s="9">
        <f t="shared" si="20"/>
        <v>0.99999820526297201</v>
      </c>
      <c r="M143" s="9">
        <f t="shared" si="21"/>
        <v>3.6382156202692671E-3</v>
      </c>
      <c r="N143" s="9">
        <f t="shared" si="22"/>
        <v>4.1896803556709975E-5</v>
      </c>
      <c r="O143" s="9">
        <f t="shared" si="36"/>
        <v>4.4036950741591523E-7</v>
      </c>
      <c r="P143" s="9">
        <f t="shared" si="23"/>
        <v>0</v>
      </c>
      <c r="Q143" s="9">
        <f t="shared" si="24"/>
        <v>0</v>
      </c>
      <c r="R143" s="21">
        <f t="shared" si="25"/>
        <v>37.071443217520446</v>
      </c>
      <c r="S143" s="8">
        <f t="shared" si="37"/>
        <v>0.18578811240612683</v>
      </c>
      <c r="T143" s="8">
        <f t="shared" si="38"/>
        <v>0.1222301809262685</v>
      </c>
      <c r="U143" s="8">
        <f t="shared" si="39"/>
        <v>1.0335836149734511E-3</v>
      </c>
      <c r="V143" s="8">
        <f t="shared" si="40"/>
        <v>0</v>
      </c>
      <c r="W143" s="8">
        <f t="shared" si="41"/>
        <v>0.80810203545278003</v>
      </c>
      <c r="X143" s="8">
        <f t="shared" si="42"/>
        <v>0</v>
      </c>
      <c r="Y143" s="8">
        <f t="shared" si="43"/>
        <v>3.6382060974117299E-3</v>
      </c>
      <c r="Z143" s="8">
        <f t="shared" si="44"/>
        <v>3.1843182060499025E-4</v>
      </c>
      <c r="AA143" s="8">
        <f t="shared" si="26"/>
        <v>0</v>
      </c>
      <c r="AB143" s="8">
        <f t="shared" si="27"/>
        <v>0</v>
      </c>
      <c r="AC143" s="8">
        <f t="shared" si="45"/>
        <v>-0.18578811240612683</v>
      </c>
      <c r="AD143" s="8">
        <f t="shared" si="28"/>
        <v>-50.109915950605014</v>
      </c>
      <c r="AF143" s="21">
        <f t="shared" si="29"/>
        <v>14.19788415670172</v>
      </c>
      <c r="AG143" s="8">
        <f t="shared" si="30"/>
        <v>-10.650273959586888</v>
      </c>
      <c r="AI143" s="12">
        <f t="shared" si="31"/>
        <v>-13.979437343976482</v>
      </c>
      <c r="AJ143" s="8">
        <f t="shared" si="32"/>
        <v>-0.14930956905697138</v>
      </c>
      <c r="AL143" s="12">
        <f t="shared" si="33"/>
        <v>36.852996404795213</v>
      </c>
      <c r="AM143" s="8">
        <f t="shared" si="34"/>
        <v>140.66425110112073</v>
      </c>
    </row>
    <row r="144" spans="1:39" x14ac:dyDescent="0.3">
      <c r="A144" s="20">
        <f t="shared" si="46"/>
        <v>750</v>
      </c>
      <c r="B144" s="8">
        <f t="shared" si="10"/>
        <v>4712.3889803846896</v>
      </c>
      <c r="C144" s="9">
        <f t="shared" si="11"/>
        <v>40.367367550689096</v>
      </c>
      <c r="D144" s="9">
        <f t="shared" si="12"/>
        <v>0.99974979819879417</v>
      </c>
      <c r="E144" s="9">
        <f t="shared" si="13"/>
        <v>0.20133717491970901</v>
      </c>
      <c r="F144" s="9">
        <f t="shared" si="14"/>
        <v>0.17048504682146742</v>
      </c>
      <c r="G144" s="9">
        <f t="shared" si="15"/>
        <v>7.4588808234222786E-2</v>
      </c>
      <c r="H144" s="9">
        <f t="shared" si="16"/>
        <v>5.3260106816031895E-6</v>
      </c>
      <c r="I144" s="9">
        <f t="shared" si="17"/>
        <v>0</v>
      </c>
      <c r="J144" s="9">
        <f t="shared" si="18"/>
        <v>3.5355684168597987</v>
      </c>
      <c r="K144" s="9">
        <f t="shared" si="19"/>
        <v>0</v>
      </c>
      <c r="L144" s="9">
        <f t="shared" si="20"/>
        <v>0.9999979397151465</v>
      </c>
      <c r="M144" s="9">
        <f t="shared" si="21"/>
        <v>3.898088164574215E-3</v>
      </c>
      <c r="N144" s="9">
        <f t="shared" si="22"/>
        <v>4.8095788460686456E-5</v>
      </c>
      <c r="O144" s="9">
        <f t="shared" si="36"/>
        <v>5.0552621587207451E-7</v>
      </c>
      <c r="P144" s="9">
        <f t="shared" si="23"/>
        <v>0</v>
      </c>
      <c r="Q144" s="9">
        <f t="shared" si="24"/>
        <v>0</v>
      </c>
      <c r="R144" s="21">
        <f t="shared" si="25"/>
        <v>36.735859619938061</v>
      </c>
      <c r="S144" s="8">
        <f t="shared" si="37"/>
        <v>0.19872939780276638</v>
      </c>
      <c r="T144" s="8">
        <f t="shared" si="38"/>
        <v>0.13086482473707214</v>
      </c>
      <c r="U144" s="8">
        <f t="shared" si="39"/>
        <v>1.1074109576957043E-3</v>
      </c>
      <c r="V144" s="8">
        <f t="shared" si="40"/>
        <v>0</v>
      </c>
      <c r="W144" s="8">
        <f t="shared" si="41"/>
        <v>0.84248186495692912</v>
      </c>
      <c r="X144" s="8">
        <f t="shared" si="42"/>
        <v>0</v>
      </c>
      <c r="Y144" s="8">
        <f t="shared" si="43"/>
        <v>3.8980764518855003E-3</v>
      </c>
      <c r="Z144" s="8">
        <f t="shared" si="44"/>
        <v>3.4117694894199074E-4</v>
      </c>
      <c r="AA144" s="8">
        <f t="shared" si="26"/>
        <v>0</v>
      </c>
      <c r="AB144" s="8">
        <f t="shared" si="27"/>
        <v>0</v>
      </c>
      <c r="AC144" s="8">
        <f t="shared" si="45"/>
        <v>-0.19872939780276638</v>
      </c>
      <c r="AD144" s="8">
        <f t="shared" si="28"/>
        <v>-52.338450147555477</v>
      </c>
      <c r="AF144" s="21">
        <f t="shared" si="29"/>
        <v>14.176282590588007</v>
      </c>
      <c r="AG144" s="8">
        <f t="shared" si="30"/>
        <v>-11.392131084235015</v>
      </c>
      <c r="AI144" s="12">
        <f t="shared" si="31"/>
        <v>-13.979442856498155</v>
      </c>
      <c r="AJ144" s="8">
        <f t="shared" si="32"/>
        <v>-0.15997445508094371</v>
      </c>
      <c r="AL144" s="12">
        <f t="shared" si="33"/>
        <v>36.539019885848212</v>
      </c>
      <c r="AM144" s="8">
        <f t="shared" si="34"/>
        <v>139.18710856994147</v>
      </c>
    </row>
    <row r="145" spans="1:39" x14ac:dyDescent="0.3">
      <c r="A145" s="20">
        <f t="shared" si="46"/>
        <v>800</v>
      </c>
      <c r="B145" s="8">
        <f t="shared" si="10"/>
        <v>5026.5482457436692</v>
      </c>
      <c r="C145" s="9">
        <f t="shared" si="11"/>
        <v>40.367367550689096</v>
      </c>
      <c r="D145" s="9">
        <f t="shared" si="12"/>
        <v>0.99971532595062806</v>
      </c>
      <c r="E145" s="9">
        <f t="shared" si="13"/>
        <v>0.21475963821520708</v>
      </c>
      <c r="F145" s="9">
        <f t="shared" si="14"/>
        <v>0.19345817855673256</v>
      </c>
      <c r="G145" s="9">
        <f t="shared" si="15"/>
        <v>8.4765808637198764E-2</v>
      </c>
      <c r="H145" s="9">
        <f t="shared" si="16"/>
        <v>6.0598160850785756E-6</v>
      </c>
      <c r="I145" s="9">
        <f t="shared" si="17"/>
        <v>0</v>
      </c>
      <c r="J145" s="9">
        <f t="shared" si="18"/>
        <v>3.8566634970307105</v>
      </c>
      <c r="K145" s="9">
        <f t="shared" si="19"/>
        <v>0</v>
      </c>
      <c r="L145" s="9">
        <f t="shared" si="20"/>
        <v>0.99999765585367772</v>
      </c>
      <c r="M145" s="9">
        <f t="shared" si="21"/>
        <v>4.1579607088791633E-3</v>
      </c>
      <c r="N145" s="9">
        <f t="shared" si="22"/>
        <v>5.4722280456021019E-5</v>
      </c>
      <c r="O145" s="9">
        <f t="shared" si="36"/>
        <v>5.7517648895708991E-7</v>
      </c>
      <c r="P145" s="9">
        <f t="shared" si="23"/>
        <v>0</v>
      </c>
      <c r="Q145" s="9">
        <f t="shared" si="24"/>
        <v>0</v>
      </c>
      <c r="R145" s="21">
        <f t="shared" si="25"/>
        <v>36.401962446098004</v>
      </c>
      <c r="S145" s="8">
        <f t="shared" si="37"/>
        <v>0.21160486371351822</v>
      </c>
      <c r="T145" s="8">
        <f t="shared" si="38"/>
        <v>0.1394798875792671</v>
      </c>
      <c r="U145" s="8">
        <f t="shared" si="39"/>
        <v>1.1812382883461196E-3</v>
      </c>
      <c r="V145" s="8">
        <f t="shared" si="40"/>
        <v>0</v>
      </c>
      <c r="W145" s="8">
        <f t="shared" si="41"/>
        <v>0.87440174370810453</v>
      </c>
      <c r="X145" s="8">
        <f t="shared" si="42"/>
        <v>0</v>
      </c>
      <c r="Y145" s="8">
        <f t="shared" si="43"/>
        <v>4.1579464940255566E-3</v>
      </c>
      <c r="Z145" s="8">
        <f t="shared" si="44"/>
        <v>3.6392207692598173E-4</v>
      </c>
      <c r="AA145" s="8">
        <f t="shared" si="26"/>
        <v>0</v>
      </c>
      <c r="AB145" s="8">
        <f t="shared" si="27"/>
        <v>0</v>
      </c>
      <c r="AC145" s="8">
        <f t="shared" si="45"/>
        <v>-0.21160486371351822</v>
      </c>
      <c r="AD145" s="8">
        <f t="shared" si="28"/>
        <v>-54.423390259435536</v>
      </c>
      <c r="AF145" s="21">
        <f t="shared" si="29"/>
        <v>14.153309458852743</v>
      </c>
      <c r="AG145" s="8">
        <f t="shared" si="30"/>
        <v>-12.130215117335439</v>
      </c>
      <c r="AI145" s="12">
        <f t="shared" si="31"/>
        <v>-13.979448749184746</v>
      </c>
      <c r="AJ145" s="8">
        <f t="shared" si="32"/>
        <v>-0.17063932389245176</v>
      </c>
      <c r="AL145" s="12">
        <f t="shared" si="33"/>
        <v>36.228101736430006</v>
      </c>
      <c r="AM145" s="8">
        <f t="shared" si="34"/>
        <v>137.84985984807724</v>
      </c>
    </row>
    <row r="146" spans="1:39" x14ac:dyDescent="0.3">
      <c r="A146" s="20">
        <f t="shared" si="46"/>
        <v>850</v>
      </c>
      <c r="B146" s="8">
        <f t="shared" si="10"/>
        <v>5340.7075111026479</v>
      </c>
      <c r="C146" s="9">
        <f t="shared" si="11"/>
        <v>40.367367550689096</v>
      </c>
      <c r="D146" s="9">
        <f t="shared" si="12"/>
        <v>0.99967862968645116</v>
      </c>
      <c r="E146" s="9">
        <f t="shared" si="13"/>
        <v>0.2281820986011924</v>
      </c>
      <c r="F146" s="9">
        <f t="shared" si="14"/>
        <v>0.21778064841014499</v>
      </c>
      <c r="G146" s="9">
        <f t="shared" si="15"/>
        <v>9.5573247889558496E-2</v>
      </c>
      <c r="H146" s="9">
        <f t="shared" si="16"/>
        <v>6.8409636365264649E-6</v>
      </c>
      <c r="I146" s="9">
        <f t="shared" si="17"/>
        <v>0</v>
      </c>
      <c r="J146" s="9">
        <f t="shared" si="18"/>
        <v>4.1742443098538411</v>
      </c>
      <c r="K146" s="9">
        <f t="shared" si="19"/>
        <v>0</v>
      </c>
      <c r="L146" s="9">
        <f t="shared" si="20"/>
        <v>0.9999973536785659</v>
      </c>
      <c r="M146" s="9">
        <f t="shared" si="21"/>
        <v>4.4178332531841103E-3</v>
      </c>
      <c r="N146" s="9">
        <f t="shared" si="22"/>
        <v>6.1776277725312595E-5</v>
      </c>
      <c r="O146" s="9">
        <f t="shared" si="36"/>
        <v>6.4932032849151736E-7</v>
      </c>
      <c r="P146" s="9">
        <f t="shared" si="23"/>
        <v>0</v>
      </c>
      <c r="Q146" s="9">
        <f t="shared" si="24"/>
        <v>0</v>
      </c>
      <c r="R146" s="21">
        <f t="shared" si="25"/>
        <v>36.070860255680252</v>
      </c>
      <c r="S146" s="8">
        <f t="shared" si="37"/>
        <v>0.2244108608304371</v>
      </c>
      <c r="T146" s="8">
        <f t="shared" si="38"/>
        <v>0.14807416170289669</v>
      </c>
      <c r="U146" s="8">
        <f t="shared" si="39"/>
        <v>1.2550656061199122E-3</v>
      </c>
      <c r="V146" s="8">
        <f t="shared" si="40"/>
        <v>0</v>
      </c>
      <c r="W146" s="8">
        <f t="shared" si="41"/>
        <v>0.90405806983833281</v>
      </c>
      <c r="X146" s="8">
        <f t="shared" si="42"/>
        <v>0</v>
      </c>
      <c r="Y146" s="8">
        <f t="shared" si="43"/>
        <v>4.4178162030106228E-3</v>
      </c>
      <c r="Z146" s="8">
        <f t="shared" si="44"/>
        <v>3.8666720453342914E-4</v>
      </c>
      <c r="AA146" s="8">
        <f t="shared" si="26"/>
        <v>0</v>
      </c>
      <c r="AB146" s="8">
        <f t="shared" si="27"/>
        <v>0</v>
      </c>
      <c r="AC146" s="8">
        <f t="shared" si="45"/>
        <v>-0.2244108608304371</v>
      </c>
      <c r="AD146" s="8">
        <f t="shared" si="28"/>
        <v>-56.375849178198159</v>
      </c>
      <c r="AF146" s="21">
        <f t="shared" si="29"/>
        <v>14.12898698899933</v>
      </c>
      <c r="AG146" s="8">
        <f t="shared" si="30"/>
        <v>-12.864316862891297</v>
      </c>
      <c r="AI146" s="12">
        <f t="shared" si="31"/>
        <v>-13.979455022034463</v>
      </c>
      <c r="AJ146" s="8">
        <f t="shared" si="32"/>
        <v>-0.18130417434405349</v>
      </c>
      <c r="AL146" s="12">
        <f t="shared" si="33"/>
        <v>35.921328288715394</v>
      </c>
      <c r="AM146" s="8">
        <f t="shared" si="34"/>
        <v>136.64117720981068</v>
      </c>
    </row>
    <row r="147" spans="1:39" x14ac:dyDescent="0.3">
      <c r="A147" s="20">
        <f t="shared" si="46"/>
        <v>900</v>
      </c>
      <c r="B147" s="8">
        <f t="shared" si="10"/>
        <v>5654.8667764616275</v>
      </c>
      <c r="C147" s="9">
        <f t="shared" si="11"/>
        <v>40.367367550689096</v>
      </c>
      <c r="D147" s="9">
        <f t="shared" si="12"/>
        <v>0.99963970940626368</v>
      </c>
      <c r="E147" s="9">
        <f t="shared" si="13"/>
        <v>0.24160455589582047</v>
      </c>
      <c r="F147" s="9">
        <f t="shared" si="14"/>
        <v>0.24342922289906788</v>
      </c>
      <c r="G147" s="9">
        <f t="shared" si="15"/>
        <v>0.1070063706356135</v>
      </c>
      <c r="H147" s="9">
        <f t="shared" si="16"/>
        <v>7.6694533116020809E-6</v>
      </c>
      <c r="I147" s="9">
        <f t="shared" si="17"/>
        <v>0</v>
      </c>
      <c r="J147" s="9">
        <f t="shared" si="18"/>
        <v>4.4874792518960529</v>
      </c>
      <c r="K147" s="9">
        <f t="shared" si="19"/>
        <v>0</v>
      </c>
      <c r="L147" s="9">
        <f t="shared" si="20"/>
        <v>0.99999703318981092</v>
      </c>
      <c r="M147" s="9">
        <f t="shared" si="21"/>
        <v>4.6777057974890582E-3</v>
      </c>
      <c r="N147" s="9">
        <f t="shared" si="22"/>
        <v>6.9257778324395891E-5</v>
      </c>
      <c r="O147" s="9">
        <f t="shared" si="36"/>
        <v>7.2795773243162898E-7</v>
      </c>
      <c r="P147" s="9">
        <f t="shared" si="23"/>
        <v>0</v>
      </c>
      <c r="Q147" s="9">
        <f t="shared" si="24"/>
        <v>0</v>
      </c>
      <c r="R147" s="21">
        <f t="shared" si="25"/>
        <v>35.743403130246847</v>
      </c>
      <c r="S147" s="8">
        <f t="shared" si="37"/>
        <v>0.23714386928021028</v>
      </c>
      <c r="T147" s="8">
        <f t="shared" si="38"/>
        <v>0.15664645746016154</v>
      </c>
      <c r="U147" s="8">
        <f t="shared" si="39"/>
        <v>1.328892910212298E-3</v>
      </c>
      <c r="V147" s="8">
        <f t="shared" si="40"/>
        <v>0</v>
      </c>
      <c r="W147" s="8">
        <f t="shared" si="41"/>
        <v>0.93163639907953999</v>
      </c>
      <c r="X147" s="8">
        <f t="shared" si="42"/>
        <v>0</v>
      </c>
      <c r="Y147" s="8">
        <f t="shared" si="43"/>
        <v>4.6776855580196166E-3</v>
      </c>
      <c r="Z147" s="8">
        <f t="shared" si="44"/>
        <v>4.0941233174079917E-4</v>
      </c>
      <c r="AA147" s="8">
        <f t="shared" si="26"/>
        <v>0</v>
      </c>
      <c r="AB147" s="8">
        <f t="shared" si="27"/>
        <v>0</v>
      </c>
      <c r="AC147" s="8">
        <f t="shared" si="45"/>
        <v>-0.23714386928021028</v>
      </c>
      <c r="AD147" s="8">
        <f t="shared" si="28"/>
        <v>-58.206324950911743</v>
      </c>
      <c r="AF147" s="21">
        <f t="shared" si="29"/>
        <v>14.103338414510407</v>
      </c>
      <c r="AG147" s="8">
        <f t="shared" si="30"/>
        <v>-13.594234544725431</v>
      </c>
      <c r="AI147" s="12">
        <f t="shared" si="31"/>
        <v>-13.979461675045387</v>
      </c>
      <c r="AJ147" s="8">
        <f t="shared" si="32"/>
        <v>-0.19196900528831762</v>
      </c>
      <c r="AL147" s="12">
        <f t="shared" si="33"/>
        <v>35.619526390781829</v>
      </c>
      <c r="AM147" s="8">
        <f t="shared" si="34"/>
        <v>135.5503555059868</v>
      </c>
    </row>
    <row r="148" spans="1:39" x14ac:dyDescent="0.3">
      <c r="A148" s="20">
        <f t="shared" si="46"/>
        <v>950</v>
      </c>
      <c r="B148" s="8">
        <f t="shared" si="10"/>
        <v>5969.0260418206071</v>
      </c>
      <c r="C148" s="9">
        <f t="shared" si="11"/>
        <v>40.367367550689096</v>
      </c>
      <c r="D148" s="9">
        <f t="shared" si="12"/>
        <v>0.9995985651100654</v>
      </c>
      <c r="E148" s="9">
        <f t="shared" si="13"/>
        <v>0.25502700991724669</v>
      </c>
      <c r="F148" s="9">
        <f t="shared" si="14"/>
        <v>0.27037973158543993</v>
      </c>
      <c r="G148" s="9">
        <f t="shared" si="15"/>
        <v>0.11906017630197779</v>
      </c>
      <c r="H148" s="9">
        <f t="shared" si="16"/>
        <v>8.5452850813292338E-6</v>
      </c>
      <c r="I148" s="9">
        <f t="shared" si="17"/>
        <v>0</v>
      </c>
      <c r="J148" s="9">
        <f t="shared" si="18"/>
        <v>4.7957494800810103</v>
      </c>
      <c r="K148" s="9">
        <f t="shared" si="19"/>
        <v>0</v>
      </c>
      <c r="L148" s="9">
        <f t="shared" si="20"/>
        <v>0.99999669438741279</v>
      </c>
      <c r="M148" s="9">
        <f t="shared" si="21"/>
        <v>4.9375783417940061E-3</v>
      </c>
      <c r="N148" s="9">
        <f t="shared" si="22"/>
        <v>7.7166780201629037E-5</v>
      </c>
      <c r="O148" s="9">
        <f t="shared" si="36"/>
        <v>8.1108869872672317E-7</v>
      </c>
      <c r="P148" s="9">
        <f t="shared" si="23"/>
        <v>0</v>
      </c>
      <c r="Q148" s="9">
        <f t="shared" si="24"/>
        <v>0</v>
      </c>
      <c r="R148" s="21">
        <f t="shared" si="25"/>
        <v>35.420229082740804</v>
      </c>
      <c r="S148" s="8">
        <f t="shared" si="37"/>
        <v>0.24980050284263211</v>
      </c>
      <c r="T148" s="8">
        <f t="shared" si="38"/>
        <v>0.16519560419702267</v>
      </c>
      <c r="U148" s="8">
        <f t="shared" si="39"/>
        <v>1.4027201998184943E-3</v>
      </c>
      <c r="V148" s="8">
        <f t="shared" si="40"/>
        <v>0</v>
      </c>
      <c r="W148" s="8">
        <f t="shared" si="41"/>
        <v>0.95730991517077191</v>
      </c>
      <c r="X148" s="8">
        <f t="shared" si="42"/>
        <v>0</v>
      </c>
      <c r="Y148" s="8">
        <f t="shared" si="43"/>
        <v>4.9375545382316496E-3</v>
      </c>
      <c r="Z148" s="8">
        <f t="shared" si="44"/>
        <v>4.3215745852455769E-4</v>
      </c>
      <c r="AA148" s="8">
        <f t="shared" si="26"/>
        <v>0</v>
      </c>
      <c r="AB148" s="8">
        <f t="shared" si="27"/>
        <v>0</v>
      </c>
      <c r="AC148" s="8">
        <f t="shared" si="45"/>
        <v>-0.24980050284263211</v>
      </c>
      <c r="AD148" s="8">
        <f t="shared" si="28"/>
        <v>-59.924613331165162</v>
      </c>
      <c r="AF148" s="21">
        <f t="shared" si="29"/>
        <v>14.076387905824035</v>
      </c>
      <c r="AG148" s="8">
        <f t="shared" si="30"/>
        <v>-14.319774048303751</v>
      </c>
      <c r="AI148" s="12">
        <f t="shared" si="31"/>
        <v>-13.979468708215494</v>
      </c>
      <c r="AJ148" s="8">
        <f t="shared" si="32"/>
        <v>-0.20263381557782417</v>
      </c>
      <c r="AL148" s="12">
        <f t="shared" si="33"/>
        <v>35.323309885132268</v>
      </c>
      <c r="AM148" s="8">
        <f t="shared" si="34"/>
        <v>134.56739989878685</v>
      </c>
    </row>
    <row r="149" spans="1:39" x14ac:dyDescent="0.3">
      <c r="A149" s="20">
        <f t="shared" si="46"/>
        <v>1000</v>
      </c>
      <c r="B149" s="8">
        <f t="shared" si="10"/>
        <v>6283.1853071795858</v>
      </c>
      <c r="C149" s="9">
        <f t="shared" si="11"/>
        <v>40.367367550689096</v>
      </c>
      <c r="D149" s="9">
        <f t="shared" si="12"/>
        <v>0.99955519679785632</v>
      </c>
      <c r="E149" s="9">
        <f t="shared" si="13"/>
        <v>0.2684494604836265</v>
      </c>
      <c r="F149" s="9">
        <f t="shared" si="14"/>
        <v>0.29860713726707355</v>
      </c>
      <c r="G149" s="9">
        <f t="shared" si="15"/>
        <v>0.13172942615368946</v>
      </c>
      <c r="H149" s="9">
        <f t="shared" si="16"/>
        <v>9.4684589178862904E-6</v>
      </c>
      <c r="I149" s="9">
        <f t="shared" si="17"/>
        <v>0</v>
      </c>
      <c r="J149" s="9">
        <f t="shared" si="18"/>
        <v>5.0986089474774579</v>
      </c>
      <c r="K149" s="9">
        <f t="shared" si="19"/>
        <v>0</v>
      </c>
      <c r="L149" s="9">
        <f t="shared" si="20"/>
        <v>0.99999633727137149</v>
      </c>
      <c r="M149" s="9">
        <f t="shared" si="21"/>
        <v>5.1974508860989531E-3</v>
      </c>
      <c r="N149" s="9">
        <f t="shared" si="22"/>
        <v>8.5503281180537036E-5</v>
      </c>
      <c r="O149" s="9">
        <f t="shared" si="36"/>
        <v>8.9871323110508841E-7</v>
      </c>
      <c r="P149" s="9">
        <f t="shared" si="23"/>
        <v>0</v>
      </c>
      <c r="Q149" s="9">
        <f t="shared" si="24"/>
        <v>0</v>
      </c>
      <c r="R149" s="21">
        <f t="shared" si="25"/>
        <v>35.101803958562762</v>
      </c>
      <c r="S149" s="8">
        <f t="shared" si="37"/>
        <v>0.26237751260415243</v>
      </c>
      <c r="T149" s="8">
        <f t="shared" si="38"/>
        <v>0.1737204511050553</v>
      </c>
      <c r="U149" s="8">
        <f t="shared" si="39"/>
        <v>1.4765474741337185E-3</v>
      </c>
      <c r="V149" s="8">
        <f t="shared" si="40"/>
        <v>0</v>
      </c>
      <c r="W149" s="8">
        <f t="shared" si="41"/>
        <v>0.98123880787159479</v>
      </c>
      <c r="X149" s="8">
        <f t="shared" si="42"/>
        <v>0</v>
      </c>
      <c r="Y149" s="8">
        <f t="shared" si="43"/>
        <v>5.1974231228260476E-3</v>
      </c>
      <c r="Z149" s="8">
        <f t="shared" si="44"/>
        <v>4.5490258486117081E-4</v>
      </c>
      <c r="AA149" s="8">
        <f t="shared" si="26"/>
        <v>0</v>
      </c>
      <c r="AB149" s="8">
        <f t="shared" si="27"/>
        <v>0</v>
      </c>
      <c r="AC149" s="8">
        <f t="shared" si="45"/>
        <v>-0.26237751260415243</v>
      </c>
      <c r="AD149" s="8">
        <f t="shared" si="28"/>
        <v>-61.539772302385906</v>
      </c>
      <c r="AF149" s="21">
        <f t="shared" si="29"/>
        <v>14.048160500142401</v>
      </c>
      <c r="AG149" s="8">
        <f t="shared" si="30"/>
        <v>-15.040749130174342</v>
      </c>
      <c r="AI149" s="12">
        <f t="shared" si="31"/>
        <v>-13.979476121542637</v>
      </c>
      <c r="AJ149" s="8">
        <f t="shared" si="32"/>
        <v>-0.21329860406516538</v>
      </c>
      <c r="AL149" s="12">
        <f t="shared" si="33"/>
        <v>35.033119579963</v>
      </c>
      <c r="AM149" s="8">
        <f t="shared" si="34"/>
        <v>133.68306156584327</v>
      </c>
    </row>
    <row r="150" spans="1:39" x14ac:dyDescent="0.3">
      <c r="A150" s="20">
        <f>A149+500</f>
        <v>1500</v>
      </c>
      <c r="B150" s="8">
        <f t="shared" si="10"/>
        <v>9424.7779607693792</v>
      </c>
      <c r="C150" s="9">
        <f t="shared" si="11"/>
        <v>40.367367550689096</v>
      </c>
      <c r="D150" s="9">
        <f t="shared" si="12"/>
        <v>0.99899919279517679</v>
      </c>
      <c r="E150" s="9">
        <f t="shared" si="13"/>
        <v>0.4026737361140732</v>
      </c>
      <c r="F150" s="9">
        <f t="shared" si="14"/>
        <v>0.64512469161175523</v>
      </c>
      <c r="G150" s="9">
        <f t="shared" si="15"/>
        <v>0.29096384338785025</v>
      </c>
      <c r="H150" s="9">
        <f t="shared" si="16"/>
        <v>2.1304003534618207E-5</v>
      </c>
      <c r="I150" s="9">
        <f t="shared" si="17"/>
        <v>0</v>
      </c>
      <c r="J150" s="9">
        <f t="shared" si="18"/>
        <v>7.8021110828768627</v>
      </c>
      <c r="K150" s="9">
        <f t="shared" si="19"/>
        <v>0</v>
      </c>
      <c r="L150" s="9">
        <f t="shared" si="20"/>
        <v>0.99999175886058589</v>
      </c>
      <c r="M150" s="9">
        <f t="shared" si="21"/>
        <v>7.79617632914843E-3</v>
      </c>
      <c r="N150" s="9">
        <f t="shared" si="22"/>
        <v>1.9238017932046294E-4</v>
      </c>
      <c r="O150" s="9">
        <f t="shared" si="36"/>
        <v>2.0221045075911028E-6</v>
      </c>
      <c r="P150" s="9">
        <f t="shared" si="23"/>
        <v>0</v>
      </c>
      <c r="Q150" s="9">
        <f t="shared" si="24"/>
        <v>0</v>
      </c>
      <c r="R150" s="21">
        <f t="shared" si="25"/>
        <v>32.210922521308028</v>
      </c>
      <c r="S150" s="8">
        <f t="shared" si="37"/>
        <v>0.38315626486001242</v>
      </c>
      <c r="T150" s="8">
        <f t="shared" si="38"/>
        <v>0.2573949351086337</v>
      </c>
      <c r="U150" s="8">
        <f t="shared" si="39"/>
        <v>2.2148191992312164E-3</v>
      </c>
      <c r="V150" s="8">
        <f t="shared" si="40"/>
        <v>0</v>
      </c>
      <c r="W150" s="8">
        <f t="shared" si="41"/>
        <v>1.1513210509548193</v>
      </c>
      <c r="X150" s="8">
        <f t="shared" si="42"/>
        <v>0</v>
      </c>
      <c r="Y150" s="8">
        <f t="shared" si="43"/>
        <v>7.796082629427094E-3</v>
      </c>
      <c r="Z150" s="8">
        <f t="shared" si="44"/>
        <v>6.823538184568391E-4</v>
      </c>
      <c r="AA150" s="8">
        <f t="shared" si="26"/>
        <v>0</v>
      </c>
      <c r="AB150" s="8">
        <f t="shared" si="27"/>
        <v>0</v>
      </c>
      <c r="AC150" s="8">
        <f t="shared" si="45"/>
        <v>-0.38315626486001242</v>
      </c>
      <c r="AD150" s="8">
        <f t="shared" si="28"/>
        <v>-73.530309337817712</v>
      </c>
      <c r="AF150" s="21">
        <f t="shared" si="29"/>
        <v>13.701642945797719</v>
      </c>
      <c r="AG150" s="8">
        <f t="shared" si="30"/>
        <v>-21.964371870956125</v>
      </c>
      <c r="AI150" s="12">
        <f t="shared" si="31"/>
        <v>-13.979571162896161</v>
      </c>
      <c r="AJ150" s="8">
        <f t="shared" si="32"/>
        <v>-0.31994503739976365</v>
      </c>
      <c r="AL150" s="12">
        <f t="shared" si="33"/>
        <v>32.488850738406477</v>
      </c>
      <c r="AM150" s="8">
        <f t="shared" si="34"/>
        <v>128.71671193005236</v>
      </c>
    </row>
    <row r="151" spans="1:39" x14ac:dyDescent="0.3">
      <c r="A151" s="20">
        <f t="shared" ref="A151:A167" si="47">A150+500</f>
        <v>2000</v>
      </c>
      <c r="B151" s="8">
        <f t="shared" si="10"/>
        <v>12566.370614359172</v>
      </c>
      <c r="C151" s="9">
        <f t="shared" si="11"/>
        <v>40.367367550689096</v>
      </c>
      <c r="D151" s="9">
        <f t="shared" si="12"/>
        <v>0.99822078719142537</v>
      </c>
      <c r="E151" s="9">
        <f t="shared" si="13"/>
        <v>0.53689746621088008</v>
      </c>
      <c r="F151" s="9">
        <f t="shared" si="14"/>
        <v>1.0880295097760484</v>
      </c>
      <c r="G151" s="9">
        <f t="shared" si="15"/>
        <v>0.50451708524910954</v>
      </c>
      <c r="H151" s="9">
        <f t="shared" si="16"/>
        <v>3.7873711809795264E-5</v>
      </c>
      <c r="I151" s="9">
        <f t="shared" si="17"/>
        <v>0</v>
      </c>
      <c r="J151" s="9">
        <f t="shared" si="18"/>
        <v>9.9736895273419144</v>
      </c>
      <c r="K151" s="9">
        <f t="shared" si="19"/>
        <v>0</v>
      </c>
      <c r="L151" s="9">
        <f t="shared" si="20"/>
        <v>0.99998534908548597</v>
      </c>
      <c r="M151" s="9">
        <f t="shared" si="21"/>
        <v>1.0394901772197906E-2</v>
      </c>
      <c r="N151" s="9">
        <f t="shared" si="22"/>
        <v>3.4200372402932647E-4</v>
      </c>
      <c r="O151" s="9">
        <f t="shared" si="36"/>
        <v>3.5948518071814309E-6</v>
      </c>
      <c r="P151" s="9">
        <f t="shared" si="23"/>
        <v>0</v>
      </c>
      <c r="Q151" s="9">
        <f t="shared" si="24"/>
        <v>0</v>
      </c>
      <c r="R151" s="21">
        <f t="shared" si="25"/>
        <v>29.809857873956219</v>
      </c>
      <c r="S151" s="8">
        <f t="shared" si="37"/>
        <v>0.49347059645318508</v>
      </c>
      <c r="T151" s="8">
        <f t="shared" si="38"/>
        <v>0.33754647410447841</v>
      </c>
      <c r="U151" s="8">
        <f t="shared" si="39"/>
        <v>2.9530885099802195E-3</v>
      </c>
      <c r="V151" s="8">
        <f t="shared" si="40"/>
        <v>0</v>
      </c>
      <c r="W151" s="8">
        <f t="shared" si="41"/>
        <v>1.2480343692426989</v>
      </c>
      <c r="X151" s="8">
        <f t="shared" si="42"/>
        <v>0</v>
      </c>
      <c r="Y151" s="8">
        <f t="shared" si="43"/>
        <v>1.0394679673550658E-2</v>
      </c>
      <c r="Z151" s="8">
        <f t="shared" si="44"/>
        <v>9.0980498145064781E-4</v>
      </c>
      <c r="AA151" s="8">
        <f t="shared" si="26"/>
        <v>0</v>
      </c>
      <c r="AB151" s="8">
        <f t="shared" si="27"/>
        <v>0</v>
      </c>
      <c r="AC151" s="8">
        <f t="shared" si="45"/>
        <v>-0.49347059645318508</v>
      </c>
      <c r="AD151" s="8">
        <f t="shared" si="28"/>
        <v>-80.919395931892353</v>
      </c>
      <c r="AF151" s="21">
        <f t="shared" si="29"/>
        <v>13.258738127633427</v>
      </c>
      <c r="AG151" s="8">
        <f t="shared" si="30"/>
        <v>-28.28812336355838</v>
      </c>
      <c r="AI151" s="12">
        <f t="shared" si="31"/>
        <v>-13.979704216732594</v>
      </c>
      <c r="AJ151" s="8">
        <f t="shared" si="32"/>
        <v>-0.4265880284849296</v>
      </c>
      <c r="AL151" s="12">
        <f t="shared" si="33"/>
        <v>30.530823963055386</v>
      </c>
      <c r="AM151" s="8">
        <f t="shared" si="34"/>
        <v>127.75427196766216</v>
      </c>
    </row>
    <row r="152" spans="1:39" x14ac:dyDescent="0.3">
      <c r="A152" s="20">
        <f t="shared" si="47"/>
        <v>2500</v>
      </c>
      <c r="B152" s="8">
        <f t="shared" si="10"/>
        <v>15707.963267948966</v>
      </c>
      <c r="C152" s="9">
        <f t="shared" si="11"/>
        <v>40.367367550689096</v>
      </c>
      <c r="D152" s="9">
        <f t="shared" si="12"/>
        <v>0.99721997998660206</v>
      </c>
      <c r="E152" s="9">
        <f t="shared" si="13"/>
        <v>0.67112046892950061</v>
      </c>
      <c r="F152" s="9">
        <f t="shared" si="14"/>
        <v>1.5982287418680219</v>
      </c>
      <c r="G152" s="9">
        <f t="shared" si="15"/>
        <v>0.76450460739079518</v>
      </c>
      <c r="H152" s="9">
        <f t="shared" si="16"/>
        <v>5.9177529558312951E-5</v>
      </c>
      <c r="I152" s="9">
        <f t="shared" si="17"/>
        <v>0</v>
      </c>
      <c r="J152" s="9">
        <f t="shared" si="18"/>
        <v>11.751674483658363</v>
      </c>
      <c r="K152" s="9">
        <f t="shared" si="19"/>
        <v>0</v>
      </c>
      <c r="L152" s="9">
        <f t="shared" si="20"/>
        <v>0.99997710794607186</v>
      </c>
      <c r="M152" s="9">
        <f t="shared" si="21"/>
        <v>1.2993627215247385E-2</v>
      </c>
      <c r="N152" s="9">
        <f t="shared" si="22"/>
        <v>5.343698030916054E-4</v>
      </c>
      <c r="O152" s="9">
        <f t="shared" si="36"/>
        <v>5.6169546427720902E-6</v>
      </c>
      <c r="P152" s="9">
        <f t="shared" si="23"/>
        <v>0</v>
      </c>
      <c r="Q152" s="9">
        <f t="shared" si="24"/>
        <v>0</v>
      </c>
      <c r="R152" s="21">
        <f t="shared" si="25"/>
        <v>27.781488123325335</v>
      </c>
      <c r="S152" s="8">
        <f t="shared" si="37"/>
        <v>0.59236849172270989</v>
      </c>
      <c r="T152" s="8">
        <f t="shared" si="38"/>
        <v>0.41343684570421663</v>
      </c>
      <c r="U152" s="8">
        <f t="shared" si="39"/>
        <v>3.6913546016224602E-3</v>
      </c>
      <c r="V152" s="8">
        <f t="shared" si="40"/>
        <v>0</v>
      </c>
      <c r="W152" s="8">
        <f t="shared" si="41"/>
        <v>1.3093545011233014</v>
      </c>
      <c r="X152" s="8">
        <f t="shared" si="42"/>
        <v>0</v>
      </c>
      <c r="Y152" s="8">
        <f t="shared" si="43"/>
        <v>1.2993193439865247E-2</v>
      </c>
      <c r="Z152" s="8">
        <f t="shared" si="44"/>
        <v>1.1372560503087122E-3</v>
      </c>
      <c r="AA152" s="8">
        <f t="shared" si="26"/>
        <v>0</v>
      </c>
      <c r="AB152" s="8">
        <f t="shared" si="27"/>
        <v>0</v>
      </c>
      <c r="AC152" s="8">
        <f t="shared" si="45"/>
        <v>-0.59236849172270989</v>
      </c>
      <c r="AD152" s="8">
        <f t="shared" si="28"/>
        <v>-85.870631018061644</v>
      </c>
      <c r="AF152" s="21">
        <f t="shared" si="29"/>
        <v>12.748538895541452</v>
      </c>
      <c r="AG152" s="8">
        <f t="shared" si="30"/>
        <v>-33.957429461811394</v>
      </c>
      <c r="AI152" s="12">
        <f t="shared" si="31"/>
        <v>-13.979875278993909</v>
      </c>
      <c r="AJ152" s="8">
        <f t="shared" si="32"/>
        <v>-0.5332264302177393</v>
      </c>
      <c r="AL152" s="12">
        <f t="shared" si="33"/>
        <v>29.01282450677779</v>
      </c>
      <c r="AM152" s="8">
        <f t="shared" si="34"/>
        <v>128.57647004315578</v>
      </c>
    </row>
    <row r="153" spans="1:39" x14ac:dyDescent="0.3">
      <c r="A153" s="20">
        <f t="shared" si="47"/>
        <v>3000</v>
      </c>
      <c r="B153" s="8">
        <f t="shared" si="10"/>
        <v>18849.555921538758</v>
      </c>
      <c r="C153" s="9">
        <f t="shared" si="11"/>
        <v>40.367367550689096</v>
      </c>
      <c r="D153" s="9">
        <f t="shared" si="12"/>
        <v>0.99599677118070695</v>
      </c>
      <c r="E153" s="9">
        <f t="shared" si="13"/>
        <v>0.80534256242538815</v>
      </c>
      <c r="F153" s="9">
        <f t="shared" si="14"/>
        <v>2.1499905703371773</v>
      </c>
      <c r="G153" s="9">
        <f t="shared" si="15"/>
        <v>1.0624825199005292</v>
      </c>
      <c r="H153" s="9">
        <f t="shared" si="16"/>
        <v>8.5215387111210468E-5</v>
      </c>
      <c r="I153" s="9">
        <f t="shared" si="17"/>
        <v>0</v>
      </c>
      <c r="J153" s="9">
        <f t="shared" si="18"/>
        <v>13.245726221280162</v>
      </c>
      <c r="K153" s="9">
        <f t="shared" si="19"/>
        <v>0</v>
      </c>
      <c r="L153" s="9">
        <f t="shared" si="20"/>
        <v>0.99996703544234355</v>
      </c>
      <c r="M153" s="9">
        <f t="shared" si="21"/>
        <v>1.559235265829686E-2</v>
      </c>
      <c r="N153" s="9">
        <f t="shared" si="22"/>
        <v>7.6947313003499819E-4</v>
      </c>
      <c r="O153" s="9">
        <f t="shared" si="36"/>
        <v>8.088412384229764E-6</v>
      </c>
      <c r="P153" s="9">
        <f t="shared" si="23"/>
        <v>0</v>
      </c>
      <c r="Q153" s="9">
        <f t="shared" si="24"/>
        <v>0</v>
      </c>
      <c r="R153" s="21">
        <f t="shared" si="25"/>
        <v>26.033440932816973</v>
      </c>
      <c r="S153" s="8">
        <f t="shared" si="37"/>
        <v>0.67995048937109126</v>
      </c>
      <c r="T153" s="8">
        <f t="shared" si="38"/>
        <v>0.4845971904801456</v>
      </c>
      <c r="U153" s="8">
        <f t="shared" si="39"/>
        <v>4.4296166694207236E-3</v>
      </c>
      <c r="V153" s="8">
        <f t="shared" si="40"/>
        <v>0</v>
      </c>
      <c r="W153" s="8">
        <f t="shared" si="41"/>
        <v>1.3514133217122346</v>
      </c>
      <c r="X153" s="8">
        <f t="shared" si="42"/>
        <v>0</v>
      </c>
      <c r="Y153" s="8">
        <f t="shared" si="43"/>
        <v>1.5591603117747762E-2</v>
      </c>
      <c r="Z153" s="8">
        <f t="shared" si="44"/>
        <v>1.3647070014972049E-3</v>
      </c>
      <c r="AA153" s="8">
        <f t="shared" si="26"/>
        <v>0</v>
      </c>
      <c r="AB153" s="8">
        <f t="shared" si="27"/>
        <v>0</v>
      </c>
      <c r="AC153" s="8">
        <f t="shared" si="45"/>
        <v>-0.67995048937109126</v>
      </c>
      <c r="AD153" s="8">
        <f t="shared" si="28"/>
        <v>-89.340925918204377</v>
      </c>
      <c r="AF153" s="21">
        <f t="shared" si="29"/>
        <v>12.196777067072297</v>
      </c>
      <c r="AG153" s="8">
        <f t="shared" si="30"/>
        <v>-38.978053530826884</v>
      </c>
      <c r="AI153" s="12">
        <f t="shared" si="31"/>
        <v>-13.980084344463299</v>
      </c>
      <c r="AJ153" s="8">
        <f t="shared" si="32"/>
        <v>-0.63985909576397015</v>
      </c>
      <c r="AL153" s="12">
        <f t="shared" si="33"/>
        <v>27.816748210207987</v>
      </c>
      <c r="AM153" s="8">
        <f t="shared" si="34"/>
        <v>130.23167169361608</v>
      </c>
    </row>
    <row r="154" spans="1:39" x14ac:dyDescent="0.3">
      <c r="A154" s="20">
        <f t="shared" si="47"/>
        <v>3500</v>
      </c>
      <c r="B154" s="8">
        <f t="shared" si="10"/>
        <v>21991.148575128551</v>
      </c>
      <c r="C154" s="9">
        <f t="shared" si="11"/>
        <v>40.367367550689096</v>
      </c>
      <c r="D154" s="9">
        <f t="shared" si="12"/>
        <v>0.99455116077374006</v>
      </c>
      <c r="E154" s="9">
        <f t="shared" si="13"/>
        <v>0.93956356485399595</v>
      </c>
      <c r="F154" s="9">
        <f t="shared" si="14"/>
        <v>2.7228535964895064</v>
      </c>
      <c r="G154" s="9">
        <f t="shared" si="15"/>
        <v>1.3901509520076314</v>
      </c>
      <c r="H154" s="9">
        <f t="shared" si="16"/>
        <v>1.1598719932000264E-4</v>
      </c>
      <c r="I154" s="9">
        <f t="shared" si="17"/>
        <v>0</v>
      </c>
      <c r="J154" s="9">
        <f t="shared" si="18"/>
        <v>14.529745635731715</v>
      </c>
      <c r="K154" s="9">
        <f t="shared" si="19"/>
        <v>0</v>
      </c>
      <c r="L154" s="9">
        <f t="shared" si="20"/>
        <v>0.99995513157430094</v>
      </c>
      <c r="M154" s="9">
        <f t="shared" si="21"/>
        <v>1.8191078101346337E-2</v>
      </c>
      <c r="N154" s="9">
        <f t="shared" si="22"/>
        <v>1.0473072446397027E-3</v>
      </c>
      <c r="O154" s="9">
        <f t="shared" si="36"/>
        <v>1.1009224264178172E-5</v>
      </c>
      <c r="P154" s="9">
        <f t="shared" si="23"/>
        <v>0</v>
      </c>
      <c r="Q154" s="9">
        <f t="shared" si="24"/>
        <v>0</v>
      </c>
      <c r="R154" s="21">
        <f t="shared" si="25"/>
        <v>24.503976941205924</v>
      </c>
      <c r="S154" s="8">
        <f t="shared" si="37"/>
        <v>0.75697545033944713</v>
      </c>
      <c r="T154" s="8">
        <f t="shared" si="38"/>
        <v>0.55080457986012044</v>
      </c>
      <c r="U154" s="8">
        <f t="shared" si="39"/>
        <v>5.1678739086641152E-3</v>
      </c>
      <c r="V154" s="8">
        <f t="shared" si="40"/>
        <v>0</v>
      </c>
      <c r="W154" s="8">
        <f t="shared" si="41"/>
        <v>1.3819550074744189</v>
      </c>
      <c r="X154" s="8">
        <f t="shared" si="42"/>
        <v>0</v>
      </c>
      <c r="Y154" s="8">
        <f t="shared" si="43"/>
        <v>1.8189887902459394E-2</v>
      </c>
      <c r="Z154" s="8">
        <f t="shared" si="44"/>
        <v>1.5921578114823731E-3</v>
      </c>
      <c r="AA154" s="8">
        <f t="shared" si="26"/>
        <v>0</v>
      </c>
      <c r="AB154" s="8">
        <f t="shared" si="27"/>
        <v>0</v>
      </c>
      <c r="AC154" s="8">
        <f t="shared" si="45"/>
        <v>-0.75697545033944713</v>
      </c>
      <c r="AD154" s="8">
        <f t="shared" si="28"/>
        <v>-91.830240507779578</v>
      </c>
      <c r="AF154" s="21">
        <f t="shared" si="29"/>
        <v>11.623914040919967</v>
      </c>
      <c r="AG154" s="8">
        <f t="shared" si="30"/>
        <v>-43.393497153216714</v>
      </c>
      <c r="AI154" s="12">
        <f t="shared" si="31"/>
        <v>-13.980331406765695</v>
      </c>
      <c r="AJ154" s="8">
        <f t="shared" si="32"/>
        <v>-0.74648487862520696</v>
      </c>
      <c r="AL154" s="12">
        <f t="shared" si="33"/>
        <v>26.860394307051653</v>
      </c>
      <c r="AM154" s="8">
        <f t="shared" si="34"/>
        <v>132.26316389278963</v>
      </c>
    </row>
    <row r="155" spans="1:39" x14ac:dyDescent="0.3">
      <c r="A155" s="20">
        <f t="shared" si="47"/>
        <v>4000</v>
      </c>
      <c r="B155" s="8">
        <f t="shared" si="10"/>
        <v>25132.741228718343</v>
      </c>
      <c r="C155" s="9">
        <f t="shared" si="11"/>
        <v>40.367367550689096</v>
      </c>
      <c r="D155" s="9">
        <f t="shared" si="12"/>
        <v>0.99288314876570138</v>
      </c>
      <c r="E155" s="9">
        <f t="shared" si="13"/>
        <v>1.0737832943707777</v>
      </c>
      <c r="F155" s="9">
        <f t="shared" si="14"/>
        <v>3.3017576151685795</v>
      </c>
      <c r="G155" s="9">
        <f t="shared" si="15"/>
        <v>1.7398541546044237</v>
      </c>
      <c r="H155" s="9">
        <f t="shared" si="16"/>
        <v>1.5149286555918865E-4</v>
      </c>
      <c r="I155" s="9">
        <f t="shared" si="17"/>
        <v>0</v>
      </c>
      <c r="J155" s="9">
        <f t="shared" si="18"/>
        <v>15.653566484142669</v>
      </c>
      <c r="K155" s="9">
        <f t="shared" si="19"/>
        <v>0</v>
      </c>
      <c r="L155" s="9">
        <f t="shared" si="20"/>
        <v>0.99994139634194401</v>
      </c>
      <c r="M155" s="9">
        <f t="shared" si="21"/>
        <v>2.0789803544395812E-2</v>
      </c>
      <c r="N155" s="9">
        <f t="shared" si="22"/>
        <v>1.3678645135476529E-3</v>
      </c>
      <c r="O155" s="9">
        <f t="shared" si="36"/>
        <v>1.4379389377998561E-5</v>
      </c>
      <c r="P155" s="9">
        <f t="shared" si="23"/>
        <v>0</v>
      </c>
      <c r="Q155" s="9">
        <f t="shared" si="24"/>
        <v>0</v>
      </c>
      <c r="R155" s="21">
        <f t="shared" si="25"/>
        <v>23.150666854944905</v>
      </c>
      <c r="S155" s="8">
        <f t="shared" si="37"/>
        <v>0.82452342301143866</v>
      </c>
      <c r="T155" s="8">
        <f t="shared" si="38"/>
        <v>0.61203848985261056</v>
      </c>
      <c r="U155" s="8">
        <f t="shared" si="39"/>
        <v>5.9061255146733178E-3</v>
      </c>
      <c r="V155" s="8">
        <f t="shared" si="40"/>
        <v>0</v>
      </c>
      <c r="W155" s="8">
        <f t="shared" si="41"/>
        <v>1.4051008103081959</v>
      </c>
      <c r="X155" s="8">
        <f t="shared" si="42"/>
        <v>0</v>
      </c>
      <c r="Y155" s="8">
        <f t="shared" si="43"/>
        <v>2.0788026996320583E-2</v>
      </c>
      <c r="Z155" s="8">
        <f t="shared" si="44"/>
        <v>1.8196084567305506E-3</v>
      </c>
      <c r="AA155" s="8">
        <f t="shared" si="26"/>
        <v>0</v>
      </c>
      <c r="AB155" s="8">
        <f t="shared" si="27"/>
        <v>0</v>
      </c>
      <c r="AC155" s="8">
        <f t="shared" si="45"/>
        <v>-0.82452342301143866</v>
      </c>
      <c r="AD155" s="8">
        <f t="shared" si="28"/>
        <v>-93.637762132156794</v>
      </c>
      <c r="AF155" s="21">
        <f t="shared" si="29"/>
        <v>11.045010022240895</v>
      </c>
      <c r="AG155" s="8">
        <f t="shared" si="30"/>
        <v>-47.265673930592023</v>
      </c>
      <c r="AI155" s="12">
        <f t="shared" si="31"/>
        <v>-13.980616458368363</v>
      </c>
      <c r="AJ155" s="8">
        <f t="shared" si="32"/>
        <v>-0.85310263270589415</v>
      </c>
      <c r="AL155" s="12">
        <f t="shared" si="33"/>
        <v>26.086273291072377</v>
      </c>
      <c r="AM155" s="8">
        <f t="shared" si="34"/>
        <v>134.43351999865706</v>
      </c>
    </row>
    <row r="156" spans="1:39" x14ac:dyDescent="0.3">
      <c r="A156" s="20">
        <f t="shared" si="47"/>
        <v>4500</v>
      </c>
      <c r="B156" s="8">
        <f t="shared" si="10"/>
        <v>28274.333882308139</v>
      </c>
      <c r="C156" s="9">
        <f t="shared" si="11"/>
        <v>40.367367550689096</v>
      </c>
      <c r="D156" s="9">
        <f t="shared" si="12"/>
        <v>0.9909927351565907</v>
      </c>
      <c r="E156" s="9">
        <f t="shared" si="13"/>
        <v>1.2080015691311865</v>
      </c>
      <c r="F156" s="9">
        <f t="shared" si="14"/>
        <v>3.876272692664875</v>
      </c>
      <c r="G156" s="9">
        <f t="shared" si="15"/>
        <v>2.1048692769429045</v>
      </c>
      <c r="H156" s="9">
        <f t="shared" si="16"/>
        <v>1.9173226972115168E-4</v>
      </c>
      <c r="I156" s="9">
        <f t="shared" si="17"/>
        <v>0</v>
      </c>
      <c r="J156" s="9">
        <f t="shared" si="18"/>
        <v>16.65174930558161</v>
      </c>
      <c r="K156" s="9">
        <f t="shared" si="19"/>
        <v>0</v>
      </c>
      <c r="L156" s="9">
        <f t="shared" si="20"/>
        <v>0.99992582974527289</v>
      </c>
      <c r="M156" s="9">
        <f t="shared" si="21"/>
        <v>2.3388528987445294E-2</v>
      </c>
      <c r="N156" s="9">
        <f t="shared" si="22"/>
        <v>1.7311361309832027E-3</v>
      </c>
      <c r="O156" s="9">
        <f t="shared" si="36"/>
        <v>1.8198906679972991E-5</v>
      </c>
      <c r="P156" s="9">
        <f t="shared" si="23"/>
        <v>0</v>
      </c>
      <c r="Q156" s="9">
        <f t="shared" si="24"/>
        <v>0</v>
      </c>
      <c r="R156" s="21">
        <f t="shared" si="25"/>
        <v>21.942657226617573</v>
      </c>
      <c r="S156" s="8">
        <f t="shared" si="37"/>
        <v>0.8837651537615091</v>
      </c>
      <c r="T156" s="8">
        <f t="shared" si="38"/>
        <v>0.66843014460151495</v>
      </c>
      <c r="U156" s="8">
        <f t="shared" si="39"/>
        <v>6.6443706828058563E-3</v>
      </c>
      <c r="V156" s="8">
        <f t="shared" si="40"/>
        <v>0</v>
      </c>
      <c r="W156" s="8">
        <f t="shared" si="41"/>
        <v>1.4232291101364716</v>
      </c>
      <c r="X156" s="8">
        <f t="shared" si="42"/>
        <v>0</v>
      </c>
      <c r="Y156" s="8">
        <f t="shared" si="43"/>
        <v>2.3385999609885071E-2</v>
      </c>
      <c r="Z156" s="8">
        <f t="shared" si="44"/>
        <v>2.0470589137081743E-3</v>
      </c>
      <c r="AA156" s="8">
        <f t="shared" si="26"/>
        <v>0</v>
      </c>
      <c r="AB156" s="8">
        <f t="shared" si="27"/>
        <v>0</v>
      </c>
      <c r="AC156" s="8">
        <f t="shared" si="45"/>
        <v>-0.8837651537615091</v>
      </c>
      <c r="AD156" s="8">
        <f t="shared" si="28"/>
        <v>-94.959321013124111</v>
      </c>
      <c r="AF156" s="21">
        <f t="shared" si="29"/>
        <v>10.470494944744599</v>
      </c>
      <c r="AG156" s="8">
        <f t="shared" si="30"/>
        <v>-50.661696712443195</v>
      </c>
      <c r="AI156" s="12">
        <f t="shared" si="31"/>
        <v>-13.980939490581637</v>
      </c>
      <c r="AJ156" s="8">
        <f t="shared" si="32"/>
        <v>-0.95971121238033708</v>
      </c>
      <c r="AL156" s="12">
        <f t="shared" si="33"/>
        <v>25.453101772454612</v>
      </c>
      <c r="AM156" s="8">
        <f t="shared" si="34"/>
        <v>136.61392216536316</v>
      </c>
    </row>
    <row r="157" spans="1:39" x14ac:dyDescent="0.3">
      <c r="A157" s="20">
        <f t="shared" si="47"/>
        <v>5000</v>
      </c>
      <c r="B157" s="8">
        <f t="shared" si="10"/>
        <v>31415.926535897932</v>
      </c>
      <c r="C157" s="9">
        <f t="shared" si="11"/>
        <v>40.367367550689096</v>
      </c>
      <c r="D157" s="9">
        <f t="shared" si="12"/>
        <v>0.98887991994640834</v>
      </c>
      <c r="E157" s="9">
        <f t="shared" si="13"/>
        <v>1.3422182072906759</v>
      </c>
      <c r="F157" s="9">
        <f t="shared" si="14"/>
        <v>4.4395624269042351</v>
      </c>
      <c r="G157" s="9">
        <f t="shared" si="15"/>
        <v>2.4795190351070535</v>
      </c>
      <c r="H157" s="9">
        <f t="shared" si="16"/>
        <v>2.3670528022273567E-4</v>
      </c>
      <c r="I157" s="9">
        <f t="shared" si="17"/>
        <v>0</v>
      </c>
      <c r="J157" s="9">
        <f t="shared" si="18"/>
        <v>17.549023688901777</v>
      </c>
      <c r="K157" s="9">
        <f t="shared" si="19"/>
        <v>0</v>
      </c>
      <c r="L157" s="9">
        <f t="shared" si="20"/>
        <v>0.99990843178428757</v>
      </c>
      <c r="M157" s="9">
        <f t="shared" si="21"/>
        <v>2.598725443049477E-2</v>
      </c>
      <c r="N157" s="9">
        <f t="shared" si="22"/>
        <v>2.1371121195909414E-3</v>
      </c>
      <c r="O157" s="9">
        <f t="shared" si="36"/>
        <v>2.2467774981356354E-5</v>
      </c>
      <c r="P157" s="9">
        <f t="shared" si="23"/>
        <v>0</v>
      </c>
      <c r="Q157" s="9">
        <f t="shared" si="24"/>
        <v>0</v>
      </c>
      <c r="R157" s="21">
        <f t="shared" si="25"/>
        <v>20.85637759537579</v>
      </c>
      <c r="S157" s="8">
        <f t="shared" si="37"/>
        <v>0.93582897216714389</v>
      </c>
      <c r="T157" s="8">
        <f t="shared" si="38"/>
        <v>0.7202141345241948</v>
      </c>
      <c r="U157" s="8">
        <f t="shared" si="39"/>
        <v>7.3826086084613574E-3</v>
      </c>
      <c r="V157" s="8">
        <f t="shared" si="40"/>
        <v>0</v>
      </c>
      <c r="W157" s="8">
        <f t="shared" si="41"/>
        <v>1.4378030106849951</v>
      </c>
      <c r="X157" s="8">
        <f t="shared" si="42"/>
        <v>0</v>
      </c>
      <c r="Y157" s="8">
        <f t="shared" si="43"/>
        <v>2.5983784963112693E-2</v>
      </c>
      <c r="Z157" s="8">
        <f t="shared" si="44"/>
        <v>2.2745091588817967E-3</v>
      </c>
      <c r="AA157" s="8">
        <f t="shared" si="26"/>
        <v>0</v>
      </c>
      <c r="AB157" s="8">
        <f t="shared" si="27"/>
        <v>0</v>
      </c>
      <c r="AC157" s="8">
        <f t="shared" si="45"/>
        <v>-0.93582897216714389</v>
      </c>
      <c r="AD157" s="8">
        <f t="shared" si="28"/>
        <v>-95.929953155160717</v>
      </c>
      <c r="AF157" s="21">
        <f t="shared" si="29"/>
        <v>9.9072052105052393</v>
      </c>
      <c r="AG157" s="8">
        <f t="shared" si="30"/>
        <v>-53.646246812129263</v>
      </c>
      <c r="AI157" s="12">
        <f t="shared" si="31"/>
        <v>-13.981300493559743</v>
      </c>
      <c r="AJ157" s="8">
        <f t="shared" si="32"/>
        <v>-1.0663094725596307</v>
      </c>
      <c r="AL157" s="12">
        <f t="shared" si="33"/>
        <v>24.930472878430294</v>
      </c>
      <c r="AM157" s="8">
        <f t="shared" si="34"/>
        <v>138.73394606447681</v>
      </c>
    </row>
    <row r="158" spans="1:39" x14ac:dyDescent="0.3">
      <c r="A158" s="20">
        <f t="shared" si="47"/>
        <v>5500</v>
      </c>
      <c r="B158" s="8">
        <f t="shared" si="10"/>
        <v>34557.519189487721</v>
      </c>
      <c r="C158" s="9">
        <f t="shared" si="11"/>
        <v>40.367367550689096</v>
      </c>
      <c r="D158" s="9">
        <f t="shared" si="12"/>
        <v>0.98654470313515408</v>
      </c>
      <c r="E158" s="9">
        <f t="shared" si="13"/>
        <v>1.476433027004699</v>
      </c>
      <c r="F158" s="9">
        <f t="shared" si="14"/>
        <v>4.987411788973545</v>
      </c>
      <c r="G158" s="9">
        <f t="shared" si="15"/>
        <v>2.859159944876998</v>
      </c>
      <c r="H158" s="9">
        <f t="shared" si="16"/>
        <v>2.8641175000999896E-4</v>
      </c>
      <c r="I158" s="9">
        <f t="shared" si="17"/>
        <v>0</v>
      </c>
      <c r="J158" s="9">
        <f t="shared" si="18"/>
        <v>18.363604078216248</v>
      </c>
      <c r="K158" s="9">
        <f t="shared" si="19"/>
        <v>0</v>
      </c>
      <c r="L158" s="9">
        <f t="shared" si="20"/>
        <v>0.99988920245898794</v>
      </c>
      <c r="M158" s="9">
        <f t="shared" si="21"/>
        <v>2.8585979873544241E-2</v>
      </c>
      <c r="N158" s="9">
        <f t="shared" si="22"/>
        <v>2.5857813313770253E-3</v>
      </c>
      <c r="O158" s="9">
        <f t="shared" si="36"/>
        <v>2.7185992960020405E-5</v>
      </c>
      <c r="P158" s="9">
        <f t="shared" si="23"/>
        <v>0</v>
      </c>
      <c r="Q158" s="9">
        <f t="shared" si="24"/>
        <v>0</v>
      </c>
      <c r="R158" s="21">
        <f t="shared" si="25"/>
        <v>19.873185072801977</v>
      </c>
      <c r="S158" s="8">
        <f t="shared" si="37"/>
        <v>0.98173660950166541</v>
      </c>
      <c r="T158" s="8">
        <f t="shared" si="38"/>
        <v>0.76768749787973001</v>
      </c>
      <c r="U158" s="8">
        <f t="shared" si="39"/>
        <v>8.1208384870868136E-3</v>
      </c>
      <c r="V158" s="8">
        <f t="shared" si="40"/>
        <v>0</v>
      </c>
      <c r="W158" s="8">
        <f t="shared" si="41"/>
        <v>1.4497698112827</v>
      </c>
      <c r="X158" s="8">
        <f t="shared" si="42"/>
        <v>0</v>
      </c>
      <c r="Y158" s="8">
        <f t="shared" si="43"/>
        <v>2.8581362286540925E-2</v>
      </c>
      <c r="Z158" s="8">
        <f t="shared" si="44"/>
        <v>2.5019591687181031E-3</v>
      </c>
      <c r="AA158" s="8">
        <f t="shared" si="26"/>
        <v>0</v>
      </c>
      <c r="AB158" s="8">
        <f t="shared" si="27"/>
        <v>0</v>
      </c>
      <c r="AC158" s="8">
        <f t="shared" si="45"/>
        <v>-0.98173660950166541</v>
      </c>
      <c r="AD158" s="8">
        <f t="shared" si="28"/>
        <v>-96.645455517655407</v>
      </c>
      <c r="AF158" s="21">
        <f t="shared" si="29"/>
        <v>9.3593558484359285</v>
      </c>
      <c r="AG158" s="8">
        <f t="shared" si="30"/>
        <v>-56.277894812197374</v>
      </c>
      <c r="AI158" s="12">
        <f t="shared" si="31"/>
        <v>-13.981699456301742</v>
      </c>
      <c r="AJ158" s="8">
        <f t="shared" si="32"/>
        <v>-1.1728962687585158</v>
      </c>
      <c r="AL158" s="12">
        <f t="shared" si="33"/>
        <v>24.495528680667793</v>
      </c>
      <c r="AM158" s="8">
        <f t="shared" si="34"/>
        <v>140.75631558506245</v>
      </c>
    </row>
    <row r="159" spans="1:39" x14ac:dyDescent="0.3">
      <c r="A159" s="20">
        <f t="shared" si="47"/>
        <v>6000</v>
      </c>
      <c r="B159" s="8">
        <f t="shared" si="10"/>
        <v>37699.111843077517</v>
      </c>
      <c r="C159" s="9">
        <f t="shared" si="11"/>
        <v>40.367367550689096</v>
      </c>
      <c r="D159" s="9">
        <f t="shared" si="12"/>
        <v>0.98398708472282803</v>
      </c>
      <c r="E159" s="9">
        <f t="shared" si="13"/>
        <v>1.6106458464287099</v>
      </c>
      <c r="F159" s="9">
        <f t="shared" si="14"/>
        <v>5.5174397748515691</v>
      </c>
      <c r="G159" s="9">
        <f t="shared" si="15"/>
        <v>3.2400957258277345</v>
      </c>
      <c r="H159" s="9">
        <f t="shared" si="16"/>
        <v>3.4085151654571558E-4</v>
      </c>
      <c r="I159" s="9">
        <f t="shared" si="17"/>
        <v>0</v>
      </c>
      <c r="J159" s="9">
        <f t="shared" si="18"/>
        <v>19.109252621254214</v>
      </c>
      <c r="K159" s="9">
        <f t="shared" si="19"/>
        <v>0</v>
      </c>
      <c r="L159" s="9">
        <f t="shared" si="20"/>
        <v>0.99986814176937411</v>
      </c>
      <c r="M159" s="9">
        <f t="shared" si="21"/>
        <v>3.118470531659372E-2</v>
      </c>
      <c r="N159" s="9">
        <f t="shared" si="22"/>
        <v>3.0771314487635371E-3</v>
      </c>
      <c r="O159" s="9">
        <f t="shared" ref="O159:O190" si="48">20*LOG10(SQRT(1+($B$84*B159)^2))</f>
        <v>3.2353559150811352E-5</v>
      </c>
      <c r="P159" s="9">
        <f t="shared" si="23"/>
        <v>0</v>
      </c>
      <c r="Q159" s="9">
        <f t="shared" si="24"/>
        <v>0</v>
      </c>
      <c r="R159" s="21">
        <f t="shared" si="25"/>
        <v>18.978002246919687</v>
      </c>
      <c r="S159" s="8">
        <f t="shared" ref="S159:S190" si="49">ATAN2(D159,E159)</f>
        <v>1.0223809622926328</v>
      </c>
      <c r="T159" s="8">
        <f t="shared" ref="T159:T190" si="50">ATAN($B$76*B159)</f>
        <v>0.8111780518517282</v>
      </c>
      <c r="U159" s="8">
        <f t="shared" ref="U159:U190" si="51">ATAN($B$77*B159)</f>
        <v>8.8590595141818419E-3</v>
      </c>
      <c r="V159" s="8">
        <f t="shared" ref="V159:V190" si="52">ATAN($B$78*B159)</f>
        <v>0</v>
      </c>
      <c r="W159" s="8">
        <f t="shared" ref="W159:W190" si="53">ATAN($B$79*B159)</f>
        <v>1.4597689703993855</v>
      </c>
      <c r="X159" s="8">
        <f t="shared" ref="X159:X190" si="54">ATAN($B$80*B159)</f>
        <v>0</v>
      </c>
      <c r="Y159" s="8">
        <f t="shared" ref="Y159:Y190" si="55">ATAN2(L159,M159)</f>
        <v>3.1178710822454846E-2</v>
      </c>
      <c r="Z159" s="8">
        <f t="shared" si="44"/>
        <v>2.7294089196839241E-3</v>
      </c>
      <c r="AA159" s="8">
        <f t="shared" si="26"/>
        <v>0</v>
      </c>
      <c r="AB159" s="8">
        <f t="shared" si="27"/>
        <v>0</v>
      </c>
      <c r="AC159" s="8">
        <f t="shared" ref="AC159:AC190" si="56">IF(-S159&gt;0,-S159-2*PI(),-S159)</f>
        <v>-1.0223809622926328</v>
      </c>
      <c r="AD159" s="8">
        <f t="shared" si="28"/>
        <v>-97.174841889016662</v>
      </c>
      <c r="AF159" s="21">
        <f t="shared" si="29"/>
        <v>8.8293278625579052</v>
      </c>
      <c r="AG159" s="8">
        <f t="shared" si="30"/>
        <v>-58.607825863908886</v>
      </c>
      <c r="AI159" s="12">
        <f t="shared" si="31"/>
        <v>-13.982136366652593</v>
      </c>
      <c r="AJ159" s="8">
        <f t="shared" si="32"/>
        <v>-1.2794704571621467</v>
      </c>
      <c r="AL159" s="12">
        <f t="shared" si="33"/>
        <v>24.130810751014373</v>
      </c>
      <c r="AM159" s="8">
        <f t="shared" si="34"/>
        <v>142.66316594136262</v>
      </c>
    </row>
    <row r="160" spans="1:39" x14ac:dyDescent="0.3">
      <c r="A160" s="20">
        <f t="shared" si="47"/>
        <v>6500</v>
      </c>
      <c r="B160" s="8">
        <f t="shared" ref="B160:B221" si="57">A160*2*PI()</f>
        <v>40840.704496667313</v>
      </c>
      <c r="C160" s="9">
        <f t="shared" ref="C160:C221" si="58">20*LOG10($B$72)</f>
        <v>40.367367550689096</v>
      </c>
      <c r="D160" s="9">
        <f t="shared" ref="D160:D221" si="59">1-$B$74*B160*B160</f>
        <v>0.98120706470943009</v>
      </c>
      <c r="E160" s="9">
        <f t="shared" ref="E160:E221" si="60">B160*$B$75-$B$73*B160*B160*B160</f>
        <v>1.7448564837181615</v>
      </c>
      <c r="F160" s="9">
        <f t="shared" ref="F160:F221" si="61">20*LOG10(SQRT(D160^2+E160^2))</f>
        <v>6.0285093006852026</v>
      </c>
      <c r="G160" s="9">
        <f t="shared" ref="G160:G221" si="62">20*LOG10(SQRT(1+($B$76*B160)^2))</f>
        <v>3.6194546917480346</v>
      </c>
      <c r="H160" s="9">
        <f t="shared" ref="H160:H221" si="63">20*LOG10(SQRT(1+($B$77*B160)^2))</f>
        <v>4.0002440183169727E-4</v>
      </c>
      <c r="I160" s="9">
        <f t="shared" ref="I160:I221" si="64">20*LOG10(SQRT(1+($B$78*B160)^2))</f>
        <v>0</v>
      </c>
      <c r="J160" s="9">
        <f t="shared" ref="J160:J221" si="65">20*LOG10(SQRT(1+($B$79*B160)^2))</f>
        <v>19.796600566844901</v>
      </c>
      <c r="K160" s="9">
        <f t="shared" ref="K160:K221" si="66">20*LOG10(SQRT(1+($B$80*B160)^2))</f>
        <v>0</v>
      </c>
      <c r="L160" s="9">
        <f t="shared" ref="L160:L221" si="67">1-$B$82*B160^2</f>
        <v>0.99984524971544597</v>
      </c>
      <c r="M160" s="9">
        <f t="shared" ref="M160:M221" si="68">B160*$B$83-$B$81*B160^3</f>
        <v>3.3783430759643199E-2</v>
      </c>
      <c r="N160" s="9">
        <f t="shared" ref="N160:N221" si="69">20*LOG10(SQRT(L160^2+M160^2))</f>
        <v>3.6111489857576528E-3</v>
      </c>
      <c r="O160" s="9">
        <f t="shared" si="48"/>
        <v>3.7970471949408133E-5</v>
      </c>
      <c r="P160" s="9">
        <f t="shared" ref="P160:P221" si="70">20*LOG10(SQRT(1+($B$62*B160)^2))</f>
        <v>0</v>
      </c>
      <c r="Q160" s="9">
        <f t="shared" ref="Q160:Q221" si="71">20*LOG10(SQRT(1+($B$63*B160)^2))</f>
        <v>0</v>
      </c>
      <c r="R160" s="21">
        <f t="shared" ref="R160:R221" si="72">C160-F160+G160+H160+I160-J160-K160-N160-O160+P160-Q160</f>
        <v>18.158463279851151</v>
      </c>
      <c r="S160" s="8">
        <f t="shared" si="49"/>
        <v>1.0585264716391876</v>
      </c>
      <c r="T160" s="8">
        <f t="shared" si="50"/>
        <v>0.851021617900246</v>
      </c>
      <c r="U160" s="8">
        <f t="shared" si="51"/>
        <v>9.5972708853039376E-3</v>
      </c>
      <c r="V160" s="8">
        <f t="shared" si="52"/>
        <v>0</v>
      </c>
      <c r="W160" s="8">
        <f t="shared" si="53"/>
        <v>1.4682473258645619</v>
      </c>
      <c r="X160" s="8">
        <f t="shared" si="54"/>
        <v>0</v>
      </c>
      <c r="Y160" s="8">
        <f t="shared" si="55"/>
        <v>3.3775809826055471E-2</v>
      </c>
      <c r="Z160" s="8">
        <f t="shared" ref="Z160:Z221" si="73">ATAN($B$84*B160)</f>
        <v>2.9568583882462517E-3</v>
      </c>
      <c r="AA160" s="8">
        <f t="shared" ref="AA160:AA221" si="74">ATAN($B$62*B160)</f>
        <v>0</v>
      </c>
      <c r="AB160" s="8">
        <f t="shared" ref="AB160:AB221" si="75">ATAN($B$63*B160)</f>
        <v>0</v>
      </c>
      <c r="AC160" s="8">
        <f t="shared" si="56"/>
        <v>-1.0585264716391876</v>
      </c>
      <c r="AD160" s="8">
        <f t="shared" ref="AD160:AD221" si="76">(180/PI())*(AC160+T160+U160+V160-W160-X160-Y160-Z160+AA160-AB160)</f>
        <v>-97.5682711434916</v>
      </c>
      <c r="AF160" s="21">
        <f t="shared" ref="AF160:AF221" si="77">20*LOG10($B$30*$B$53)-F160-P160+Q160</f>
        <v>8.3182583367242717</v>
      </c>
      <c r="AG160" s="8">
        <f t="shared" ref="AG160:AG221" si="78">(-S160+AA160-AB160)*180/3.14</f>
        <v>-60.679861431545781</v>
      </c>
      <c r="AI160" s="12">
        <f t="shared" ref="AI160:AI221" si="79">20*LOG10($B$47)-N160+H160+I160</f>
        <v>-13.982611211304301</v>
      </c>
      <c r="AJ160" s="8">
        <f t="shared" ref="AJ160:AJ221" si="80">(-Y160+U160+V160)*180/3.14</f>
        <v>-1.3860308946927629</v>
      </c>
      <c r="AL160" s="12">
        <f t="shared" ref="AL160:AL221" si="81">20*LOG10($B$32)-J160+G160-K160-O160</f>
        <v>23.822816154431184</v>
      </c>
      <c r="AM160" s="8">
        <f t="shared" ref="AM160:AM221" si="82">((-W160-X160+T160-Z160)*180/3.14)+180</f>
        <v>144.44813313902512</v>
      </c>
    </row>
    <row r="161" spans="1:39" x14ac:dyDescent="0.3">
      <c r="A161" s="20">
        <f t="shared" si="47"/>
        <v>7000</v>
      </c>
      <c r="B161" s="8">
        <f t="shared" si="57"/>
        <v>43982.297150257102</v>
      </c>
      <c r="C161" s="9">
        <f t="shared" si="58"/>
        <v>40.367367550689096</v>
      </c>
      <c r="D161" s="9">
        <f t="shared" si="59"/>
        <v>0.97820464309496036</v>
      </c>
      <c r="E161" s="9">
        <f t="shared" si="60"/>
        <v>1.8790647570285068</v>
      </c>
      <c r="F161" s="9">
        <f t="shared" si="61"/>
        <v>6.520304637851984</v>
      </c>
      <c r="G161" s="9">
        <f t="shared" si="62"/>
        <v>3.9950574247902204</v>
      </c>
      <c r="H161" s="9">
        <f t="shared" si="63"/>
        <v>4.6393021239071947E-4</v>
      </c>
      <c r="I161" s="9">
        <f t="shared" si="64"/>
        <v>0</v>
      </c>
      <c r="J161" s="9">
        <f t="shared" si="65"/>
        <v>20.43402021843843</v>
      </c>
      <c r="K161" s="9">
        <f t="shared" si="66"/>
        <v>0</v>
      </c>
      <c r="L161" s="9">
        <f t="shared" si="67"/>
        <v>0.99982052629720364</v>
      </c>
      <c r="M161" s="9">
        <f t="shared" si="68"/>
        <v>3.6382156202692674E-2</v>
      </c>
      <c r="N161" s="9">
        <f t="shared" si="69"/>
        <v>4.1878192892219656E-3</v>
      </c>
      <c r="O161" s="9">
        <f t="shared" si="48"/>
        <v>4.4036729610394755E-5</v>
      </c>
      <c r="P161" s="9">
        <f t="shared" si="70"/>
        <v>0</v>
      </c>
      <c r="Q161" s="9">
        <f t="shared" si="71"/>
        <v>0</v>
      </c>
      <c r="R161" s="21">
        <f t="shared" si="72"/>
        <v>17.404332193382459</v>
      </c>
      <c r="S161" s="8">
        <f t="shared" si="49"/>
        <v>1.0908201285235415</v>
      </c>
      <c r="T161" s="8">
        <f t="shared" si="50"/>
        <v>0.88754674796896682</v>
      </c>
      <c r="U161" s="8">
        <f t="shared" si="51"/>
        <v>1.0335471796073739E-2</v>
      </c>
      <c r="V161" s="8">
        <f t="shared" si="52"/>
        <v>0</v>
      </c>
      <c r="W161" s="8">
        <f t="shared" si="53"/>
        <v>1.4755263284415769</v>
      </c>
      <c r="X161" s="8">
        <f t="shared" si="54"/>
        <v>0</v>
      </c>
      <c r="Y161" s="8">
        <f t="shared" si="55"/>
        <v>3.6372638566626252E-2</v>
      </c>
      <c r="Z161" s="8">
        <f t="shared" si="73"/>
        <v>3.1843075508722518E-3</v>
      </c>
      <c r="AA161" s="8">
        <f t="shared" si="74"/>
        <v>0</v>
      </c>
      <c r="AB161" s="8">
        <f t="shared" si="75"/>
        <v>0</v>
      </c>
      <c r="AC161" s="8">
        <f t="shared" si="56"/>
        <v>-1.0908201285235415</v>
      </c>
      <c r="AD161" s="8">
        <f t="shared" si="76"/>
        <v>-97.862405123037817</v>
      </c>
      <c r="AF161" s="21">
        <f t="shared" si="77"/>
        <v>7.8264629995574904</v>
      </c>
      <c r="AG161" s="8">
        <f t="shared" si="78"/>
        <v>-62.531090170139315</v>
      </c>
      <c r="AI161" s="12">
        <f t="shared" si="79"/>
        <v>-13.983123975797206</v>
      </c>
      <c r="AJ161" s="8">
        <f t="shared" si="80"/>
        <v>-1.4925764390762586</v>
      </c>
      <c r="AL161" s="12">
        <f t="shared" si="81"/>
        <v>23.560993169622183</v>
      </c>
      <c r="AM161" s="8">
        <f t="shared" si="82"/>
        <v>146.11162425343093</v>
      </c>
    </row>
    <row r="162" spans="1:39" x14ac:dyDescent="0.3">
      <c r="A162" s="20">
        <f t="shared" si="47"/>
        <v>7500</v>
      </c>
      <c r="B162" s="8">
        <f t="shared" si="57"/>
        <v>47123.889803846898</v>
      </c>
      <c r="C162" s="9">
        <f t="shared" si="58"/>
        <v>40.367367550689096</v>
      </c>
      <c r="D162" s="9">
        <f t="shared" si="59"/>
        <v>0.97497981987941873</v>
      </c>
      <c r="E162" s="9">
        <f t="shared" si="60"/>
        <v>2.0132704845152003</v>
      </c>
      <c r="F162" s="9">
        <f t="shared" si="61"/>
        <v>6.9930373500794918</v>
      </c>
      <c r="G162" s="9">
        <f t="shared" si="62"/>
        <v>4.3652903484433638</v>
      </c>
      <c r="H162" s="9">
        <f t="shared" si="63"/>
        <v>5.3256873928133957E-4</v>
      </c>
      <c r="I162" s="9">
        <f t="shared" si="64"/>
        <v>0</v>
      </c>
      <c r="J162" s="9">
        <f t="shared" si="65"/>
        <v>21.028216516229655</v>
      </c>
      <c r="K162" s="9">
        <f t="shared" si="66"/>
        <v>0</v>
      </c>
      <c r="L162" s="9">
        <f t="shared" si="67"/>
        <v>0.999793971514647</v>
      </c>
      <c r="M162" s="9">
        <f t="shared" si="68"/>
        <v>3.8980881645742156E-2</v>
      </c>
      <c r="N162" s="9">
        <f t="shared" si="69"/>
        <v>4.8071265402650568E-3</v>
      </c>
      <c r="O162" s="9">
        <f t="shared" si="48"/>
        <v>5.0552330254976063E-5</v>
      </c>
      <c r="P162" s="9">
        <f t="shared" si="70"/>
        <v>0</v>
      </c>
      <c r="Q162" s="9">
        <f t="shared" si="71"/>
        <v>0</v>
      </c>
      <c r="R162" s="21">
        <f t="shared" si="72"/>
        <v>16.70707892269208</v>
      </c>
      <c r="S162" s="8">
        <f t="shared" si="49"/>
        <v>1.1198063605905615</v>
      </c>
      <c r="T162" s="8">
        <f t="shared" si="50"/>
        <v>0.92106526098480324</v>
      </c>
      <c r="U162" s="8">
        <f t="shared" si="51"/>
        <v>1.1073661442180284E-2</v>
      </c>
      <c r="V162" s="8">
        <f t="shared" si="52"/>
        <v>0</v>
      </c>
      <c r="W162" s="8">
        <f t="shared" si="53"/>
        <v>1.4818430266569276</v>
      </c>
      <c r="X162" s="8">
        <f t="shared" si="54"/>
        <v>0</v>
      </c>
      <c r="Y162" s="8">
        <f t="shared" si="55"/>
        <v>3.8969176328697591E-2</v>
      </c>
      <c r="Z162" s="8">
        <f t="shared" si="73"/>
        <v>3.4117563840292829E-3</v>
      </c>
      <c r="AA162" s="8">
        <f t="shared" si="74"/>
        <v>0</v>
      </c>
      <c r="AB162" s="8">
        <f t="shared" si="75"/>
        <v>0</v>
      </c>
      <c r="AC162" s="8">
        <f t="shared" si="56"/>
        <v>-1.1198063605905615</v>
      </c>
      <c r="AD162" s="8">
        <f t="shared" si="76"/>
        <v>-98.084152063406449</v>
      </c>
      <c r="AF162" s="21">
        <f t="shared" si="77"/>
        <v>7.3537302873299826</v>
      </c>
      <c r="AG162" s="8">
        <f t="shared" si="78"/>
        <v>-64.192721307739191</v>
      </c>
      <c r="AI162" s="12">
        <f t="shared" si="79"/>
        <v>-13.98367464452136</v>
      </c>
      <c r="AJ162" s="8">
        <f t="shared" si="80"/>
        <v>-1.5991059489086354</v>
      </c>
      <c r="AL162" s="12">
        <f t="shared" si="81"/>
        <v>23.337023279883454</v>
      </c>
      <c r="AM162" s="8">
        <f t="shared" si="82"/>
        <v>147.65792548722686</v>
      </c>
    </row>
    <row r="163" spans="1:39" x14ac:dyDescent="0.3">
      <c r="A163" s="20">
        <f t="shared" si="47"/>
        <v>8000</v>
      </c>
      <c r="B163" s="8">
        <f t="shared" si="57"/>
        <v>50265.482457436687</v>
      </c>
      <c r="C163" s="9">
        <f t="shared" si="58"/>
        <v>40.367367550689096</v>
      </c>
      <c r="D163" s="9">
        <f t="shared" si="59"/>
        <v>0.97153259506280532</v>
      </c>
      <c r="E163" s="9">
        <f t="shared" si="60"/>
        <v>2.1474734843336942</v>
      </c>
      <c r="F163" s="9">
        <f t="shared" si="61"/>
        <v>7.4472455508374473</v>
      </c>
      <c r="G163" s="9">
        <f t="shared" si="62"/>
        <v>4.728993067642592</v>
      </c>
      <c r="H163" s="9">
        <f t="shared" si="63"/>
        <v>6.0593975809546238E-4</v>
      </c>
      <c r="I163" s="9">
        <f t="shared" si="64"/>
        <v>0</v>
      </c>
      <c r="J163" s="9">
        <f t="shared" si="65"/>
        <v>21.58463865701907</v>
      </c>
      <c r="K163" s="9">
        <f t="shared" si="66"/>
        <v>0</v>
      </c>
      <c r="L163" s="9">
        <f t="shared" si="67"/>
        <v>0.99976558536777616</v>
      </c>
      <c r="M163" s="9">
        <f t="shared" si="68"/>
        <v>4.1579607088791624E-2</v>
      </c>
      <c r="N163" s="9">
        <f t="shared" si="69"/>
        <v>5.469053755729E-3</v>
      </c>
      <c r="O163" s="9">
        <f t="shared" si="48"/>
        <v>5.7517271857478395E-5</v>
      </c>
      <c r="P163" s="9">
        <f t="shared" si="70"/>
        <v>0</v>
      </c>
      <c r="Q163" s="9">
        <f t="shared" si="71"/>
        <v>0</v>
      </c>
      <c r="R163" s="21">
        <f t="shared" si="72"/>
        <v>16.059555779205674</v>
      </c>
      <c r="S163" s="8">
        <f t="shared" si="49"/>
        <v>1.1459423256366292</v>
      </c>
      <c r="T163" s="8">
        <f t="shared" si="50"/>
        <v>0.95186700536561686</v>
      </c>
      <c r="U163" s="8">
        <f t="shared" si="51"/>
        <v>1.1811839019386263E-2</v>
      </c>
      <c r="V163" s="8">
        <f t="shared" si="52"/>
        <v>0</v>
      </c>
      <c r="W163" s="8">
        <f t="shared" si="53"/>
        <v>1.4873759994479585</v>
      </c>
      <c r="X163" s="8">
        <f t="shared" si="54"/>
        <v>0</v>
      </c>
      <c r="Y163" s="8">
        <f t="shared" si="55"/>
        <v>4.1565402413209121E-2</v>
      </c>
      <c r="Z163" s="8">
        <f t="shared" si="73"/>
        <v>3.6392048641849042E-3</v>
      </c>
      <c r="AA163" s="8">
        <f t="shared" si="74"/>
        <v>0</v>
      </c>
      <c r="AB163" s="8">
        <f t="shared" si="75"/>
        <v>0</v>
      </c>
      <c r="AC163" s="8">
        <f t="shared" si="56"/>
        <v>-1.1459423256366292</v>
      </c>
      <c r="AD163" s="8">
        <f t="shared" si="76"/>
        <v>-98.253328764041711</v>
      </c>
      <c r="AF163" s="21">
        <f t="shared" si="77"/>
        <v>6.899522086572027</v>
      </c>
      <c r="AG163" s="8">
        <f t="shared" si="78"/>
        <v>-65.690961342227155</v>
      </c>
      <c r="AI163" s="12">
        <f t="shared" si="79"/>
        <v>-13.984263200718008</v>
      </c>
      <c r="AJ163" s="8">
        <f t="shared" si="80"/>
        <v>-1.7056182837223295</v>
      </c>
      <c r="AL163" s="12">
        <f t="shared" si="81"/>
        <v>23.144296893351662</v>
      </c>
      <c r="AM163" s="8">
        <f t="shared" si="82"/>
        <v>149.0934153470144</v>
      </c>
    </row>
    <row r="164" spans="1:39" x14ac:dyDescent="0.3">
      <c r="A164" s="20">
        <f t="shared" si="47"/>
        <v>8500</v>
      </c>
      <c r="B164" s="8">
        <f t="shared" si="57"/>
        <v>53407.075111026483</v>
      </c>
      <c r="C164" s="9">
        <f t="shared" si="58"/>
        <v>40.367367550689096</v>
      </c>
      <c r="D164" s="9">
        <f t="shared" si="59"/>
        <v>0.96786296864512011</v>
      </c>
      <c r="E164" s="9">
        <f t="shared" si="60"/>
        <v>2.2816735746394428</v>
      </c>
      <c r="F164" s="9">
        <f t="shared" si="61"/>
        <v>7.883658826281394</v>
      </c>
      <c r="G164" s="9">
        <f t="shared" si="62"/>
        <v>5.0853623477975756</v>
      </c>
      <c r="H164" s="9">
        <f t="shared" si="63"/>
        <v>6.8404302896179711E-4</v>
      </c>
      <c r="I164" s="9">
        <f t="shared" si="64"/>
        <v>0</v>
      </c>
      <c r="J164" s="9">
        <f t="shared" si="65"/>
        <v>22.1077730697817</v>
      </c>
      <c r="K164" s="9">
        <f t="shared" si="66"/>
        <v>0</v>
      </c>
      <c r="L164" s="9">
        <f t="shared" si="67"/>
        <v>0.99973536785659112</v>
      </c>
      <c r="M164" s="9">
        <f t="shared" si="68"/>
        <v>4.4178332531841107E-2</v>
      </c>
      <c r="N164" s="9">
        <f t="shared" si="69"/>
        <v>6.1735827898005777E-3</v>
      </c>
      <c r="O164" s="9">
        <f t="shared" si="48"/>
        <v>6.4931552256922802E-5</v>
      </c>
      <c r="P164" s="9">
        <f t="shared" si="70"/>
        <v>0</v>
      </c>
      <c r="Q164" s="9">
        <f t="shared" si="71"/>
        <v>0</v>
      </c>
      <c r="R164" s="21">
        <f t="shared" si="72"/>
        <v>15.455743531110485</v>
      </c>
      <c r="S164" s="8">
        <f t="shared" si="49"/>
        <v>1.1696120104946701</v>
      </c>
      <c r="T164" s="8">
        <f t="shared" si="50"/>
        <v>0.98021753761790265</v>
      </c>
      <c r="U164" s="8">
        <f t="shared" si="51"/>
        <v>1.2550003723533274E-2</v>
      </c>
      <c r="V164" s="8">
        <f t="shared" si="52"/>
        <v>0</v>
      </c>
      <c r="W164" s="8">
        <f t="shared" si="53"/>
        <v>1.4922623004795328</v>
      </c>
      <c r="X164" s="8">
        <f t="shared" si="54"/>
        <v>0</v>
      </c>
      <c r="Y164" s="8">
        <f t="shared" si="55"/>
        <v>4.4161296138669773E-2</v>
      </c>
      <c r="Z164" s="8">
        <f t="shared" si="73"/>
        <v>3.8666529678068984E-3</v>
      </c>
      <c r="AA164" s="8">
        <f t="shared" si="74"/>
        <v>0</v>
      </c>
      <c r="AB164" s="8">
        <f t="shared" si="75"/>
        <v>0</v>
      </c>
      <c r="AC164" s="8">
        <f t="shared" si="56"/>
        <v>-1.1696120104946701</v>
      </c>
      <c r="AD164" s="8">
        <f t="shared" si="76"/>
        <v>-98.384572239142329</v>
      </c>
      <c r="AF164" s="21">
        <f t="shared" si="77"/>
        <v>6.4631088111280803</v>
      </c>
      <c r="AG164" s="8">
        <f t="shared" si="78"/>
        <v>-67.04782225765625</v>
      </c>
      <c r="AI164" s="12">
        <f t="shared" si="79"/>
        <v>-13.984889626481214</v>
      </c>
      <c r="AJ164" s="8">
        <f t="shared" si="80"/>
        <v>-1.8121123040524107</v>
      </c>
      <c r="AL164" s="12">
        <f t="shared" si="81"/>
        <v>22.977524346463621</v>
      </c>
      <c r="AM164" s="8">
        <f t="shared" si="82"/>
        <v>150.42546023907687</v>
      </c>
    </row>
    <row r="165" spans="1:39" x14ac:dyDescent="0.3">
      <c r="A165" s="20">
        <f t="shared" si="47"/>
        <v>9000</v>
      </c>
      <c r="B165" s="8">
        <f t="shared" si="57"/>
        <v>56548.667764616279</v>
      </c>
      <c r="C165" s="9">
        <f t="shared" si="58"/>
        <v>40.367367550689096</v>
      </c>
      <c r="D165" s="9">
        <f t="shared" si="59"/>
        <v>0.96397094062636302</v>
      </c>
      <c r="E165" s="9">
        <f t="shared" si="60"/>
        <v>2.4158705735878985</v>
      </c>
      <c r="F165" s="9">
        <f t="shared" si="61"/>
        <v>8.3031084965767743</v>
      </c>
      <c r="G165" s="9">
        <f t="shared" si="62"/>
        <v>5.4338727106803404</v>
      </c>
      <c r="H165" s="9">
        <f t="shared" si="63"/>
        <v>7.6687829654941927E-4</v>
      </c>
      <c r="I165" s="9">
        <f t="shared" si="64"/>
        <v>0</v>
      </c>
      <c r="J165" s="9">
        <f t="shared" si="65"/>
        <v>22.60135623041975</v>
      </c>
      <c r="K165" s="9">
        <f t="shared" si="66"/>
        <v>0</v>
      </c>
      <c r="L165" s="9">
        <f t="shared" si="67"/>
        <v>0.99970331898109177</v>
      </c>
      <c r="M165" s="9">
        <f t="shared" si="68"/>
        <v>4.6777057974890589E-2</v>
      </c>
      <c r="N165" s="9">
        <f t="shared" si="69"/>
        <v>6.9206943357170651E-3</v>
      </c>
      <c r="O165" s="9">
        <f t="shared" si="48"/>
        <v>7.2795169151240442E-5</v>
      </c>
      <c r="P165" s="9">
        <f t="shared" si="70"/>
        <v>0</v>
      </c>
      <c r="Q165" s="9">
        <f t="shared" si="71"/>
        <v>0</v>
      </c>
      <c r="R165" s="21">
        <f t="shared" si="72"/>
        <v>14.890548923164594</v>
      </c>
      <c r="S165" s="8">
        <f t="shared" si="49"/>
        <v>1.1911385390356979</v>
      </c>
      <c r="T165" s="8">
        <f t="shared" si="50"/>
        <v>1.0063577141482376</v>
      </c>
      <c r="U165" s="8">
        <f t="shared" si="51"/>
        <v>1.3288154750547076E-2</v>
      </c>
      <c r="V165" s="8">
        <f t="shared" si="52"/>
        <v>0</v>
      </c>
      <c r="W165" s="8">
        <f t="shared" si="53"/>
        <v>1.496608843472923</v>
      </c>
      <c r="X165" s="8">
        <f t="shared" si="54"/>
        <v>0</v>
      </c>
      <c r="Y165" s="8">
        <f t="shared" si="55"/>
        <v>4.6756836842315269E-2</v>
      </c>
      <c r="Z165" s="8">
        <f t="shared" si="73"/>
        <v>4.0941006713632782E-3</v>
      </c>
      <c r="AA165" s="8">
        <f t="shared" si="74"/>
        <v>0</v>
      </c>
      <c r="AB165" s="8">
        <f t="shared" si="75"/>
        <v>0</v>
      </c>
      <c r="AC165" s="8">
        <f t="shared" si="56"/>
        <v>-1.1911385390356979</v>
      </c>
      <c r="AD165" s="8">
        <f t="shared" si="76"/>
        <v>-98.488720633045318</v>
      </c>
      <c r="AF165" s="21">
        <f t="shared" si="77"/>
        <v>6.0436591408327001</v>
      </c>
      <c r="AG165" s="8">
        <f t="shared" si="78"/>
        <v>-68.281827078479495</v>
      </c>
      <c r="AI165" s="12">
        <f t="shared" si="79"/>
        <v>-13.985553902759543</v>
      </c>
      <c r="AJ165" s="8">
        <f t="shared" si="80"/>
        <v>-1.9185868715026351</v>
      </c>
      <c r="AL165" s="12">
        <f t="shared" si="81"/>
        <v>22.832443685091441</v>
      </c>
      <c r="AM165" s="8">
        <f t="shared" si="82"/>
        <v>151.66173840786982</v>
      </c>
    </row>
    <row r="166" spans="1:39" x14ac:dyDescent="0.3">
      <c r="A166" s="20">
        <f t="shared" si="47"/>
        <v>9500</v>
      </c>
      <c r="B166" s="8">
        <f t="shared" si="57"/>
        <v>59690.260418206068</v>
      </c>
      <c r="C166" s="9">
        <f t="shared" si="58"/>
        <v>40.367367550689096</v>
      </c>
      <c r="D166" s="9">
        <f t="shared" si="59"/>
        <v>0.95985651100653413</v>
      </c>
      <c r="E166" s="9">
        <f t="shared" si="60"/>
        <v>2.5500642993345162</v>
      </c>
      <c r="F166" s="9">
        <f t="shared" si="61"/>
        <v>8.7064688139281454</v>
      </c>
      <c r="G166" s="9">
        <f t="shared" si="62"/>
        <v>5.7742121547806349</v>
      </c>
      <c r="H166" s="9">
        <f t="shared" si="63"/>
        <v>8.5444529006758042E-4</v>
      </c>
      <c r="I166" s="9">
        <f t="shared" si="64"/>
        <v>0</v>
      </c>
      <c r="J166" s="9">
        <f t="shared" si="65"/>
        <v>23.068532096413449</v>
      </c>
      <c r="K166" s="9">
        <f t="shared" si="66"/>
        <v>0</v>
      </c>
      <c r="L166" s="9">
        <f t="shared" si="67"/>
        <v>0.99966943874127812</v>
      </c>
      <c r="M166" s="9">
        <f t="shared" si="68"/>
        <v>4.9375783417940057E-2</v>
      </c>
      <c r="N166" s="9">
        <f t="shared" si="69"/>
        <v>7.7103679275894923E-3</v>
      </c>
      <c r="O166" s="9">
        <f t="shared" si="48"/>
        <v>8.1108120101131443E-5</v>
      </c>
      <c r="P166" s="9">
        <f t="shared" si="70"/>
        <v>0</v>
      </c>
      <c r="Q166" s="9">
        <f t="shared" si="71"/>
        <v>0</v>
      </c>
      <c r="R166" s="21">
        <f t="shared" si="72"/>
        <v>14.35964176437051</v>
      </c>
      <c r="S166" s="8">
        <f t="shared" si="49"/>
        <v>1.2107945967197298</v>
      </c>
      <c r="T166" s="8">
        <f t="shared" si="50"/>
        <v>1.0305044688143035</v>
      </c>
      <c r="U166" s="8">
        <f t="shared" si="51"/>
        <v>1.4026291296442844E-2</v>
      </c>
      <c r="V166" s="8">
        <f t="shared" si="52"/>
        <v>0</v>
      </c>
      <c r="W166" s="8">
        <f t="shared" si="53"/>
        <v>1.5005002424198572</v>
      </c>
      <c r="X166" s="8">
        <f t="shared" si="54"/>
        <v>0</v>
      </c>
      <c r="Y166" s="8">
        <f t="shared" si="55"/>
        <v>4.9352003881262971E-2</v>
      </c>
      <c r="Z166" s="8">
        <f t="shared" si="73"/>
        <v>4.3215479513223068E-3</v>
      </c>
      <c r="AA166" s="8">
        <f t="shared" si="74"/>
        <v>0</v>
      </c>
      <c r="AB166" s="8">
        <f t="shared" si="75"/>
        <v>0</v>
      </c>
      <c r="AC166" s="8">
        <f t="shared" si="56"/>
        <v>-1.2107945967197298</v>
      </c>
      <c r="AD166" s="8">
        <f t="shared" si="76"/>
        <v>-98.573815163845978</v>
      </c>
      <c r="AF166" s="21">
        <f t="shared" si="77"/>
        <v>5.6402988234813289</v>
      </c>
      <c r="AG166" s="8">
        <f t="shared" si="78"/>
        <v>-69.408607455271124</v>
      </c>
      <c r="AI166" s="12">
        <f t="shared" si="79"/>
        <v>-13.986256009357897</v>
      </c>
      <c r="AJ166" s="8">
        <f t="shared" si="80"/>
        <v>-2.0250408488113445</v>
      </c>
      <c r="AL166" s="12">
        <f t="shared" si="81"/>
        <v>22.705598950247083</v>
      </c>
      <c r="AM166" s="8">
        <f t="shared" si="82"/>
        <v>152.809835069988</v>
      </c>
    </row>
    <row r="167" spans="1:39" x14ac:dyDescent="0.3">
      <c r="A167" s="20">
        <f t="shared" si="47"/>
        <v>10000</v>
      </c>
      <c r="B167" s="8">
        <f t="shared" si="57"/>
        <v>62831.853071795864</v>
      </c>
      <c r="C167" s="9">
        <f t="shared" si="58"/>
        <v>40.367367550689096</v>
      </c>
      <c r="D167" s="9">
        <f t="shared" si="59"/>
        <v>0.95551967978563335</v>
      </c>
      <c r="E167" s="9">
        <f t="shared" si="60"/>
        <v>2.6842545700347475</v>
      </c>
      <c r="F167" s="9">
        <f t="shared" si="61"/>
        <v>9.0946191059598984</v>
      </c>
      <c r="G167" s="9">
        <f t="shared" si="62"/>
        <v>6.1062309158959414</v>
      </c>
      <c r="H167" s="9">
        <f t="shared" si="63"/>
        <v>9.467437232733376E-4</v>
      </c>
      <c r="I167" s="9">
        <f t="shared" si="64"/>
        <v>0</v>
      </c>
      <c r="J167" s="9">
        <f t="shared" si="65"/>
        <v>23.511970501162708</v>
      </c>
      <c r="K167" s="9">
        <f t="shared" si="66"/>
        <v>0</v>
      </c>
      <c r="L167" s="9">
        <f t="shared" si="67"/>
        <v>0.99963372713715026</v>
      </c>
      <c r="M167" s="9">
        <f t="shared" si="68"/>
        <v>5.1974508860989539E-2</v>
      </c>
      <c r="N167" s="9">
        <f t="shared" si="69"/>
        <v>8.542581942343112E-3</v>
      </c>
      <c r="O167" s="9">
        <f t="shared" si="48"/>
        <v>8.9870402526209147E-5</v>
      </c>
      <c r="P167" s="9">
        <f t="shared" si="70"/>
        <v>0</v>
      </c>
      <c r="Q167" s="9">
        <f t="shared" si="71"/>
        <v>0</v>
      </c>
      <c r="R167" s="21">
        <f t="shared" si="72"/>
        <v>13.859323150840837</v>
      </c>
      <c r="S167" s="8">
        <f t="shared" si="49"/>
        <v>1.2288111083961555</v>
      </c>
      <c r="T167" s="8">
        <f t="shared" si="50"/>
        <v>1.0528522703053209</v>
      </c>
      <c r="U167" s="8">
        <f t="shared" si="51"/>
        <v>1.4764412557330419E-2</v>
      </c>
      <c r="V167" s="8">
        <f t="shared" si="52"/>
        <v>0</v>
      </c>
      <c r="W167" s="8">
        <f t="shared" si="53"/>
        <v>1.5040043290633174</v>
      </c>
      <c r="X167" s="8">
        <f t="shared" si="54"/>
        <v>0</v>
      </c>
      <c r="Y167" s="8">
        <f t="shared" si="55"/>
        <v>5.1946776633663989E-2</v>
      </c>
      <c r="Z167" s="8">
        <f t="shared" si="73"/>
        <v>4.5489947841525092E-3</v>
      </c>
      <c r="AA167" s="8">
        <f t="shared" si="74"/>
        <v>0</v>
      </c>
      <c r="AB167" s="8">
        <f t="shared" si="75"/>
        <v>0</v>
      </c>
      <c r="AC167" s="8">
        <f t="shared" si="56"/>
        <v>-1.2288111083961555</v>
      </c>
      <c r="AD167" s="8">
        <f t="shared" si="76"/>
        <v>-98.645829951415493</v>
      </c>
      <c r="AF167" s="21">
        <f t="shared" si="77"/>
        <v>5.2521485314495759</v>
      </c>
      <c r="AG167" s="8">
        <f t="shared" si="78"/>
        <v>-70.441401118250951</v>
      </c>
      <c r="AI167" s="12">
        <f t="shared" si="79"/>
        <v>-13.986995924939444</v>
      </c>
      <c r="AJ167" s="8">
        <f t="shared" si="80"/>
        <v>-2.1314730999172111</v>
      </c>
      <c r="AL167" s="12">
        <f t="shared" si="81"/>
        <v>22.594170544330709</v>
      </c>
      <c r="AM167" s="8">
        <f t="shared" si="82"/>
        <v>153.87700966955833</v>
      </c>
    </row>
    <row r="168" spans="1:39" x14ac:dyDescent="0.3">
      <c r="A168" s="20">
        <f>A167+5000</f>
        <v>15000</v>
      </c>
      <c r="B168" s="8">
        <f t="shared" si="57"/>
        <v>94247.779607693796</v>
      </c>
      <c r="C168" s="9">
        <f t="shared" si="58"/>
        <v>40.367367550689096</v>
      </c>
      <c r="D168" s="9">
        <f t="shared" si="59"/>
        <v>0.89991927951767503</v>
      </c>
      <c r="E168" s="9">
        <f t="shared" si="60"/>
        <v>4.0259272436856124</v>
      </c>
      <c r="F168" s="9">
        <f t="shared" si="61"/>
        <v>12.309071126998978</v>
      </c>
      <c r="G168" s="9">
        <f t="shared" si="62"/>
        <v>8.9923027197558163</v>
      </c>
      <c r="H168" s="9">
        <f t="shared" si="63"/>
        <v>2.1298832206275422E-3</v>
      </c>
      <c r="I168" s="9">
        <f t="shared" si="64"/>
        <v>0</v>
      </c>
      <c r="J168" s="9">
        <f t="shared" si="65"/>
        <v>27.023034680698824</v>
      </c>
      <c r="K168" s="9">
        <f t="shared" si="66"/>
        <v>0</v>
      </c>
      <c r="L168" s="9">
        <f t="shared" si="67"/>
        <v>0.9991758860585882</v>
      </c>
      <c r="M168" s="9">
        <f t="shared" si="68"/>
        <v>7.7961763291484312E-2</v>
      </c>
      <c r="N168" s="9">
        <f t="shared" si="69"/>
        <v>1.9198865274558219E-2</v>
      </c>
      <c r="O168" s="9">
        <f t="shared" si="48"/>
        <v>2.0220579050707934E-4</v>
      </c>
      <c r="P168" s="9">
        <f t="shared" si="70"/>
        <v>0</v>
      </c>
      <c r="Q168" s="9">
        <f t="shared" si="71"/>
        <v>0</v>
      </c>
      <c r="R168" s="21">
        <f t="shared" si="72"/>
        <v>10.010293274902672</v>
      </c>
      <c r="S168" s="8">
        <f t="shared" si="49"/>
        <v>1.3508806011607728</v>
      </c>
      <c r="T168" s="8">
        <f t="shared" si="50"/>
        <v>1.2077453830433957</v>
      </c>
      <c r="U168" s="8">
        <f t="shared" si="51"/>
        <v>2.2144607713108763E-2</v>
      </c>
      <c r="V168" s="8">
        <f t="shared" si="52"/>
        <v>0</v>
      </c>
      <c r="W168" s="8">
        <f t="shared" si="53"/>
        <v>1.5262315199471552</v>
      </c>
      <c r="X168" s="8">
        <f t="shared" si="54"/>
        <v>0</v>
      </c>
      <c r="Y168" s="8">
        <f t="shared" si="55"/>
        <v>7.7868298920461029E-2</v>
      </c>
      <c r="Z168" s="8">
        <f t="shared" si="73"/>
        <v>6.823433343661988E-3</v>
      </c>
      <c r="AA168" s="8">
        <f t="shared" si="74"/>
        <v>0</v>
      </c>
      <c r="AB168" s="8">
        <f t="shared" si="75"/>
        <v>0</v>
      </c>
      <c r="AC168" s="8">
        <f t="shared" si="56"/>
        <v>-1.3508806011607728</v>
      </c>
      <c r="AD168" s="8">
        <f t="shared" si="76"/>
        <v>-99.231354808071117</v>
      </c>
      <c r="AF168" s="21">
        <f t="shared" si="77"/>
        <v>2.0376965104104965</v>
      </c>
      <c r="AG168" s="8">
        <f t="shared" si="78"/>
        <v>-77.439015353165317</v>
      </c>
      <c r="AI168" s="12">
        <f t="shared" si="79"/>
        <v>-13.996469068774307</v>
      </c>
      <c r="AJ168" s="8">
        <f t="shared" si="80"/>
        <v>-3.1943517252622318</v>
      </c>
      <c r="AL168" s="12">
        <f t="shared" si="81"/>
        <v>21.969065833266484</v>
      </c>
      <c r="AM168" s="8">
        <f t="shared" si="82"/>
        <v>161.35168068645356</v>
      </c>
    </row>
    <row r="169" spans="1:39" x14ac:dyDescent="0.3">
      <c r="A169" s="20">
        <f t="shared" ref="A169:A185" si="83">A168+5000</f>
        <v>20000</v>
      </c>
      <c r="B169" s="8">
        <f t="shared" si="57"/>
        <v>125663.70614359173</v>
      </c>
      <c r="C169" s="9">
        <f t="shared" si="58"/>
        <v>40.367367550689096</v>
      </c>
      <c r="D169" s="9">
        <f t="shared" si="59"/>
        <v>0.82207871914253339</v>
      </c>
      <c r="E169" s="9">
        <f t="shared" si="60"/>
        <v>5.3670543836966642</v>
      </c>
      <c r="F169" s="9">
        <f t="shared" si="61"/>
        <v>14.695434802871661</v>
      </c>
      <c r="G169" s="9">
        <f t="shared" si="62"/>
        <v>11.244588034603618</v>
      </c>
      <c r="H169" s="9">
        <f t="shared" si="63"/>
        <v>3.7857372056881678E-3</v>
      </c>
      <c r="I169" s="9">
        <f t="shared" si="64"/>
        <v>0</v>
      </c>
      <c r="J169" s="9">
        <f t="shared" si="65"/>
        <v>29.518036754146735</v>
      </c>
      <c r="K169" s="9">
        <f t="shared" si="66"/>
        <v>0</v>
      </c>
      <c r="L169" s="9">
        <f t="shared" si="67"/>
        <v>0.99853490854860116</v>
      </c>
      <c r="M169" s="9">
        <f t="shared" si="68"/>
        <v>0.10394901772197908</v>
      </c>
      <c r="N169" s="9">
        <f t="shared" si="69"/>
        <v>3.4076905410635336E-2</v>
      </c>
      <c r="O169" s="9">
        <f t="shared" si="48"/>
        <v>3.5947045228450984E-4</v>
      </c>
      <c r="P169" s="9">
        <f t="shared" si="70"/>
        <v>0</v>
      </c>
      <c r="Q169" s="9">
        <f t="shared" si="71"/>
        <v>0</v>
      </c>
      <c r="R169" s="21">
        <f t="shared" si="72"/>
        <v>7.3678333896170871</v>
      </c>
      <c r="S169" s="8">
        <f t="shared" si="49"/>
        <v>1.4188063114541754</v>
      </c>
      <c r="T169" s="8">
        <f t="shared" si="50"/>
        <v>1.2932334279906343</v>
      </c>
      <c r="U169" s="8">
        <f t="shared" si="51"/>
        <v>2.9522390993626104E-2</v>
      </c>
      <c r="V169" s="8">
        <f t="shared" si="52"/>
        <v>0</v>
      </c>
      <c r="W169" s="8">
        <f t="shared" si="53"/>
        <v>1.537363040039492</v>
      </c>
      <c r="X169" s="8">
        <f t="shared" si="54"/>
        <v>0</v>
      </c>
      <c r="Y169" s="8">
        <f t="shared" si="55"/>
        <v>0.10372790847749269</v>
      </c>
      <c r="Z169" s="8">
        <f t="shared" si="73"/>
        <v>9.0978013081817292E-3</v>
      </c>
      <c r="AA169" s="8">
        <f t="shared" si="74"/>
        <v>0</v>
      </c>
      <c r="AB169" s="8">
        <f t="shared" si="75"/>
        <v>0</v>
      </c>
      <c r="AC169" s="8">
        <f t="shared" si="56"/>
        <v>-1.4188063114541754</v>
      </c>
      <c r="AD169" s="8">
        <f t="shared" si="76"/>
        <v>-100.05213860363091</v>
      </c>
      <c r="AF169" s="21">
        <f t="shared" si="77"/>
        <v>-0.3486671654621869</v>
      </c>
      <c r="AG169" s="8">
        <f t="shared" si="78"/>
        <v>-81.332845879538709</v>
      </c>
      <c r="AI169" s="12">
        <f t="shared" si="79"/>
        <v>-14.009691254925324</v>
      </c>
      <c r="AJ169" s="8">
        <f t="shared" si="80"/>
        <v>-4.2538194735974475</v>
      </c>
      <c r="AL169" s="12">
        <f t="shared" si="81"/>
        <v>21.726191810004597</v>
      </c>
      <c r="AM169" s="8">
        <f t="shared" si="82"/>
        <v>165.48377885214424</v>
      </c>
    </row>
    <row r="170" spans="1:39" x14ac:dyDescent="0.3">
      <c r="A170" s="20">
        <f t="shared" si="83"/>
        <v>25000</v>
      </c>
      <c r="B170" s="8">
        <f t="shared" si="57"/>
        <v>157079.63267948964</v>
      </c>
      <c r="C170" s="9">
        <f t="shared" si="58"/>
        <v>40.367367550689096</v>
      </c>
      <c r="D170" s="9">
        <f t="shared" si="59"/>
        <v>0.72199799866020831</v>
      </c>
      <c r="E170" s="9">
        <f t="shared" si="60"/>
        <v>6.707454145521301</v>
      </c>
      <c r="F170" s="9">
        <f t="shared" si="61"/>
        <v>16.581184988366289</v>
      </c>
      <c r="G170" s="9">
        <f t="shared" si="62"/>
        <v>13.063783444041217</v>
      </c>
      <c r="H170" s="9">
        <f t="shared" si="63"/>
        <v>5.9137650744972101E-3</v>
      </c>
      <c r="I170" s="9">
        <f t="shared" si="64"/>
        <v>0</v>
      </c>
      <c r="J170" s="9">
        <f t="shared" si="65"/>
        <v>31.454489702147693</v>
      </c>
      <c r="K170" s="9">
        <f t="shared" si="66"/>
        <v>0</v>
      </c>
      <c r="L170" s="9">
        <f t="shared" si="67"/>
        <v>0.99771079460718937</v>
      </c>
      <c r="M170" s="9">
        <f t="shared" si="68"/>
        <v>0.12993627215247383</v>
      </c>
      <c r="N170" s="9">
        <f t="shared" si="69"/>
        <v>5.3136404755328409E-2</v>
      </c>
      <c r="O170" s="9">
        <f t="shared" si="48"/>
        <v>5.6165950707136065E-4</v>
      </c>
      <c r="P170" s="9">
        <f t="shared" si="70"/>
        <v>0</v>
      </c>
      <c r="Q170" s="9">
        <f t="shared" si="71"/>
        <v>0</v>
      </c>
      <c r="R170" s="21">
        <f t="shared" si="72"/>
        <v>5.3476920050284305</v>
      </c>
      <c r="S170" s="8">
        <f t="shared" si="49"/>
        <v>1.4635680542711891</v>
      </c>
      <c r="T170" s="8">
        <f t="shared" si="50"/>
        <v>1.3466909843063593</v>
      </c>
      <c r="U170" s="8">
        <f t="shared" si="51"/>
        <v>3.6896960891557938E-2</v>
      </c>
      <c r="V170" s="8">
        <f t="shared" si="52"/>
        <v>0</v>
      </c>
      <c r="W170" s="8">
        <f t="shared" si="53"/>
        <v>1.5440461096898792</v>
      </c>
      <c r="X170" s="8">
        <f t="shared" si="54"/>
        <v>0</v>
      </c>
      <c r="Y170" s="8">
        <f t="shared" si="55"/>
        <v>0.12950550697623089</v>
      </c>
      <c r="Z170" s="8">
        <f t="shared" si="73"/>
        <v>1.1372075152865122E-2</v>
      </c>
      <c r="AA170" s="8">
        <f t="shared" si="74"/>
        <v>0</v>
      </c>
      <c r="AB170" s="8">
        <f t="shared" si="75"/>
        <v>0</v>
      </c>
      <c r="AC170" s="8">
        <f t="shared" si="56"/>
        <v>-1.4635680542711891</v>
      </c>
      <c r="AD170" s="8">
        <f t="shared" si="76"/>
        <v>-101.12153903772315</v>
      </c>
      <c r="AF170" s="21">
        <f t="shared" si="77"/>
        <v>-2.2344173509568144</v>
      </c>
      <c r="AG170" s="8">
        <f t="shared" si="78"/>
        <v>-83.898805658857967</v>
      </c>
      <c r="AI170" s="12">
        <f t="shared" si="79"/>
        <v>-14.026622726401206</v>
      </c>
      <c r="AJ170" s="8">
        <f t="shared" si="80"/>
        <v>-5.3087701577201054</v>
      </c>
      <c r="AL170" s="12">
        <f t="shared" si="81"/>
        <v>21.608732082386453</v>
      </c>
      <c r="AM170" s="8">
        <f t="shared" si="82"/>
        <v>168.03474646606711</v>
      </c>
    </row>
    <row r="171" spans="1:39" x14ac:dyDescent="0.3">
      <c r="A171" s="20">
        <f t="shared" si="83"/>
        <v>30000</v>
      </c>
      <c r="B171" s="8">
        <f t="shared" si="57"/>
        <v>188495.55921538759</v>
      </c>
      <c r="C171" s="9">
        <f t="shared" si="58"/>
        <v>40.367367550689096</v>
      </c>
      <c r="D171" s="9">
        <f t="shared" si="59"/>
        <v>0.5996771180706999</v>
      </c>
      <c r="E171" s="9">
        <f t="shared" si="60"/>
        <v>8.0469446846129191</v>
      </c>
      <c r="F171" s="9">
        <f t="shared" si="61"/>
        <v>18.136672478512384</v>
      </c>
      <c r="G171" s="9">
        <f t="shared" si="62"/>
        <v>14.581370371832579</v>
      </c>
      <c r="H171" s="9">
        <f t="shared" si="63"/>
        <v>8.5132727734209563E-3</v>
      </c>
      <c r="I171" s="9">
        <f t="shared" si="64"/>
        <v>0</v>
      </c>
      <c r="J171" s="9">
        <f t="shared" si="65"/>
        <v>33.037165171136159</v>
      </c>
      <c r="K171" s="9">
        <f t="shared" si="66"/>
        <v>0</v>
      </c>
      <c r="L171" s="9">
        <f t="shared" si="67"/>
        <v>0.99670354423435259</v>
      </c>
      <c r="M171" s="9">
        <f t="shared" si="68"/>
        <v>0.15592352658296862</v>
      </c>
      <c r="N171" s="9">
        <f t="shared" si="69"/>
        <v>7.6326197619382682E-2</v>
      </c>
      <c r="O171" s="9">
        <f t="shared" si="48"/>
        <v>8.0876668043349041E-4</v>
      </c>
      <c r="P171" s="9">
        <f t="shared" si="70"/>
        <v>0</v>
      </c>
      <c r="Q171" s="9">
        <f t="shared" si="71"/>
        <v>0</v>
      </c>
      <c r="R171" s="21">
        <f t="shared" si="72"/>
        <v>3.7062785813467372</v>
      </c>
      <c r="S171" s="8">
        <f t="shared" si="49"/>
        <v>1.4964114878291064</v>
      </c>
      <c r="T171" s="8">
        <f t="shared" si="50"/>
        <v>1.3830874327127243</v>
      </c>
      <c r="U171" s="8">
        <f t="shared" si="51"/>
        <v>4.4267517995374803E-2</v>
      </c>
      <c r="V171" s="8">
        <f t="shared" si="52"/>
        <v>0</v>
      </c>
      <c r="W171" s="8">
        <f t="shared" si="53"/>
        <v>1.5485028545401132</v>
      </c>
      <c r="X171" s="8">
        <f t="shared" si="54"/>
        <v>0</v>
      </c>
      <c r="Y171" s="8">
        <f t="shared" si="55"/>
        <v>0.15518144857782742</v>
      </c>
      <c r="Z171" s="8">
        <f t="shared" si="73"/>
        <v>1.3646231358707043E-2</v>
      </c>
      <c r="AA171" s="8">
        <f t="shared" si="74"/>
        <v>0</v>
      </c>
      <c r="AB171" s="8">
        <f t="shared" si="75"/>
        <v>0</v>
      </c>
      <c r="AC171" s="8">
        <f t="shared" si="56"/>
        <v>-1.4964114878291064</v>
      </c>
      <c r="AD171" s="8">
        <f t="shared" si="76"/>
        <v>-102.35243977928003</v>
      </c>
      <c r="AF171" s="21">
        <f t="shared" si="77"/>
        <v>-3.7899048411029099</v>
      </c>
      <c r="AG171" s="8">
        <f t="shared" si="78"/>
        <v>-85.781550257719474</v>
      </c>
      <c r="AI171" s="12">
        <f t="shared" si="79"/>
        <v>-14.047213011566337</v>
      </c>
      <c r="AJ171" s="8">
        <f t="shared" si="80"/>
        <v>-6.3581234091851817</v>
      </c>
      <c r="AL171" s="12">
        <f t="shared" si="81"/>
        <v>21.543396434015985</v>
      </c>
      <c r="AM171" s="8">
        <f t="shared" si="82"/>
        <v>169.73531924410915</v>
      </c>
    </row>
    <row r="172" spans="1:39" x14ac:dyDescent="0.3">
      <c r="A172" s="20">
        <f t="shared" si="83"/>
        <v>35000</v>
      </c>
      <c r="B172" s="8">
        <f t="shared" si="57"/>
        <v>219911.48575128551</v>
      </c>
      <c r="C172" s="9">
        <f t="shared" si="58"/>
        <v>40.367367550689096</v>
      </c>
      <c r="D172" s="9">
        <f t="shared" si="59"/>
        <v>0.45511607737400839</v>
      </c>
      <c r="E172" s="9">
        <f t="shared" si="60"/>
        <v>9.3853441564249138</v>
      </c>
      <c r="F172" s="9">
        <f t="shared" si="61"/>
        <v>19.459204474748823</v>
      </c>
      <c r="G172" s="9">
        <f t="shared" si="62"/>
        <v>15.879996566412427</v>
      </c>
      <c r="H172" s="9">
        <f t="shared" si="63"/>
        <v>1.1583413552409107E-2</v>
      </c>
      <c r="I172" s="9">
        <f t="shared" si="64"/>
        <v>0</v>
      </c>
      <c r="J172" s="9">
        <f t="shared" si="65"/>
        <v>34.375528373831969</v>
      </c>
      <c r="K172" s="9">
        <f t="shared" si="66"/>
        <v>0</v>
      </c>
      <c r="L172" s="9">
        <f t="shared" si="67"/>
        <v>0.99551315743009106</v>
      </c>
      <c r="M172" s="9">
        <f t="shared" si="68"/>
        <v>0.18191078101346336</v>
      </c>
      <c r="N172" s="9">
        <f t="shared" si="69"/>
        <v>0.10358471701348798</v>
      </c>
      <c r="O172" s="9">
        <f t="shared" si="48"/>
        <v>1.1007843049383186E-3</v>
      </c>
      <c r="P172" s="9">
        <f t="shared" si="70"/>
        <v>0</v>
      </c>
      <c r="Q172" s="9">
        <f t="shared" si="71"/>
        <v>0</v>
      </c>
      <c r="R172" s="21">
        <f t="shared" si="72"/>
        <v>2.3195291807547087</v>
      </c>
      <c r="S172" s="8">
        <f t="shared" si="49"/>
        <v>1.5223420732307662</v>
      </c>
      <c r="T172" s="8">
        <f t="shared" si="50"/>
        <v>1.4094023849308521</v>
      </c>
      <c r="U172" s="8">
        <f t="shared" si="51"/>
        <v>5.1633265506879245E-2</v>
      </c>
      <c r="V172" s="8">
        <f t="shared" si="52"/>
        <v>0</v>
      </c>
      <c r="W172" s="8">
        <f t="shared" si="53"/>
        <v>1.5516867964372449</v>
      </c>
      <c r="X172" s="8">
        <f t="shared" si="54"/>
        <v>0</v>
      </c>
      <c r="Y172" s="8">
        <f t="shared" si="55"/>
        <v>0.18073664120018565</v>
      </c>
      <c r="Z172" s="8">
        <f t="shared" si="73"/>
        <v>1.5920246414002494E-2</v>
      </c>
      <c r="AA172" s="8">
        <f t="shared" si="74"/>
        <v>0</v>
      </c>
      <c r="AB172" s="8">
        <f t="shared" si="75"/>
        <v>0</v>
      </c>
      <c r="AC172" s="8">
        <f t="shared" si="56"/>
        <v>-1.5223420732307662</v>
      </c>
      <c r="AD172" s="8">
        <f t="shared" si="76"/>
        <v>-103.68531351758651</v>
      </c>
      <c r="AF172" s="21">
        <f t="shared" si="77"/>
        <v>-5.1124368373393487</v>
      </c>
      <c r="AG172" s="8">
        <f t="shared" si="78"/>
        <v>-87.268016936795505</v>
      </c>
      <c r="AI172" s="12">
        <f t="shared" si="79"/>
        <v>-14.071401390181453</v>
      </c>
      <c r="AJ172" s="8">
        <f t="shared" si="80"/>
        <v>-7.4008304537564182</v>
      </c>
      <c r="AL172" s="12">
        <f t="shared" si="81"/>
        <v>21.503367408275519</v>
      </c>
      <c r="AM172" s="8">
        <f t="shared" si="82"/>
        <v>170.93094317653785</v>
      </c>
    </row>
    <row r="173" spans="1:39" x14ac:dyDescent="0.3">
      <c r="A173" s="20">
        <f t="shared" si="83"/>
        <v>40000</v>
      </c>
      <c r="B173" s="8">
        <f t="shared" si="57"/>
        <v>251327.41228718346</v>
      </c>
      <c r="C173" s="9">
        <f t="shared" si="58"/>
        <v>40.367367550689096</v>
      </c>
      <c r="D173" s="9">
        <f t="shared" si="59"/>
        <v>0.28831487657013333</v>
      </c>
      <c r="E173" s="9">
        <f t="shared" si="60"/>
        <v>10.722470716410681</v>
      </c>
      <c r="F173" s="9">
        <f t="shared" si="61"/>
        <v>20.609036235072175</v>
      </c>
      <c r="G173" s="9">
        <f t="shared" si="62"/>
        <v>17.013471373839749</v>
      </c>
      <c r="H173" s="9">
        <f t="shared" si="63"/>
        <v>1.5123188882178128E-2</v>
      </c>
      <c r="I173" s="9">
        <f t="shared" si="64"/>
        <v>0</v>
      </c>
      <c r="J173" s="9">
        <f t="shared" si="65"/>
        <v>35.534995640103816</v>
      </c>
      <c r="K173" s="9">
        <f t="shared" si="66"/>
        <v>0</v>
      </c>
      <c r="L173" s="9">
        <f t="shared" si="67"/>
        <v>0.99413963419440465</v>
      </c>
      <c r="M173" s="9">
        <f t="shared" si="68"/>
        <v>0.20789803544395816</v>
      </c>
      <c r="N173" s="9">
        <f t="shared" si="69"/>
        <v>0.13484054662736114</v>
      </c>
      <c r="O173" s="9">
        <f t="shared" si="48"/>
        <v>1.4377033209550308E-3</v>
      </c>
      <c r="P173" s="9">
        <f t="shared" si="70"/>
        <v>0</v>
      </c>
      <c r="Q173" s="9">
        <f t="shared" si="71"/>
        <v>0</v>
      </c>
      <c r="R173" s="21">
        <f t="shared" si="72"/>
        <v>1.1156519882867171</v>
      </c>
      <c r="S173" s="8">
        <f t="shared" si="49"/>
        <v>1.5439139570999942</v>
      </c>
      <c r="T173" s="8">
        <f t="shared" si="50"/>
        <v>1.4292896947419473</v>
      </c>
      <c r="U173" s="8">
        <f t="shared" si="51"/>
        <v>5.8993409754496788E-2</v>
      </c>
      <c r="V173" s="8">
        <f t="shared" si="52"/>
        <v>0</v>
      </c>
      <c r="W173" s="8">
        <f t="shared" si="53"/>
        <v>1.5540750107096242</v>
      </c>
      <c r="X173" s="8">
        <f t="shared" si="54"/>
        <v>0</v>
      </c>
      <c r="Y173" s="8">
        <f t="shared" si="55"/>
        <v>0.20615264033160693</v>
      </c>
      <c r="Z173" s="8">
        <f t="shared" si="73"/>
        <v>1.8194096815804174E-2</v>
      </c>
      <c r="AA173" s="8">
        <f t="shared" si="74"/>
        <v>0</v>
      </c>
      <c r="AB173" s="8">
        <f t="shared" si="75"/>
        <v>0</v>
      </c>
      <c r="AC173" s="8">
        <f t="shared" si="56"/>
        <v>-1.5439139570999942</v>
      </c>
      <c r="AD173" s="8">
        <f t="shared" si="76"/>
        <v>-105.08347341138496</v>
      </c>
      <c r="AF173" s="21">
        <f t="shared" si="77"/>
        <v>-6.2622685976627004</v>
      </c>
      <c r="AG173" s="8">
        <f t="shared" si="78"/>
        <v>-88.504621744585648</v>
      </c>
      <c r="AI173" s="12">
        <f t="shared" si="79"/>
        <v>-14.099117444465557</v>
      </c>
      <c r="AJ173" s="8">
        <f t="shared" si="80"/>
        <v>-8.4358794598343394</v>
      </c>
      <c r="AL173" s="12">
        <f t="shared" si="81"/>
        <v>21.477038030414977</v>
      </c>
      <c r="AM173" s="8">
        <f t="shared" si="82"/>
        <v>171.80372792960938</v>
      </c>
    </row>
    <row r="174" spans="1:39" x14ac:dyDescent="0.3">
      <c r="A174" s="20">
        <f t="shared" si="83"/>
        <v>45000</v>
      </c>
      <c r="B174" s="8">
        <f t="shared" si="57"/>
        <v>282743.3388230814</v>
      </c>
      <c r="C174" s="9">
        <f t="shared" si="58"/>
        <v>40.367367550689096</v>
      </c>
      <c r="D174" s="9">
        <f t="shared" si="59"/>
        <v>9.9273515659074829E-2</v>
      </c>
      <c r="E174" s="9">
        <f t="shared" si="60"/>
        <v>12.058142520023619</v>
      </c>
      <c r="F174" s="9">
        <f t="shared" si="61"/>
        <v>21.625902611023669</v>
      </c>
      <c r="G174" s="9">
        <f t="shared" si="62"/>
        <v>18.018353737330148</v>
      </c>
      <c r="H174" s="9">
        <f t="shared" si="63"/>
        <v>1.9131449533166676E-2</v>
      </c>
      <c r="I174" s="9">
        <f t="shared" si="64"/>
        <v>0</v>
      </c>
      <c r="J174" s="9">
        <f t="shared" si="65"/>
        <v>36.557791252692368</v>
      </c>
      <c r="K174" s="9">
        <f t="shared" si="66"/>
        <v>0</v>
      </c>
      <c r="L174" s="9">
        <f t="shared" si="67"/>
        <v>0.99258297452729338</v>
      </c>
      <c r="M174" s="9">
        <f t="shared" si="68"/>
        <v>0.23388528987445292</v>
      </c>
      <c r="N174" s="9">
        <f t="shared" si="69"/>
        <v>0.17001304782317028</v>
      </c>
      <c r="O174" s="9">
        <f t="shared" si="48"/>
        <v>1.8195132775793066E-3</v>
      </c>
      <c r="P174" s="9">
        <f t="shared" si="70"/>
        <v>0</v>
      </c>
      <c r="Q174" s="9">
        <f t="shared" si="71"/>
        <v>0</v>
      </c>
      <c r="R174" s="21">
        <f t="shared" si="72"/>
        <v>4.9326312735630519E-2</v>
      </c>
      <c r="S174" s="8">
        <f t="shared" si="49"/>
        <v>1.5625636099694811</v>
      </c>
      <c r="T174" s="8">
        <f t="shared" si="50"/>
        <v>1.4448367108492919</v>
      </c>
      <c r="U174" s="8">
        <f t="shared" si="51"/>
        <v>6.6347160701500263E-2</v>
      </c>
      <c r="V174" s="8">
        <f t="shared" si="52"/>
        <v>0</v>
      </c>
      <c r="W174" s="8">
        <f t="shared" si="53"/>
        <v>1.5559326439873244</v>
      </c>
      <c r="X174" s="8">
        <f t="shared" si="54"/>
        <v>0</v>
      </c>
      <c r="Y174" s="8">
        <f t="shared" si="55"/>
        <v>0.23141173432631024</v>
      </c>
      <c r="Z174" s="8">
        <f t="shared" si="73"/>
        <v>2.0467759071378624E-2</v>
      </c>
      <c r="AA174" s="8">
        <f t="shared" si="74"/>
        <v>0</v>
      </c>
      <c r="AB174" s="8">
        <f t="shared" si="75"/>
        <v>0</v>
      </c>
      <c r="AC174" s="8">
        <f t="shared" si="56"/>
        <v>-1.5625636099694811</v>
      </c>
      <c r="AD174" s="8">
        <f t="shared" si="76"/>
        <v>-106.52384778856286</v>
      </c>
      <c r="AF174" s="21">
        <f t="shared" si="77"/>
        <v>-7.2791349736141946</v>
      </c>
      <c r="AG174" s="8">
        <f t="shared" si="78"/>
        <v>-89.573710125639039</v>
      </c>
      <c r="AI174" s="12">
        <f t="shared" si="79"/>
        <v>-14.130281685010379</v>
      </c>
      <c r="AJ174" s="8">
        <f t="shared" si="80"/>
        <v>-9.4623003988744561</v>
      </c>
      <c r="AL174" s="12">
        <f t="shared" si="81"/>
        <v>21.458742971360202</v>
      </c>
      <c r="AM174" s="8">
        <f t="shared" si="82"/>
        <v>172.45813229372803</v>
      </c>
    </row>
    <row r="175" spans="1:39" x14ac:dyDescent="0.3">
      <c r="A175" s="20">
        <f t="shared" si="83"/>
        <v>50000</v>
      </c>
      <c r="B175" s="8">
        <f t="shared" si="57"/>
        <v>314159.26535897929</v>
      </c>
      <c r="C175" s="9">
        <f t="shared" si="58"/>
        <v>40.367367550689096</v>
      </c>
      <c r="D175" s="9">
        <f t="shared" si="59"/>
        <v>-0.11200800535916655</v>
      </c>
      <c r="E175" s="9">
        <f t="shared" si="60"/>
        <v>13.392177722717117</v>
      </c>
      <c r="F175" s="9">
        <f t="shared" si="61"/>
        <v>22.537327864990214</v>
      </c>
      <c r="G175" s="9">
        <f t="shared" si="62"/>
        <v>18.920461239380607</v>
      </c>
      <c r="H175" s="9">
        <f t="shared" si="63"/>
        <v>2.3606896813897833E-2</v>
      </c>
      <c r="I175" s="9">
        <f t="shared" si="64"/>
        <v>0</v>
      </c>
      <c r="J175" s="9">
        <f t="shared" si="65"/>
        <v>37.472758771783404</v>
      </c>
      <c r="K175" s="9">
        <f t="shared" si="66"/>
        <v>0</v>
      </c>
      <c r="L175" s="9">
        <f t="shared" si="67"/>
        <v>0.99084317842875735</v>
      </c>
      <c r="M175" s="9">
        <f t="shared" si="68"/>
        <v>0.25987254430494766</v>
      </c>
      <c r="N175" s="9">
        <f t="shared" si="69"/>
        <v>0.20901305042817026</v>
      </c>
      <c r="O175" s="9">
        <f t="shared" si="48"/>
        <v>2.2462023337229322E-3</v>
      </c>
      <c r="P175" s="9">
        <f t="shared" si="70"/>
        <v>0</v>
      </c>
      <c r="Q175" s="9">
        <f t="shared" si="71"/>
        <v>0</v>
      </c>
      <c r="R175" s="21">
        <f t="shared" si="72"/>
        <v>-0.90991020265190936</v>
      </c>
      <c r="S175" s="8">
        <f t="shared" si="49"/>
        <v>1.5791598204765365</v>
      </c>
      <c r="T175" s="8">
        <f t="shared" si="50"/>
        <v>1.4573189166053782</v>
      </c>
      <c r="U175" s="8">
        <f t="shared" si="51"/>
        <v>7.3693732448361929E-2</v>
      </c>
      <c r="V175" s="8">
        <f t="shared" si="52"/>
        <v>0</v>
      </c>
      <c r="W175" s="8">
        <f t="shared" si="53"/>
        <v>1.5574188250939227</v>
      </c>
      <c r="X175" s="8">
        <f t="shared" si="54"/>
        <v>0</v>
      </c>
      <c r="Y175" s="8">
        <f t="shared" si="55"/>
        <v>0.25649702032049265</v>
      </c>
      <c r="Z175" s="8">
        <f t="shared" si="73"/>
        <v>2.2741209699660848E-2</v>
      </c>
      <c r="AA175" s="8">
        <f t="shared" si="74"/>
        <v>0</v>
      </c>
      <c r="AB175" s="8">
        <f t="shared" si="75"/>
        <v>0</v>
      </c>
      <c r="AC175" s="8">
        <f t="shared" si="56"/>
        <v>-1.5791598204765365</v>
      </c>
      <c r="AD175" s="8">
        <f t="shared" si="76"/>
        <v>-107.99132738898231</v>
      </c>
      <c r="AF175" s="21">
        <f t="shared" si="77"/>
        <v>-8.1905602275807396</v>
      </c>
      <c r="AG175" s="8">
        <f t="shared" si="78"/>
        <v>-90.525085250247301</v>
      </c>
      <c r="AI175" s="12">
        <f t="shared" si="79"/>
        <v>-14.164806240334647</v>
      </c>
      <c r="AJ175" s="8">
        <f t="shared" si="80"/>
        <v>-10.479169368466094</v>
      </c>
      <c r="AL175" s="12">
        <f t="shared" si="81"/>
        <v>21.445456265263481</v>
      </c>
      <c r="AM175" s="8">
        <f t="shared" si="82"/>
        <v>172.95815246054875</v>
      </c>
    </row>
    <row r="176" spans="1:39" x14ac:dyDescent="0.3">
      <c r="A176" s="20">
        <f t="shared" si="83"/>
        <v>55000</v>
      </c>
      <c r="B176" s="8">
        <f t="shared" si="57"/>
        <v>345575.19189487724</v>
      </c>
      <c r="C176" s="9">
        <f t="shared" si="58"/>
        <v>40.367367550689096</v>
      </c>
      <c r="D176" s="9">
        <f t="shared" si="59"/>
        <v>-0.34552968648459159</v>
      </c>
      <c r="E176" s="9">
        <f t="shared" si="60"/>
        <v>14.72439447994458</v>
      </c>
      <c r="F176" s="9">
        <f t="shared" si="61"/>
        <v>23.363139777065221</v>
      </c>
      <c r="G176" s="9">
        <f t="shared" si="62"/>
        <v>19.738639835531565</v>
      </c>
      <c r="H176" s="9">
        <f t="shared" si="63"/>
        <v>2.8548083965895171E-2</v>
      </c>
      <c r="I176" s="9">
        <f t="shared" si="64"/>
        <v>0</v>
      </c>
      <c r="J176" s="9">
        <f t="shared" si="65"/>
        <v>38.300477594467985</v>
      </c>
      <c r="K176" s="9">
        <f t="shared" si="66"/>
        <v>0</v>
      </c>
      <c r="L176" s="9">
        <f t="shared" si="67"/>
        <v>0.98892024589879635</v>
      </c>
      <c r="M176" s="9">
        <f t="shared" si="68"/>
        <v>0.28585979873544243</v>
      </c>
      <c r="N176" s="9">
        <f t="shared" si="69"/>
        <v>0.25174359539893509</v>
      </c>
      <c r="O176" s="9">
        <f t="shared" si="48"/>
        <v>2.7177572593372759E-3</v>
      </c>
      <c r="P176" s="9">
        <f t="shared" si="70"/>
        <v>0</v>
      </c>
      <c r="Q176" s="9">
        <f t="shared" si="71"/>
        <v>0</v>
      </c>
      <c r="R176" s="21">
        <f t="shared" si="72"/>
        <v>-1.7835232540049235</v>
      </c>
      <c r="S176" s="8">
        <f t="shared" si="49"/>
        <v>1.5942584992447613</v>
      </c>
      <c r="T176" s="8">
        <f t="shared" si="50"/>
        <v>1.4675582891296206</v>
      </c>
      <c r="U176" s="8">
        <f t="shared" si="51"/>
        <v>8.1032343728445699E-2</v>
      </c>
      <c r="V176" s="8">
        <f t="shared" si="52"/>
        <v>0</v>
      </c>
      <c r="W176" s="8">
        <f t="shared" si="53"/>
        <v>1.5586348357087583</v>
      </c>
      <c r="X176" s="8">
        <f t="shared" si="54"/>
        <v>0</v>
      </c>
      <c r="Y176" s="8">
        <f t="shared" si="55"/>
        <v>0.28139247012317581</v>
      </c>
      <c r="Z176" s="8">
        <f t="shared" si="73"/>
        <v>2.5014425232707097E-2</v>
      </c>
      <c r="AA176" s="8">
        <f t="shared" si="74"/>
        <v>0</v>
      </c>
      <c r="AB176" s="8">
        <f t="shared" si="75"/>
        <v>0</v>
      </c>
      <c r="AC176" s="8">
        <f t="shared" si="56"/>
        <v>-1.5942584992447613</v>
      </c>
      <c r="AD176" s="8">
        <f t="shared" si="76"/>
        <v>-109.47559580910205</v>
      </c>
      <c r="AF176" s="21">
        <f t="shared" si="77"/>
        <v>-9.016372139655747</v>
      </c>
      <c r="AG176" s="8">
        <f t="shared" si="78"/>
        <v>-91.390614606387572</v>
      </c>
      <c r="AI176" s="12">
        <f t="shared" si="79"/>
        <v>-14.202595598153415</v>
      </c>
      <c r="AJ176" s="8">
        <f t="shared" si="80"/>
        <v>-11.485612341099179</v>
      </c>
      <c r="AL176" s="12">
        <f t="shared" si="81"/>
        <v>21.435444483804243</v>
      </c>
      <c r="AM176" s="8">
        <f t="shared" si="82"/>
        <v>173.34510352670952</v>
      </c>
    </row>
    <row r="177" spans="1:39" x14ac:dyDescent="0.3">
      <c r="A177" s="20">
        <f t="shared" si="83"/>
        <v>60000</v>
      </c>
      <c r="B177" s="8">
        <f t="shared" si="57"/>
        <v>376991.11843077518</v>
      </c>
      <c r="C177" s="9">
        <f t="shared" si="58"/>
        <v>40.367367550689096</v>
      </c>
      <c r="D177" s="9">
        <f t="shared" si="59"/>
        <v>-0.60129152771720018</v>
      </c>
      <c r="E177" s="9">
        <f t="shared" si="60"/>
        <v>16.054610947159404</v>
      </c>
      <c r="F177" s="9">
        <f t="shared" si="61"/>
        <v>24.118083376075635</v>
      </c>
      <c r="G177" s="9">
        <f t="shared" si="62"/>
        <v>20.487037882798703</v>
      </c>
      <c r="H177" s="9">
        <f t="shared" si="63"/>
        <v>3.3953417712056885E-2</v>
      </c>
      <c r="I177" s="9">
        <f t="shared" si="64"/>
        <v>0</v>
      </c>
      <c r="J177" s="9">
        <f t="shared" si="65"/>
        <v>39.056146221784608</v>
      </c>
      <c r="K177" s="9">
        <f t="shared" si="66"/>
        <v>0</v>
      </c>
      <c r="L177" s="9">
        <f t="shared" si="67"/>
        <v>0.98681417693741058</v>
      </c>
      <c r="M177" s="9">
        <f t="shared" si="68"/>
        <v>0.31184705316593725</v>
      </c>
      <c r="N177" s="9">
        <f t="shared" si="69"/>
        <v>0.29810071705357472</v>
      </c>
      <c r="O177" s="9">
        <f t="shared" si="48"/>
        <v>3.234163436770454E-3</v>
      </c>
      <c r="P177" s="9">
        <f t="shared" si="70"/>
        <v>0</v>
      </c>
      <c r="Q177" s="9">
        <f t="shared" si="71"/>
        <v>0</v>
      </c>
      <c r="R177" s="21">
        <f t="shared" si="72"/>
        <v>-2.5872056271507309</v>
      </c>
      <c r="S177" s="8">
        <f t="shared" si="49"/>
        <v>1.6082317164440507</v>
      </c>
      <c r="T177" s="8">
        <f t="shared" si="50"/>
        <v>1.4761078185916092</v>
      </c>
      <c r="U177" s="8">
        <f t="shared" si="51"/>
        <v>8.8362218396271355E-2</v>
      </c>
      <c r="V177" s="8">
        <f t="shared" si="52"/>
        <v>0</v>
      </c>
      <c r="W177" s="8">
        <f t="shared" si="53"/>
        <v>1.5596482055164931</v>
      </c>
      <c r="X177" s="8">
        <f t="shared" si="54"/>
        <v>0</v>
      </c>
      <c r="Y177" s="8">
        <f t="shared" si="55"/>
        <v>0.30608298565625747</v>
      </c>
      <c r="Z177" s="8">
        <f t="shared" si="73"/>
        <v>2.7287382217145606E-2</v>
      </c>
      <c r="AA177" s="8">
        <f t="shared" si="74"/>
        <v>0</v>
      </c>
      <c r="AB177" s="8">
        <f t="shared" si="75"/>
        <v>0</v>
      </c>
      <c r="AC177" s="8">
        <f t="shared" si="56"/>
        <v>-1.6082317164440507</v>
      </c>
      <c r="AD177" s="8">
        <f t="shared" si="76"/>
        <v>-110.96933433236005</v>
      </c>
      <c r="AF177" s="21">
        <f t="shared" si="77"/>
        <v>-9.7713157386661607</v>
      </c>
      <c r="AG177" s="8">
        <f t="shared" si="78"/>
        <v>-92.191627057302256</v>
      </c>
      <c r="AI177" s="12">
        <f t="shared" si="79"/>
        <v>-14.243547386061893</v>
      </c>
      <c r="AJ177" s="8">
        <f t="shared" si="80"/>
        <v>-12.480808314266721</v>
      </c>
      <c r="AL177" s="12">
        <f t="shared" si="81"/>
        <v>21.427657497577325</v>
      </c>
      <c r="AM177" s="8">
        <f t="shared" si="82"/>
        <v>173.6468157816671</v>
      </c>
    </row>
    <row r="178" spans="1:39" x14ac:dyDescent="0.3">
      <c r="A178" s="20">
        <f t="shared" si="83"/>
        <v>65000</v>
      </c>
      <c r="B178" s="8">
        <f t="shared" si="57"/>
        <v>408407.04496667313</v>
      </c>
      <c r="C178" s="9">
        <f t="shared" si="58"/>
        <v>40.367367550689096</v>
      </c>
      <c r="D178" s="9">
        <f t="shared" si="59"/>
        <v>-0.87929352905699187</v>
      </c>
      <c r="E178" s="9">
        <f t="shared" si="60"/>
        <v>17.382645279814977</v>
      </c>
      <c r="F178" s="9">
        <f t="shared" si="61"/>
        <v>24.813415881487181</v>
      </c>
      <c r="G178" s="9">
        <f t="shared" si="62"/>
        <v>21.176533273496275</v>
      </c>
      <c r="H178" s="9">
        <f t="shared" si="63"/>
        <v>3.9821159955036455E-2</v>
      </c>
      <c r="I178" s="9">
        <f t="shared" si="64"/>
        <v>0</v>
      </c>
      <c r="J178" s="9">
        <f t="shared" si="65"/>
        <v>39.751308505781807</v>
      </c>
      <c r="K178" s="9">
        <f t="shared" si="66"/>
        <v>0</v>
      </c>
      <c r="L178" s="9">
        <f t="shared" si="67"/>
        <v>0.98452497154459984</v>
      </c>
      <c r="M178" s="9">
        <f t="shared" si="68"/>
        <v>0.33783430759643202</v>
      </c>
      <c r="N178" s="9">
        <f t="shared" si="69"/>
        <v>0.3479742525187618</v>
      </c>
      <c r="O178" s="9">
        <f t="shared" si="48"/>
        <v>3.7954048622888242E-3</v>
      </c>
      <c r="P178" s="9">
        <f t="shared" si="70"/>
        <v>0</v>
      </c>
      <c r="Q178" s="9">
        <f t="shared" si="71"/>
        <v>0</v>
      </c>
      <c r="R178" s="21">
        <f t="shared" si="72"/>
        <v>-3.3327720605096283</v>
      </c>
      <c r="S178" s="8">
        <f t="shared" si="49"/>
        <v>1.6213378114790733</v>
      </c>
      <c r="T178" s="8">
        <f t="shared" si="50"/>
        <v>1.483352946383091</v>
      </c>
      <c r="U178" s="8">
        <f t="shared" si="51"/>
        <v>9.5682585907605006E-2</v>
      </c>
      <c r="V178" s="8">
        <f t="shared" si="52"/>
        <v>0</v>
      </c>
      <c r="W178" s="8">
        <f t="shared" si="53"/>
        <v>1.5605056902449577</v>
      </c>
      <c r="X178" s="8">
        <f t="shared" si="54"/>
        <v>0</v>
      </c>
      <c r="Y178" s="8">
        <f t="shared" si="55"/>
        <v>0.33055444373566789</v>
      </c>
      <c r="Z178" s="8">
        <f t="shared" si="73"/>
        <v>2.9560057215625102E-2</v>
      </c>
      <c r="AA178" s="8">
        <f t="shared" si="74"/>
        <v>0</v>
      </c>
      <c r="AB178" s="8">
        <f t="shared" si="75"/>
        <v>0</v>
      </c>
      <c r="AC178" s="8">
        <f t="shared" si="56"/>
        <v>-1.6213378114790733</v>
      </c>
      <c r="AD178" s="8">
        <f t="shared" si="76"/>
        <v>-112.46717306443252</v>
      </c>
      <c r="AF178" s="21">
        <f t="shared" si="77"/>
        <v>-10.466648244077707</v>
      </c>
      <c r="AG178" s="8">
        <f t="shared" si="78"/>
        <v>-92.942931868227134</v>
      </c>
      <c r="AI178" s="12">
        <f t="shared" si="79"/>
        <v>-14.287553179284101</v>
      </c>
      <c r="AJ178" s="8">
        <f t="shared" si="80"/>
        <v>-13.463991850016344</v>
      </c>
      <c r="AL178" s="12">
        <f t="shared" si="81"/>
        <v>21.42142936285218</v>
      </c>
      <c r="AM178" s="8">
        <f t="shared" si="82"/>
        <v>173.88270567071703</v>
      </c>
    </row>
    <row r="179" spans="1:39" x14ac:dyDescent="0.3">
      <c r="A179" s="20">
        <f t="shared" si="83"/>
        <v>70000</v>
      </c>
      <c r="B179" s="8">
        <f t="shared" si="57"/>
        <v>439822.97150257102</v>
      </c>
      <c r="C179" s="9">
        <f t="shared" si="58"/>
        <v>40.367367550689096</v>
      </c>
      <c r="D179" s="9">
        <f t="shared" si="59"/>
        <v>-1.1795356905039664</v>
      </c>
      <c r="E179" s="9">
        <f t="shared" si="60"/>
        <v>18.708315633364698</v>
      </c>
      <c r="F179" s="9">
        <f t="shared" si="61"/>
        <v>25.45792337393673</v>
      </c>
      <c r="G179" s="9">
        <f t="shared" si="62"/>
        <v>21.815661666165077</v>
      </c>
      <c r="H179" s="9">
        <f t="shared" si="63"/>
        <v>4.6149429621828483E-2</v>
      </c>
      <c r="I179" s="9">
        <f t="shared" si="64"/>
        <v>0</v>
      </c>
      <c r="J179" s="9">
        <f t="shared" si="65"/>
        <v>40.394938820627615</v>
      </c>
      <c r="K179" s="9">
        <f t="shared" si="66"/>
        <v>0</v>
      </c>
      <c r="L179" s="9">
        <f t="shared" si="67"/>
        <v>0.98205262972036433</v>
      </c>
      <c r="M179" s="9">
        <f t="shared" si="68"/>
        <v>0.36382156202692673</v>
      </c>
      <c r="N179" s="9">
        <f t="shared" si="69"/>
        <v>0.40124866629441003</v>
      </c>
      <c r="O179" s="9">
        <f t="shared" si="48"/>
        <v>4.4014641477182394E-3</v>
      </c>
      <c r="P179" s="9">
        <f t="shared" si="70"/>
        <v>0</v>
      </c>
      <c r="Q179" s="9">
        <f t="shared" si="71"/>
        <v>0</v>
      </c>
      <c r="R179" s="21">
        <f t="shared" si="72"/>
        <v>-4.0293336785304721</v>
      </c>
      <c r="S179" s="8">
        <f t="shared" si="49"/>
        <v>1.633761720881137</v>
      </c>
      <c r="T179" s="8">
        <f t="shared" si="50"/>
        <v>1.4895704186890553</v>
      </c>
      <c r="U179" s="8">
        <f t="shared" si="51"/>
        <v>0.10299268179065416</v>
      </c>
      <c r="V179" s="8">
        <f t="shared" si="52"/>
        <v>0</v>
      </c>
      <c r="W179" s="8">
        <f t="shared" si="53"/>
        <v>1.5612406892481168</v>
      </c>
      <c r="X179" s="8">
        <f t="shared" si="54"/>
        <v>0</v>
      </c>
      <c r="Y179" s="8">
        <f t="shared" si="55"/>
        <v>0.354793730193673</v>
      </c>
      <c r="Z179" s="8">
        <f t="shared" si="73"/>
        <v>3.183242680826083E-2</v>
      </c>
      <c r="AA179" s="8">
        <f t="shared" si="74"/>
        <v>0</v>
      </c>
      <c r="AB179" s="8">
        <f t="shared" si="75"/>
        <v>0</v>
      </c>
      <c r="AC179" s="8">
        <f t="shared" si="56"/>
        <v>-1.633761720881137</v>
      </c>
      <c r="AD179" s="8">
        <f t="shared" si="76"/>
        <v>-113.96505641434929</v>
      </c>
      <c r="AF179" s="21">
        <f t="shared" si="77"/>
        <v>-11.111155736527255</v>
      </c>
      <c r="AG179" s="8">
        <f t="shared" si="78"/>
        <v>-93.655130496370901</v>
      </c>
      <c r="AI179" s="12">
        <f t="shared" si="79"/>
        <v>-14.334499323392958</v>
      </c>
      <c r="AJ179" s="8">
        <f t="shared" si="80"/>
        <v>-14.434455003994712</v>
      </c>
      <c r="AL179" s="12">
        <f t="shared" si="81"/>
        <v>21.416321381389743</v>
      </c>
      <c r="AM179" s="8">
        <f t="shared" si="82"/>
        <v>174.06672435473948</v>
      </c>
    </row>
    <row r="180" spans="1:39" x14ac:dyDescent="0.3">
      <c r="A180" s="20">
        <f t="shared" si="83"/>
        <v>75000</v>
      </c>
      <c r="B180" s="8">
        <f t="shared" si="57"/>
        <v>471238.89803846896</v>
      </c>
      <c r="C180" s="9">
        <f t="shared" si="58"/>
        <v>40.367367550689096</v>
      </c>
      <c r="D180" s="9">
        <f t="shared" si="59"/>
        <v>-1.5020180120581248</v>
      </c>
      <c r="E180" s="9">
        <f t="shared" si="60"/>
        <v>20.031440163261966</v>
      </c>
      <c r="F180" s="9">
        <f t="shared" si="61"/>
        <v>26.058593101977841</v>
      </c>
      <c r="G180" s="9">
        <f t="shared" si="62"/>
        <v>22.411239602308438</v>
      </c>
      <c r="H180" s="9">
        <f t="shared" si="63"/>
        <v>5.293620465053054E-2</v>
      </c>
      <c r="I180" s="9">
        <f t="shared" si="64"/>
        <v>0</v>
      </c>
      <c r="J180" s="9">
        <f t="shared" si="65"/>
        <v>40.994152177872429</v>
      </c>
      <c r="K180" s="9">
        <f t="shared" si="66"/>
        <v>0</v>
      </c>
      <c r="L180" s="9">
        <f t="shared" si="67"/>
        <v>0.97939715146470396</v>
      </c>
      <c r="M180" s="9">
        <f t="shared" si="68"/>
        <v>0.38980881645742155</v>
      </c>
      <c r="N180" s="9">
        <f t="shared" si="69"/>
        <v>0.45780387836820746</v>
      </c>
      <c r="O180" s="9">
        <f t="shared" si="48"/>
        <v>5.0523225222433837E-3</v>
      </c>
      <c r="P180" s="9">
        <f t="shared" si="70"/>
        <v>0</v>
      </c>
      <c r="Q180" s="9">
        <f t="shared" si="71"/>
        <v>0</v>
      </c>
      <c r="R180" s="21">
        <f t="shared" si="72"/>
        <v>-4.6840581230926635</v>
      </c>
      <c r="S180" s="8">
        <f t="shared" si="49"/>
        <v>1.6456392960981039</v>
      </c>
      <c r="T180" s="8">
        <f t="shared" si="50"/>
        <v>1.4949640077037558</v>
      </c>
      <c r="U180" s="8">
        <f t="shared" si="51"/>
        <v>0.11029174810767185</v>
      </c>
      <c r="V180" s="8">
        <f t="shared" si="52"/>
        <v>0</v>
      </c>
      <c r="W180" s="8">
        <f t="shared" si="53"/>
        <v>1.5618776967643615</v>
      </c>
      <c r="X180" s="8">
        <f t="shared" si="54"/>
        <v>0</v>
      </c>
      <c r="Y180" s="8">
        <f t="shared" si="55"/>
        <v>0.37878876353543089</v>
      </c>
      <c r="Z180" s="8">
        <f t="shared" si="73"/>
        <v>3.4104467594077863E-2</v>
      </c>
      <c r="AA180" s="8">
        <f t="shared" si="74"/>
        <v>0</v>
      </c>
      <c r="AB180" s="8">
        <f t="shared" si="75"/>
        <v>0</v>
      </c>
      <c r="AC180" s="8">
        <f t="shared" si="56"/>
        <v>-1.6456392960981039</v>
      </c>
      <c r="AD180" s="8">
        <f t="shared" si="76"/>
        <v>-115.45984609367524</v>
      </c>
      <c r="AF180" s="21">
        <f t="shared" si="77"/>
        <v>-11.711825464568367</v>
      </c>
      <c r="AG180" s="8">
        <f t="shared" si="78"/>
        <v>-94.336010604349909</v>
      </c>
      <c r="AI180" s="12">
        <f t="shared" si="79"/>
        <v>-14.384267760438052</v>
      </c>
      <c r="AJ180" s="8">
        <f t="shared" si="80"/>
        <v>-15.391548655094468</v>
      </c>
      <c r="AL180" s="12">
        <f t="shared" si="81"/>
        <v>21.412035101913766</v>
      </c>
      <c r="AM180" s="8">
        <f t="shared" si="82"/>
        <v>174.20915025546401</v>
      </c>
    </row>
    <row r="181" spans="1:39" x14ac:dyDescent="0.3">
      <c r="A181" s="20">
        <f t="shared" si="83"/>
        <v>80000</v>
      </c>
      <c r="B181" s="8">
        <f t="shared" si="57"/>
        <v>502654.82457436691</v>
      </c>
      <c r="C181" s="9">
        <f t="shared" si="58"/>
        <v>40.367367550689096</v>
      </c>
      <c r="D181" s="9">
        <f t="shared" si="59"/>
        <v>-1.8467404937194667</v>
      </c>
      <c r="E181" s="9">
        <f t="shared" si="60"/>
        <v>21.351837024960176</v>
      </c>
      <c r="F181" s="9">
        <f t="shared" si="61"/>
        <v>26.621072197130044</v>
      </c>
      <c r="G181" s="9">
        <f t="shared" si="62"/>
        <v>22.968794588140653</v>
      </c>
      <c r="H181" s="9">
        <f t="shared" si="63"/>
        <v>6.0179324114907347E-2</v>
      </c>
      <c r="I181" s="9">
        <f t="shared" si="64"/>
        <v>0</v>
      </c>
      <c r="J181" s="9">
        <f t="shared" si="65"/>
        <v>41.554684819390992</v>
      </c>
      <c r="K181" s="9">
        <f t="shared" si="66"/>
        <v>0</v>
      </c>
      <c r="L181" s="9">
        <f t="shared" si="67"/>
        <v>0.97655853677761872</v>
      </c>
      <c r="M181" s="9">
        <f t="shared" si="68"/>
        <v>0.41579607088791631</v>
      </c>
      <c r="N181" s="9">
        <f t="shared" si="69"/>
        <v>0.51751608507609281</v>
      </c>
      <c r="O181" s="9">
        <f t="shared" si="48"/>
        <v>5.747959834345632E-3</v>
      </c>
      <c r="P181" s="9">
        <f t="shared" si="70"/>
        <v>0</v>
      </c>
      <c r="Q181" s="9">
        <f t="shared" si="71"/>
        <v>0</v>
      </c>
      <c r="R181" s="21">
        <f t="shared" si="72"/>
        <v>-5.3026795984868231</v>
      </c>
      <c r="S181" s="8">
        <f t="shared" si="49"/>
        <v>1.6570725610425383</v>
      </c>
      <c r="T181" s="8">
        <f t="shared" si="50"/>
        <v>1.4996870378054221</v>
      </c>
      <c r="U181" s="8">
        <f t="shared" si="51"/>
        <v>0.11757903390630206</v>
      </c>
      <c r="V181" s="8">
        <f t="shared" si="52"/>
        <v>0</v>
      </c>
      <c r="W181" s="8">
        <f t="shared" si="53"/>
        <v>1.5624350842963695</v>
      </c>
      <c r="X181" s="8">
        <f t="shared" si="54"/>
        <v>0</v>
      </c>
      <c r="Y181" s="8">
        <f t="shared" si="55"/>
        <v>0.40252850849624999</v>
      </c>
      <c r="Z181" s="8">
        <f t="shared" si="73"/>
        <v>3.6376156192451478E-2</v>
      </c>
      <c r="AA181" s="8">
        <f t="shared" si="74"/>
        <v>0</v>
      </c>
      <c r="AB181" s="8">
        <f t="shared" si="75"/>
        <v>0</v>
      </c>
      <c r="AC181" s="8">
        <f t="shared" si="56"/>
        <v>-1.6570725610425383</v>
      </c>
      <c r="AD181" s="8">
        <f t="shared" si="76"/>
        <v>-116.94906482450435</v>
      </c>
      <c r="AF181" s="21">
        <f t="shared" si="77"/>
        <v>-12.274304559720569</v>
      </c>
      <c r="AG181" s="8">
        <f t="shared" si="78"/>
        <v>-94.991420696706015</v>
      </c>
      <c r="AI181" s="12">
        <f t="shared" si="79"/>
        <v>-14.43673684768156</v>
      </c>
      <c r="AJ181" s="8">
        <f t="shared" si="80"/>
        <v>-16.334683256748605</v>
      </c>
      <c r="AL181" s="12">
        <f t="shared" si="81"/>
        <v>21.408361808915316</v>
      </c>
      <c r="AM181" s="8">
        <f t="shared" si="82"/>
        <v>174.31772086528287</v>
      </c>
    </row>
    <row r="182" spans="1:39" x14ac:dyDescent="0.3">
      <c r="A182" s="20">
        <f t="shared" si="83"/>
        <v>85000</v>
      </c>
      <c r="B182" s="8">
        <f t="shared" si="57"/>
        <v>534070.7511102648</v>
      </c>
      <c r="C182" s="9">
        <f t="shared" si="58"/>
        <v>40.367367550689096</v>
      </c>
      <c r="D182" s="9">
        <f t="shared" si="59"/>
        <v>-2.2137031354879912</v>
      </c>
      <c r="E182" s="9">
        <f t="shared" si="60"/>
        <v>22.669324373912726</v>
      </c>
      <c r="F182" s="9">
        <f t="shared" si="61"/>
        <v>27.149989203004509</v>
      </c>
      <c r="G182" s="9">
        <f t="shared" si="62"/>
        <v>23.492869294422256</v>
      </c>
      <c r="H182" s="9">
        <f t="shared" si="63"/>
        <v>6.7876490482115498E-2</v>
      </c>
      <c r="I182" s="9">
        <f t="shared" si="64"/>
        <v>0</v>
      </c>
      <c r="J182" s="9">
        <f t="shared" si="65"/>
        <v>42.081228925449061</v>
      </c>
      <c r="K182" s="9">
        <f t="shared" si="66"/>
        <v>0</v>
      </c>
      <c r="L182" s="9">
        <f t="shared" si="67"/>
        <v>0.97353678565910862</v>
      </c>
      <c r="M182" s="9">
        <f t="shared" si="68"/>
        <v>0.44178332531841102</v>
      </c>
      <c r="N182" s="9">
        <f t="shared" si="69"/>
        <v>0.58025856285856203</v>
      </c>
      <c r="O182" s="9">
        <f t="shared" si="48"/>
        <v>6.4883545538714348E-3</v>
      </c>
      <c r="P182" s="9">
        <f t="shared" si="70"/>
        <v>0</v>
      </c>
      <c r="Q182" s="9">
        <f t="shared" si="71"/>
        <v>0</v>
      </c>
      <c r="R182" s="21">
        <f t="shared" si="72"/>
        <v>-5.8898517102725378</v>
      </c>
      <c r="S182" s="8">
        <f t="shared" si="49"/>
        <v>1.6681396149103853</v>
      </c>
      <c r="T182" s="8">
        <f t="shared" si="50"/>
        <v>1.5038570648629495</v>
      </c>
      <c r="U182" s="8">
        <f t="shared" si="51"/>
        <v>0.12485379566002876</v>
      </c>
      <c r="V182" s="8">
        <f t="shared" si="52"/>
        <v>0</v>
      </c>
      <c r="W182" s="8">
        <f t="shared" si="53"/>
        <v>1.5629269011505118</v>
      </c>
      <c r="X182" s="8">
        <f t="shared" si="54"/>
        <v>0</v>
      </c>
      <c r="Y182" s="8">
        <f t="shared" si="55"/>
        <v>0.42600298001616443</v>
      </c>
      <c r="Z182" s="8">
        <f t="shared" si="73"/>
        <v>3.8647469244544444E-2</v>
      </c>
      <c r="AA182" s="8">
        <f t="shared" si="74"/>
        <v>0</v>
      </c>
      <c r="AB182" s="8">
        <f t="shared" si="75"/>
        <v>0</v>
      </c>
      <c r="AC182" s="8">
        <f t="shared" si="56"/>
        <v>-1.6681396149103853</v>
      </c>
      <c r="AD182" s="8">
        <f t="shared" si="76"/>
        <v>-118.43072603273731</v>
      </c>
      <c r="AF182" s="21">
        <f t="shared" si="77"/>
        <v>-12.803221565595035</v>
      </c>
      <c r="AG182" s="8">
        <f t="shared" si="78"/>
        <v>-95.625837797410625</v>
      </c>
      <c r="AI182" s="12">
        <f t="shared" si="79"/>
        <v>-14.491782159096822</v>
      </c>
      <c r="AJ182" s="8">
        <f t="shared" si="80"/>
        <v>-17.2633290395237</v>
      </c>
      <c r="AL182" s="12">
        <f t="shared" si="81"/>
        <v>21.405152014419325</v>
      </c>
      <c r="AM182" s="8">
        <f t="shared" si="82"/>
        <v>174.39837102045249</v>
      </c>
    </row>
    <row r="183" spans="1:39" x14ac:dyDescent="0.3">
      <c r="A183" s="20">
        <f t="shared" si="83"/>
        <v>90000</v>
      </c>
      <c r="B183" s="8">
        <f t="shared" si="57"/>
        <v>565486.6776461628</v>
      </c>
      <c r="C183" s="9">
        <f t="shared" si="58"/>
        <v>40.367367550689096</v>
      </c>
      <c r="D183" s="9">
        <f t="shared" si="59"/>
        <v>-2.6029059373637007</v>
      </c>
      <c r="E183" s="9">
        <f t="shared" si="60"/>
        <v>23.98372036557301</v>
      </c>
      <c r="F183" s="9">
        <f t="shared" si="61"/>
        <v>27.649184789277985</v>
      </c>
      <c r="G183" s="9">
        <f t="shared" si="62"/>
        <v>23.987241422947946</v>
      </c>
      <c r="H183" s="9">
        <f t="shared" si="63"/>
        <v>7.6025271998760843E-2</v>
      </c>
      <c r="I183" s="9">
        <f t="shared" si="64"/>
        <v>0</v>
      </c>
      <c r="J183" s="9">
        <f t="shared" si="65"/>
        <v>42.577671547289448</v>
      </c>
      <c r="K183" s="9">
        <f t="shared" si="66"/>
        <v>0</v>
      </c>
      <c r="L183" s="9">
        <f t="shared" si="67"/>
        <v>0.97033189810917364</v>
      </c>
      <c r="M183" s="9">
        <f t="shared" si="68"/>
        <v>0.46777057974890585</v>
      </c>
      <c r="N183" s="9">
        <f t="shared" si="69"/>
        <v>0.64590244615955983</v>
      </c>
      <c r="O183" s="9">
        <f t="shared" si="48"/>
        <v>7.2734837742560081E-3</v>
      </c>
      <c r="P183" s="9">
        <f t="shared" si="70"/>
        <v>0</v>
      </c>
      <c r="Q183" s="9">
        <f t="shared" si="71"/>
        <v>0</v>
      </c>
      <c r="R183" s="21">
        <f t="shared" si="72"/>
        <v>-6.449398020865444</v>
      </c>
      <c r="S183" s="8">
        <f t="shared" si="49"/>
        <v>1.6789012503657526</v>
      </c>
      <c r="T183" s="8">
        <f t="shared" si="50"/>
        <v>1.5075657184402427</v>
      </c>
      <c r="U183" s="8">
        <f t="shared" si="51"/>
        <v>0.1321152976971216</v>
      </c>
      <c r="V183" s="8">
        <f t="shared" si="52"/>
        <v>0</v>
      </c>
      <c r="W183" s="8">
        <f t="shared" si="53"/>
        <v>1.5633640748909918</v>
      </c>
      <c r="X183" s="8">
        <f t="shared" si="54"/>
        <v>0</v>
      </c>
      <c r="Y183" s="8">
        <f t="shared" si="55"/>
        <v>0.44920323827319469</v>
      </c>
      <c r="Z183" s="8">
        <f t="shared" si="73"/>
        <v>4.0918383414740883E-2</v>
      </c>
      <c r="AA183" s="8">
        <f t="shared" si="74"/>
        <v>0</v>
      </c>
      <c r="AB183" s="8">
        <f t="shared" si="75"/>
        <v>0</v>
      </c>
      <c r="AC183" s="8">
        <f t="shared" si="56"/>
        <v>-1.6789012503657526</v>
      </c>
      <c r="AD183" s="8">
        <f t="shared" si="76"/>
        <v>-119.90321759725568</v>
      </c>
      <c r="AF183" s="21">
        <f t="shared" si="77"/>
        <v>-13.302417151868511</v>
      </c>
      <c r="AG183" s="8">
        <f t="shared" si="78"/>
        <v>-96.242746836253332</v>
      </c>
      <c r="AI183" s="12">
        <f t="shared" si="79"/>
        <v>-14.549277260881174</v>
      </c>
      <c r="AJ183" s="8">
        <f t="shared" si="80"/>
        <v>-18.177015701813104</v>
      </c>
      <c r="AL183" s="12">
        <f t="shared" si="81"/>
        <v>21.402296391884242</v>
      </c>
      <c r="AM183" s="8">
        <f t="shared" si="82"/>
        <v>174.45572828796554</v>
      </c>
    </row>
    <row r="184" spans="1:39" x14ac:dyDescent="0.3">
      <c r="A184" s="20">
        <f t="shared" si="83"/>
        <v>95000</v>
      </c>
      <c r="B184" s="8">
        <f t="shared" si="57"/>
        <v>596902.60418206069</v>
      </c>
      <c r="C184" s="9">
        <f t="shared" si="58"/>
        <v>40.367367550689096</v>
      </c>
      <c r="D184" s="9">
        <f t="shared" si="59"/>
        <v>-3.0143488993465919</v>
      </c>
      <c r="E184" s="9">
        <f t="shared" si="60"/>
        <v>25.294843155394421</v>
      </c>
      <c r="F184" s="9">
        <f t="shared" si="61"/>
        <v>28.121880739188839</v>
      </c>
      <c r="G184" s="9">
        <f t="shared" si="62"/>
        <v>24.455085700937154</v>
      </c>
      <c r="H184" s="9">
        <f t="shared" si="63"/>
        <v>8.4623105200150192E-2</v>
      </c>
      <c r="I184" s="9">
        <f t="shared" si="64"/>
        <v>0</v>
      </c>
      <c r="J184" s="9">
        <f t="shared" si="65"/>
        <v>43.04726887686283</v>
      </c>
      <c r="K184" s="9">
        <f t="shared" si="66"/>
        <v>0</v>
      </c>
      <c r="L184" s="9">
        <f t="shared" si="67"/>
        <v>0.96694387412781391</v>
      </c>
      <c r="M184" s="9">
        <f t="shared" si="68"/>
        <v>0.49375783417940061</v>
      </c>
      <c r="N184" s="9">
        <f t="shared" si="69"/>
        <v>0.71431747190793748</v>
      </c>
      <c r="O184" s="9">
        <f t="shared" si="48"/>
        <v>8.1033232148807408E-3</v>
      </c>
      <c r="P184" s="9">
        <f t="shared" si="70"/>
        <v>0</v>
      </c>
      <c r="Q184" s="9">
        <f t="shared" si="71"/>
        <v>0</v>
      </c>
      <c r="R184" s="21">
        <f t="shared" si="72"/>
        <v>-6.9844940543480867</v>
      </c>
      <c r="S184" s="8">
        <f t="shared" si="49"/>
        <v>1.6894054909093976</v>
      </c>
      <c r="T184" s="8">
        <f t="shared" si="50"/>
        <v>1.5108854674490713</v>
      </c>
      <c r="U184" s="8">
        <f t="shared" si="51"/>
        <v>0.13936281261750441</v>
      </c>
      <c r="V184" s="8">
        <f t="shared" si="52"/>
        <v>0</v>
      </c>
      <c r="W184" s="8">
        <f t="shared" si="53"/>
        <v>1.5637552327561199</v>
      </c>
      <c r="X184" s="8">
        <f t="shared" si="54"/>
        <v>0</v>
      </c>
      <c r="Y184" s="8">
        <f t="shared" si="55"/>
        <v>0.47212137551495637</v>
      </c>
      <c r="Z184" s="8">
        <f t="shared" si="73"/>
        <v>4.3188875392076526E-2</v>
      </c>
      <c r="AA184" s="8">
        <f t="shared" si="74"/>
        <v>0</v>
      </c>
      <c r="AB184" s="8">
        <f t="shared" si="75"/>
        <v>0</v>
      </c>
      <c r="AC184" s="8">
        <f t="shared" si="56"/>
        <v>-1.6894054909093976</v>
      </c>
      <c r="AD184" s="8">
        <f t="shared" si="76"/>
        <v>-121.36522046402146</v>
      </c>
      <c r="AF184" s="21">
        <f t="shared" si="77"/>
        <v>-13.775113101779365</v>
      </c>
      <c r="AG184" s="8">
        <f t="shared" si="78"/>
        <v>-96.844900752768012</v>
      </c>
      <c r="AI184" s="12">
        <f t="shared" si="79"/>
        <v>-14.609094453428163</v>
      </c>
      <c r="AJ184" s="8">
        <f t="shared" si="80"/>
        <v>-19.075331631064124</v>
      </c>
      <c r="AL184" s="12">
        <f t="shared" si="81"/>
        <v>21.399713500859445</v>
      </c>
      <c r="AM184" s="8">
        <f t="shared" si="82"/>
        <v>174.49345371788453</v>
      </c>
    </row>
    <row r="185" spans="1:39" x14ac:dyDescent="0.3">
      <c r="A185" s="20">
        <f t="shared" si="83"/>
        <v>100000</v>
      </c>
      <c r="B185" s="8">
        <f t="shared" si="57"/>
        <v>628318.53071795858</v>
      </c>
      <c r="C185" s="9">
        <f t="shared" si="58"/>
        <v>40.367367550689096</v>
      </c>
      <c r="D185" s="9">
        <f t="shared" si="59"/>
        <v>-3.4480320214366662</v>
      </c>
      <c r="E185" s="9">
        <f t="shared" si="60"/>
        <v>26.602510898830356</v>
      </c>
      <c r="F185" s="9">
        <f t="shared" si="61"/>
        <v>28.570805995135018</v>
      </c>
      <c r="G185" s="9">
        <f t="shared" si="62"/>
        <v>24.899095299783905</v>
      </c>
      <c r="H185" s="9">
        <f t="shared" si="63"/>
        <v>9.3667297537414013E-2</v>
      </c>
      <c r="I185" s="9">
        <f t="shared" si="64"/>
        <v>0</v>
      </c>
      <c r="J185" s="9">
        <f t="shared" si="65"/>
        <v>43.492775778637736</v>
      </c>
      <c r="K185" s="9">
        <f t="shared" si="66"/>
        <v>0</v>
      </c>
      <c r="L185" s="9">
        <f t="shared" si="67"/>
        <v>0.96337271371502931</v>
      </c>
      <c r="M185" s="9">
        <f t="shared" si="68"/>
        <v>0.51974508860989532</v>
      </c>
      <c r="N185" s="9">
        <f t="shared" si="69"/>
        <v>0.78537268426579732</v>
      </c>
      <c r="O185" s="9">
        <f t="shared" si="48"/>
        <v>8.9778472235678836E-3</v>
      </c>
      <c r="P185" s="9">
        <f t="shared" si="70"/>
        <v>0</v>
      </c>
      <c r="Q185" s="9">
        <f t="shared" si="71"/>
        <v>0</v>
      </c>
      <c r="R185" s="21">
        <f t="shared" si="72"/>
        <v>-7.4978021572516989</v>
      </c>
      <c r="S185" s="8">
        <f t="shared" si="49"/>
        <v>1.6996907723377088</v>
      </c>
      <c r="T185" s="8">
        <f t="shared" si="50"/>
        <v>1.5138743744686074</v>
      </c>
      <c r="U185" s="8">
        <f t="shared" si="51"/>
        <v>0.14659562169700652</v>
      </c>
      <c r="V185" s="8">
        <f t="shared" si="52"/>
        <v>0</v>
      </c>
      <c r="W185" s="8">
        <f t="shared" si="53"/>
        <v>1.5641072766804018</v>
      </c>
      <c r="X185" s="8">
        <f t="shared" si="54"/>
        <v>0</v>
      </c>
      <c r="Y185" s="8">
        <f t="shared" si="55"/>
        <v>0.49475049550013916</v>
      </c>
      <c r="Z185" s="8">
        <f t="shared" si="73"/>
        <v>4.5458921891665303E-2</v>
      </c>
      <c r="AA185" s="8">
        <f t="shared" si="74"/>
        <v>0</v>
      </c>
      <c r="AB185" s="8">
        <f t="shared" si="75"/>
        <v>0</v>
      </c>
      <c r="AC185" s="8">
        <f t="shared" si="56"/>
        <v>-1.6996907723377088</v>
      </c>
      <c r="AD185" s="8">
        <f t="shared" si="76"/>
        <v>-122.81565027314774</v>
      </c>
      <c r="AF185" s="21">
        <f t="shared" si="77"/>
        <v>-14.224038357725544</v>
      </c>
      <c r="AG185" s="8">
        <f t="shared" si="78"/>
        <v>-97.434502872862282</v>
      </c>
      <c r="AI185" s="12">
        <f t="shared" si="79"/>
        <v>-14.671105473448758</v>
      </c>
      <c r="AJ185" s="8">
        <f t="shared" si="80"/>
        <v>-19.957922702090407</v>
      </c>
      <c r="AL185" s="12">
        <f t="shared" si="81"/>
        <v>21.3973416739226</v>
      </c>
      <c r="AM185" s="8">
        <f t="shared" si="82"/>
        <v>174.51448142082077</v>
      </c>
    </row>
    <row r="186" spans="1:39" x14ac:dyDescent="0.3">
      <c r="A186" s="20">
        <f>A185+50000</f>
        <v>150000</v>
      </c>
      <c r="B186" s="8">
        <f t="shared" si="57"/>
        <v>942477.79607693793</v>
      </c>
      <c r="C186" s="9">
        <f t="shared" si="58"/>
        <v>40.367367550689096</v>
      </c>
      <c r="D186" s="9">
        <f t="shared" si="59"/>
        <v>-9.0080720482324992</v>
      </c>
      <c r="E186" s="9">
        <f t="shared" si="60"/>
        <v>39.449154981735852</v>
      </c>
      <c r="F186" s="9">
        <f t="shared" si="61"/>
        <v>32.14149797181517</v>
      </c>
      <c r="G186" s="9">
        <f t="shared" si="62"/>
        <v>28.413104328380037</v>
      </c>
      <c r="H186" s="9">
        <f t="shared" si="63"/>
        <v>0.20798010177087931</v>
      </c>
      <c r="I186" s="9">
        <f t="shared" si="64"/>
        <v>0</v>
      </c>
      <c r="J186" s="9">
        <f t="shared" si="65"/>
        <v>47.014493005530824</v>
      </c>
      <c r="K186" s="9">
        <f t="shared" si="66"/>
        <v>0</v>
      </c>
      <c r="L186" s="9">
        <f t="shared" si="67"/>
        <v>0.91758860585881585</v>
      </c>
      <c r="M186" s="9">
        <f t="shared" si="68"/>
        <v>0.7796176329148431</v>
      </c>
      <c r="N186" s="9">
        <f t="shared" si="69"/>
        <v>1.6129985852707538</v>
      </c>
      <c r="O186" s="9">
        <f t="shared" si="48"/>
        <v>2.0174120105217679E-2</v>
      </c>
      <c r="P186" s="9">
        <f t="shared" si="70"/>
        <v>0</v>
      </c>
      <c r="Q186" s="9">
        <f t="shared" si="71"/>
        <v>0</v>
      </c>
      <c r="R186" s="21">
        <f t="shared" si="72"/>
        <v>-11.800711701881953</v>
      </c>
      <c r="S186" s="8">
        <f t="shared" si="49"/>
        <v>1.7952936176152277</v>
      </c>
      <c r="T186" s="8">
        <f t="shared" si="50"/>
        <v>1.5328255791978713</v>
      </c>
      <c r="U186" s="8">
        <f t="shared" si="51"/>
        <v>0.21796371605464043</v>
      </c>
      <c r="V186" s="8">
        <f t="shared" si="52"/>
        <v>0</v>
      </c>
      <c r="W186" s="8">
        <f t="shared" si="53"/>
        <v>1.5663369231021997</v>
      </c>
      <c r="X186" s="8">
        <f t="shared" si="54"/>
        <v>0</v>
      </c>
      <c r="Y186" s="8">
        <f t="shared" si="55"/>
        <v>0.70428354109814661</v>
      </c>
      <c r="Z186" s="8">
        <f t="shared" si="73"/>
        <v>6.812978441678004E-2</v>
      </c>
      <c r="AA186" s="8">
        <f t="shared" si="74"/>
        <v>0</v>
      </c>
      <c r="AB186" s="8">
        <f t="shared" si="75"/>
        <v>0</v>
      </c>
      <c r="AC186" s="8">
        <f t="shared" si="56"/>
        <v>-1.7952936176152277</v>
      </c>
      <c r="AD186" s="8">
        <f t="shared" si="76"/>
        <v>-136.55042842240664</v>
      </c>
      <c r="AF186" s="21">
        <f t="shared" si="77"/>
        <v>-17.794730334405696</v>
      </c>
      <c r="AG186" s="8">
        <f t="shared" si="78"/>
        <v>-102.91492075501304</v>
      </c>
      <c r="AI186" s="12">
        <f t="shared" si="79"/>
        <v>-15.38441857022025</v>
      </c>
      <c r="AJ186" s="8">
        <f t="shared" si="80"/>
        <v>-27.878206531156405</v>
      </c>
      <c r="AL186" s="12">
        <f t="shared" si="81"/>
        <v>21.378437202743996</v>
      </c>
      <c r="AM186" s="8">
        <f t="shared" si="82"/>
        <v>174.17343850388551</v>
      </c>
    </row>
    <row r="187" spans="1:39" x14ac:dyDescent="0.3">
      <c r="A187" s="20">
        <f t="shared" ref="A187:A203" si="84">A186+50000</f>
        <v>200000</v>
      </c>
      <c r="B187" s="8">
        <f t="shared" si="57"/>
        <v>1256637.0614359172</v>
      </c>
      <c r="C187" s="9">
        <f t="shared" si="58"/>
        <v>40.367367550689096</v>
      </c>
      <c r="D187" s="9">
        <f t="shared" si="59"/>
        <v>-16.792128085746665</v>
      </c>
      <c r="E187" s="9">
        <f t="shared" si="60"/>
        <v>51.750265424829706</v>
      </c>
      <c r="F187" s="9">
        <f t="shared" si="61"/>
        <v>34.713013266414436</v>
      </c>
      <c r="G187" s="9">
        <f t="shared" si="62"/>
        <v>30.909140080441489</v>
      </c>
      <c r="H187" s="9">
        <f t="shared" si="63"/>
        <v>0.36312569294475794</v>
      </c>
      <c r="I187" s="9">
        <f t="shared" si="64"/>
        <v>0</v>
      </c>
      <c r="J187" s="9">
        <f t="shared" si="65"/>
        <v>49.513229953085656</v>
      </c>
      <c r="K187" s="9">
        <f t="shared" si="66"/>
        <v>0</v>
      </c>
      <c r="L187" s="9">
        <f t="shared" si="67"/>
        <v>0.853490854860117</v>
      </c>
      <c r="M187" s="9">
        <f t="shared" si="68"/>
        <v>1.0394901772197906</v>
      </c>
      <c r="N187" s="9">
        <f t="shared" si="69"/>
        <v>2.5743531812958609</v>
      </c>
      <c r="O187" s="9">
        <f t="shared" si="48"/>
        <v>3.5800567721729806E-2</v>
      </c>
      <c r="P187" s="9">
        <f t="shared" si="70"/>
        <v>0</v>
      </c>
      <c r="Q187" s="9">
        <f t="shared" si="71"/>
        <v>0</v>
      </c>
      <c r="R187" s="21">
        <f t="shared" si="72"/>
        <v>-15.19676364444234</v>
      </c>
      <c r="S187" s="8">
        <f t="shared" si="49"/>
        <v>1.8845613626407216</v>
      </c>
      <c r="T187" s="8">
        <f t="shared" si="50"/>
        <v>1.5423122777823479</v>
      </c>
      <c r="U187" s="8">
        <f t="shared" si="51"/>
        <v>0.28714824030276109</v>
      </c>
      <c r="V187" s="8">
        <f t="shared" si="52"/>
        <v>0</v>
      </c>
      <c r="W187" s="8">
        <f t="shared" si="53"/>
        <v>1.5674517643258823</v>
      </c>
      <c r="X187" s="8">
        <f t="shared" si="54"/>
        <v>0</v>
      </c>
      <c r="Y187" s="8">
        <f t="shared" si="55"/>
        <v>0.88334113560860317</v>
      </c>
      <c r="Z187" s="8">
        <f t="shared" si="73"/>
        <v>9.0730733572227121E-2</v>
      </c>
      <c r="AA187" s="8">
        <f t="shared" si="74"/>
        <v>0</v>
      </c>
      <c r="AB187" s="8">
        <f t="shared" si="75"/>
        <v>0</v>
      </c>
      <c r="AC187" s="8">
        <f t="shared" si="56"/>
        <v>-1.8845613626407216</v>
      </c>
      <c r="AD187" s="8">
        <f t="shared" si="76"/>
        <v>-148.77562357333144</v>
      </c>
      <c r="AF187" s="21">
        <f t="shared" si="77"/>
        <v>-20.366245629004961</v>
      </c>
      <c r="AG187" s="8">
        <f t="shared" si="78"/>
        <v>-108.03218002399042</v>
      </c>
      <c r="AI187" s="12">
        <f t="shared" si="79"/>
        <v>-16.190627575071478</v>
      </c>
      <c r="AJ187" s="8">
        <f t="shared" si="80"/>
        <v>-34.176662788232981</v>
      </c>
      <c r="AL187" s="12">
        <f t="shared" si="81"/>
        <v>21.360109559634104</v>
      </c>
      <c r="AM187" s="8">
        <f t="shared" si="82"/>
        <v>173.35775808253595</v>
      </c>
    </row>
    <row r="188" spans="1:39" x14ac:dyDescent="0.3">
      <c r="A188" s="20">
        <f t="shared" si="84"/>
        <v>250000</v>
      </c>
      <c r="B188" s="8">
        <f t="shared" si="57"/>
        <v>1570796.3267948965</v>
      </c>
      <c r="C188" s="9">
        <f t="shared" si="58"/>
        <v>40.367367550689096</v>
      </c>
      <c r="D188" s="9">
        <f t="shared" si="59"/>
        <v>-26.800200133979164</v>
      </c>
      <c r="E188" s="9">
        <f t="shared" si="60"/>
        <v>63.323997681508068</v>
      </c>
      <c r="F188" s="9">
        <f t="shared" si="61"/>
        <v>36.746939473817037</v>
      </c>
      <c r="G188" s="9">
        <f t="shared" si="62"/>
        <v>32.846071999053549</v>
      </c>
      <c r="H188" s="9">
        <f t="shared" si="63"/>
        <v>0.55478569103637476</v>
      </c>
      <c r="I188" s="9">
        <f t="shared" si="64"/>
        <v>0</v>
      </c>
      <c r="J188" s="9">
        <f t="shared" si="65"/>
        <v>51.451412724258319</v>
      </c>
      <c r="K188" s="9">
        <f t="shared" si="66"/>
        <v>0</v>
      </c>
      <c r="L188" s="9">
        <f t="shared" si="67"/>
        <v>0.77107946071893285</v>
      </c>
      <c r="M188" s="9">
        <f t="shared" si="68"/>
        <v>1.2993627215247383</v>
      </c>
      <c r="N188" s="9">
        <f t="shared" si="69"/>
        <v>3.5848822296650438</v>
      </c>
      <c r="O188" s="9">
        <f t="shared" si="48"/>
        <v>5.5809449285783859E-2</v>
      </c>
      <c r="P188" s="9">
        <f t="shared" si="70"/>
        <v>0</v>
      </c>
      <c r="Q188" s="9">
        <f t="shared" si="71"/>
        <v>0</v>
      </c>
      <c r="R188" s="21">
        <f t="shared" si="72"/>
        <v>-18.070818636247168</v>
      </c>
      <c r="S188" s="8">
        <f t="shared" si="49"/>
        <v>1.9711612501266031</v>
      </c>
      <c r="T188" s="8">
        <f t="shared" si="50"/>
        <v>1.5480068689693929</v>
      </c>
      <c r="U188" s="8">
        <f t="shared" si="51"/>
        <v>0.35362074469209615</v>
      </c>
      <c r="V188" s="8">
        <f t="shared" si="52"/>
        <v>0</v>
      </c>
      <c r="W188" s="8">
        <f t="shared" si="53"/>
        <v>1.5681206732280746</v>
      </c>
      <c r="X188" s="8">
        <f t="shared" si="54"/>
        <v>0</v>
      </c>
      <c r="Y188" s="8">
        <f t="shared" si="55"/>
        <v>1.0352224876958083</v>
      </c>
      <c r="Z188" s="8">
        <f t="shared" si="73"/>
        <v>0.11323913280312267</v>
      </c>
      <c r="AA188" s="8">
        <f t="shared" si="74"/>
        <v>0</v>
      </c>
      <c r="AB188" s="8">
        <f t="shared" si="75"/>
        <v>0</v>
      </c>
      <c r="AC188" s="8">
        <f t="shared" si="56"/>
        <v>-1.9711612501266031</v>
      </c>
      <c r="AD188" s="8">
        <f t="shared" si="76"/>
        <v>-159.63268403417396</v>
      </c>
      <c r="AF188" s="21">
        <f t="shared" si="77"/>
        <v>-22.400171836407562</v>
      </c>
      <c r="AG188" s="8">
        <f t="shared" si="78"/>
        <v>-112.99650478432756</v>
      </c>
      <c r="AI188" s="12">
        <f t="shared" si="79"/>
        <v>-17.009496625349044</v>
      </c>
      <c r="AJ188" s="8">
        <f t="shared" si="80"/>
        <v>-39.072711382378401</v>
      </c>
      <c r="AL188" s="12">
        <f t="shared" si="81"/>
        <v>21.338849825509445</v>
      </c>
      <c r="AM188" s="8">
        <f t="shared" si="82"/>
        <v>172.35556411747618</v>
      </c>
    </row>
    <row r="189" spans="1:39" x14ac:dyDescent="0.3">
      <c r="A189" s="20">
        <f t="shared" si="84"/>
        <v>300000</v>
      </c>
      <c r="B189" s="8">
        <f t="shared" si="57"/>
        <v>1884955.5921538759</v>
      </c>
      <c r="C189" s="9">
        <f t="shared" si="58"/>
        <v>40.367367550689096</v>
      </c>
      <c r="D189" s="9">
        <f t="shared" si="59"/>
        <v>-39.032288192929997</v>
      </c>
      <c r="E189" s="9">
        <f t="shared" si="60"/>
        <v>73.988507205167039</v>
      </c>
      <c r="F189" s="9">
        <f t="shared" si="61"/>
        <v>38.449626878021377</v>
      </c>
      <c r="G189" s="9">
        <f t="shared" si="62"/>
        <v>34.429007789061366</v>
      </c>
      <c r="H189" s="9">
        <f t="shared" si="63"/>
        <v>0.77810189767006754</v>
      </c>
      <c r="I189" s="9">
        <f t="shared" si="64"/>
        <v>0</v>
      </c>
      <c r="J189" s="9">
        <f t="shared" si="65"/>
        <v>53.035028144990036</v>
      </c>
      <c r="K189" s="9">
        <f t="shared" si="66"/>
        <v>0</v>
      </c>
      <c r="L189" s="9">
        <f t="shared" si="67"/>
        <v>0.6703544234352633</v>
      </c>
      <c r="M189" s="9">
        <f t="shared" si="68"/>
        <v>1.5592352658296862</v>
      </c>
      <c r="N189" s="9">
        <f t="shared" si="69"/>
        <v>4.5948139852642118</v>
      </c>
      <c r="O189" s="9">
        <f t="shared" si="48"/>
        <v>8.0140217582713433E-2</v>
      </c>
      <c r="P189" s="9">
        <f t="shared" si="70"/>
        <v>0</v>
      </c>
      <c r="Q189" s="9">
        <f t="shared" si="71"/>
        <v>0</v>
      </c>
      <c r="R189" s="21">
        <f t="shared" si="72"/>
        <v>-20.585131988437805</v>
      </c>
      <c r="S189" s="8">
        <f t="shared" si="49"/>
        <v>2.056236562347137</v>
      </c>
      <c r="T189" s="8">
        <f t="shared" si="50"/>
        <v>1.5518041073571343</v>
      </c>
      <c r="U189" s="8">
        <f t="shared" si="51"/>
        <v>0.41698787478286681</v>
      </c>
      <c r="V189" s="8">
        <f t="shared" si="52"/>
        <v>0</v>
      </c>
      <c r="W189" s="8">
        <f t="shared" si="53"/>
        <v>1.5685666138633736</v>
      </c>
      <c r="X189" s="8">
        <f t="shared" si="54"/>
        <v>0</v>
      </c>
      <c r="Y189" s="8">
        <f t="shared" si="55"/>
        <v>1.1647614574627201</v>
      </c>
      <c r="Z189" s="8">
        <f t="shared" si="73"/>
        <v>0.1356329049265525</v>
      </c>
      <c r="AA189" s="8">
        <f t="shared" si="74"/>
        <v>0</v>
      </c>
      <c r="AB189" s="8">
        <f t="shared" si="75"/>
        <v>0</v>
      </c>
      <c r="AC189" s="8">
        <f t="shared" si="56"/>
        <v>-2.056236562347137</v>
      </c>
      <c r="AD189" s="8">
        <f t="shared" si="76"/>
        <v>-169.38956091417114</v>
      </c>
      <c r="AF189" s="21">
        <f t="shared" si="77"/>
        <v>-24.102859240611902</v>
      </c>
      <c r="AG189" s="8">
        <f t="shared" si="78"/>
        <v>-117.87343351034542</v>
      </c>
      <c r="AI189" s="12">
        <f t="shared" si="79"/>
        <v>-17.796112174314516</v>
      </c>
      <c r="AJ189" s="8">
        <f t="shared" si="80"/>
        <v>-42.866001554896052</v>
      </c>
      <c r="AL189" s="12">
        <f t="shared" si="81"/>
        <v>21.313839426488617</v>
      </c>
      <c r="AM189" s="8">
        <f t="shared" si="82"/>
        <v>171.26395730640047</v>
      </c>
    </row>
    <row r="190" spans="1:39" x14ac:dyDescent="0.3">
      <c r="A190" s="20">
        <f t="shared" si="84"/>
        <v>350000</v>
      </c>
      <c r="B190" s="8">
        <f t="shared" si="57"/>
        <v>2199114.857512855</v>
      </c>
      <c r="C190" s="9">
        <f t="shared" si="58"/>
        <v>40.367367550689096</v>
      </c>
      <c r="D190" s="9">
        <f t="shared" si="59"/>
        <v>-53.488392262599156</v>
      </c>
      <c r="E190" s="9">
        <f t="shared" si="60"/>
        <v>83.561949449202743</v>
      </c>
      <c r="F190" s="9">
        <f t="shared" si="61"/>
        <v>39.93154288608762</v>
      </c>
      <c r="G190" s="9">
        <f t="shared" si="62"/>
        <v>35.767528004597338</v>
      </c>
      <c r="H190" s="9">
        <f t="shared" si="63"/>
        <v>1.0280196655331972</v>
      </c>
      <c r="I190" s="9">
        <f t="shared" si="64"/>
        <v>0</v>
      </c>
      <c r="J190" s="9">
        <f t="shared" si="65"/>
        <v>54.37395820925876</v>
      </c>
      <c r="K190" s="9">
        <f t="shared" si="66"/>
        <v>0</v>
      </c>
      <c r="L190" s="9">
        <f t="shared" si="67"/>
        <v>0.55131574300910846</v>
      </c>
      <c r="M190" s="9">
        <f t="shared" si="68"/>
        <v>1.8191078101346336</v>
      </c>
      <c r="N190" s="9">
        <f t="shared" si="69"/>
        <v>5.5788025499094687</v>
      </c>
      <c r="O190" s="9">
        <f t="shared" si="48"/>
        <v>0.10872011995042284</v>
      </c>
      <c r="P190" s="9">
        <f t="shared" si="70"/>
        <v>0</v>
      </c>
      <c r="Q190" s="9">
        <f t="shared" si="71"/>
        <v>0</v>
      </c>
      <c r="R190" s="21">
        <f t="shared" si="72"/>
        <v>-22.830108544386636</v>
      </c>
      <c r="S190" s="8">
        <f t="shared" si="49"/>
        <v>2.1401837540744264</v>
      </c>
      <c r="T190" s="8">
        <f t="shared" si="50"/>
        <v>1.5545167622844482</v>
      </c>
      <c r="U190" s="8">
        <f t="shared" si="51"/>
        <v>0.47699078158729608</v>
      </c>
      <c r="V190" s="8">
        <f t="shared" si="52"/>
        <v>0</v>
      </c>
      <c r="W190" s="8">
        <f t="shared" si="53"/>
        <v>1.5688851434418787</v>
      </c>
      <c r="X190" s="8">
        <f t="shared" si="54"/>
        <v>0</v>
      </c>
      <c r="Y190" s="8">
        <f t="shared" si="55"/>
        <v>1.2765260386865096</v>
      </c>
      <c r="Z190" s="8">
        <f t="shared" si="73"/>
        <v>0.15789065601851512</v>
      </c>
      <c r="AA190" s="8">
        <f t="shared" si="74"/>
        <v>0</v>
      </c>
      <c r="AB190" s="8">
        <f t="shared" si="75"/>
        <v>0</v>
      </c>
      <c r="AC190" s="8">
        <f t="shared" si="56"/>
        <v>-2.1401837540744264</v>
      </c>
      <c r="AD190" s="8">
        <f t="shared" si="76"/>
        <v>-178.30320810779008</v>
      </c>
      <c r="AF190" s="21">
        <f t="shared" si="77"/>
        <v>-25.584775248678145</v>
      </c>
      <c r="AG190" s="8">
        <f t="shared" si="78"/>
        <v>-122.68569290872507</v>
      </c>
      <c r="AI190" s="12">
        <f t="shared" si="79"/>
        <v>-18.530182971096647</v>
      </c>
      <c r="AJ190" s="8">
        <f t="shared" si="80"/>
        <v>-45.833231298681035</v>
      </c>
      <c r="AL190" s="12">
        <f t="shared" si="81"/>
        <v>21.284849675388156</v>
      </c>
      <c r="AM190" s="8">
        <f t="shared" si="82"/>
        <v>170.1252781236719</v>
      </c>
    </row>
    <row r="191" spans="1:39" x14ac:dyDescent="0.3">
      <c r="A191" s="20">
        <f t="shared" si="84"/>
        <v>400000</v>
      </c>
      <c r="B191" s="8">
        <f t="shared" si="57"/>
        <v>2513274.1228718343</v>
      </c>
      <c r="C191" s="9">
        <f t="shared" si="58"/>
        <v>40.367367550689096</v>
      </c>
      <c r="D191" s="9">
        <f t="shared" si="59"/>
        <v>-70.168512342986659</v>
      </c>
      <c r="E191" s="9">
        <f t="shared" si="60"/>
        <v>91.862479867011317</v>
      </c>
      <c r="F191" s="9">
        <f t="shared" si="61"/>
        <v>41.25882366302509</v>
      </c>
      <c r="G191" s="9">
        <f t="shared" si="62"/>
        <v>36.927097197362365</v>
      </c>
      <c r="H191" s="9">
        <f t="shared" si="63"/>
        <v>1.2995763466070329</v>
      </c>
      <c r="I191" s="9">
        <f t="shared" si="64"/>
        <v>0</v>
      </c>
      <c r="J191" s="9">
        <f t="shared" si="65"/>
        <v>55.533793430893176</v>
      </c>
      <c r="K191" s="9">
        <f t="shared" si="66"/>
        <v>0</v>
      </c>
      <c r="L191" s="9">
        <f t="shared" si="67"/>
        <v>0.41396341944046811</v>
      </c>
      <c r="M191" s="9">
        <f t="shared" si="68"/>
        <v>2.0789803544395813</v>
      </c>
      <c r="N191" s="9">
        <f t="shared" si="69"/>
        <v>6.5258716484549426</v>
      </c>
      <c r="O191" s="9">
        <f t="shared" ref="O191:O221" si="85">20*LOG10(SQRT(1+($B$84*B191)^2))</f>
        <v>0.14146490682584872</v>
      </c>
      <c r="P191" s="9">
        <f t="shared" si="70"/>
        <v>0</v>
      </c>
      <c r="Q191" s="9">
        <f t="shared" si="71"/>
        <v>0</v>
      </c>
      <c r="R191" s="21">
        <f t="shared" si="72"/>
        <v>-24.865912554540564</v>
      </c>
      <c r="S191" s="8">
        <f t="shared" ref="S191:S221" si="86">ATAN2(D191,E191)</f>
        <v>2.2230982495374421</v>
      </c>
      <c r="T191" s="8">
        <f t="shared" ref="T191:T221" si="87">ATAN($B$76*B191)</f>
        <v>1.5565514129178151</v>
      </c>
      <c r="U191" s="8">
        <f t="shared" ref="U191:U221" si="88">ATAN($B$77*B191)</f>
        <v>0.53349346108487639</v>
      </c>
      <c r="V191" s="8">
        <f t="shared" ref="V191:V221" si="89">ATAN($B$78*B191)</f>
        <v>0</v>
      </c>
      <c r="W191" s="8">
        <f t="shared" ref="W191:W221" si="90">ATAN($B$79*B191)</f>
        <v>1.569124040883801</v>
      </c>
      <c r="X191" s="8">
        <f t="shared" ref="X191:X221" si="91">ATAN($B$80*B191)</f>
        <v>0</v>
      </c>
      <c r="Y191" s="8">
        <f t="shared" ref="Y191:Y221" si="92">ATAN2(L191,M191)</f>
        <v>1.3742485206064419</v>
      </c>
      <c r="Z191" s="8">
        <f t="shared" si="73"/>
        <v>0.17999178932247073</v>
      </c>
      <c r="AA191" s="8">
        <f t="shared" si="74"/>
        <v>0</v>
      </c>
      <c r="AB191" s="8">
        <f t="shared" si="75"/>
        <v>0</v>
      </c>
      <c r="AC191" s="8">
        <f t="shared" ref="AC191:AC221" si="93">IF(-S191&gt;0,-S191-2*PI(),-S191)</f>
        <v>-2.2230982495374421</v>
      </c>
      <c r="AD191" s="8">
        <f t="shared" si="76"/>
        <v>-186.57899205129715</v>
      </c>
      <c r="AF191" s="21">
        <f t="shared" si="77"/>
        <v>-26.912056025615616</v>
      </c>
      <c r="AG191" s="8">
        <f t="shared" si="78"/>
        <v>-127.43875315819731</v>
      </c>
      <c r="AI191" s="12">
        <f t="shared" si="79"/>
        <v>-19.205695388568284</v>
      </c>
      <c r="AJ191" s="8">
        <f t="shared" si="80"/>
        <v>-48.196149908879548</v>
      </c>
      <c r="AL191" s="12">
        <f t="shared" si="81"/>
        <v>21.251838859643339</v>
      </c>
      <c r="AM191" s="8">
        <f t="shared" si="82"/>
        <v>168.961275442063</v>
      </c>
    </row>
    <row r="192" spans="1:39" x14ac:dyDescent="0.3">
      <c r="A192" s="20">
        <f t="shared" si="84"/>
        <v>450000</v>
      </c>
      <c r="B192" s="8">
        <f t="shared" si="57"/>
        <v>2827433.3882308137</v>
      </c>
      <c r="C192" s="9">
        <f t="shared" si="58"/>
        <v>40.367367550689096</v>
      </c>
      <c r="D192" s="9">
        <f t="shared" si="59"/>
        <v>-89.0726484340925</v>
      </c>
      <c r="E192" s="9">
        <f t="shared" si="60"/>
        <v>98.708253911988891</v>
      </c>
      <c r="F192" s="9">
        <f t="shared" si="61"/>
        <v>42.474148535669343</v>
      </c>
      <c r="G192" s="9">
        <f t="shared" si="62"/>
        <v>37.949962699118217</v>
      </c>
      <c r="H192" s="9">
        <f t="shared" si="63"/>
        <v>1.5881151686141841</v>
      </c>
      <c r="I192" s="9">
        <f t="shared" si="64"/>
        <v>0</v>
      </c>
      <c r="J192" s="9">
        <f t="shared" si="65"/>
        <v>56.556841330845714</v>
      </c>
      <c r="K192" s="9">
        <f t="shared" si="66"/>
        <v>0</v>
      </c>
      <c r="L192" s="9">
        <f t="shared" si="67"/>
        <v>0.25829745272934257</v>
      </c>
      <c r="M192" s="9">
        <f t="shared" si="68"/>
        <v>2.3388528987445292</v>
      </c>
      <c r="N192" s="9">
        <f t="shared" si="69"/>
        <v>7.4327063751601044</v>
      </c>
      <c r="O192" s="9">
        <f t="shared" si="85"/>
        <v>0.17827963372524047</v>
      </c>
      <c r="P192" s="9">
        <f t="shared" si="70"/>
        <v>0</v>
      </c>
      <c r="Q192" s="9">
        <f t="shared" si="71"/>
        <v>0</v>
      </c>
      <c r="R192" s="21">
        <f t="shared" si="72"/>
        <v>-26.736530456978908</v>
      </c>
      <c r="S192" s="8">
        <f t="shared" si="86"/>
        <v>2.3049264338611226</v>
      </c>
      <c r="T192" s="8">
        <f t="shared" si="87"/>
        <v>1.5581340013787877</v>
      </c>
      <c r="U192" s="8">
        <f t="shared" si="88"/>
        <v>0.58646422988515834</v>
      </c>
      <c r="V192" s="8">
        <f t="shared" si="89"/>
        <v>0</v>
      </c>
      <c r="W192" s="8">
        <f t="shared" si="90"/>
        <v>1.56930985013866</v>
      </c>
      <c r="X192" s="8">
        <f t="shared" si="91"/>
        <v>0</v>
      </c>
      <c r="Y192" s="8">
        <f t="shared" si="92"/>
        <v>1.460804388129517</v>
      </c>
      <c r="Z192" s="8">
        <f t="shared" si="73"/>
        <v>0.2019166078043528</v>
      </c>
      <c r="AA192" s="8">
        <f t="shared" si="74"/>
        <v>0</v>
      </c>
      <c r="AB192" s="8">
        <f t="shared" si="75"/>
        <v>0</v>
      </c>
      <c r="AC192" s="8">
        <f t="shared" si="93"/>
        <v>-2.3049264338611226</v>
      </c>
      <c r="AD192" s="8">
        <f t="shared" si="76"/>
        <v>-194.3678560817892</v>
      </c>
      <c r="AF192" s="21">
        <f t="shared" si="77"/>
        <v>-28.127380898259869</v>
      </c>
      <c r="AG192" s="8">
        <f t="shared" si="78"/>
        <v>-132.12954079458663</v>
      </c>
      <c r="AI192" s="12">
        <f t="shared" si="79"/>
        <v>-19.823991293266296</v>
      </c>
      <c r="AJ192" s="8">
        <f t="shared" si="80"/>
        <v>-50.12141034521801</v>
      </c>
      <c r="AL192" s="12">
        <f t="shared" si="81"/>
        <v>21.214841734547264</v>
      </c>
      <c r="AM192" s="8">
        <f t="shared" si="82"/>
        <v>167.78450885937562</v>
      </c>
    </row>
    <row r="193" spans="1:39" x14ac:dyDescent="0.3">
      <c r="A193" s="20">
        <f t="shared" si="84"/>
        <v>500000</v>
      </c>
      <c r="B193" s="8">
        <f t="shared" si="57"/>
        <v>3141592.653589793</v>
      </c>
      <c r="C193" s="9">
        <f t="shared" si="58"/>
        <v>40.367367550689096</v>
      </c>
      <c r="D193" s="9">
        <f t="shared" si="59"/>
        <v>-110.20080053591666</v>
      </c>
      <c r="E193" s="9">
        <f t="shared" si="60"/>
        <v>103.91742703753158</v>
      </c>
      <c r="F193" s="9">
        <f t="shared" si="61"/>
        <v>43.606511152548336</v>
      </c>
      <c r="G193" s="9">
        <f t="shared" si="62"/>
        <v>38.864980213861458</v>
      </c>
      <c r="H193" s="9">
        <f t="shared" si="63"/>
        <v>1.8894223003186774</v>
      </c>
      <c r="I193" s="9">
        <f t="shared" si="64"/>
        <v>0</v>
      </c>
      <c r="J193" s="9">
        <f t="shared" si="65"/>
        <v>57.471989318777112</v>
      </c>
      <c r="K193" s="9">
        <f t="shared" si="66"/>
        <v>0</v>
      </c>
      <c r="L193" s="9">
        <f t="shared" si="67"/>
        <v>8.4317842875731408E-2</v>
      </c>
      <c r="M193" s="9">
        <f t="shared" si="68"/>
        <v>2.5987254430494766</v>
      </c>
      <c r="N193" s="9">
        <f t="shared" si="69"/>
        <v>8.2997775247463697</v>
      </c>
      <c r="O193" s="9">
        <f t="shared" si="85"/>
        <v>0.21905954117334911</v>
      </c>
      <c r="P193" s="9">
        <f t="shared" si="70"/>
        <v>0</v>
      </c>
      <c r="Q193" s="9">
        <f t="shared" si="71"/>
        <v>0</v>
      </c>
      <c r="R193" s="21">
        <f t="shared" si="72"/>
        <v>-28.475567472375932</v>
      </c>
      <c r="S193" s="8">
        <f t="shared" si="86"/>
        <v>2.3855314170852324</v>
      </c>
      <c r="T193" s="8">
        <f t="shared" si="87"/>
        <v>1.5594001182001711</v>
      </c>
      <c r="U193" s="8">
        <f t="shared" si="88"/>
        <v>0.63595431035089767</v>
      </c>
      <c r="V193" s="8">
        <f t="shared" si="89"/>
        <v>0</v>
      </c>
      <c r="W193" s="8">
        <f t="shared" si="90"/>
        <v>1.5694584976170649</v>
      </c>
      <c r="X193" s="8">
        <f t="shared" si="91"/>
        <v>0</v>
      </c>
      <c r="Y193" s="8">
        <f t="shared" si="92"/>
        <v>1.5383618602291478</v>
      </c>
      <c r="Z193" s="8">
        <f t="shared" si="73"/>
        <v>0.22364640427149121</v>
      </c>
      <c r="AA193" s="8">
        <f t="shared" si="74"/>
        <v>0</v>
      </c>
      <c r="AB193" s="8">
        <f t="shared" si="75"/>
        <v>0</v>
      </c>
      <c r="AC193" s="8">
        <f t="shared" si="93"/>
        <v>-2.3855314170852324</v>
      </c>
      <c r="AD193" s="8">
        <f t="shared" si="76"/>
        <v>-201.77532386097369</v>
      </c>
      <c r="AF193" s="21">
        <f t="shared" si="77"/>
        <v>-29.259743515138862</v>
      </c>
      <c r="AG193" s="8">
        <f t="shared" si="78"/>
        <v>-136.75020862272032</v>
      </c>
      <c r="AI193" s="12">
        <f t="shared" si="79"/>
        <v>-20.389755311148065</v>
      </c>
      <c r="AJ193" s="8">
        <f t="shared" si="80"/>
        <v>-51.730369101300958</v>
      </c>
      <c r="AL193" s="12">
        <f t="shared" si="81"/>
        <v>21.173931353910998</v>
      </c>
      <c r="AM193" s="8">
        <f t="shared" si="82"/>
        <v>166.60291048920087</v>
      </c>
    </row>
    <row r="194" spans="1:39" x14ac:dyDescent="0.3">
      <c r="A194" s="20">
        <f t="shared" si="84"/>
        <v>550000</v>
      </c>
      <c r="B194" s="8">
        <f t="shared" si="57"/>
        <v>3455751.9189487724</v>
      </c>
      <c r="C194" s="9">
        <f t="shared" si="58"/>
        <v>40.367367550689096</v>
      </c>
      <c r="D194" s="9">
        <f t="shared" si="59"/>
        <v>-133.55296864845914</v>
      </c>
      <c r="E194" s="9">
        <f t="shared" si="60"/>
        <v>107.30815469703549</v>
      </c>
      <c r="F194" s="9">
        <f t="shared" si="61"/>
        <v>44.676293462711655</v>
      </c>
      <c r="G194" s="9">
        <f t="shared" si="62"/>
        <v>39.692736030005669</v>
      </c>
      <c r="H194" s="9">
        <f t="shared" si="63"/>
        <v>2.1997965724955968</v>
      </c>
      <c r="I194" s="9">
        <f t="shared" si="64"/>
        <v>0</v>
      </c>
      <c r="J194" s="9">
        <f t="shared" si="65"/>
        <v>58.299841672918554</v>
      </c>
      <c r="K194" s="9">
        <f t="shared" si="66"/>
        <v>0</v>
      </c>
      <c r="L194" s="9">
        <f t="shared" si="67"/>
        <v>-0.10797541012036493</v>
      </c>
      <c r="M194" s="9">
        <f t="shared" si="68"/>
        <v>2.8585979873544245</v>
      </c>
      <c r="N194" s="9">
        <f t="shared" si="69"/>
        <v>9.1292534908797922</v>
      </c>
      <c r="O194" s="9">
        <f t="shared" si="85"/>
        <v>0.26369099623719316</v>
      </c>
      <c r="P194" s="9">
        <f t="shared" si="70"/>
        <v>0</v>
      </c>
      <c r="Q194" s="9">
        <f t="shared" si="71"/>
        <v>0</v>
      </c>
      <c r="R194" s="21">
        <f t="shared" si="72"/>
        <v>-30.109179469556835</v>
      </c>
      <c r="S194" s="8">
        <f t="shared" si="86"/>
        <v>2.4647287389135628</v>
      </c>
      <c r="T194" s="8">
        <f t="shared" si="87"/>
        <v>1.5604360593245972</v>
      </c>
      <c r="U194" s="8">
        <f t="shared" si="88"/>
        <v>0.68207659150030364</v>
      </c>
      <c r="V194" s="8">
        <f t="shared" si="89"/>
        <v>0</v>
      </c>
      <c r="W194" s="8">
        <f t="shared" si="90"/>
        <v>1.5695801183254854</v>
      </c>
      <c r="X194" s="8">
        <f t="shared" si="91"/>
        <v>0</v>
      </c>
      <c r="Y194" s="8">
        <f t="shared" si="92"/>
        <v>1.6085505348777533</v>
      </c>
      <c r="Z194" s="8">
        <f t="shared" si="73"/>
        <v>0.24516353828026058</v>
      </c>
      <c r="AA194" s="8">
        <f t="shared" si="74"/>
        <v>0</v>
      </c>
      <c r="AB194" s="8">
        <f t="shared" si="75"/>
        <v>0</v>
      </c>
      <c r="AC194" s="8">
        <f t="shared" si="93"/>
        <v>-2.4647287389135628</v>
      </c>
      <c r="AD194" s="8">
        <f t="shared" si="76"/>
        <v>-208.87235319104164</v>
      </c>
      <c r="AF194" s="21">
        <f t="shared" si="77"/>
        <v>-30.329525825302181</v>
      </c>
      <c r="AG194" s="8">
        <f t="shared" si="78"/>
        <v>-141.29018248549087</v>
      </c>
      <c r="AI194" s="12">
        <f t="shared" si="79"/>
        <v>-20.908857005104569</v>
      </c>
      <c r="AJ194" s="8">
        <f t="shared" si="80"/>
        <v>-53.109971276414313</v>
      </c>
      <c r="AL194" s="12">
        <f t="shared" si="81"/>
        <v>21.129203360849921</v>
      </c>
      <c r="AM194" s="8">
        <f t="shared" si="82"/>
        <v>165.42185748069846</v>
      </c>
    </row>
    <row r="195" spans="1:39" x14ac:dyDescent="0.3">
      <c r="A195" s="20">
        <f t="shared" si="84"/>
        <v>600000</v>
      </c>
      <c r="B195" s="8">
        <f t="shared" si="57"/>
        <v>3769911.1843077517</v>
      </c>
      <c r="C195" s="9">
        <f t="shared" si="58"/>
        <v>40.367367550689096</v>
      </c>
      <c r="D195" s="9">
        <f t="shared" si="59"/>
        <v>-159.12915277171999</v>
      </c>
      <c r="E195" s="9">
        <f t="shared" si="60"/>
        <v>108.69859234389673</v>
      </c>
      <c r="F195" s="9">
        <f t="shared" si="61"/>
        <v>45.698123284783911</v>
      </c>
      <c r="G195" s="9">
        <f t="shared" si="62"/>
        <v>40.44843279520974</v>
      </c>
      <c r="H195" s="9">
        <f t="shared" si="63"/>
        <v>2.5160669229619566</v>
      </c>
      <c r="I195" s="9">
        <f t="shared" si="64"/>
        <v>0</v>
      </c>
      <c r="J195" s="9">
        <f t="shared" si="65"/>
        <v>59.055611864663611</v>
      </c>
      <c r="K195" s="9">
        <f t="shared" si="66"/>
        <v>0</v>
      </c>
      <c r="L195" s="9">
        <f t="shared" si="67"/>
        <v>-0.31858230625894679</v>
      </c>
      <c r="M195" s="9">
        <f t="shared" si="68"/>
        <v>3.1184705316593724</v>
      </c>
      <c r="N195" s="9">
        <f t="shared" si="69"/>
        <v>9.9239236789622804</v>
      </c>
      <c r="O195" s="9">
        <f t="shared" si="85"/>
        <v>0.31205247895359106</v>
      </c>
      <c r="P195" s="9">
        <f t="shared" si="70"/>
        <v>0</v>
      </c>
      <c r="Q195" s="9">
        <f t="shared" si="71"/>
        <v>0</v>
      </c>
      <c r="R195" s="21">
        <f t="shared" si="72"/>
        <v>-31.657844038502606</v>
      </c>
      <c r="S195" s="8">
        <f t="shared" si="86"/>
        <v>2.5423100956593316</v>
      </c>
      <c r="T195" s="8">
        <f t="shared" si="87"/>
        <v>1.561299360676653</v>
      </c>
      <c r="U195" s="8">
        <f t="shared" si="88"/>
        <v>0.72498652518893225</v>
      </c>
      <c r="V195" s="8">
        <f t="shared" si="89"/>
        <v>0</v>
      </c>
      <c r="W195" s="8">
        <f t="shared" si="90"/>
        <v>1.5696814689434728</v>
      </c>
      <c r="X195" s="8">
        <f t="shared" si="91"/>
        <v>0</v>
      </c>
      <c r="Y195" s="8">
        <f t="shared" si="92"/>
        <v>1.6726029284778212</v>
      </c>
      <c r="Z195" s="8">
        <f t="shared" si="73"/>
        <v>0.26645149936779799</v>
      </c>
      <c r="AA195" s="8">
        <f t="shared" si="74"/>
        <v>0</v>
      </c>
      <c r="AB195" s="8">
        <f t="shared" si="75"/>
        <v>0</v>
      </c>
      <c r="AC195" s="8">
        <f t="shared" si="93"/>
        <v>-2.5423100956593316</v>
      </c>
      <c r="AD195" s="8">
        <f t="shared" si="76"/>
        <v>-215.70486498641861</v>
      </c>
      <c r="AF195" s="21">
        <f t="shared" si="77"/>
        <v>-31.351355647374437</v>
      </c>
      <c r="AG195" s="8">
        <f t="shared" si="78"/>
        <v>-145.73752140722283</v>
      </c>
      <c r="AI195" s="12">
        <f t="shared" si="79"/>
        <v>-21.387256842720699</v>
      </c>
      <c r="AJ195" s="8">
        <f t="shared" si="80"/>
        <v>-54.321959424203826</v>
      </c>
      <c r="AL195" s="12">
        <f t="shared" si="81"/>
        <v>21.080768451592537</v>
      </c>
      <c r="AM195" s="8">
        <f t="shared" si="82"/>
        <v>164.24520720565886</v>
      </c>
    </row>
    <row r="196" spans="1:39" x14ac:dyDescent="0.3">
      <c r="A196" s="20">
        <f t="shared" si="84"/>
        <v>650000</v>
      </c>
      <c r="B196" s="8">
        <f t="shared" si="57"/>
        <v>4084070.4496667311</v>
      </c>
      <c r="C196" s="9">
        <f t="shared" si="58"/>
        <v>40.367367550689096</v>
      </c>
      <c r="D196" s="9">
        <f t="shared" si="59"/>
        <v>-186.92935290569918</v>
      </c>
      <c r="E196" s="9">
        <f t="shared" si="60"/>
        <v>107.9068954315115</v>
      </c>
      <c r="F196" s="9">
        <f t="shared" si="61"/>
        <v>46.682599069668385</v>
      </c>
      <c r="G196" s="9">
        <f t="shared" si="62"/>
        <v>41.143616977893501</v>
      </c>
      <c r="H196" s="9">
        <f t="shared" si="63"/>
        <v>2.8355735211012605</v>
      </c>
      <c r="I196" s="9">
        <f t="shared" si="64"/>
        <v>0</v>
      </c>
      <c r="J196" s="9">
        <f t="shared" si="65"/>
        <v>59.750853191345001</v>
      </c>
      <c r="K196" s="9">
        <f t="shared" si="66"/>
        <v>0</v>
      </c>
      <c r="L196" s="9">
        <f t="shared" si="67"/>
        <v>-0.54750284554001394</v>
      </c>
      <c r="M196" s="9">
        <f t="shared" si="68"/>
        <v>3.3783430759643198</v>
      </c>
      <c r="N196" s="9">
        <f t="shared" si="69"/>
        <v>10.686667085429873</v>
      </c>
      <c r="O196" s="9">
        <f t="shared" si="85"/>
        <v>0.36401559704450848</v>
      </c>
      <c r="P196" s="9">
        <f t="shared" si="70"/>
        <v>0</v>
      </c>
      <c r="Q196" s="9">
        <f t="shared" si="71"/>
        <v>0</v>
      </c>
      <c r="R196" s="21">
        <f t="shared" si="72"/>
        <v>-33.13757689380391</v>
      </c>
      <c r="S196" s="8">
        <f t="shared" si="86"/>
        <v>2.6180613531213126</v>
      </c>
      <c r="T196" s="8">
        <f t="shared" si="87"/>
        <v>1.5620298575448635</v>
      </c>
      <c r="U196" s="8">
        <f t="shared" si="88"/>
        <v>0.76486612895439798</v>
      </c>
      <c r="V196" s="8">
        <f t="shared" si="89"/>
        <v>0</v>
      </c>
      <c r="W196" s="8">
        <f t="shared" si="90"/>
        <v>1.5697672271766654</v>
      </c>
      <c r="X196" s="8">
        <f t="shared" si="91"/>
        <v>0</v>
      </c>
      <c r="Y196" s="8">
        <f t="shared" si="92"/>
        <v>1.731461992190521</v>
      </c>
      <c r="Z196" s="8">
        <f t="shared" si="73"/>
        <v>0.28749495644591683</v>
      </c>
      <c r="AA196" s="8">
        <f t="shared" si="74"/>
        <v>0</v>
      </c>
      <c r="AB196" s="8">
        <f t="shared" si="75"/>
        <v>0</v>
      </c>
      <c r="AC196" s="8">
        <f t="shared" si="93"/>
        <v>-2.6180613531213126</v>
      </c>
      <c r="AD196" s="8">
        <f t="shared" si="76"/>
        <v>-222.30129575847846</v>
      </c>
      <c r="AF196" s="21">
        <f t="shared" si="77"/>
        <v>-32.335831432258914</v>
      </c>
      <c r="AG196" s="8">
        <f t="shared" si="78"/>
        <v>-150.07995017892873</v>
      </c>
      <c r="AI196" s="12">
        <f t="shared" si="79"/>
        <v>-21.83049365104899</v>
      </c>
      <c r="AJ196" s="8">
        <f t="shared" si="80"/>
        <v>-55.409953943472019</v>
      </c>
      <c r="AL196" s="12">
        <f t="shared" si="81"/>
        <v>21.02874818950399</v>
      </c>
      <c r="AM196" s="8">
        <f t="shared" si="82"/>
        <v>163.07585391911167</v>
      </c>
    </row>
    <row r="197" spans="1:39" x14ac:dyDescent="0.3">
      <c r="A197" s="20">
        <f t="shared" si="84"/>
        <v>700000</v>
      </c>
      <c r="B197" s="8">
        <f t="shared" si="57"/>
        <v>4398229.7150257099</v>
      </c>
      <c r="C197" s="9">
        <f t="shared" si="58"/>
        <v>40.367367550689096</v>
      </c>
      <c r="D197" s="9">
        <f t="shared" si="59"/>
        <v>-216.95356905039662</v>
      </c>
      <c r="E197" s="9">
        <f t="shared" si="60"/>
        <v>104.75121941327588</v>
      </c>
      <c r="F197" s="9">
        <f t="shared" si="61"/>
        <v>47.637398928618644</v>
      </c>
      <c r="G197" s="9">
        <f t="shared" si="62"/>
        <v>41.787264669171094</v>
      </c>
      <c r="H197" s="9">
        <f t="shared" si="63"/>
        <v>3.156126605453407</v>
      </c>
      <c r="I197" s="9">
        <f t="shared" si="64"/>
        <v>0</v>
      </c>
      <c r="J197" s="9">
        <f t="shared" si="65"/>
        <v>60.394546225185351</v>
      </c>
      <c r="K197" s="9">
        <f t="shared" si="66"/>
        <v>0</v>
      </c>
      <c r="L197" s="9">
        <f t="shared" si="67"/>
        <v>-0.79473702796356593</v>
      </c>
      <c r="M197" s="9">
        <f t="shared" si="68"/>
        <v>3.6382156202692673</v>
      </c>
      <c r="N197" s="9">
        <f t="shared" si="69"/>
        <v>11.420207176055383</v>
      </c>
      <c r="O197" s="9">
        <f t="shared" si="85"/>
        <v>0.4194461128510989</v>
      </c>
      <c r="P197" s="9">
        <f t="shared" si="70"/>
        <v>0</v>
      </c>
      <c r="Q197" s="9">
        <f t="shared" si="71"/>
        <v>0</v>
      </c>
      <c r="R197" s="21">
        <f t="shared" si="72"/>
        <v>-34.56083961739688</v>
      </c>
      <c r="S197" s="8">
        <f t="shared" si="86"/>
        <v>2.6917769195214758</v>
      </c>
      <c r="T197" s="8">
        <f t="shared" si="87"/>
        <v>1.5626560051940761</v>
      </c>
      <c r="U197" s="8">
        <f t="shared" si="88"/>
        <v>0.80191133946482573</v>
      </c>
      <c r="V197" s="8">
        <f t="shared" si="89"/>
        <v>0</v>
      </c>
      <c r="W197" s="8">
        <f t="shared" si="90"/>
        <v>1.5698407342457832</v>
      </c>
      <c r="X197" s="8">
        <f t="shared" si="91"/>
        <v>0</v>
      </c>
      <c r="Y197" s="8">
        <f t="shared" si="92"/>
        <v>1.7858595301682707</v>
      </c>
      <c r="Z197" s="8">
        <f t="shared" si="73"/>
        <v>0.30827979348067258</v>
      </c>
      <c r="AA197" s="8">
        <f t="shared" si="74"/>
        <v>0</v>
      </c>
      <c r="AB197" s="8">
        <f t="shared" si="75"/>
        <v>0</v>
      </c>
      <c r="AC197" s="8">
        <f t="shared" si="93"/>
        <v>-2.6917769195214758</v>
      </c>
      <c r="AD197" s="8">
        <f t="shared" si="76"/>
        <v>-228.67832119336231</v>
      </c>
      <c r="AF197" s="21">
        <f t="shared" si="77"/>
        <v>-33.290631291209166</v>
      </c>
      <c r="AG197" s="8">
        <f t="shared" si="78"/>
        <v>-154.30568328467058</v>
      </c>
      <c r="AI197" s="12">
        <f t="shared" si="79"/>
        <v>-22.243480657322351</v>
      </c>
      <c r="AJ197" s="8">
        <f t="shared" si="80"/>
        <v>-56.404673352426776</v>
      </c>
      <c r="AL197" s="12">
        <f t="shared" si="81"/>
        <v>20.973272331134645</v>
      </c>
      <c r="AM197" s="8">
        <f t="shared" si="82"/>
        <v>161.91604647903557</v>
      </c>
    </row>
    <row r="198" spans="1:39" x14ac:dyDescent="0.3">
      <c r="A198" s="20">
        <f t="shared" si="84"/>
        <v>750000</v>
      </c>
      <c r="B198" s="8">
        <f t="shared" si="57"/>
        <v>4712388.9803846898</v>
      </c>
      <c r="C198" s="9">
        <f t="shared" si="58"/>
        <v>40.367367550689096</v>
      </c>
      <c r="D198" s="9">
        <f t="shared" si="59"/>
        <v>-249.2018012058125</v>
      </c>
      <c r="E198" s="9">
        <f t="shared" si="60"/>
        <v>99.049719742585964</v>
      </c>
      <c r="F198" s="9">
        <f t="shared" si="61"/>
        <v>48.568036907444622</v>
      </c>
      <c r="G198" s="9">
        <f t="shared" si="62"/>
        <v>42.386492045153176</v>
      </c>
      <c r="H198" s="9">
        <f t="shared" si="63"/>
        <v>3.4759539683963276</v>
      </c>
      <c r="I198" s="9">
        <f t="shared" si="64"/>
        <v>0</v>
      </c>
      <c r="J198" s="9">
        <f t="shared" si="65"/>
        <v>60.993810181587953</v>
      </c>
      <c r="K198" s="9">
        <f t="shared" si="66"/>
        <v>0</v>
      </c>
      <c r="L198" s="9">
        <f t="shared" si="67"/>
        <v>-1.0602848535296041</v>
      </c>
      <c r="M198" s="9">
        <f t="shared" si="68"/>
        <v>3.8980881645742151</v>
      </c>
      <c r="N198" s="9">
        <f t="shared" si="69"/>
        <v>12.127014013639903</v>
      </c>
      <c r="O198" s="9">
        <f t="shared" si="85"/>
        <v>0.47820496733163631</v>
      </c>
      <c r="P198" s="9">
        <f t="shared" si="70"/>
        <v>0</v>
      </c>
      <c r="Q198" s="9">
        <f t="shared" si="71"/>
        <v>0</v>
      </c>
      <c r="R198" s="21">
        <f t="shared" si="72"/>
        <v>-35.937252505765514</v>
      </c>
      <c r="S198" s="8">
        <f t="shared" si="86"/>
        <v>2.7632710145341846</v>
      </c>
      <c r="T198" s="8">
        <f t="shared" si="87"/>
        <v>1.5631986716710145</v>
      </c>
      <c r="U198" s="8">
        <f t="shared" si="88"/>
        <v>0.83632250792744689</v>
      </c>
      <c r="V198" s="8">
        <f t="shared" si="89"/>
        <v>0</v>
      </c>
      <c r="W198" s="8">
        <f t="shared" si="90"/>
        <v>1.5699044403807336</v>
      </c>
      <c r="X198" s="8">
        <f t="shared" si="91"/>
        <v>0</v>
      </c>
      <c r="Y198" s="8">
        <f t="shared" si="92"/>
        <v>1.8363724919062763</v>
      </c>
      <c r="Z198" s="8">
        <f t="shared" si="73"/>
        <v>0.32879313184079545</v>
      </c>
      <c r="AA198" s="8">
        <f t="shared" si="74"/>
        <v>0</v>
      </c>
      <c r="AB198" s="8">
        <f t="shared" si="75"/>
        <v>0</v>
      </c>
      <c r="AC198" s="8">
        <f t="shared" si="93"/>
        <v>-2.7632710145341846</v>
      </c>
      <c r="AD198" s="8">
        <f t="shared" si="76"/>
        <v>-234.84508120057825</v>
      </c>
      <c r="AF198" s="21">
        <f t="shared" si="77"/>
        <v>-34.221269270035151</v>
      </c>
      <c r="AG198" s="8">
        <f t="shared" si="78"/>
        <v>-158.40407089686408</v>
      </c>
      <c r="AI198" s="12">
        <f t="shared" si="79"/>
        <v>-22.630460131963947</v>
      </c>
      <c r="AJ198" s="8">
        <f t="shared" si="80"/>
        <v>-57.327706087958369</v>
      </c>
      <c r="AL198" s="12">
        <f t="shared" si="81"/>
        <v>20.914476896233587</v>
      </c>
      <c r="AM198" s="8">
        <f t="shared" si="82"/>
        <v>160.76757894933357</v>
      </c>
    </row>
    <row r="199" spans="1:39" x14ac:dyDescent="0.3">
      <c r="A199" s="20">
        <f t="shared" si="84"/>
        <v>800000</v>
      </c>
      <c r="B199" s="8">
        <f t="shared" si="57"/>
        <v>5026548.2457436686</v>
      </c>
      <c r="C199" s="9">
        <f t="shared" si="58"/>
        <v>40.367367550689096</v>
      </c>
      <c r="D199" s="9">
        <f t="shared" si="59"/>
        <v>-283.67404937194664</v>
      </c>
      <c r="E199" s="9">
        <f t="shared" si="60"/>
        <v>90.620551872837893</v>
      </c>
      <c r="F199" s="9">
        <f t="shared" si="61"/>
        <v>49.478406244877327</v>
      </c>
      <c r="G199" s="9">
        <f t="shared" si="62"/>
        <v>42.947036160192823</v>
      </c>
      <c r="H199" s="9">
        <f t="shared" si="63"/>
        <v>3.7936448201814805</v>
      </c>
      <c r="I199" s="9">
        <f t="shared" si="64"/>
        <v>0</v>
      </c>
      <c r="J199" s="9">
        <f t="shared" si="65"/>
        <v>61.554384235257011</v>
      </c>
      <c r="K199" s="9">
        <f t="shared" si="66"/>
        <v>0</v>
      </c>
      <c r="L199" s="9">
        <f t="shared" si="67"/>
        <v>-1.3441463222381276</v>
      </c>
      <c r="M199" s="9">
        <f t="shared" si="68"/>
        <v>4.1579607088791626</v>
      </c>
      <c r="N199" s="9">
        <f t="shared" si="69"/>
        <v>12.809280003593987</v>
      </c>
      <c r="O199" s="9">
        <f t="shared" si="85"/>
        <v>0.54014928719592847</v>
      </c>
      <c r="P199" s="9">
        <f t="shared" si="70"/>
        <v>0</v>
      </c>
      <c r="Q199" s="9">
        <f t="shared" si="71"/>
        <v>0</v>
      </c>
      <c r="R199" s="21">
        <f t="shared" si="72"/>
        <v>-37.274171239860863</v>
      </c>
      <c r="S199" s="8">
        <f t="shared" si="86"/>
        <v>2.8323858954754608</v>
      </c>
      <c r="T199" s="8">
        <f t="shared" si="87"/>
        <v>1.5636735085201097</v>
      </c>
      <c r="U199" s="8">
        <f t="shared" si="88"/>
        <v>0.86829759989712341</v>
      </c>
      <c r="V199" s="8">
        <f t="shared" si="89"/>
        <v>0</v>
      </c>
      <c r="W199" s="8">
        <f t="shared" si="90"/>
        <v>1.5699601832547716</v>
      </c>
      <c r="X199" s="8">
        <f t="shared" si="91"/>
        <v>0</v>
      </c>
      <c r="Y199" s="8">
        <f t="shared" si="92"/>
        <v>1.8834632199281065</v>
      </c>
      <c r="Z199" s="8">
        <f t="shared" si="73"/>
        <v>0.34902333992612167</v>
      </c>
      <c r="AA199" s="8">
        <f t="shared" si="74"/>
        <v>0</v>
      </c>
      <c r="AB199" s="8">
        <f t="shared" si="75"/>
        <v>0</v>
      </c>
      <c r="AC199" s="8">
        <f t="shared" si="93"/>
        <v>-2.8323858954754608</v>
      </c>
      <c r="AD199" s="8">
        <f t="shared" si="76"/>
        <v>-240.80622755647727</v>
      </c>
      <c r="AF199" s="21">
        <f t="shared" si="77"/>
        <v>-35.131638607467849</v>
      </c>
      <c r="AG199" s="8">
        <f t="shared" si="78"/>
        <v>-162.36607044126845</v>
      </c>
      <c r="AI199" s="12">
        <f t="shared" si="79"/>
        <v>-22.995035270132881</v>
      </c>
      <c r="AJ199" s="8">
        <f t="shared" si="80"/>
        <v>-58.194207517699667</v>
      </c>
      <c r="AL199" s="12">
        <f t="shared" si="81"/>
        <v>20.852502637739885</v>
      </c>
      <c r="AM199" s="8">
        <f t="shared" si="82"/>
        <v>159.63190998759839</v>
      </c>
    </row>
    <row r="200" spans="1:39" x14ac:dyDescent="0.3">
      <c r="A200" s="20">
        <f t="shared" si="84"/>
        <v>850000</v>
      </c>
      <c r="B200" s="8">
        <f t="shared" si="57"/>
        <v>5340707.5111026485</v>
      </c>
      <c r="C200" s="9">
        <f t="shared" si="58"/>
        <v>40.367367550689096</v>
      </c>
      <c r="D200" s="9">
        <f t="shared" si="59"/>
        <v>-320.37031354879917</v>
      </c>
      <c r="E200" s="9">
        <f t="shared" si="60"/>
        <v>79.281871257427809</v>
      </c>
      <c r="F200" s="9">
        <f t="shared" si="61"/>
        <v>50.37118609164488</v>
      </c>
      <c r="G200" s="9">
        <f t="shared" si="62"/>
        <v>43.473589775368957</v>
      </c>
      <c r="H200" s="9">
        <f t="shared" si="63"/>
        <v>4.1080950149215116</v>
      </c>
      <c r="I200" s="9">
        <f t="shared" si="64"/>
        <v>0</v>
      </c>
      <c r="J200" s="9">
        <f t="shared" si="65"/>
        <v>62.080962662997479</v>
      </c>
      <c r="K200" s="9">
        <f t="shared" si="66"/>
        <v>0</v>
      </c>
      <c r="L200" s="9">
        <f t="shared" si="67"/>
        <v>-1.6463214340891366</v>
      </c>
      <c r="M200" s="9">
        <f t="shared" si="68"/>
        <v>4.4178332531841109</v>
      </c>
      <c r="N200" s="9">
        <f t="shared" si="69"/>
        <v>13.468930596209137</v>
      </c>
      <c r="O200" s="9">
        <f t="shared" si="85"/>
        <v>0.60513336271831752</v>
      </c>
      <c r="P200" s="9">
        <f t="shared" si="70"/>
        <v>0</v>
      </c>
      <c r="Q200" s="9">
        <f t="shared" si="71"/>
        <v>0</v>
      </c>
      <c r="R200" s="21">
        <f t="shared" si="72"/>
        <v>-38.577160372590257</v>
      </c>
      <c r="S200" s="8">
        <f t="shared" si="86"/>
        <v>2.8989970814797434</v>
      </c>
      <c r="T200" s="8">
        <f t="shared" si="87"/>
        <v>1.564092484884898</v>
      </c>
      <c r="U200" s="8">
        <f t="shared" si="88"/>
        <v>0.89802758707462405</v>
      </c>
      <c r="V200" s="8">
        <f t="shared" si="89"/>
        <v>0</v>
      </c>
      <c r="W200" s="8">
        <f t="shared" si="90"/>
        <v>1.570009368147955</v>
      </c>
      <c r="X200" s="8">
        <f t="shared" si="91"/>
        <v>0</v>
      </c>
      <c r="Y200" s="8">
        <f t="shared" si="92"/>
        <v>1.9275082876982808</v>
      </c>
      <c r="Z200" s="8">
        <f t="shared" si="73"/>
        <v>0.36896003087891033</v>
      </c>
      <c r="AA200" s="8">
        <f t="shared" si="74"/>
        <v>0</v>
      </c>
      <c r="AB200" s="8">
        <f t="shared" si="75"/>
        <v>0</v>
      </c>
      <c r="AC200" s="8">
        <f t="shared" si="93"/>
        <v>-2.8989970814797434</v>
      </c>
      <c r="AD200" s="8">
        <f t="shared" si="76"/>
        <v>-246.56406184266194</v>
      </c>
      <c r="AF200" s="21">
        <f t="shared" si="77"/>
        <v>-36.024418454235402</v>
      </c>
      <c r="AG200" s="8">
        <f t="shared" si="78"/>
        <v>-166.18454607208719</v>
      </c>
      <c r="AI200" s="12">
        <f t="shared" si="79"/>
        <v>-23.340235668007999</v>
      </c>
      <c r="AJ200" s="8">
        <f t="shared" si="80"/>
        <v>-59.01481723320326</v>
      </c>
      <c r="AL200" s="12">
        <f t="shared" si="81"/>
        <v>20.787493749653162</v>
      </c>
      <c r="AM200" s="8">
        <f t="shared" si="82"/>
        <v>158.51024059058787</v>
      </c>
    </row>
    <row r="201" spans="1:39" x14ac:dyDescent="0.3">
      <c r="A201" s="20">
        <f t="shared" si="84"/>
        <v>900000</v>
      </c>
      <c r="B201" s="8">
        <f t="shared" si="57"/>
        <v>5654866.7764616273</v>
      </c>
      <c r="C201" s="9">
        <f t="shared" si="58"/>
        <v>40.367367550689096</v>
      </c>
      <c r="D201" s="9">
        <f t="shared" si="59"/>
        <v>-359.29059373637</v>
      </c>
      <c r="E201" s="9">
        <f t="shared" si="60"/>
        <v>64.851833349751843</v>
      </c>
      <c r="F201" s="9">
        <f t="shared" si="61"/>
        <v>51.248154588572774</v>
      </c>
      <c r="G201" s="9">
        <f t="shared" si="62"/>
        <v>43.970040366043662</v>
      </c>
      <c r="H201" s="9">
        <f t="shared" si="63"/>
        <v>4.4184565123985582</v>
      </c>
      <c r="I201" s="9">
        <f t="shared" si="64"/>
        <v>0</v>
      </c>
      <c r="J201" s="9">
        <f t="shared" si="65"/>
        <v>62.577434046954671</v>
      </c>
      <c r="K201" s="9">
        <f t="shared" si="66"/>
        <v>0</v>
      </c>
      <c r="L201" s="9">
        <f t="shared" si="67"/>
        <v>-1.9668101890826297</v>
      </c>
      <c r="M201" s="9">
        <f t="shared" si="68"/>
        <v>4.6777057974890583</v>
      </c>
      <c r="N201" s="9">
        <f t="shared" si="69"/>
        <v>14.107649860620485</v>
      </c>
      <c r="O201" s="9">
        <f t="shared" si="85"/>
        <v>0.67300958541082778</v>
      </c>
      <c r="P201" s="9">
        <f t="shared" si="70"/>
        <v>0</v>
      </c>
      <c r="Q201" s="9">
        <f t="shared" si="71"/>
        <v>0</v>
      </c>
      <c r="R201" s="21">
        <f t="shared" si="72"/>
        <v>-39.850383652427439</v>
      </c>
      <c r="S201" s="8">
        <f t="shared" si="86"/>
        <v>2.9630157694767956</v>
      </c>
      <c r="T201" s="8">
        <f t="shared" si="87"/>
        <v>1.5644649103007418</v>
      </c>
      <c r="U201" s="8">
        <f t="shared" si="88"/>
        <v>0.92569353542719701</v>
      </c>
      <c r="V201" s="8">
        <f t="shared" si="89"/>
        <v>0</v>
      </c>
      <c r="W201" s="8">
        <f t="shared" si="90"/>
        <v>1.5700530880562109</v>
      </c>
      <c r="X201" s="8">
        <f t="shared" si="91"/>
        <v>0</v>
      </c>
      <c r="Y201" s="8">
        <f t="shared" si="92"/>
        <v>1.9688192758776892</v>
      </c>
      <c r="Z201" s="8">
        <f t="shared" si="73"/>
        <v>0.38859404933413039</v>
      </c>
      <c r="AA201" s="8">
        <f t="shared" si="74"/>
        <v>0</v>
      </c>
      <c r="AB201" s="8">
        <f t="shared" si="75"/>
        <v>0</v>
      </c>
      <c r="AC201" s="8">
        <f t="shared" si="93"/>
        <v>-2.9630157694767956</v>
      </c>
      <c r="AD201" s="8">
        <f t="shared" si="76"/>
        <v>-252.119978622302</v>
      </c>
      <c r="AF201" s="21">
        <f t="shared" si="77"/>
        <v>-36.901386951163303</v>
      </c>
      <c r="AG201" s="8">
        <f t="shared" si="78"/>
        <v>-169.85440716745961</v>
      </c>
      <c r="AI201" s="12">
        <f t="shared" si="79"/>
        <v>-23.668593434942302</v>
      </c>
      <c r="AJ201" s="8">
        <f t="shared" si="80"/>
        <v>-59.797016968499562</v>
      </c>
      <c r="AL201" s="12">
        <f t="shared" si="81"/>
        <v>20.719596733678163</v>
      </c>
      <c r="AM201" s="8">
        <f t="shared" si="82"/>
        <v>157.40356659995928</v>
      </c>
    </row>
    <row r="202" spans="1:39" x14ac:dyDescent="0.3">
      <c r="A202" s="20">
        <f t="shared" si="84"/>
        <v>950000</v>
      </c>
      <c r="B202" s="8">
        <f t="shared" si="57"/>
        <v>5969026.0418206071</v>
      </c>
      <c r="C202" s="9">
        <f t="shared" si="58"/>
        <v>40.367367550689096</v>
      </c>
      <c r="D202" s="9">
        <f t="shared" si="59"/>
        <v>-400.43488993465917</v>
      </c>
      <c r="E202" s="9">
        <f t="shared" si="60"/>
        <v>47.148593603206081</v>
      </c>
      <c r="F202" s="9">
        <f t="shared" si="61"/>
        <v>52.110433201348911</v>
      </c>
      <c r="G202" s="9">
        <f t="shared" si="62"/>
        <v>44.439644439713106</v>
      </c>
      <c r="H202" s="9">
        <f t="shared" si="63"/>
        <v>4.7240924639895434</v>
      </c>
      <c r="I202" s="9">
        <f t="shared" si="64"/>
        <v>0</v>
      </c>
      <c r="J202" s="9">
        <f t="shared" si="65"/>
        <v>63.047055718058196</v>
      </c>
      <c r="K202" s="9">
        <f t="shared" si="66"/>
        <v>0</v>
      </c>
      <c r="L202" s="9">
        <f t="shared" si="67"/>
        <v>-2.3056125872186102</v>
      </c>
      <c r="M202" s="9">
        <f t="shared" si="68"/>
        <v>4.9375783417940058</v>
      </c>
      <c r="N202" s="9">
        <f t="shared" si="69"/>
        <v>14.726910704091068</v>
      </c>
      <c r="O202" s="9">
        <f t="shared" si="85"/>
        <v>0.74362933647643581</v>
      </c>
      <c r="P202" s="9">
        <f t="shared" si="70"/>
        <v>0</v>
      </c>
      <c r="Q202" s="9">
        <f t="shared" si="71"/>
        <v>0</v>
      </c>
      <c r="R202" s="21">
        <f t="shared" si="72"/>
        <v>-41.096924505582869</v>
      </c>
      <c r="S202" s="8">
        <f t="shared" si="86"/>
        <v>3.0243888147267279</v>
      </c>
      <c r="T202" s="8">
        <f t="shared" si="87"/>
        <v>1.5647981345330892</v>
      </c>
      <c r="U202" s="8">
        <f t="shared" si="88"/>
        <v>0.95146495616363724</v>
      </c>
      <c r="V202" s="8">
        <f t="shared" si="89"/>
        <v>0</v>
      </c>
      <c r="W202" s="8">
        <f t="shared" si="90"/>
        <v>1.5700922058712741</v>
      </c>
      <c r="X202" s="8">
        <f t="shared" si="91"/>
        <v>0</v>
      </c>
      <c r="Y202" s="8">
        <f t="shared" si="92"/>
        <v>2.007657851584657</v>
      </c>
      <c r="Z202" s="8">
        <f t="shared" si="73"/>
        <v>0.40791744827888249</v>
      </c>
      <c r="AA202" s="8">
        <f t="shared" si="74"/>
        <v>0</v>
      </c>
      <c r="AB202" s="8">
        <f t="shared" si="75"/>
        <v>0</v>
      </c>
      <c r="AC202" s="8">
        <f t="shared" si="93"/>
        <v>-3.0243888147267279</v>
      </c>
      <c r="AD202" s="8">
        <f t="shared" si="76"/>
        <v>-257.47538606998694</v>
      </c>
      <c r="AF202" s="21">
        <f t="shared" si="77"/>
        <v>-37.763665563939441</v>
      </c>
      <c r="AG202" s="8">
        <f t="shared" si="78"/>
        <v>-173.37260721363407</v>
      </c>
      <c r="AI202" s="12">
        <f t="shared" si="79"/>
        <v>-23.982218326821901</v>
      </c>
      <c r="AJ202" s="8">
        <f t="shared" si="80"/>
        <v>-60.546089546427879</v>
      </c>
      <c r="AL202" s="12">
        <f t="shared" si="81"/>
        <v>20.648959385178475</v>
      </c>
      <c r="AM202" s="8">
        <f t="shared" si="82"/>
        <v>156.31271543596429</v>
      </c>
    </row>
    <row r="203" spans="1:39" x14ac:dyDescent="0.3">
      <c r="A203" s="20">
        <f t="shared" si="84"/>
        <v>1000000</v>
      </c>
      <c r="B203" s="8">
        <f t="shared" si="57"/>
        <v>6283185.307179586</v>
      </c>
      <c r="C203" s="9">
        <f t="shared" si="58"/>
        <v>40.367367550689096</v>
      </c>
      <c r="D203" s="9">
        <f t="shared" si="59"/>
        <v>-443.80320214366662</v>
      </c>
      <c r="E203" s="9">
        <f t="shared" si="60"/>
        <v>25.990307471186725</v>
      </c>
      <c r="F203" s="9">
        <f t="shared" si="61"/>
        <v>52.958677658243431</v>
      </c>
      <c r="G203" s="9">
        <f t="shared" si="62"/>
        <v>44.885157099539995</v>
      </c>
      <c r="H203" s="9">
        <f t="shared" si="63"/>
        <v>5.0245383403680997</v>
      </c>
      <c r="I203" s="9">
        <f t="shared" si="64"/>
        <v>0</v>
      </c>
      <c r="J203" s="9">
        <f t="shared" si="65"/>
        <v>63.492583402346966</v>
      </c>
      <c r="K203" s="9">
        <f t="shared" si="66"/>
        <v>0</v>
      </c>
      <c r="L203" s="9">
        <f t="shared" si="67"/>
        <v>-2.6627286284970744</v>
      </c>
      <c r="M203" s="9">
        <f t="shared" si="68"/>
        <v>5.1974508860989532</v>
      </c>
      <c r="N203" s="9">
        <f t="shared" si="69"/>
        <v>15.328004736887648</v>
      </c>
      <c r="O203" s="9">
        <f t="shared" si="85"/>
        <v>0.816843818734455</v>
      </c>
      <c r="P203" s="9">
        <f t="shared" si="70"/>
        <v>0</v>
      </c>
      <c r="Q203" s="9">
        <f t="shared" si="71"/>
        <v>0</v>
      </c>
      <c r="R203" s="21">
        <f t="shared" si="72"/>
        <v>-42.319046625615314</v>
      </c>
      <c r="S203" s="8">
        <f t="shared" si="86"/>
        <v>3.0830967790232351</v>
      </c>
      <c r="T203" s="8">
        <f t="shared" si="87"/>
        <v>1.5650980374832395</v>
      </c>
      <c r="U203" s="8">
        <f t="shared" si="88"/>
        <v>0.97549906405395614</v>
      </c>
      <c r="V203" s="8">
        <f t="shared" si="89"/>
        <v>0</v>
      </c>
      <c r="W203" s="8">
        <f t="shared" si="90"/>
        <v>1.570127411906677</v>
      </c>
      <c r="X203" s="8">
        <f t="shared" si="91"/>
        <v>0</v>
      </c>
      <c r="Y203" s="8">
        <f t="shared" si="92"/>
        <v>2.0442468071152824</v>
      </c>
      <c r="Z203" s="8">
        <f t="shared" si="73"/>
        <v>0.42692345716706931</v>
      </c>
      <c r="AA203" s="8">
        <f t="shared" si="74"/>
        <v>0</v>
      </c>
      <c r="AB203" s="8">
        <f t="shared" si="75"/>
        <v>0</v>
      </c>
      <c r="AC203" s="8">
        <f t="shared" si="93"/>
        <v>-3.0830967790232351</v>
      </c>
      <c r="AD203" s="8">
        <f t="shared" si="76"/>
        <v>-262.63224250881694</v>
      </c>
      <c r="AF203" s="21">
        <f t="shared" si="77"/>
        <v>-38.61191002083396</v>
      </c>
      <c r="AG203" s="8">
        <f t="shared" si="78"/>
        <v>-176.7380319185294</v>
      </c>
      <c r="AI203" s="12">
        <f t="shared" si="79"/>
        <v>-24.282866483239925</v>
      </c>
      <c r="AJ203" s="8">
        <f t="shared" si="80"/>
        <v>-61.265794188228895</v>
      </c>
      <c r="AL203" s="12">
        <f t="shared" si="81"/>
        <v>20.575729878458574</v>
      </c>
      <c r="AM203" s="8">
        <f t="shared" si="82"/>
        <v>155.23837271137222</v>
      </c>
    </row>
    <row r="204" spans="1:39" x14ac:dyDescent="0.3">
      <c r="A204" s="20">
        <f>A203+500000</f>
        <v>1500000</v>
      </c>
      <c r="B204" s="8">
        <f t="shared" si="57"/>
        <v>9424777.9607693795</v>
      </c>
      <c r="C204" s="9">
        <f t="shared" si="58"/>
        <v>40.367367550689096</v>
      </c>
      <c r="D204" s="9">
        <f t="shared" si="59"/>
        <v>-999.80720482325</v>
      </c>
      <c r="E204" s="9">
        <f t="shared" si="60"/>
        <v>-415.62590530291118</v>
      </c>
      <c r="F204" s="9">
        <f t="shared" si="61"/>
        <v>60.690607477307836</v>
      </c>
      <c r="G204" s="9">
        <f t="shared" si="62"/>
        <v>48.406903937686927</v>
      </c>
      <c r="H204" s="9">
        <f t="shared" si="63"/>
        <v>7.7125227075569489</v>
      </c>
      <c r="I204" s="9">
        <f t="shared" si="64"/>
        <v>0</v>
      </c>
      <c r="J204" s="9">
        <f t="shared" si="65"/>
        <v>67.014407503883845</v>
      </c>
      <c r="K204" s="9">
        <f t="shared" si="66"/>
        <v>0</v>
      </c>
      <c r="L204" s="9">
        <f t="shared" si="67"/>
        <v>-7.2411394141184164</v>
      </c>
      <c r="M204" s="9">
        <f t="shared" si="68"/>
        <v>7.7961763291484303</v>
      </c>
      <c r="N204" s="9">
        <f t="shared" si="69"/>
        <v>20.539019200409324</v>
      </c>
      <c r="O204" s="9">
        <f t="shared" si="85"/>
        <v>1.6601749447137848</v>
      </c>
      <c r="P204" s="9">
        <f t="shared" si="70"/>
        <v>0</v>
      </c>
      <c r="Q204" s="9">
        <f t="shared" si="71"/>
        <v>0</v>
      </c>
      <c r="R204" s="21">
        <f t="shared" si="72"/>
        <v>-53.417414930381824</v>
      </c>
      <c r="S204" s="8">
        <f t="shared" si="86"/>
        <v>-2.7476203253489802</v>
      </c>
      <c r="T204" s="8">
        <f t="shared" si="87"/>
        <v>1.5669974444109387</v>
      </c>
      <c r="U204" s="8">
        <f t="shared" si="88"/>
        <v>1.1466928883529985</v>
      </c>
      <c r="V204" s="8">
        <f t="shared" si="89"/>
        <v>0</v>
      </c>
      <c r="W204" s="8">
        <f t="shared" si="90"/>
        <v>1.5703503834991324</v>
      </c>
      <c r="X204" s="8">
        <f t="shared" si="91"/>
        <v>0</v>
      </c>
      <c r="Y204" s="8">
        <f t="shared" si="92"/>
        <v>2.319300600985557</v>
      </c>
      <c r="Z204" s="8">
        <f t="shared" si="73"/>
        <v>0.59878452780322922</v>
      </c>
      <c r="AA204" s="8">
        <f t="shared" si="74"/>
        <v>0</v>
      </c>
      <c r="AB204" s="8">
        <f t="shared" si="75"/>
        <v>0</v>
      </c>
      <c r="AC204" s="8">
        <f t="shared" si="93"/>
        <v>-3.5355649818306061</v>
      </c>
      <c r="AD204" s="8">
        <f t="shared" si="76"/>
        <v>-304.25836015105307</v>
      </c>
      <c r="AF204" s="21">
        <f t="shared" si="77"/>
        <v>-46.343839839898365</v>
      </c>
      <c r="AG204" s="8">
        <f t="shared" si="78"/>
        <v>157.5068976314702</v>
      </c>
      <c r="AI204" s="12">
        <f t="shared" si="79"/>
        <v>-26.805896579572753</v>
      </c>
      <c r="AJ204" s="8">
        <f t="shared" si="80"/>
        <v>-67.219550405688054</v>
      </c>
      <c r="AL204" s="12">
        <f t="shared" si="81"/>
        <v>19.732321489089298</v>
      </c>
      <c r="AM204" s="8">
        <f t="shared" si="82"/>
        <v>145.48256559221142</v>
      </c>
    </row>
    <row r="205" spans="1:39" x14ac:dyDescent="0.3">
      <c r="A205" s="20">
        <f t="shared" ref="A205:A221" si="94">A204+500000</f>
        <v>2000000</v>
      </c>
      <c r="B205" s="8">
        <f t="shared" si="57"/>
        <v>12566370.614359172</v>
      </c>
      <c r="C205" s="9">
        <f t="shared" si="58"/>
        <v>40.367367550689096</v>
      </c>
      <c r="D205" s="9">
        <f t="shared" si="59"/>
        <v>-1778.2128085746665</v>
      </c>
      <c r="E205" s="9">
        <f t="shared" si="60"/>
        <v>-1402.7757578886381</v>
      </c>
      <c r="F205" s="9">
        <f t="shared" si="61"/>
        <v>67.101021788888559</v>
      </c>
      <c r="G205" s="9">
        <f t="shared" si="62"/>
        <v>50.905651249480705</v>
      </c>
      <c r="H205" s="9">
        <f t="shared" si="63"/>
        <v>9.8770122372470777</v>
      </c>
      <c r="I205" s="9">
        <f t="shared" si="64"/>
        <v>0</v>
      </c>
      <c r="J205" s="9">
        <f t="shared" si="65"/>
        <v>69.513181858197925</v>
      </c>
      <c r="K205" s="9">
        <f t="shared" si="66"/>
        <v>0</v>
      </c>
      <c r="L205" s="9">
        <f t="shared" si="67"/>
        <v>-13.650914513988297</v>
      </c>
      <c r="M205" s="9">
        <f t="shared" si="68"/>
        <v>10.394901772197906</v>
      </c>
      <c r="N205" s="9">
        <f t="shared" si="69"/>
        <v>24.689399445632606</v>
      </c>
      <c r="O205" s="9">
        <f t="shared" si="85"/>
        <v>2.6191573782877366</v>
      </c>
      <c r="P205" s="9">
        <f t="shared" si="70"/>
        <v>0</v>
      </c>
      <c r="Q205" s="9">
        <f t="shared" si="71"/>
        <v>0</v>
      </c>
      <c r="R205" s="21">
        <f t="shared" si="72"/>
        <v>-62.772729433589944</v>
      </c>
      <c r="S205" s="8">
        <f t="shared" si="86"/>
        <v>-2.4736762712963638</v>
      </c>
      <c r="T205" s="8">
        <f t="shared" si="87"/>
        <v>1.5679471590105916</v>
      </c>
      <c r="U205" s="8">
        <f t="shared" si="88"/>
        <v>1.2442885793647906</v>
      </c>
      <c r="V205" s="8">
        <f t="shared" si="89"/>
        <v>0</v>
      </c>
      <c r="W205" s="8">
        <f t="shared" si="90"/>
        <v>1.5704618693133738</v>
      </c>
      <c r="X205" s="8">
        <f t="shared" si="91"/>
        <v>0</v>
      </c>
      <c r="Y205" s="8">
        <f t="shared" si="92"/>
        <v>2.4907845818739673</v>
      </c>
      <c r="Z205" s="8">
        <f t="shared" si="73"/>
        <v>0.73820602123193568</v>
      </c>
      <c r="AA205" s="8">
        <f t="shared" si="74"/>
        <v>0</v>
      </c>
      <c r="AB205" s="8">
        <f t="shared" si="75"/>
        <v>0</v>
      </c>
      <c r="AC205" s="8">
        <f t="shared" si="93"/>
        <v>-3.8095090358832224</v>
      </c>
      <c r="AD205" s="8">
        <f t="shared" si="76"/>
        <v>-332.12792161154641</v>
      </c>
      <c r="AF205" s="21">
        <f t="shared" si="77"/>
        <v>-52.754254151479088</v>
      </c>
      <c r="AG205" s="8">
        <f t="shared" si="78"/>
        <v>141.80309835456862</v>
      </c>
      <c r="AI205" s="12">
        <f t="shared" si="79"/>
        <v>-28.791787295105898</v>
      </c>
      <c r="AJ205" s="8">
        <f t="shared" si="80"/>
        <v>-71.455184857213951</v>
      </c>
      <c r="AL205" s="12">
        <f t="shared" si="81"/>
        <v>18.773312012995042</v>
      </c>
      <c r="AM205" s="8">
        <f t="shared" si="82"/>
        <v>137.53830201393336</v>
      </c>
    </row>
    <row r="206" spans="1:39" x14ac:dyDescent="0.3">
      <c r="A206" s="20">
        <f t="shared" si="94"/>
        <v>2500000</v>
      </c>
      <c r="B206" s="8">
        <f t="shared" si="57"/>
        <v>15707963.267948966</v>
      </c>
      <c r="C206" s="9">
        <f t="shared" si="58"/>
        <v>40.367367550689096</v>
      </c>
      <c r="D206" s="9">
        <f t="shared" si="59"/>
        <v>-2779.020013397917</v>
      </c>
      <c r="E206" s="9">
        <f t="shared" si="60"/>
        <v>-3117.3037968898725</v>
      </c>
      <c r="F206" s="9">
        <f t="shared" si="61"/>
        <v>72.415598079775407</v>
      </c>
      <c r="G206" s="9">
        <f t="shared" si="62"/>
        <v>52.843838817868082</v>
      </c>
      <c r="H206" s="9">
        <f t="shared" si="63"/>
        <v>11.651321780656261</v>
      </c>
      <c r="I206" s="9">
        <f t="shared" si="64"/>
        <v>0</v>
      </c>
      <c r="J206" s="9">
        <f t="shared" si="65"/>
        <v>71.451381943467581</v>
      </c>
      <c r="K206" s="9">
        <f t="shared" si="66"/>
        <v>0</v>
      </c>
      <c r="L206" s="9">
        <f t="shared" si="67"/>
        <v>-21.892053928106716</v>
      </c>
      <c r="M206" s="9">
        <f t="shared" si="68"/>
        <v>12.993627215247384</v>
      </c>
      <c r="N206" s="9">
        <f t="shared" si="69"/>
        <v>28.11639591246707</v>
      </c>
      <c r="O206" s="9">
        <f t="shared" si="85"/>
        <v>3.6047080161625331</v>
      </c>
      <c r="P206" s="9">
        <f t="shared" si="70"/>
        <v>0</v>
      </c>
      <c r="Q206" s="9">
        <f t="shared" si="71"/>
        <v>0</v>
      </c>
      <c r="R206" s="21">
        <f t="shared" si="72"/>
        <v>-70.725555802659159</v>
      </c>
      <c r="S206" s="8">
        <f t="shared" si="86"/>
        <v>-2.2988853316440903</v>
      </c>
      <c r="T206" s="8">
        <f t="shared" si="87"/>
        <v>1.5685169903470826</v>
      </c>
      <c r="U206" s="8">
        <f t="shared" si="88"/>
        <v>1.306243942544397</v>
      </c>
      <c r="V206" s="8">
        <f t="shared" si="89"/>
        <v>0</v>
      </c>
      <c r="W206" s="8">
        <f t="shared" si="90"/>
        <v>1.5705287608060867</v>
      </c>
      <c r="X206" s="8">
        <f t="shared" si="91"/>
        <v>0</v>
      </c>
      <c r="Y206" s="8">
        <f t="shared" si="92"/>
        <v>2.6059428572235994</v>
      </c>
      <c r="Z206" s="8">
        <f t="shared" si="73"/>
        <v>0.84953099291620593</v>
      </c>
      <c r="AA206" s="8">
        <f t="shared" si="74"/>
        <v>0</v>
      </c>
      <c r="AB206" s="8">
        <f t="shared" si="75"/>
        <v>0</v>
      </c>
      <c r="AC206" s="8">
        <f t="shared" si="93"/>
        <v>-3.984299975535496</v>
      </c>
      <c r="AD206" s="8">
        <f t="shared" si="76"/>
        <v>-351.54064177741992</v>
      </c>
      <c r="AF206" s="21">
        <f t="shared" si="77"/>
        <v>-58.068830442365936</v>
      </c>
      <c r="AG206" s="8">
        <f t="shared" si="78"/>
        <v>131.78323557195421</v>
      </c>
      <c r="AI206" s="12">
        <f t="shared" si="79"/>
        <v>-30.444474218531184</v>
      </c>
      <c r="AJ206" s="8">
        <f t="shared" si="80"/>
        <v>-74.505033325559367</v>
      </c>
      <c r="AL206" s="12">
        <f t="shared" si="81"/>
        <v>17.787748858237968</v>
      </c>
      <c r="AM206" s="8">
        <f t="shared" si="82"/>
        <v>131.18544668549751</v>
      </c>
    </row>
    <row r="207" spans="1:39" x14ac:dyDescent="0.3">
      <c r="A207" s="20">
        <f t="shared" si="94"/>
        <v>3000000</v>
      </c>
      <c r="B207" s="8">
        <f t="shared" si="57"/>
        <v>18849555.921538759</v>
      </c>
      <c r="C207" s="9">
        <f t="shared" si="58"/>
        <v>40.367367550689096</v>
      </c>
      <c r="D207" s="9">
        <f t="shared" si="59"/>
        <v>-4002.228819293</v>
      </c>
      <c r="E207" s="9">
        <f t="shared" si="60"/>
        <v>-5741.0545689104874</v>
      </c>
      <c r="F207" s="9">
        <f t="shared" si="61"/>
        <v>76.899969953393622</v>
      </c>
      <c r="G207" s="9">
        <f t="shared" si="62"/>
        <v>54.427456844508171</v>
      </c>
      <c r="H207" s="9">
        <f t="shared" si="63"/>
        <v>13.143257388842777</v>
      </c>
      <c r="I207" s="9">
        <f t="shared" si="64"/>
        <v>0</v>
      </c>
      <c r="J207" s="9">
        <f t="shared" si="65"/>
        <v>73.035006769417294</v>
      </c>
      <c r="K207" s="9">
        <f t="shared" si="66"/>
        <v>0</v>
      </c>
      <c r="L207" s="9">
        <f t="shared" si="67"/>
        <v>-31.964557656473666</v>
      </c>
      <c r="M207" s="9">
        <f t="shared" si="68"/>
        <v>15.592352658296861</v>
      </c>
      <c r="N207" s="9">
        <f t="shared" si="69"/>
        <v>31.020405384627029</v>
      </c>
      <c r="O207" s="9">
        <f t="shared" si="85"/>
        <v>4.5673449748514976</v>
      </c>
      <c r="P207" s="9">
        <f t="shared" si="70"/>
        <v>0</v>
      </c>
      <c r="Q207" s="9">
        <f t="shared" si="71"/>
        <v>0</v>
      </c>
      <c r="R207" s="21">
        <f t="shared" si="72"/>
        <v>-77.584645298249399</v>
      </c>
      <c r="S207" s="8">
        <f t="shared" si="86"/>
        <v>-2.1795897027567293</v>
      </c>
      <c r="T207" s="8">
        <f t="shared" si="87"/>
        <v>1.5688968787499431</v>
      </c>
      <c r="U207" s="8">
        <f t="shared" si="88"/>
        <v>1.3487665281478143</v>
      </c>
      <c r="V207" s="8">
        <f t="shared" si="89"/>
        <v>0</v>
      </c>
      <c r="W207" s="8">
        <f t="shared" si="90"/>
        <v>1.5705733551359291</v>
      </c>
      <c r="X207" s="8">
        <f t="shared" si="91"/>
        <v>0</v>
      </c>
      <c r="Y207" s="8">
        <f t="shared" si="92"/>
        <v>2.6877515454095686</v>
      </c>
      <c r="Z207" s="8">
        <f t="shared" si="73"/>
        <v>0.93842201050928986</v>
      </c>
      <c r="AA207" s="8">
        <f t="shared" si="74"/>
        <v>0</v>
      </c>
      <c r="AB207" s="8">
        <f t="shared" si="75"/>
        <v>0</v>
      </c>
      <c r="AC207" s="8">
        <f t="shared" si="93"/>
        <v>-4.103595604422857</v>
      </c>
      <c r="AD207" s="8">
        <f t="shared" si="76"/>
        <v>-365.70057490795</v>
      </c>
      <c r="AF207" s="21">
        <f t="shared" si="77"/>
        <v>-62.553202315984151</v>
      </c>
      <c r="AG207" s="8">
        <f t="shared" si="78"/>
        <v>124.94463264210549</v>
      </c>
      <c r="AI207" s="12">
        <f t="shared" si="79"/>
        <v>-31.856548082504624</v>
      </c>
      <c r="AJ207" s="8">
        <f t="shared" si="80"/>
        <v>-76.757102900355349</v>
      </c>
      <c r="AL207" s="12">
        <f t="shared" si="81"/>
        <v>16.82510510023938</v>
      </c>
      <c r="AM207" s="8">
        <f t="shared" si="82"/>
        <v>126.1090039359396</v>
      </c>
    </row>
    <row r="208" spans="1:39" x14ac:dyDescent="0.3">
      <c r="A208" s="20">
        <f t="shared" si="94"/>
        <v>3500000</v>
      </c>
      <c r="B208" s="8">
        <f t="shared" si="57"/>
        <v>21991148.575128552</v>
      </c>
      <c r="C208" s="9">
        <f t="shared" si="58"/>
        <v>40.367367550689096</v>
      </c>
      <c r="D208" s="9">
        <f t="shared" si="59"/>
        <v>-5447.8392262599164</v>
      </c>
      <c r="E208" s="9">
        <f t="shared" si="60"/>
        <v>-9455.8726205543626</v>
      </c>
      <c r="F208" s="9">
        <f t="shared" si="61"/>
        <v>80.758843364384575</v>
      </c>
      <c r="G208" s="9">
        <f t="shared" si="62"/>
        <v>55.766388480062218</v>
      </c>
      <c r="H208" s="9">
        <f t="shared" si="63"/>
        <v>14.425957156911744</v>
      </c>
      <c r="I208" s="9">
        <f t="shared" si="64"/>
        <v>0</v>
      </c>
      <c r="J208" s="9">
        <f t="shared" si="65"/>
        <v>74.373942504745884</v>
      </c>
      <c r="K208" s="9">
        <f t="shared" si="66"/>
        <v>0</v>
      </c>
      <c r="L208" s="9">
        <f t="shared" si="67"/>
        <v>-43.868425699089158</v>
      </c>
      <c r="M208" s="9">
        <f t="shared" si="68"/>
        <v>18.191078101346339</v>
      </c>
      <c r="N208" s="9">
        <f t="shared" si="69"/>
        <v>33.532147368045933</v>
      </c>
      <c r="O208" s="9">
        <f t="shared" si="85"/>
        <v>5.4838582836487006</v>
      </c>
      <c r="P208" s="9">
        <f t="shared" si="70"/>
        <v>0</v>
      </c>
      <c r="Q208" s="9">
        <f t="shared" si="71"/>
        <v>0</v>
      </c>
      <c r="R208" s="21">
        <f t="shared" si="72"/>
        <v>-83.589078333162036</v>
      </c>
      <c r="S208" s="8">
        <f t="shared" si="86"/>
        <v>-2.0934815871727954</v>
      </c>
      <c r="T208" s="8">
        <f t="shared" si="87"/>
        <v>1.5691682279511796</v>
      </c>
      <c r="U208" s="8">
        <f t="shared" si="88"/>
        <v>1.379657109323686</v>
      </c>
      <c r="V208" s="8">
        <f t="shared" si="89"/>
        <v>0</v>
      </c>
      <c r="W208" s="8">
        <f t="shared" si="90"/>
        <v>1.570605208229227</v>
      </c>
      <c r="X208" s="8">
        <f t="shared" si="91"/>
        <v>0</v>
      </c>
      <c r="Y208" s="8">
        <f t="shared" si="92"/>
        <v>2.7485009673331877</v>
      </c>
      <c r="Z208" s="8">
        <f t="shared" si="73"/>
        <v>1.0099867420711919</v>
      </c>
      <c r="AA208" s="8">
        <f t="shared" si="74"/>
        <v>0</v>
      </c>
      <c r="AB208" s="8">
        <f t="shared" si="75"/>
        <v>0</v>
      </c>
      <c r="AC208" s="8">
        <f t="shared" si="93"/>
        <v>-4.1897037200067908</v>
      </c>
      <c r="AD208" s="8">
        <f t="shared" si="76"/>
        <v>-376.43162703302227</v>
      </c>
      <c r="AF208" s="21">
        <f t="shared" si="77"/>
        <v>-66.412075726975104</v>
      </c>
      <c r="AG208" s="8">
        <f t="shared" si="78"/>
        <v>120.00849862773987</v>
      </c>
      <c r="AI208" s="12">
        <f t="shared" si="79"/>
        <v>-33.085590297854566</v>
      </c>
      <c r="AJ208" s="8">
        <f t="shared" si="80"/>
        <v>-78.468756191627477</v>
      </c>
      <c r="AL208" s="12">
        <f t="shared" si="81"/>
        <v>15.908587691667634</v>
      </c>
      <c r="AM208" s="8">
        <f t="shared" si="82"/>
        <v>122.02029617106272</v>
      </c>
    </row>
    <row r="209" spans="1:39" x14ac:dyDescent="0.3">
      <c r="A209" s="20">
        <f t="shared" si="94"/>
        <v>4000000</v>
      </c>
      <c r="B209" s="8">
        <f t="shared" si="57"/>
        <v>25132741.228718344</v>
      </c>
      <c r="C209" s="9">
        <f t="shared" si="58"/>
        <v>40.367367550689096</v>
      </c>
      <c r="D209" s="9">
        <f t="shared" si="59"/>
        <v>-7115.851234298666</v>
      </c>
      <c r="E209" s="9">
        <f t="shared" si="60"/>
        <v>-14443.602498425367</v>
      </c>
      <c r="F209" s="9">
        <f t="shared" si="61"/>
        <v>84.137237770856302</v>
      </c>
      <c r="G209" s="9">
        <f t="shared" si="62"/>
        <v>56.926224721523148</v>
      </c>
      <c r="H209" s="9">
        <f t="shared" si="63"/>
        <v>15.548903160194696</v>
      </c>
      <c r="I209" s="9">
        <f t="shared" si="64"/>
        <v>0</v>
      </c>
      <c r="J209" s="9">
        <f t="shared" si="65"/>
        <v>75.533781407120301</v>
      </c>
      <c r="K209" s="9">
        <f t="shared" si="66"/>
        <v>0</v>
      </c>
      <c r="L209" s="9">
        <f t="shared" si="67"/>
        <v>-57.60365805595319</v>
      </c>
      <c r="M209" s="9">
        <f t="shared" si="68"/>
        <v>20.789803544395813</v>
      </c>
      <c r="N209" s="9">
        <f t="shared" si="69"/>
        <v>35.740772834622419</v>
      </c>
      <c r="O209" s="9">
        <f t="shared" si="85"/>
        <v>6.3457623411192792</v>
      </c>
      <c r="P209" s="9">
        <f t="shared" si="70"/>
        <v>0</v>
      </c>
      <c r="Q209" s="9">
        <f t="shared" si="71"/>
        <v>0</v>
      </c>
      <c r="R209" s="21">
        <f t="shared" si="72"/>
        <v>-88.91505892131137</v>
      </c>
      <c r="S209" s="8">
        <f t="shared" si="86"/>
        <v>-2.0285583914755501</v>
      </c>
      <c r="T209" s="8">
        <f t="shared" si="87"/>
        <v>1.5693717400116318</v>
      </c>
      <c r="U209" s="8">
        <f t="shared" si="88"/>
        <v>1.4030732009107354</v>
      </c>
      <c r="V209" s="8">
        <f t="shared" si="89"/>
        <v>0</v>
      </c>
      <c r="W209" s="8">
        <f t="shared" si="90"/>
        <v>1.5706290980494586</v>
      </c>
      <c r="X209" s="8">
        <f t="shared" si="91"/>
        <v>0</v>
      </c>
      <c r="Y209" s="8">
        <f t="shared" si="92"/>
        <v>2.7952306779261726</v>
      </c>
      <c r="Z209" s="8">
        <f t="shared" si="73"/>
        <v>1.068284712857505</v>
      </c>
      <c r="AA209" s="8">
        <f t="shared" si="74"/>
        <v>0</v>
      </c>
      <c r="AB209" s="8">
        <f t="shared" si="75"/>
        <v>0</v>
      </c>
      <c r="AC209" s="8">
        <f t="shared" si="93"/>
        <v>-4.2546269157040362</v>
      </c>
      <c r="AD209" s="8">
        <f t="shared" si="76"/>
        <v>-384.81716019715384</v>
      </c>
      <c r="AF209" s="21">
        <f t="shared" si="77"/>
        <v>-69.790470133446831</v>
      </c>
      <c r="AG209" s="8">
        <f t="shared" si="78"/>
        <v>116.28678677248375</v>
      </c>
      <c r="AI209" s="12">
        <f t="shared" si="79"/>
        <v>-34.171269761148096</v>
      </c>
      <c r="AJ209" s="8">
        <f t="shared" si="80"/>
        <v>-79.805205688783019</v>
      </c>
      <c r="AL209" s="12">
        <f t="shared" si="81"/>
        <v>15.046680973283568</v>
      </c>
      <c r="AM209" s="8">
        <f t="shared" si="82"/>
        <v>118.68867109517205</v>
      </c>
    </row>
    <row r="210" spans="1:39" x14ac:dyDescent="0.3">
      <c r="A210" s="20">
        <f t="shared" si="94"/>
        <v>4500000</v>
      </c>
      <c r="B210" s="8">
        <f t="shared" si="57"/>
        <v>28274333.882308137</v>
      </c>
      <c r="C210" s="9">
        <f t="shared" si="58"/>
        <v>40.367367550689096</v>
      </c>
      <c r="D210" s="9">
        <f t="shared" si="59"/>
        <v>-9006.2648434092498</v>
      </c>
      <c r="E210" s="9">
        <f t="shared" si="60"/>
        <v>-20886.08874912739</v>
      </c>
      <c r="F210" s="9">
        <f t="shared" si="61"/>
        <v>87.137773260713018</v>
      </c>
      <c r="G210" s="9">
        <f t="shared" si="62"/>
        <v>57.949273320666265</v>
      </c>
      <c r="H210" s="9">
        <f t="shared" si="63"/>
        <v>16.546477618856574</v>
      </c>
      <c r="I210" s="9">
        <f t="shared" si="64"/>
        <v>0</v>
      </c>
      <c r="J210" s="9">
        <f t="shared" si="65"/>
        <v>76.556831830577906</v>
      </c>
      <c r="K210" s="9">
        <f t="shared" si="66"/>
        <v>0</v>
      </c>
      <c r="L210" s="9">
        <f t="shared" si="67"/>
        <v>-73.170254727065753</v>
      </c>
      <c r="M210" s="9">
        <f t="shared" si="68"/>
        <v>23.388528987445291</v>
      </c>
      <c r="N210" s="9">
        <f t="shared" si="69"/>
        <v>37.709189515066917</v>
      </c>
      <c r="O210" s="9">
        <f t="shared" si="85"/>
        <v>7.1520600773513952</v>
      </c>
      <c r="P210" s="9">
        <f t="shared" si="70"/>
        <v>0</v>
      </c>
      <c r="Q210" s="9">
        <f t="shared" si="71"/>
        <v>0</v>
      </c>
      <c r="R210" s="21">
        <f t="shared" si="72"/>
        <v>-93.692736193497296</v>
      </c>
      <c r="S210" s="8">
        <f t="shared" si="86"/>
        <v>-1.9779140908431789</v>
      </c>
      <c r="T210" s="8">
        <f t="shared" si="87"/>
        <v>1.5695300272522081</v>
      </c>
      <c r="U210" s="8">
        <f t="shared" si="88"/>
        <v>1.4214163143038663</v>
      </c>
      <c r="V210" s="8">
        <f t="shared" si="89"/>
        <v>0</v>
      </c>
      <c r="W210" s="8">
        <f t="shared" si="90"/>
        <v>1.5706476790208832</v>
      </c>
      <c r="X210" s="8">
        <f t="shared" si="91"/>
        <v>0</v>
      </c>
      <c r="Y210" s="8">
        <f t="shared" si="92"/>
        <v>2.832211482752339</v>
      </c>
      <c r="Z210" s="8">
        <f t="shared" si="73"/>
        <v>1.1163868985786751</v>
      </c>
      <c r="AA210" s="8">
        <f t="shared" si="74"/>
        <v>0</v>
      </c>
      <c r="AB210" s="8">
        <f t="shared" si="75"/>
        <v>0</v>
      </c>
      <c r="AC210" s="8">
        <f t="shared" si="93"/>
        <v>-4.3052712163364077</v>
      </c>
      <c r="AD210" s="8">
        <f t="shared" si="76"/>
        <v>-391.5347735863441</v>
      </c>
      <c r="AF210" s="21">
        <f t="shared" si="77"/>
        <v>-72.791005623303548</v>
      </c>
      <c r="AG210" s="8">
        <f t="shared" si="78"/>
        <v>113.38361030311216</v>
      </c>
      <c r="AI210" s="12">
        <f t="shared" si="79"/>
        <v>-35.142111982930714</v>
      </c>
      <c r="AJ210" s="8">
        <f t="shared" si="80"/>
        <v>-80.873608382396526</v>
      </c>
      <c r="AL210" s="12">
        <f t="shared" si="81"/>
        <v>14.240381412736964</v>
      </c>
      <c r="AM210" s="8">
        <f t="shared" si="82"/>
        <v>115.9392295979226</v>
      </c>
    </row>
    <row r="211" spans="1:39" x14ac:dyDescent="0.3">
      <c r="A211" s="20">
        <f t="shared" si="94"/>
        <v>5000000</v>
      </c>
      <c r="B211" s="8">
        <f t="shared" si="57"/>
        <v>31415926.535897933</v>
      </c>
      <c r="C211" s="9">
        <f t="shared" si="58"/>
        <v>40.367367550689096</v>
      </c>
      <c r="D211" s="9">
        <f t="shared" si="59"/>
        <v>-11119.080053591668</v>
      </c>
      <c r="E211" s="9">
        <f t="shared" si="60"/>
        <v>-28965.175919264311</v>
      </c>
      <c r="F211" s="9">
        <f t="shared" si="61"/>
        <v>89.834527859984462</v>
      </c>
      <c r="G211" s="9">
        <f t="shared" si="62"/>
        <v>58.864421808724998</v>
      </c>
      <c r="H211" s="9">
        <f t="shared" si="63"/>
        <v>17.443312486887933</v>
      </c>
      <c r="I211" s="9">
        <f t="shared" si="64"/>
        <v>0</v>
      </c>
      <c r="J211" s="9">
        <f t="shared" si="65"/>
        <v>77.471981623558563</v>
      </c>
      <c r="K211" s="9">
        <f t="shared" si="66"/>
        <v>0</v>
      </c>
      <c r="L211" s="9">
        <f t="shared" si="67"/>
        <v>-90.568215712426863</v>
      </c>
      <c r="M211" s="9">
        <f t="shared" si="68"/>
        <v>25.987254430494769</v>
      </c>
      <c r="N211" s="9">
        <f t="shared" si="69"/>
        <v>39.48312161088684</v>
      </c>
      <c r="O211" s="9">
        <f t="shared" si="85"/>
        <v>7.905251039719106</v>
      </c>
      <c r="P211" s="9">
        <f t="shared" si="70"/>
        <v>0</v>
      </c>
      <c r="Q211" s="9">
        <f t="shared" si="71"/>
        <v>0</v>
      </c>
      <c r="R211" s="21">
        <f t="shared" si="72"/>
        <v>-98.019780287846942</v>
      </c>
      <c r="S211" s="8">
        <f t="shared" si="86"/>
        <v>-1.9373272274580149</v>
      </c>
      <c r="T211" s="8">
        <f t="shared" si="87"/>
        <v>1.5696566570907369</v>
      </c>
      <c r="U211" s="8">
        <f t="shared" si="88"/>
        <v>1.4361646825911676</v>
      </c>
      <c r="V211" s="8">
        <f t="shared" si="89"/>
        <v>0</v>
      </c>
      <c r="W211" s="8">
        <f t="shared" si="90"/>
        <v>1.5706625437980972</v>
      </c>
      <c r="X211" s="8">
        <f t="shared" si="91"/>
        <v>0</v>
      </c>
      <c r="Y211" s="8">
        <f t="shared" si="92"/>
        <v>2.8621641266195708</v>
      </c>
      <c r="Z211" s="8">
        <f t="shared" si="73"/>
        <v>1.1565789169067668</v>
      </c>
      <c r="AA211" s="8">
        <f t="shared" si="74"/>
        <v>0</v>
      </c>
      <c r="AB211" s="8">
        <f t="shared" si="75"/>
        <v>0</v>
      </c>
      <c r="AC211" s="8">
        <f t="shared" si="93"/>
        <v>-4.3458580797215713</v>
      </c>
      <c r="AD211" s="8">
        <f t="shared" si="76"/>
        <v>-397.0277997372736</v>
      </c>
      <c r="AF211" s="21">
        <f t="shared" si="77"/>
        <v>-75.487760222574991</v>
      </c>
      <c r="AG211" s="8">
        <f t="shared" si="78"/>
        <v>111.05697482243397</v>
      </c>
      <c r="AI211" s="12">
        <f t="shared" si="79"/>
        <v>-36.019209210719282</v>
      </c>
      <c r="AJ211" s="8">
        <f t="shared" si="80"/>
        <v>-81.745191058953054</v>
      </c>
      <c r="AL211" s="12">
        <f t="shared" si="81"/>
        <v>13.48718914544733</v>
      </c>
      <c r="AM211" s="8">
        <f t="shared" si="82"/>
        <v>113.64163546161055</v>
      </c>
    </row>
    <row r="212" spans="1:39" x14ac:dyDescent="0.3">
      <c r="A212" s="20">
        <f t="shared" si="94"/>
        <v>5500000</v>
      </c>
      <c r="B212" s="8">
        <f t="shared" si="57"/>
        <v>34557519.189487725</v>
      </c>
      <c r="C212" s="9">
        <f t="shared" si="58"/>
        <v>40.367367550689096</v>
      </c>
      <c r="D212" s="9">
        <f t="shared" si="59"/>
        <v>-13454.296864845917</v>
      </c>
      <c r="E212" s="9">
        <f t="shared" si="60"/>
        <v>-38862.708555439982</v>
      </c>
      <c r="F212" s="9">
        <f t="shared" si="61"/>
        <v>92.282278952815261</v>
      </c>
      <c r="G212" s="9">
        <f t="shared" si="62"/>
        <v>59.692274532904349</v>
      </c>
      <c r="H212" s="9">
        <f t="shared" si="63"/>
        <v>18.257565314924086</v>
      </c>
      <c r="I212" s="9">
        <f t="shared" si="64"/>
        <v>0</v>
      </c>
      <c r="J212" s="9">
        <f t="shared" si="65"/>
        <v>78.299835313232805</v>
      </c>
      <c r="K212" s="9">
        <f t="shared" si="66"/>
        <v>0</v>
      </c>
      <c r="L212" s="9">
        <f t="shared" si="67"/>
        <v>-109.79754101203652</v>
      </c>
      <c r="M212" s="9">
        <f t="shared" si="68"/>
        <v>28.585979873544247</v>
      </c>
      <c r="N212" s="9">
        <f t="shared" si="69"/>
        <v>41.096682397875867</v>
      </c>
      <c r="O212" s="9">
        <f t="shared" si="85"/>
        <v>8.6092620022454405</v>
      </c>
      <c r="P212" s="9">
        <f t="shared" si="70"/>
        <v>0</v>
      </c>
      <c r="Q212" s="9">
        <f t="shared" si="71"/>
        <v>0</v>
      </c>
      <c r="R212" s="21">
        <f t="shared" si="72"/>
        <v>-101.97085126765184</v>
      </c>
      <c r="S212" s="8">
        <f t="shared" si="86"/>
        <v>-1.9040824667825087</v>
      </c>
      <c r="T212" s="8">
        <f t="shared" si="87"/>
        <v>1.569760263349629</v>
      </c>
      <c r="U212" s="8">
        <f t="shared" si="88"/>
        <v>1.4482758069047632</v>
      </c>
      <c r="V212" s="8">
        <f t="shared" si="89"/>
        <v>0</v>
      </c>
      <c r="W212" s="8">
        <f t="shared" si="90"/>
        <v>1.5706747058885895</v>
      </c>
      <c r="X212" s="8">
        <f t="shared" si="91"/>
        <v>0</v>
      </c>
      <c r="Y212" s="8">
        <f t="shared" si="92"/>
        <v>2.8868951636337181</v>
      </c>
      <c r="Z212" s="8">
        <f t="shared" si="73"/>
        <v>1.1905607165159409</v>
      </c>
      <c r="AA212" s="8">
        <f t="shared" si="74"/>
        <v>0</v>
      </c>
      <c r="AB212" s="8">
        <f t="shared" si="75"/>
        <v>0</v>
      </c>
      <c r="AC212" s="8">
        <f t="shared" si="93"/>
        <v>-4.3791028403970778</v>
      </c>
      <c r="AD212" s="8">
        <f t="shared" si="76"/>
        <v>-401.59742628342235</v>
      </c>
      <c r="AF212" s="21">
        <f t="shared" si="77"/>
        <v>-77.93551131540579</v>
      </c>
      <c r="AG212" s="8">
        <f t="shared" si="78"/>
        <v>109.15122421046227</v>
      </c>
      <c r="AI212" s="12">
        <f t="shared" si="79"/>
        <v>-36.818517169672155</v>
      </c>
      <c r="AJ212" s="8">
        <f t="shared" si="80"/>
        <v>-82.468625544971943</v>
      </c>
      <c r="AL212" s="12">
        <f t="shared" si="81"/>
        <v>12.783177217426104</v>
      </c>
      <c r="AM212" s="8">
        <f t="shared" si="82"/>
        <v>111.69887623252158</v>
      </c>
    </row>
    <row r="213" spans="1:39" x14ac:dyDescent="0.3">
      <c r="A213" s="20">
        <f t="shared" si="94"/>
        <v>6000000</v>
      </c>
      <c r="B213" s="8">
        <f t="shared" si="57"/>
        <v>37699111.843077518</v>
      </c>
      <c r="C213" s="9">
        <f t="shared" si="58"/>
        <v>40.367367550689096</v>
      </c>
      <c r="D213" s="9">
        <f t="shared" si="59"/>
        <v>-16011.915277172</v>
      </c>
      <c r="E213" s="9">
        <f t="shared" si="60"/>
        <v>-50760.531204258295</v>
      </c>
      <c r="F213" s="9">
        <f t="shared" si="61"/>
        <v>94.522485611075965</v>
      </c>
      <c r="G213" s="9">
        <f t="shared" si="62"/>
        <v>60.448045006093707</v>
      </c>
      <c r="H213" s="9">
        <f t="shared" si="63"/>
        <v>19.002963358320685</v>
      </c>
      <c r="I213" s="9">
        <f t="shared" si="64"/>
        <v>0</v>
      </c>
      <c r="J213" s="9">
        <f t="shared" si="65"/>
        <v>79.055606520760364</v>
      </c>
      <c r="K213" s="9">
        <f t="shared" si="66"/>
        <v>0</v>
      </c>
      <c r="L213" s="9">
        <f t="shared" si="67"/>
        <v>-130.85823062589466</v>
      </c>
      <c r="M213" s="9">
        <f t="shared" si="68"/>
        <v>31.184705316593721</v>
      </c>
      <c r="N213" s="9">
        <f t="shared" si="69"/>
        <v>42.575912841410528</v>
      </c>
      <c r="O213" s="9">
        <f t="shared" si="85"/>
        <v>9.2684180645323302</v>
      </c>
      <c r="P213" s="9">
        <f t="shared" si="70"/>
        <v>0</v>
      </c>
      <c r="Q213" s="9">
        <f t="shared" si="71"/>
        <v>0</v>
      </c>
      <c r="R213" s="21">
        <f t="shared" si="72"/>
        <v>-105.60404712267569</v>
      </c>
      <c r="S213" s="8">
        <f t="shared" si="86"/>
        <v>-1.876357621497051</v>
      </c>
      <c r="T213" s="8">
        <f t="shared" si="87"/>
        <v>1.5698466019157911</v>
      </c>
      <c r="U213" s="8">
        <f t="shared" si="88"/>
        <v>1.4583962310700298</v>
      </c>
      <c r="V213" s="8">
        <f t="shared" si="89"/>
        <v>0</v>
      </c>
      <c r="W213" s="8">
        <f t="shared" si="90"/>
        <v>1.5706848409640273</v>
      </c>
      <c r="X213" s="8">
        <f t="shared" si="91"/>
        <v>0</v>
      </c>
      <c r="Y213" s="8">
        <f t="shared" si="92"/>
        <v>2.9076471072374588</v>
      </c>
      <c r="Z213" s="8">
        <f t="shared" si="73"/>
        <v>1.2196053231038393</v>
      </c>
      <c r="AA213" s="8">
        <f t="shared" si="74"/>
        <v>0</v>
      </c>
      <c r="AB213" s="8">
        <f t="shared" si="75"/>
        <v>0</v>
      </c>
      <c r="AC213" s="8">
        <f t="shared" si="93"/>
        <v>-4.4068276856825355</v>
      </c>
      <c r="AD213" s="8">
        <f t="shared" si="76"/>
        <v>-405.45485133626988</v>
      </c>
      <c r="AF213" s="21">
        <f t="shared" si="77"/>
        <v>-80.175717973666494</v>
      </c>
      <c r="AG213" s="8">
        <f t="shared" si="78"/>
        <v>107.56190186925771</v>
      </c>
      <c r="AI213" s="12">
        <f t="shared" si="79"/>
        <v>-37.552349569810218</v>
      </c>
      <c r="AJ213" s="8">
        <f t="shared" si="80"/>
        <v>-83.078075703865352</v>
      </c>
      <c r="AL213" s="12">
        <f t="shared" si="81"/>
        <v>12.124020420801013</v>
      </c>
      <c r="AM213" s="8">
        <f t="shared" si="82"/>
        <v>110.03826713777912</v>
      </c>
    </row>
    <row r="214" spans="1:39" x14ac:dyDescent="0.3">
      <c r="A214" s="20">
        <f t="shared" si="94"/>
        <v>6500000</v>
      </c>
      <c r="B214" s="8">
        <f t="shared" si="57"/>
        <v>40840704.496667311</v>
      </c>
      <c r="C214" s="9">
        <f t="shared" si="58"/>
        <v>40.367367550689096</v>
      </c>
      <c r="D214" s="9">
        <f t="shared" si="59"/>
        <v>-18791.935290569916</v>
      </c>
      <c r="E214" s="9">
        <f t="shared" si="60"/>
        <v>-64840.488412323131</v>
      </c>
      <c r="F214" s="9">
        <f t="shared" si="61"/>
        <v>96.587196036784832</v>
      </c>
      <c r="G214" s="9">
        <f t="shared" si="62"/>
        <v>61.143286551805019</v>
      </c>
      <c r="H214" s="9">
        <f t="shared" si="63"/>
        <v>19.690115535802455</v>
      </c>
      <c r="I214" s="9">
        <f t="shared" si="64"/>
        <v>0</v>
      </c>
      <c r="J214" s="9">
        <f t="shared" si="65"/>
        <v>79.750848637959564</v>
      </c>
      <c r="K214" s="9">
        <f t="shared" si="66"/>
        <v>0</v>
      </c>
      <c r="L214" s="9">
        <f t="shared" si="67"/>
        <v>-153.75028455400138</v>
      </c>
      <c r="M214" s="9">
        <f t="shared" si="68"/>
        <v>33.783430759643203</v>
      </c>
      <c r="N214" s="9">
        <f t="shared" si="69"/>
        <v>43.941095425914874</v>
      </c>
      <c r="O214" s="9">
        <f t="shared" si="85"/>
        <v>9.8869548797017224</v>
      </c>
      <c r="P214" s="9">
        <f t="shared" si="70"/>
        <v>0</v>
      </c>
      <c r="Q214" s="9">
        <f t="shared" si="71"/>
        <v>0</v>
      </c>
      <c r="R214" s="21">
        <f t="shared" si="72"/>
        <v>-108.96532534206442</v>
      </c>
      <c r="S214" s="8">
        <f t="shared" si="86"/>
        <v>-1.8528857828671936</v>
      </c>
      <c r="T214" s="8">
        <f t="shared" si="87"/>
        <v>1.5699196576367314</v>
      </c>
      <c r="U214" s="8">
        <f t="shared" si="88"/>
        <v>1.4669778479291551</v>
      </c>
      <c r="V214" s="8">
        <f t="shared" si="89"/>
        <v>0</v>
      </c>
      <c r="W214" s="8">
        <f t="shared" si="90"/>
        <v>1.5706934167971081</v>
      </c>
      <c r="X214" s="8">
        <f t="shared" si="91"/>
        <v>0</v>
      </c>
      <c r="Y214" s="8">
        <f t="shared" si="92"/>
        <v>2.9253006384734968</v>
      </c>
      <c r="Z214" s="8">
        <f t="shared" si="73"/>
        <v>1.2446759554213311</v>
      </c>
      <c r="AA214" s="8">
        <f t="shared" si="74"/>
        <v>0</v>
      </c>
      <c r="AB214" s="8">
        <f t="shared" si="75"/>
        <v>0</v>
      </c>
      <c r="AC214" s="8">
        <f t="shared" si="93"/>
        <v>-4.4302995243123924</v>
      </c>
      <c r="AD214" s="8">
        <f t="shared" si="76"/>
        <v>-408.75221802915269</v>
      </c>
      <c r="AF214" s="21">
        <f t="shared" si="77"/>
        <v>-82.240428399375361</v>
      </c>
      <c r="AG214" s="8">
        <f t="shared" si="78"/>
        <v>106.21638245735505</v>
      </c>
      <c r="AI214" s="12">
        <f t="shared" si="79"/>
        <v>-38.230379976832793</v>
      </c>
      <c r="AJ214" s="8">
        <f t="shared" si="80"/>
        <v>-83.598121750949531</v>
      </c>
      <c r="AL214" s="12">
        <f t="shared" si="81"/>
        <v>11.505483034143733</v>
      </c>
      <c r="AM214" s="8">
        <f t="shared" si="82"/>
        <v>108.60479343162184</v>
      </c>
    </row>
    <row r="215" spans="1:39" x14ac:dyDescent="0.3">
      <c r="A215" s="20">
        <f t="shared" si="94"/>
        <v>7000000</v>
      </c>
      <c r="B215" s="8">
        <f t="shared" si="57"/>
        <v>43982297.150257103</v>
      </c>
      <c r="C215" s="9">
        <f t="shared" si="58"/>
        <v>40.367367550689096</v>
      </c>
      <c r="D215" s="9">
        <f t="shared" si="59"/>
        <v>-21794.356905039665</v>
      </c>
      <c r="E215" s="9">
        <f t="shared" si="60"/>
        <v>-81284.424726238358</v>
      </c>
      <c r="F215" s="9">
        <f t="shared" si="61"/>
        <v>98.50165224882042</v>
      </c>
      <c r="G215" s="9">
        <f t="shared" si="62"/>
        <v>61.786979759438978</v>
      </c>
      <c r="H215" s="9">
        <f t="shared" si="63"/>
        <v>20.327379337498005</v>
      </c>
      <c r="I215" s="9">
        <f t="shared" si="64"/>
        <v>0</v>
      </c>
      <c r="J215" s="9">
        <f t="shared" si="65"/>
        <v>80.394542299051693</v>
      </c>
      <c r="K215" s="9">
        <f t="shared" si="66"/>
        <v>0</v>
      </c>
      <c r="L215" s="9">
        <f t="shared" si="67"/>
        <v>-178.47370279635663</v>
      </c>
      <c r="M215" s="9">
        <f t="shared" si="68"/>
        <v>36.382156202692677</v>
      </c>
      <c r="N215" s="9">
        <f t="shared" si="69"/>
        <v>45.208308802143442</v>
      </c>
      <c r="O215" s="9">
        <f t="shared" si="85"/>
        <v>10.468806343406998</v>
      </c>
      <c r="P215" s="9">
        <f t="shared" si="70"/>
        <v>0</v>
      </c>
      <c r="Q215" s="9">
        <f t="shared" si="71"/>
        <v>0</v>
      </c>
      <c r="R215" s="21">
        <f t="shared" si="72"/>
        <v>-112.09158304579647</v>
      </c>
      <c r="S215" s="8">
        <f t="shared" si="86"/>
        <v>-1.8327593997866829</v>
      </c>
      <c r="T215" s="8">
        <f t="shared" si="87"/>
        <v>1.5699822768335863</v>
      </c>
      <c r="U215" s="8">
        <f t="shared" si="88"/>
        <v>1.4743458021823961</v>
      </c>
      <c r="V215" s="8">
        <f t="shared" si="89"/>
        <v>0</v>
      </c>
      <c r="W215" s="8">
        <f t="shared" si="90"/>
        <v>1.5707007675111893</v>
      </c>
      <c r="X215" s="8">
        <f t="shared" si="91"/>
        <v>0</v>
      </c>
      <c r="Y215" s="8">
        <f t="shared" si="92"/>
        <v>2.9404963561397746</v>
      </c>
      <c r="Z215" s="8">
        <f t="shared" si="73"/>
        <v>1.2665100348034706</v>
      </c>
      <c r="AA215" s="8">
        <f t="shared" si="74"/>
        <v>0</v>
      </c>
      <c r="AB215" s="8">
        <f t="shared" si="75"/>
        <v>0</v>
      </c>
      <c r="AC215" s="8">
        <f t="shared" si="93"/>
        <v>-4.4504259073929031</v>
      </c>
      <c r="AD215" s="8">
        <f t="shared" si="76"/>
        <v>-411.60170659047054</v>
      </c>
      <c r="AF215" s="21">
        <f t="shared" si="77"/>
        <v>-84.154884611410949</v>
      </c>
      <c r="AG215" s="8">
        <f t="shared" si="78"/>
        <v>105.06264075210284</v>
      </c>
      <c r="AI215" s="12">
        <f t="shared" si="79"/>
        <v>-38.860329551365808</v>
      </c>
      <c r="AJ215" s="8">
        <f t="shared" si="80"/>
        <v>-84.046847042142716</v>
      </c>
      <c r="AL215" s="12">
        <f t="shared" si="81"/>
        <v>10.923631116980287</v>
      </c>
      <c r="AM215" s="8">
        <f t="shared" si="82"/>
        <v>107.35632656477922</v>
      </c>
    </row>
    <row r="216" spans="1:39" x14ac:dyDescent="0.3">
      <c r="A216" s="20">
        <f t="shared" si="94"/>
        <v>7500000</v>
      </c>
      <c r="B216" s="8">
        <f t="shared" si="57"/>
        <v>47123889.803846896</v>
      </c>
      <c r="C216" s="9">
        <f t="shared" si="58"/>
        <v>40.367367550689096</v>
      </c>
      <c r="D216" s="9">
        <f t="shared" si="59"/>
        <v>-25019.180120581248</v>
      </c>
      <c r="E216" s="9">
        <f t="shared" si="60"/>
        <v>-100274.18469260786</v>
      </c>
      <c r="F216" s="9">
        <f t="shared" si="61"/>
        <v>100.28606689744491</v>
      </c>
      <c r="G216" s="9">
        <f t="shared" si="62"/>
        <v>62.386243856049404</v>
      </c>
      <c r="H216" s="9">
        <f t="shared" si="63"/>
        <v>20.921449570658254</v>
      </c>
      <c r="I216" s="9">
        <f t="shared" si="64"/>
        <v>0</v>
      </c>
      <c r="J216" s="9">
        <f t="shared" si="65"/>
        <v>80.993806761489097</v>
      </c>
      <c r="K216" s="9">
        <f t="shared" si="66"/>
        <v>0</v>
      </c>
      <c r="L216" s="9">
        <f t="shared" si="67"/>
        <v>-205.02848535296044</v>
      </c>
      <c r="M216" s="9">
        <f t="shared" si="68"/>
        <v>38.980881645742151</v>
      </c>
      <c r="N216" s="9">
        <f t="shared" si="69"/>
        <v>46.390498730412219</v>
      </c>
      <c r="O216" s="9">
        <f t="shared" si="85"/>
        <v>11.017529819681597</v>
      </c>
      <c r="P216" s="9">
        <f t="shared" si="70"/>
        <v>0</v>
      </c>
      <c r="Q216" s="9">
        <f t="shared" si="71"/>
        <v>0</v>
      </c>
      <c r="R216" s="21">
        <f t="shared" si="72"/>
        <v>-115.01284123163107</v>
      </c>
      <c r="S216" s="8">
        <f t="shared" si="86"/>
        <v>-1.8153115850420227</v>
      </c>
      <c r="T216" s="8">
        <f t="shared" si="87"/>
        <v>1.5700365468093758</v>
      </c>
      <c r="U216" s="8">
        <f t="shared" si="88"/>
        <v>1.4807398996026104</v>
      </c>
      <c r="V216" s="8">
        <f t="shared" si="89"/>
        <v>0</v>
      </c>
      <c r="W216" s="8">
        <f t="shared" si="90"/>
        <v>1.5707071381300681</v>
      </c>
      <c r="X216" s="8">
        <f t="shared" si="91"/>
        <v>0</v>
      </c>
      <c r="Y216" s="8">
        <f t="shared" si="92"/>
        <v>2.953710814185678</v>
      </c>
      <c r="Z216" s="8">
        <f t="shared" si="73"/>
        <v>1.2856789805349438</v>
      </c>
      <c r="AA216" s="8">
        <f t="shared" si="74"/>
        <v>0</v>
      </c>
      <c r="AB216" s="8">
        <f t="shared" si="75"/>
        <v>0</v>
      </c>
      <c r="AC216" s="8">
        <f t="shared" si="93"/>
        <v>-4.4678737221375631</v>
      </c>
      <c r="AD216" s="8">
        <f t="shared" si="76"/>
        <v>-414.08772587281129</v>
      </c>
      <c r="AF216" s="21">
        <f t="shared" si="77"/>
        <v>-85.93929926003544</v>
      </c>
      <c r="AG216" s="8">
        <f t="shared" si="78"/>
        <v>104.06244755017964</v>
      </c>
      <c r="AI216" s="12">
        <f t="shared" si="79"/>
        <v>-39.44844924647434</v>
      </c>
      <c r="AJ216" s="8">
        <f t="shared" si="80"/>
        <v>-84.437823128965661</v>
      </c>
      <c r="AL216" s="12">
        <f t="shared" si="81"/>
        <v>10.37490727487871</v>
      </c>
      <c r="AM216" s="8">
        <f t="shared" si="82"/>
        <v>106.26021562611002</v>
      </c>
    </row>
    <row r="217" spans="1:39" x14ac:dyDescent="0.3">
      <c r="A217" s="20">
        <f t="shared" si="94"/>
        <v>8000000</v>
      </c>
      <c r="B217" s="8">
        <f t="shared" si="57"/>
        <v>50265482.457436688</v>
      </c>
      <c r="C217" s="9">
        <f t="shared" si="58"/>
        <v>40.367367550689096</v>
      </c>
      <c r="D217" s="9">
        <f t="shared" si="59"/>
        <v>-28466.404937194664</v>
      </c>
      <c r="E217" s="9">
        <f t="shared" si="60"/>
        <v>-121991.61285803547</v>
      </c>
      <c r="F217" s="9">
        <f t="shared" si="61"/>
        <v>101.95686320429245</v>
      </c>
      <c r="G217" s="9">
        <f t="shared" si="62"/>
        <v>62.946818024468321</v>
      </c>
      <c r="H217" s="9">
        <f t="shared" si="63"/>
        <v>21.477768314770543</v>
      </c>
      <c r="I217" s="9">
        <f t="shared" si="64"/>
        <v>0</v>
      </c>
      <c r="J217" s="9">
        <f t="shared" si="65"/>
        <v>81.554381229310607</v>
      </c>
      <c r="K217" s="9">
        <f t="shared" si="66"/>
        <v>0</v>
      </c>
      <c r="L217" s="9">
        <f t="shared" si="67"/>
        <v>-233.41463222381276</v>
      </c>
      <c r="M217" s="9">
        <f t="shared" si="68"/>
        <v>41.579607088791626</v>
      </c>
      <c r="N217" s="9">
        <f t="shared" si="69"/>
        <v>47.498232759692762</v>
      </c>
      <c r="O217" s="9">
        <f t="shared" si="85"/>
        <v>11.536297995234362</v>
      </c>
      <c r="P217" s="9">
        <f t="shared" si="70"/>
        <v>0</v>
      </c>
      <c r="Q217" s="9">
        <f t="shared" si="71"/>
        <v>0</v>
      </c>
      <c r="R217" s="21">
        <f t="shared" si="72"/>
        <v>-117.75382129860222</v>
      </c>
      <c r="S217" s="8">
        <f t="shared" si="86"/>
        <v>-1.8000414391170738</v>
      </c>
      <c r="T217" s="8">
        <f t="shared" si="87"/>
        <v>1.5700840330418735</v>
      </c>
      <c r="U217" s="8">
        <f t="shared" si="88"/>
        <v>1.486340816273062</v>
      </c>
      <c r="V217" s="8">
        <f t="shared" si="89"/>
        <v>0</v>
      </c>
      <c r="W217" s="8">
        <f t="shared" si="90"/>
        <v>1.5707127124215929</v>
      </c>
      <c r="X217" s="8">
        <f t="shared" si="91"/>
        <v>0</v>
      </c>
      <c r="Y217" s="8">
        <f t="shared" si="92"/>
        <v>2.9653055605805965</v>
      </c>
      <c r="Z217" s="8">
        <f t="shared" si="73"/>
        <v>1.3026308597230958</v>
      </c>
      <c r="AA217" s="8">
        <f t="shared" si="74"/>
        <v>0</v>
      </c>
      <c r="AB217" s="8">
        <f t="shared" si="75"/>
        <v>0</v>
      </c>
      <c r="AC217" s="8">
        <f t="shared" si="93"/>
        <v>-4.4831438680625126</v>
      </c>
      <c r="AD217" s="8">
        <f t="shared" si="76"/>
        <v>-416.2749316881596</v>
      </c>
      <c r="AF217" s="21">
        <f t="shared" si="77"/>
        <v>-87.610095566882976</v>
      </c>
      <c r="AG217" s="8">
        <f t="shared" si="78"/>
        <v>103.18708886658384</v>
      </c>
      <c r="AI217" s="12">
        <f t="shared" si="79"/>
        <v>-39.999864531642594</v>
      </c>
      <c r="AJ217" s="8">
        <f t="shared" si="80"/>
        <v>-84.781418463489231</v>
      </c>
      <c r="AL217" s="12">
        <f t="shared" si="81"/>
        <v>9.8561387999233521</v>
      </c>
      <c r="AM217" s="8">
        <f t="shared" si="82"/>
        <v>105.29085444633543</v>
      </c>
    </row>
    <row r="218" spans="1:39" x14ac:dyDescent="0.3">
      <c r="A218" s="20">
        <f t="shared" si="94"/>
        <v>8500000</v>
      </c>
      <c r="B218" s="8">
        <f t="shared" si="57"/>
        <v>53407075.111026481</v>
      </c>
      <c r="C218" s="9">
        <f t="shared" si="58"/>
        <v>40.367367550689096</v>
      </c>
      <c r="D218" s="9">
        <f t="shared" si="59"/>
        <v>-32136.031354879917</v>
      </c>
      <c r="E218" s="9">
        <f t="shared" si="60"/>
        <v>-146618.55376912517</v>
      </c>
      <c r="F218" s="9">
        <f t="shared" si="61"/>
        <v>103.52755887257413</v>
      </c>
      <c r="G218" s="9">
        <f t="shared" si="62"/>
        <v>63.473396547310685</v>
      </c>
      <c r="H218" s="9">
        <f t="shared" si="63"/>
        <v>22.000816883001683</v>
      </c>
      <c r="I218" s="9">
        <f t="shared" si="64"/>
        <v>0</v>
      </c>
      <c r="J218" s="9">
        <f t="shared" si="65"/>
        <v>82.080960000290517</v>
      </c>
      <c r="K218" s="9">
        <f t="shared" si="66"/>
        <v>0</v>
      </c>
      <c r="L218" s="9">
        <f t="shared" si="67"/>
        <v>-263.63214340891358</v>
      </c>
      <c r="M218" s="9">
        <f t="shared" si="68"/>
        <v>44.178332531841107</v>
      </c>
      <c r="N218" s="9">
        <f t="shared" si="69"/>
        <v>48.540243095789243</v>
      </c>
      <c r="O218" s="9">
        <f t="shared" si="85"/>
        <v>12.027921132865542</v>
      </c>
      <c r="P218" s="9">
        <f t="shared" si="70"/>
        <v>0</v>
      </c>
      <c r="Q218" s="9">
        <f t="shared" si="71"/>
        <v>0</v>
      </c>
      <c r="R218" s="21">
        <f t="shared" si="72"/>
        <v>-120.33510212051797</v>
      </c>
      <c r="S218" s="8">
        <f t="shared" si="86"/>
        <v>-1.786565503286992</v>
      </c>
      <c r="T218" s="8">
        <f t="shared" si="87"/>
        <v>1.5701259326614581</v>
      </c>
      <c r="U218" s="8">
        <f t="shared" si="88"/>
        <v>1.4912872278057194</v>
      </c>
      <c r="V218" s="8">
        <f t="shared" si="89"/>
        <v>0</v>
      </c>
      <c r="W218" s="8">
        <f t="shared" si="90"/>
        <v>1.5707176309141193</v>
      </c>
      <c r="X218" s="8">
        <f t="shared" si="91"/>
        <v>0</v>
      </c>
      <c r="Y218" s="8">
        <f t="shared" si="92"/>
        <v>2.9755596730500309</v>
      </c>
      <c r="Z218" s="8">
        <f t="shared" si="73"/>
        <v>1.317721023907789</v>
      </c>
      <c r="AA218" s="8">
        <f t="shared" si="74"/>
        <v>0</v>
      </c>
      <c r="AB218" s="8">
        <f t="shared" si="75"/>
        <v>0</v>
      </c>
      <c r="AC218" s="8">
        <f t="shared" si="93"/>
        <v>-4.4966198038925942</v>
      </c>
      <c r="AD218" s="8">
        <f t="shared" si="76"/>
        <v>-418.21363865624767</v>
      </c>
      <c r="AF218" s="21">
        <f t="shared" si="77"/>
        <v>-89.180791235164662</v>
      </c>
      <c r="AG218" s="8">
        <f t="shared" si="78"/>
        <v>102.41458299097405</v>
      </c>
      <c r="AI218" s="12">
        <f t="shared" si="79"/>
        <v>-40.518826299507936</v>
      </c>
      <c r="AJ218" s="8">
        <f t="shared" si="80"/>
        <v>-85.085681574514666</v>
      </c>
      <c r="AL218" s="12">
        <f t="shared" si="81"/>
        <v>9.3645154141546261</v>
      </c>
      <c r="AM218" s="8">
        <f t="shared" si="82"/>
        <v>104.42793312456017</v>
      </c>
    </row>
    <row r="219" spans="1:39" x14ac:dyDescent="0.3">
      <c r="A219" s="20">
        <f t="shared" si="94"/>
        <v>9000000</v>
      </c>
      <c r="B219" s="8">
        <f t="shared" si="57"/>
        <v>56548667.764616273</v>
      </c>
      <c r="C219" s="9">
        <f t="shared" si="58"/>
        <v>40.367367550689096</v>
      </c>
      <c r="D219" s="9">
        <f t="shared" si="59"/>
        <v>-36028.059373636999</v>
      </c>
      <c r="E219" s="9">
        <f t="shared" si="60"/>
        <v>-174336.85197248071</v>
      </c>
      <c r="F219" s="9">
        <f t="shared" si="61"/>
        <v>105.0094086340367</v>
      </c>
      <c r="G219" s="9">
        <f t="shared" si="62"/>
        <v>63.969868010964191</v>
      </c>
      <c r="H219" s="9">
        <f t="shared" si="63"/>
        <v>22.494327998800536</v>
      </c>
      <c r="I219" s="9">
        <f t="shared" si="64"/>
        <v>0</v>
      </c>
      <c r="J219" s="9">
        <f t="shared" si="65"/>
        <v>82.577431671885734</v>
      </c>
      <c r="K219" s="9">
        <f t="shared" si="66"/>
        <v>0</v>
      </c>
      <c r="L219" s="9">
        <f t="shared" si="67"/>
        <v>-295.68101890826301</v>
      </c>
      <c r="M219" s="9">
        <f t="shared" si="68"/>
        <v>46.777057974890582</v>
      </c>
      <c r="N219" s="9">
        <f t="shared" si="69"/>
        <v>49.523824445339848</v>
      </c>
      <c r="O219" s="9">
        <f t="shared" si="85"/>
        <v>12.494881396867699</v>
      </c>
      <c r="P219" s="9">
        <f t="shared" si="70"/>
        <v>0</v>
      </c>
      <c r="Q219" s="9">
        <f t="shared" si="71"/>
        <v>0</v>
      </c>
      <c r="R219" s="21">
        <f t="shared" si="72"/>
        <v>-122.77398258767616</v>
      </c>
      <c r="S219" s="8">
        <f t="shared" si="86"/>
        <v>-1.7745852843100243</v>
      </c>
      <c r="T219" s="8">
        <f t="shared" si="87"/>
        <v>1.5701631767697362</v>
      </c>
      <c r="U219" s="8">
        <f t="shared" si="88"/>
        <v>1.4956873211751618</v>
      </c>
      <c r="V219" s="8">
        <f t="shared" si="89"/>
        <v>0</v>
      </c>
      <c r="W219" s="8">
        <f t="shared" si="90"/>
        <v>1.5707220029074793</v>
      </c>
      <c r="X219" s="8">
        <f t="shared" si="91"/>
        <v>0</v>
      </c>
      <c r="Y219" s="8">
        <f t="shared" si="92"/>
        <v>2.9846918943762177</v>
      </c>
      <c r="Z219" s="8">
        <f t="shared" si="73"/>
        <v>1.3312343273874414</v>
      </c>
      <c r="AA219" s="8">
        <f t="shared" si="74"/>
        <v>0</v>
      </c>
      <c r="AB219" s="8">
        <f t="shared" si="75"/>
        <v>0</v>
      </c>
      <c r="AC219" s="8">
        <f t="shared" si="93"/>
        <v>-4.5086000228695617</v>
      </c>
      <c r="AD219" s="8">
        <f t="shared" si="76"/>
        <v>-419.94355742452285</v>
      </c>
      <c r="AF219" s="21">
        <f t="shared" si="77"/>
        <v>-90.662640996627232</v>
      </c>
      <c r="AG219" s="8">
        <f t="shared" si="78"/>
        <v>101.72781884579757</v>
      </c>
      <c r="AI219" s="12">
        <f t="shared" si="79"/>
        <v>-41.008896533259687</v>
      </c>
      <c r="AJ219" s="8">
        <f t="shared" si="80"/>
        <v>-85.356950056111472</v>
      </c>
      <c r="AL219" s="12">
        <f t="shared" si="81"/>
        <v>8.8975549422107587</v>
      </c>
      <c r="AM219" s="8">
        <f t="shared" si="82"/>
        <v>103.65516954314229</v>
      </c>
    </row>
    <row r="220" spans="1:39" x14ac:dyDescent="0.3">
      <c r="A220" s="20">
        <f t="shared" si="94"/>
        <v>9500000</v>
      </c>
      <c r="B220" s="8">
        <f t="shared" si="57"/>
        <v>59690260.418206066</v>
      </c>
      <c r="C220" s="9">
        <f t="shared" si="58"/>
        <v>40.367367550689096</v>
      </c>
      <c r="D220" s="9">
        <f t="shared" si="59"/>
        <v>-40142.488993465908</v>
      </c>
      <c r="E220" s="9">
        <f t="shared" si="60"/>
        <v>-205328.35201470603</v>
      </c>
      <c r="F220" s="9">
        <f t="shared" si="61"/>
        <v>106.41187972502232</v>
      </c>
      <c r="G220" s="9">
        <f t="shared" si="62"/>
        <v>64.439489749514721</v>
      </c>
      <c r="H220" s="9">
        <f t="shared" si="63"/>
        <v>22.961442817375133</v>
      </c>
      <c r="I220" s="9">
        <f t="shared" si="64"/>
        <v>0</v>
      </c>
      <c r="J220" s="9">
        <f t="shared" si="65"/>
        <v>83.04705358641732</v>
      </c>
      <c r="K220" s="9">
        <f t="shared" si="66"/>
        <v>0</v>
      </c>
      <c r="L220" s="9">
        <f t="shared" si="67"/>
        <v>-329.56125872186095</v>
      </c>
      <c r="M220" s="9">
        <f t="shared" si="68"/>
        <v>49.375783417940056</v>
      </c>
      <c r="N220" s="9">
        <f t="shared" si="69"/>
        <v>50.455130534631664</v>
      </c>
      <c r="O220" s="9">
        <f t="shared" si="85"/>
        <v>12.939370174187271</v>
      </c>
      <c r="P220" s="9">
        <f t="shared" si="70"/>
        <v>0</v>
      </c>
      <c r="Q220" s="9">
        <f t="shared" si="71"/>
        <v>0</v>
      </c>
      <c r="R220" s="21">
        <f t="shared" si="72"/>
        <v>-125.08513390267963</v>
      </c>
      <c r="S220" s="8">
        <f t="shared" si="86"/>
        <v>-1.7638649777643507</v>
      </c>
      <c r="T220" s="8">
        <f t="shared" si="87"/>
        <v>1.5701965004470557</v>
      </c>
      <c r="U220" s="8">
        <f t="shared" si="88"/>
        <v>1.4996267233238409</v>
      </c>
      <c r="V220" s="8">
        <f t="shared" si="89"/>
        <v>0</v>
      </c>
      <c r="W220" s="8">
        <f t="shared" si="90"/>
        <v>1.5707259146910142</v>
      </c>
      <c r="X220" s="8">
        <f t="shared" si="91"/>
        <v>0</v>
      </c>
      <c r="Y220" s="8">
        <f t="shared" si="92"/>
        <v>2.9928760323927079</v>
      </c>
      <c r="Z220" s="8">
        <f t="shared" si="73"/>
        <v>1.3434014133306351</v>
      </c>
      <c r="AA220" s="8">
        <f t="shared" si="74"/>
        <v>0</v>
      </c>
      <c r="AB220" s="8">
        <f t="shared" si="75"/>
        <v>0</v>
      </c>
      <c r="AC220" s="8">
        <f t="shared" si="93"/>
        <v>-4.5193203294152351</v>
      </c>
      <c r="AD220" s="8">
        <f t="shared" si="76"/>
        <v>-421.4964286911864</v>
      </c>
      <c r="AF220" s="21">
        <f t="shared" si="77"/>
        <v>-92.065112087612846</v>
      </c>
      <c r="AG220" s="8">
        <f t="shared" si="78"/>
        <v>101.11327898012202</v>
      </c>
      <c r="AI220" s="12">
        <f t="shared" si="79"/>
        <v>-41.47308780397691</v>
      </c>
      <c r="AJ220" s="8">
        <f t="shared" si="80"/>
        <v>-85.600278863820392</v>
      </c>
      <c r="AL220" s="12">
        <f t="shared" si="81"/>
        <v>8.4530659889101294</v>
      </c>
      <c r="AM220" s="8">
        <f t="shared" si="82"/>
        <v>102.95937931101057</v>
      </c>
    </row>
    <row r="221" spans="1:39" x14ac:dyDescent="0.3">
      <c r="A221" s="20">
        <f t="shared" si="94"/>
        <v>10000000</v>
      </c>
      <c r="B221" s="8">
        <f t="shared" si="57"/>
        <v>62831853.071795866</v>
      </c>
      <c r="C221" s="9">
        <f t="shared" si="58"/>
        <v>40.367367550689096</v>
      </c>
      <c r="D221" s="9">
        <f t="shared" si="59"/>
        <v>-44479.320214366671</v>
      </c>
      <c r="E221" s="9">
        <f t="shared" si="60"/>
        <v>-239774.89844240513</v>
      </c>
      <c r="F221" s="9">
        <f t="shared" si="61"/>
        <v>107.74300946124555</v>
      </c>
      <c r="G221" s="9">
        <f t="shared" si="62"/>
        <v>64.885017491388638</v>
      </c>
      <c r="H221" s="9">
        <f t="shared" si="63"/>
        <v>23.40482904568664</v>
      </c>
      <c r="I221" s="9">
        <f t="shared" si="64"/>
        <v>0</v>
      </c>
      <c r="J221" s="9">
        <f t="shared" si="65"/>
        <v>83.492581478541013</v>
      </c>
      <c r="K221" s="9">
        <f t="shared" si="66"/>
        <v>0</v>
      </c>
      <c r="L221" s="9">
        <f t="shared" si="67"/>
        <v>-365.27286284970745</v>
      </c>
      <c r="M221" s="9">
        <f t="shared" si="68"/>
        <v>51.974508860989538</v>
      </c>
      <c r="N221" s="9">
        <f t="shared" si="69"/>
        <v>51.339398513701404</v>
      </c>
      <c r="O221" s="9">
        <f t="shared" si="85"/>
        <v>13.363324093875894</v>
      </c>
      <c r="P221" s="9">
        <f t="shared" si="70"/>
        <v>0</v>
      </c>
      <c r="Q221" s="9">
        <f t="shared" si="71"/>
        <v>0</v>
      </c>
      <c r="R221" s="21">
        <f t="shared" si="72"/>
        <v>-127.28109945959949</v>
      </c>
      <c r="S221" s="8">
        <f t="shared" si="86"/>
        <v>-1.7542158440392261</v>
      </c>
      <c r="T221" s="8">
        <f t="shared" si="87"/>
        <v>1.5702264917577846</v>
      </c>
      <c r="U221" s="8">
        <f t="shared" si="88"/>
        <v>1.5031740815925336</v>
      </c>
      <c r="V221" s="8">
        <f t="shared" si="89"/>
        <v>0</v>
      </c>
      <c r="W221" s="8">
        <f t="shared" si="90"/>
        <v>1.5707294352961976</v>
      </c>
      <c r="X221" s="8">
        <f t="shared" si="91"/>
        <v>0</v>
      </c>
      <c r="Y221" s="8">
        <f t="shared" si="92"/>
        <v>3.0002518906290199</v>
      </c>
      <c r="Z221" s="8">
        <f t="shared" si="73"/>
        <v>1.3544107841190542</v>
      </c>
      <c r="AA221" s="8">
        <f t="shared" si="74"/>
        <v>0</v>
      </c>
      <c r="AB221" s="8">
        <f t="shared" si="75"/>
        <v>0</v>
      </c>
      <c r="AC221" s="8">
        <f t="shared" si="93"/>
        <v>-4.5289694631403599</v>
      </c>
      <c r="AD221" s="8">
        <f t="shared" si="76"/>
        <v>-422.89791404116647</v>
      </c>
      <c r="AF221" s="21">
        <f t="shared" si="77"/>
        <v>-93.396241823836078</v>
      </c>
      <c r="AG221" s="8">
        <f t="shared" si="78"/>
        <v>100.56014392581551</v>
      </c>
      <c r="AI221" s="12">
        <f t="shared" si="79"/>
        <v>-41.913969554735147</v>
      </c>
      <c r="AJ221" s="8">
        <f t="shared" si="80"/>
        <v>-85.819747014830426</v>
      </c>
      <c r="AL221" s="12">
        <f t="shared" si="81"/>
        <v>8.029111918971731</v>
      </c>
      <c r="AM221" s="8">
        <f t="shared" si="82"/>
        <v>102.32978631262927</v>
      </c>
    </row>
    <row r="228" spans="1:2" x14ac:dyDescent="0.3">
      <c r="A228" s="8" t="s">
        <v>53</v>
      </c>
    </row>
    <row r="229" spans="1:2" x14ac:dyDescent="0.3">
      <c r="A229" s="8" t="s">
        <v>71</v>
      </c>
    </row>
    <row r="230" spans="1:2" x14ac:dyDescent="0.3">
      <c r="A230" s="8" t="s">
        <v>72</v>
      </c>
    </row>
    <row r="232" spans="1:2" x14ac:dyDescent="0.3">
      <c r="A232" s="8" t="s">
        <v>73</v>
      </c>
      <c r="B232" s="8">
        <f>INDEX(A95:A221,MATCH(0,R95:R221,-1))</f>
        <v>45000</v>
      </c>
    </row>
    <row r="233" spans="1:2" x14ac:dyDescent="0.3">
      <c r="A233" s="8" t="s">
        <v>74</v>
      </c>
      <c r="B233" s="8">
        <f>INDEX(A95:A221,MATCH(0,R95:R221,-1)+1)</f>
        <v>50000</v>
      </c>
    </row>
    <row r="234" spans="1:2" x14ac:dyDescent="0.3">
      <c r="A234" s="8" t="s">
        <v>75</v>
      </c>
      <c r="B234" s="8">
        <f>INDEX(R95:R221,MATCH(0,R95:R221,-1))</f>
        <v>4.9326312735630519E-2</v>
      </c>
    </row>
    <row r="235" spans="1:2" x14ac:dyDescent="0.3">
      <c r="A235" s="8" t="s">
        <v>34</v>
      </c>
      <c r="B235" s="8">
        <f>INDEX(R95:R221,MATCH(0,R95:R221,-1)+1)</f>
        <v>-0.90991020265190936</v>
      </c>
    </row>
    <row r="236" spans="1:2" x14ac:dyDescent="0.3">
      <c r="A236" s="8" t="s">
        <v>15</v>
      </c>
      <c r="B236" s="8">
        <f>(B235-B234)/(B233-B232)</f>
        <v>-1.9184730307750798E-4</v>
      </c>
    </row>
    <row r="237" spans="1:2" x14ac:dyDescent="0.3">
      <c r="A237" s="8" t="s">
        <v>18</v>
      </c>
      <c r="B237" s="8">
        <f>B233-(B235/B236)</f>
        <v>45257.112359383558</v>
      </c>
    </row>
    <row r="238" spans="1:2" x14ac:dyDescent="0.3">
      <c r="A238" s="8" t="s">
        <v>76</v>
      </c>
      <c r="B238" s="8">
        <f>INDEX(AD95:AD221,MATCH(0,R95:R221,-1))</f>
        <v>-106.52384778856286</v>
      </c>
    </row>
    <row r="239" spans="1:2" x14ac:dyDescent="0.3">
      <c r="A239" s="8" t="s">
        <v>77</v>
      </c>
      <c r="B239" s="8">
        <f>INDEX(AD95:AD221,MATCH(0,R95:R221,-1)+1)</f>
        <v>-107.99132738898231</v>
      </c>
    </row>
    <row r="240" spans="1:2" x14ac:dyDescent="0.3">
      <c r="A240" s="8" t="s">
        <v>78</v>
      </c>
      <c r="B240" s="8">
        <f>(B239-B238)/(B233-B232)</f>
        <v>-2.9349592008389038E-4</v>
      </c>
    </row>
    <row r="241" spans="1:2" x14ac:dyDescent="0.3">
      <c r="A241" s="8" t="s">
        <v>55</v>
      </c>
      <c r="B241" s="8">
        <f>B240*B237+B239-(B240*B233)</f>
        <v>-106.59930921704508</v>
      </c>
    </row>
    <row r="242" spans="1:2" x14ac:dyDescent="0.3">
      <c r="A242" s="8" t="s">
        <v>19</v>
      </c>
      <c r="B242" s="8">
        <f>180+B241</f>
        <v>73.400690782954925</v>
      </c>
    </row>
  </sheetData>
  <mergeCells count="3">
    <mergeCell ref="AF93:AG93"/>
    <mergeCell ref="AI93:AJ93"/>
    <mergeCell ref="AL93:AM93"/>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Helper_calcs!$A$3:$A$4</xm:f>
          </x14:formula1>
          <xm:sqref>C55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07"/>
  <sheetViews>
    <sheetView topLeftCell="A49" zoomScaleNormal="100" workbookViewId="0">
      <selection activeCell="B68" sqref="B68"/>
    </sheetView>
  </sheetViews>
  <sheetFormatPr baseColWidth="10" defaultColWidth="9" defaultRowHeight="15.6" x14ac:dyDescent="0.3"/>
  <cols>
    <col min="1" max="1" width="35.5" style="5" customWidth="1"/>
    <col min="2" max="2" width="34" style="5" customWidth="1"/>
    <col min="3" max="3" width="28.5" style="5" customWidth="1"/>
    <col min="4" max="4" width="22.09765625" style="5" customWidth="1"/>
    <col min="5" max="5" width="30.69921875" style="5" customWidth="1"/>
    <col min="6" max="7" width="9" style="5"/>
    <col min="8" max="8" width="10.19921875" style="5" bestFit="1" customWidth="1"/>
    <col min="9" max="16384" width="9" style="5"/>
  </cols>
  <sheetData>
    <row r="3" spans="1:9" x14ac:dyDescent="0.3">
      <c r="A3" s="114">
        <v>43934</v>
      </c>
    </row>
    <row r="7" spans="1:9" x14ac:dyDescent="0.3">
      <c r="I7"/>
    </row>
    <row r="16" spans="1:9" x14ac:dyDescent="0.3">
      <c r="G16"/>
    </row>
    <row r="35" spans="1:4" x14ac:dyDescent="0.3">
      <c r="D35"/>
    </row>
    <row r="42" spans="1:4" x14ac:dyDescent="0.3">
      <c r="C42"/>
    </row>
    <row r="45" spans="1:4" x14ac:dyDescent="0.3">
      <c r="A45" s="28"/>
    </row>
    <row r="46" spans="1:4" x14ac:dyDescent="0.3">
      <c r="A46" s="28"/>
    </row>
    <row r="50" spans="1:8" x14ac:dyDescent="0.3">
      <c r="B50" s="7" t="s">
        <v>79</v>
      </c>
      <c r="C50" s="7" t="s">
        <v>160</v>
      </c>
    </row>
    <row r="51" spans="1:8" x14ac:dyDescent="0.3">
      <c r="A51" s="28" t="s">
        <v>121</v>
      </c>
      <c r="B51" s="22">
        <v>400000</v>
      </c>
      <c r="C51" s="22">
        <v>400000</v>
      </c>
    </row>
    <row r="52" spans="1:8" x14ac:dyDescent="0.3">
      <c r="A52" s="28" t="s">
        <v>122</v>
      </c>
      <c r="B52" s="22">
        <v>500000</v>
      </c>
      <c r="C52" s="22">
        <v>500000</v>
      </c>
      <c r="H52" s="23"/>
    </row>
    <row r="53" spans="1:8" x14ac:dyDescent="0.3">
      <c r="A53" s="28" t="s">
        <v>174</v>
      </c>
      <c r="B53" s="22">
        <v>9.4000000000000003E-13</v>
      </c>
      <c r="C53" s="22">
        <v>9.4000000000000003E-13</v>
      </c>
      <c r="H53" s="23"/>
    </row>
    <row r="54" spans="1:8" x14ac:dyDescent="0.3">
      <c r="A54" s="28" t="s">
        <v>90</v>
      </c>
      <c r="B54" s="22">
        <v>4.7000000000000002E-13</v>
      </c>
      <c r="C54" s="22">
        <v>4.7000000000000002E-13</v>
      </c>
      <c r="H54" s="23"/>
    </row>
    <row r="55" spans="1:8" x14ac:dyDescent="0.3">
      <c r="B55"/>
      <c r="C55"/>
      <c r="H55" s="23"/>
    </row>
    <row r="56" spans="1:8" x14ac:dyDescent="0.3">
      <c r="A56" s="28" t="s">
        <v>83</v>
      </c>
      <c r="B56" s="29">
        <f>Main!C45*1000</f>
        <v>100000</v>
      </c>
      <c r="C56" s="83">
        <v>0</v>
      </c>
      <c r="H56" s="23"/>
    </row>
    <row r="57" spans="1:8" x14ac:dyDescent="0.3">
      <c r="A57" s="28" t="s">
        <v>84</v>
      </c>
      <c r="B57" s="29">
        <f>Main!B46*1000</f>
        <v>25000</v>
      </c>
      <c r="C57" s="84">
        <v>10000000000</v>
      </c>
      <c r="H57" s="23"/>
    </row>
    <row r="58" spans="1:8" x14ac:dyDescent="0.3">
      <c r="A58" s="28" t="s">
        <v>113</v>
      </c>
      <c r="B58" s="29">
        <f>loop_gain!B23</f>
        <v>0</v>
      </c>
      <c r="C58" s="83">
        <v>0</v>
      </c>
      <c r="H58" s="23"/>
    </row>
    <row r="59" spans="1:8" x14ac:dyDescent="0.3">
      <c r="A59" s="28" t="s">
        <v>175</v>
      </c>
      <c r="B59" s="71">
        <f>(B56*B57)/(B56+B57)</f>
        <v>20000</v>
      </c>
      <c r="C59" s="71">
        <f>(C56*C57)/(C56+C57)</f>
        <v>0</v>
      </c>
      <c r="H59" s="23"/>
    </row>
    <row r="60" spans="1:8" x14ac:dyDescent="0.3">
      <c r="A60" s="28" t="s">
        <v>176</v>
      </c>
      <c r="B60" s="85">
        <f>(B53*B54)/(B53+B54)</f>
        <v>3.1333333333333333E-13</v>
      </c>
      <c r="C60" s="85">
        <f>(C53*C54)/(C53+C54)</f>
        <v>3.1333333333333333E-13</v>
      </c>
      <c r="H60" s="23"/>
    </row>
    <row r="61" spans="1:8" x14ac:dyDescent="0.3">
      <c r="A61" s="28"/>
      <c r="H61" s="23"/>
    </row>
    <row r="62" spans="1:8" x14ac:dyDescent="0.3">
      <c r="A62" s="28"/>
      <c r="H62" s="23"/>
    </row>
    <row r="63" spans="1:8" x14ac:dyDescent="0.3">
      <c r="B63" s="7" t="s">
        <v>79</v>
      </c>
      <c r="C63" s="7" t="s">
        <v>160</v>
      </c>
      <c r="H63" s="23"/>
    </row>
    <row r="64" spans="1:8" x14ac:dyDescent="0.3">
      <c r="A64" s="28" t="s">
        <v>35</v>
      </c>
      <c r="B64" s="85">
        <f>B51*(B53+B54)*B52*B60*B59*B58</f>
        <v>0</v>
      </c>
      <c r="C64" s="85">
        <f>C51*(C53+C54)*C52*C60*C59*C58</f>
        <v>0</v>
      </c>
      <c r="H64" s="24"/>
    </row>
    <row r="65" spans="1:8" x14ac:dyDescent="0.3">
      <c r="A65" s="28" t="s">
        <v>36</v>
      </c>
      <c r="B65" s="85">
        <f>B51*(B53+B54)*B59*B58+(B51+B59)*B52*B53*B54+B59*B58*B52*B54</f>
        <v>9.2778000000000016E-14</v>
      </c>
      <c r="C65" s="85">
        <f>C51*(C53+C54)*C59*C58+(C51+C59)*C52*C53*C54+C59*C58*C52*C54</f>
        <v>8.8360000000000002E-14</v>
      </c>
    </row>
    <row r="66" spans="1:8" x14ac:dyDescent="0.3">
      <c r="A66" s="28" t="s">
        <v>90</v>
      </c>
      <c r="B66" s="85">
        <f>(B51+B59)*(B53+B54)+B52*B54+B59*B58</f>
        <v>8.272E-7</v>
      </c>
      <c r="C66" s="85">
        <f>(C51+C59)*(C53+C54)+C52*C54+C59*C58</f>
        <v>7.9899999999999999E-7</v>
      </c>
      <c r="H66" s="23"/>
    </row>
    <row r="67" spans="1:8" x14ac:dyDescent="0.3">
      <c r="A67" s="28" t="s">
        <v>97</v>
      </c>
      <c r="B67" s="85">
        <f>B56*B58</f>
        <v>0</v>
      </c>
      <c r="C67" s="85">
        <f>C56*C58</f>
        <v>0</v>
      </c>
      <c r="D67" s="25"/>
      <c r="H67" s="24"/>
    </row>
    <row r="68" spans="1:8" x14ac:dyDescent="0.3">
      <c r="A68" s="28" t="s">
        <v>180</v>
      </c>
      <c r="B68" s="85">
        <f>B52*B54</f>
        <v>2.35E-7</v>
      </c>
      <c r="C68" s="85">
        <f>C52*C54</f>
        <v>2.35E-7</v>
      </c>
      <c r="D68" s="25"/>
      <c r="H68" s="24"/>
    </row>
    <row r="69" spans="1:8" x14ac:dyDescent="0.3">
      <c r="A69" s="28"/>
      <c r="B69"/>
      <c r="C69"/>
      <c r="D69" s="25"/>
      <c r="H69" s="24"/>
    </row>
    <row r="70" spans="1:8" x14ac:dyDescent="0.3">
      <c r="A70"/>
      <c r="B70"/>
      <c r="C70"/>
    </row>
    <row r="71" spans="1:8" x14ac:dyDescent="0.3">
      <c r="A71" s="28" t="s">
        <v>177</v>
      </c>
      <c r="B71" s="107">
        <v>181000</v>
      </c>
      <c r="C71" s="107">
        <v>181000</v>
      </c>
    </row>
    <row r="72" spans="1:8" x14ac:dyDescent="0.3">
      <c r="A72" s="28" t="s">
        <v>178</v>
      </c>
      <c r="B72" s="107">
        <v>4.0000000000000001E-13</v>
      </c>
      <c r="C72" s="107">
        <v>4.0000000000000001E-13</v>
      </c>
    </row>
    <row r="73" spans="1:8" x14ac:dyDescent="0.3">
      <c r="A73" s="28" t="s">
        <v>37</v>
      </c>
      <c r="B73" s="84">
        <f>B71*B72</f>
        <v>7.24E-8</v>
      </c>
      <c r="C73" s="84">
        <f>C71*C72</f>
        <v>7.24E-8</v>
      </c>
    </row>
    <row r="75" spans="1:8" x14ac:dyDescent="0.3">
      <c r="H75" s="24"/>
    </row>
    <row r="76" spans="1:8" x14ac:dyDescent="0.3">
      <c r="H76" s="23"/>
    </row>
    <row r="82" spans="1:5" x14ac:dyDescent="0.3">
      <c r="B82" s="23"/>
      <c r="C82" s="23"/>
    </row>
    <row r="83" spans="1:5" x14ac:dyDescent="0.3">
      <c r="B83" s="23"/>
      <c r="C83" s="23"/>
    </row>
    <row r="84" spans="1:5" x14ac:dyDescent="0.3">
      <c r="A84"/>
      <c r="B84" s="23"/>
      <c r="C84" s="23"/>
      <c r="D84"/>
      <c r="E84"/>
    </row>
    <row r="85" spans="1:5" x14ac:dyDescent="0.3">
      <c r="A85"/>
      <c r="D85"/>
      <c r="E85"/>
    </row>
    <row r="86" spans="1:5" x14ac:dyDescent="0.3">
      <c r="A86"/>
      <c r="D86"/>
      <c r="E86"/>
    </row>
    <row r="87" spans="1:5" x14ac:dyDescent="0.3">
      <c r="A87"/>
      <c r="B87" s="23"/>
      <c r="C87" s="23"/>
      <c r="D87"/>
      <c r="E87"/>
    </row>
    <row r="88" spans="1:5" x14ac:dyDescent="0.3">
      <c r="A88"/>
      <c r="B88" s="23"/>
      <c r="C88" s="23"/>
      <c r="D88"/>
      <c r="E88"/>
    </row>
    <row r="89" spans="1:5" x14ac:dyDescent="0.3">
      <c r="A89"/>
      <c r="B89" s="23"/>
      <c r="C89" s="23"/>
      <c r="D89"/>
      <c r="E89"/>
    </row>
    <row r="90" spans="1:5" x14ac:dyDescent="0.3">
      <c r="A90"/>
      <c r="B90" s="23"/>
      <c r="C90" s="23"/>
      <c r="D90"/>
      <c r="E90"/>
    </row>
    <row r="91" spans="1:5" x14ac:dyDescent="0.3">
      <c r="A91"/>
      <c r="B91"/>
      <c r="C91"/>
      <c r="D91"/>
      <c r="E91"/>
    </row>
    <row r="92" spans="1:5" x14ac:dyDescent="0.3">
      <c r="A92"/>
      <c r="B92"/>
      <c r="C92"/>
      <c r="D92"/>
      <c r="E92"/>
    </row>
    <row r="93" spans="1:5" x14ac:dyDescent="0.3">
      <c r="A93"/>
      <c r="B93"/>
      <c r="C93"/>
      <c r="D93"/>
      <c r="E93"/>
    </row>
    <row r="94" spans="1:5" x14ac:dyDescent="0.3">
      <c r="A94"/>
      <c r="B94"/>
      <c r="C94"/>
      <c r="D94"/>
      <c r="E94"/>
    </row>
    <row r="95" spans="1:5" x14ac:dyDescent="0.3">
      <c r="A95"/>
      <c r="B95"/>
      <c r="C95"/>
      <c r="D95"/>
      <c r="E95"/>
    </row>
    <row r="104" spans="1:4" x14ac:dyDescent="0.3">
      <c r="B104" s="7"/>
      <c r="C104" s="7"/>
      <c r="D104" s="7"/>
    </row>
    <row r="105" spans="1:4" x14ac:dyDescent="0.3">
      <c r="A105"/>
      <c r="B105"/>
      <c r="C105"/>
      <c r="D105"/>
    </row>
    <row r="106" spans="1:4" x14ac:dyDescent="0.3">
      <c r="A106"/>
      <c r="B106"/>
      <c r="C106"/>
      <c r="D106"/>
    </row>
    <row r="107" spans="1:4" x14ac:dyDescent="0.3">
      <c r="A107"/>
      <c r="B107"/>
      <c r="C107"/>
      <c r="D107"/>
    </row>
  </sheetData>
  <pageMargins left="0.7" right="0.7" top="0.75" bottom="0.75" header="0.3" footer="0.3"/>
  <pageSetup orientation="portrait" r:id="rId1"/>
  <drawing r:id="rId2"/>
  <legacyDrawing r:id="rId3"/>
  <oleObjects>
    <mc:AlternateContent xmlns:mc="http://schemas.openxmlformats.org/markup-compatibility/2006">
      <mc:Choice Requires="x14">
        <oleObject progId="Equation.DSMT4" shapeId="4100" r:id="rId4">
          <objectPr defaultSize="0" autoPict="0" r:id="rId5">
            <anchor moveWithCells="1" sizeWithCells="1">
              <from>
                <xdr:col>2</xdr:col>
                <xdr:colOff>1409700</xdr:colOff>
                <xdr:row>6</xdr:row>
                <xdr:rowOff>22860</xdr:rowOff>
              </from>
              <to>
                <xdr:col>7</xdr:col>
                <xdr:colOff>68580</xdr:colOff>
                <xdr:row>31</xdr:row>
                <xdr:rowOff>160020</xdr:rowOff>
              </to>
            </anchor>
          </objectPr>
        </oleObject>
      </mc:Choice>
      <mc:Fallback>
        <oleObject progId="Equation.DSMT4" shapeId="4100"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64"/>
  <sheetViews>
    <sheetView topLeftCell="A46" zoomScale="115" zoomScaleNormal="115" workbookViewId="0">
      <selection activeCell="G26" sqref="G26"/>
    </sheetView>
  </sheetViews>
  <sheetFormatPr baseColWidth="10" defaultColWidth="8.796875" defaultRowHeight="15.6" x14ac:dyDescent="0.3"/>
  <cols>
    <col min="1" max="1" width="25.69921875" customWidth="1"/>
    <col min="2" max="2" width="18.5" customWidth="1"/>
    <col min="3" max="3" width="15.09765625" customWidth="1"/>
  </cols>
  <sheetData>
    <row r="3" spans="1:2" x14ac:dyDescent="0.3">
      <c r="A3" s="101" t="s">
        <v>128</v>
      </c>
      <c r="B3" s="158" t="s">
        <v>126</v>
      </c>
    </row>
    <row r="4" spans="1:2" x14ac:dyDescent="0.3">
      <c r="A4" s="102" t="s">
        <v>127</v>
      </c>
      <c r="B4" s="159"/>
    </row>
    <row r="5" spans="1:2" x14ac:dyDescent="0.3">
      <c r="A5" s="40"/>
      <c r="B5" s="160"/>
    </row>
    <row r="6" spans="1:2" x14ac:dyDescent="0.3">
      <c r="A6" s="38" t="s">
        <v>169</v>
      </c>
      <c r="B6" s="158" t="s">
        <v>126</v>
      </c>
    </row>
    <row r="7" spans="1:2" x14ac:dyDescent="0.3">
      <c r="A7" s="39" t="s">
        <v>170</v>
      </c>
      <c r="B7" s="159"/>
    </row>
    <row r="8" spans="1:2" x14ac:dyDescent="0.3">
      <c r="A8" s="40" t="s">
        <v>171</v>
      </c>
      <c r="B8" s="160"/>
    </row>
    <row r="9" spans="1:2" x14ac:dyDescent="0.3">
      <c r="B9" s="100"/>
    </row>
    <row r="10" spans="1:2" x14ac:dyDescent="0.3">
      <c r="B10" s="100"/>
    </row>
    <row r="11" spans="1:2" x14ac:dyDescent="0.3">
      <c r="A11" s="123">
        <f>IF(B22=4,"",2100)</f>
        <v>2100</v>
      </c>
      <c r="B11" s="161" t="s">
        <v>126</v>
      </c>
    </row>
    <row r="12" spans="1:2" x14ac:dyDescent="0.3">
      <c r="A12" s="123">
        <v>400</v>
      </c>
      <c r="B12" s="162"/>
    </row>
    <row r="13" spans="1:2" x14ac:dyDescent="0.3">
      <c r="A13" s="123" t="str">
        <f>IF(OR(B22=2,B22=3),"",1000)</f>
        <v/>
      </c>
      <c r="B13" s="162"/>
    </row>
    <row r="14" spans="1:2" x14ac:dyDescent="0.3">
      <c r="A14" s="123">
        <f>IF(OR(B22=2,B22=3),1400,"")</f>
        <v>1400</v>
      </c>
      <c r="B14" s="163"/>
    </row>
    <row r="15" spans="1:2" x14ac:dyDescent="0.3">
      <c r="B15" s="100"/>
    </row>
    <row r="16" spans="1:2" x14ac:dyDescent="0.3">
      <c r="A16" s="38" t="str">
        <f>IF(B22=4,"","RNX")</f>
        <v>RNX</v>
      </c>
      <c r="B16" s="158" t="s">
        <v>126</v>
      </c>
    </row>
    <row r="17" spans="1:2" x14ac:dyDescent="0.3">
      <c r="A17" s="40" t="s">
        <v>173</v>
      </c>
      <c r="B17" s="159"/>
    </row>
    <row r="18" spans="1:2" x14ac:dyDescent="0.3">
      <c r="B18" s="160"/>
    </row>
    <row r="19" spans="1:2" x14ac:dyDescent="0.3">
      <c r="B19" s="100"/>
    </row>
    <row r="20" spans="1:2" x14ac:dyDescent="0.3">
      <c r="B20" s="100"/>
    </row>
    <row r="22" spans="1:2" x14ac:dyDescent="0.3">
      <c r="A22" t="s">
        <v>119</v>
      </c>
      <c r="B22" s="37">
        <f>IF(Main!B16="lmr33630",3,IF(Main!B16="lmr33620",2,IF(Main!B16="lmr33640",4,"")))</f>
        <v>3</v>
      </c>
    </row>
    <row r="26" spans="1:2" x14ac:dyDescent="0.3">
      <c r="A26" t="s">
        <v>22</v>
      </c>
      <c r="B26" s="37">
        <f>IF(B22=3,3.85,IF(B22=2,2.9,IF(B22=4,4.8,"")))</f>
        <v>3.85</v>
      </c>
    </row>
    <row r="27" spans="1:2" x14ac:dyDescent="0.3">
      <c r="A27" t="s">
        <v>23</v>
      </c>
      <c r="B27" s="37">
        <f>IF(B22=3,2.9,IF(B22=2,1.95,IF(B22=4,3.9,"")))</f>
        <v>2.9</v>
      </c>
    </row>
    <row r="30" spans="1:2" x14ac:dyDescent="0.3">
      <c r="A30" t="s">
        <v>25</v>
      </c>
      <c r="B30" s="72">
        <f>(Main!B19-Main!B20)*(Main!B20/Main!B19)/(Main!B31*0.000001*Main!B22*1000)</f>
        <v>0.92592592592592604</v>
      </c>
    </row>
    <row r="31" spans="1:2" x14ac:dyDescent="0.3">
      <c r="A31" t="s">
        <v>24</v>
      </c>
      <c r="B31" s="72">
        <f>Main!B21+0.5*Helper_calcs!B30</f>
        <v>3.4629629629629628</v>
      </c>
    </row>
    <row r="32" spans="1:2" x14ac:dyDescent="0.3">
      <c r="A32" t="s">
        <v>26</v>
      </c>
      <c r="B32" s="72">
        <f>Main!B21-0.5*Helper_calcs!B30</f>
        <v>2.5370370370370372</v>
      </c>
    </row>
    <row r="35" spans="1:2" x14ac:dyDescent="0.3">
      <c r="A35" t="s">
        <v>29</v>
      </c>
      <c r="B35" s="37">
        <f>IF(B22=3,4.05*loop_gain!B13,IF(Helper_calcs!B22=2,3.15*loop_gain!B13,IF(Helper_calcs!B22=4,4.98*loop_gain!B13,"")))</f>
        <v>4.05</v>
      </c>
    </row>
    <row r="36" spans="1:2" x14ac:dyDescent="0.3">
      <c r="A36" t="s">
        <v>30</v>
      </c>
      <c r="B36" s="105">
        <f>IF(B22=3,1.8*loop_gain!B13*loop_gain!B18,IF(Helper_calcs!B22=2,1.4*loop_gain!B13*loop_gain!B18,IF(Helper_calcs!B22=4,2.2*loop_gain!B13*loop_gain!B18,"")))</f>
        <v>3780000</v>
      </c>
    </row>
    <row r="39" spans="1:2" x14ac:dyDescent="0.3">
      <c r="A39" t="s">
        <v>138</v>
      </c>
      <c r="B39" s="69">
        <v>3.8</v>
      </c>
    </row>
    <row r="40" spans="1:2" x14ac:dyDescent="0.3">
      <c r="A40" t="s">
        <v>139</v>
      </c>
      <c r="B40" s="69">
        <v>36</v>
      </c>
    </row>
    <row r="42" spans="1:2" x14ac:dyDescent="0.3">
      <c r="A42" t="s">
        <v>147</v>
      </c>
      <c r="B42" s="37">
        <f>IF(Main!B17="DDA",0.16,IF(Main!B17="RNX",0.145,""))</f>
        <v>0.16</v>
      </c>
    </row>
    <row r="43" spans="1:2" x14ac:dyDescent="0.3">
      <c r="A43" t="s">
        <v>148</v>
      </c>
      <c r="B43" s="37">
        <f>IF(Main!B17="DDA",0.11,IF(Main!B17="RNX",0.095,""))</f>
        <v>0.11</v>
      </c>
    </row>
    <row r="46" spans="1:2" x14ac:dyDescent="0.3">
      <c r="A46" t="s">
        <v>140</v>
      </c>
      <c r="B46" s="106">
        <f>IF(Main!B17="DDA",0.000000108,IF(Main!B17="RNX",0.00000008,""))</f>
        <v>1.08E-7</v>
      </c>
    </row>
    <row r="47" spans="1:2" x14ac:dyDescent="0.3">
      <c r="A47" t="s">
        <v>141</v>
      </c>
      <c r="B47" s="106">
        <f>IF(Main!B17="DDA",0.000000085,IF(Main!B17="RNX",0.00000007,""))</f>
        <v>8.4999999999999994E-8</v>
      </c>
    </row>
    <row r="48" spans="1:2" x14ac:dyDescent="0.3">
      <c r="A48" t="s">
        <v>142</v>
      </c>
      <c r="B48" s="70">
        <v>9.0000000000000002E-6</v>
      </c>
    </row>
    <row r="50" spans="1:3" x14ac:dyDescent="0.3">
      <c r="A50" t="s">
        <v>143</v>
      </c>
      <c r="B50" s="71">
        <f>B46*loop_gain!B18</f>
        <v>0.2268</v>
      </c>
    </row>
    <row r="51" spans="1:3" x14ac:dyDescent="0.3">
      <c r="A51" t="s">
        <v>144</v>
      </c>
      <c r="B51" s="71">
        <f>1-B47*loop_gain!B18</f>
        <v>0.82150000000000001</v>
      </c>
    </row>
    <row r="52" spans="1:3" x14ac:dyDescent="0.3">
      <c r="A52" t="s">
        <v>145</v>
      </c>
      <c r="B52" s="71">
        <f>B48/(B48+B47)</f>
        <v>0.99064391854705558</v>
      </c>
    </row>
    <row r="55" spans="1:3" x14ac:dyDescent="0.3">
      <c r="A55" t="s">
        <v>146</v>
      </c>
      <c r="B55" s="72">
        <f>((Main!B20+Main!B21*(Main!B56/1000+Helper_calcs!B43))/Helper_calcs!B50)+Main!B21*(Helper_calcs!B42-Helper_calcs!B43)</f>
        <v>24.576807760141094</v>
      </c>
      <c r="C55" s="37">
        <f>IF(B55&gt;B40,B40,B55)</f>
        <v>24.576807760141094</v>
      </c>
    </row>
    <row r="56" spans="1:3" x14ac:dyDescent="0.3">
      <c r="A56" t="s">
        <v>149</v>
      </c>
      <c r="B56" s="72">
        <f>((Main!B20+Main!B21*(Main!B56/1000+Helper_calcs!B43))/B51)+Main!B21*(Helper_calcs!B42-Helper_calcs!B43)</f>
        <v>6.8937614120511261</v>
      </c>
      <c r="C56" s="37">
        <f>IF(B56&lt;B39,B39,B56)</f>
        <v>6.8937614120511261</v>
      </c>
    </row>
    <row r="57" spans="1:3" x14ac:dyDescent="0.3">
      <c r="A57" t="s">
        <v>150</v>
      </c>
      <c r="B57" s="72">
        <f>((Main!B20+Main!B21*(Main!B56/1000+Helper_calcs!B43))/B52)+Main!B21*(Helper_calcs!B42-Helper_calcs!B43)</f>
        <v>5.7423222222222225</v>
      </c>
      <c r="C57" s="37">
        <f>IF(B57&lt;B39,B39,B57)</f>
        <v>5.7423222222222225</v>
      </c>
    </row>
    <row r="61" spans="1:3" x14ac:dyDescent="0.3">
      <c r="A61" t="s">
        <v>165</v>
      </c>
      <c r="B61" s="97">
        <f>(Main!B19-Main!B20)*(Main!B20/Main!B19)/(Main!B22*1000*Main!B24*Helper_calcs!B22)</f>
        <v>1.54320987654321E-6</v>
      </c>
    </row>
    <row r="62" spans="1:3" x14ac:dyDescent="0.3">
      <c r="A62" t="s">
        <v>166</v>
      </c>
      <c r="B62" s="97">
        <f>Main!B20/(2*Helper_calcs!B36)</f>
        <v>6.6137566137566138E-7</v>
      </c>
    </row>
    <row r="64" spans="1:3" x14ac:dyDescent="0.3">
      <c r="A64" t="s">
        <v>167</v>
      </c>
      <c r="B64" s="97">
        <f>IF(B61&lt;B62,B62,B61)</f>
        <v>1.54320987654321E-6</v>
      </c>
    </row>
  </sheetData>
  <mergeCells count="4">
    <mergeCell ref="B6:B8"/>
    <mergeCell ref="B3:B5"/>
    <mergeCell ref="B16:B18"/>
    <mergeCell ref="B11:B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F13" sqref="F13"/>
    </sheetView>
  </sheetViews>
  <sheetFormatPr baseColWidth="10" defaultColWidth="8.796875" defaultRowHeight="15.6" x14ac:dyDescent="0.3"/>
  <sheetData/>
  <pageMargins left="0.7" right="0.7" top="0.75" bottom="0.75" header="0.3" footer="0.3"/>
  <drawing r:id="rId1"/>
  <legacyDrawing r:id="rId2"/>
  <oleObjects>
    <mc:AlternateContent xmlns:mc="http://schemas.openxmlformats.org/markup-compatibility/2006">
      <mc:Choice Requires="x14">
        <oleObject progId="Document" dvAspect="DVASPECT_ICON" shapeId="9218" r:id="rId3">
          <objectPr defaultSize="0" r:id="rId4">
            <anchor moveWithCells="1">
              <from>
                <xdr:col>5</xdr:col>
                <xdr:colOff>0</xdr:colOff>
                <xdr:row>12</xdr:row>
                <xdr:rowOff>0</xdr:rowOff>
              </from>
              <to>
                <xdr:col>6</xdr:col>
                <xdr:colOff>228600</xdr:colOff>
                <xdr:row>15</xdr:row>
                <xdr:rowOff>83820</xdr:rowOff>
              </to>
            </anchor>
          </objectPr>
        </oleObject>
      </mc:Choice>
      <mc:Fallback>
        <oleObject progId="Document" dvAspect="DVASPECT_ICON" shapeId="9218" r:id="rId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4:C27"/>
  <sheetViews>
    <sheetView workbookViewId="0">
      <selection activeCell="B16" sqref="B16"/>
    </sheetView>
  </sheetViews>
  <sheetFormatPr baseColWidth="10" defaultColWidth="8.796875" defaultRowHeight="15.6" x14ac:dyDescent="0.3"/>
  <cols>
    <col min="1" max="1" width="12" customWidth="1"/>
    <col min="2" max="2" width="18.09765625" customWidth="1"/>
    <col min="3" max="3" width="20.3984375" customWidth="1"/>
  </cols>
  <sheetData>
    <row r="14" spans="1:2" x14ac:dyDescent="0.3">
      <c r="A14" t="s">
        <v>184</v>
      </c>
      <c r="B14" s="70">
        <v>1E-4</v>
      </c>
    </row>
    <row r="15" spans="1:2" x14ac:dyDescent="0.3">
      <c r="A15" t="s">
        <v>185</v>
      </c>
      <c r="B15" s="70">
        <v>1000000</v>
      </c>
    </row>
    <row r="16" spans="1:2" x14ac:dyDescent="0.3">
      <c r="A16" t="s">
        <v>186</v>
      </c>
      <c r="B16" s="70">
        <v>133000</v>
      </c>
    </row>
    <row r="17" spans="1:3" x14ac:dyDescent="0.3">
      <c r="A17" t="s">
        <v>187</v>
      </c>
      <c r="B17" s="70">
        <v>2.1E-10</v>
      </c>
    </row>
    <row r="18" spans="1:3" x14ac:dyDescent="0.3">
      <c r="A18" t="s">
        <v>189</v>
      </c>
      <c r="B18" s="70">
        <v>0</v>
      </c>
    </row>
    <row r="20" spans="1:3" x14ac:dyDescent="0.3">
      <c r="A20" t="s">
        <v>31</v>
      </c>
      <c r="B20" s="105">
        <f>B14*B15</f>
        <v>100</v>
      </c>
      <c r="C20">
        <f>20*LOG10(B20)</f>
        <v>40</v>
      </c>
    </row>
    <row r="21" spans="1:3" x14ac:dyDescent="0.3">
      <c r="A21" t="s">
        <v>188</v>
      </c>
      <c r="B21" s="71">
        <f>B15*B16*B17*B18</f>
        <v>0</v>
      </c>
    </row>
    <row r="22" spans="1:3" x14ac:dyDescent="0.3">
      <c r="A22" t="s">
        <v>190</v>
      </c>
      <c r="B22" s="71">
        <f>B16*B17+B18*B15+B17*B15</f>
        <v>2.3793000000000002E-4</v>
      </c>
    </row>
    <row r="23" spans="1:3" x14ac:dyDescent="0.3">
      <c r="A23" t="s">
        <v>33</v>
      </c>
      <c r="B23" s="71">
        <f>B16*B17</f>
        <v>2.7929999999999999E-5</v>
      </c>
    </row>
    <row r="24" spans="1:3" x14ac:dyDescent="0.3">
      <c r="B24" s="119"/>
    </row>
    <row r="25" spans="1:3" x14ac:dyDescent="0.3">
      <c r="B25" s="119"/>
    </row>
    <row r="26" spans="1:3" x14ac:dyDescent="0.3">
      <c r="A26" t="s">
        <v>32</v>
      </c>
      <c r="B26" s="71">
        <f>B22</f>
        <v>2.3793000000000002E-4</v>
      </c>
      <c r="C26" s="118" t="s">
        <v>191</v>
      </c>
    </row>
    <row r="27" spans="1:3" x14ac:dyDescent="0.3">
      <c r="A27" t="s">
        <v>197</v>
      </c>
      <c r="B27" s="71">
        <f>B21/B22</f>
        <v>0</v>
      </c>
      <c r="C27" s="118" t="s">
        <v>192</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Equation.DSMT4" shapeId="6145" r:id="rId4">
          <objectPr defaultSize="0" autoPict="0" r:id="rId5">
            <anchor moveWithCells="1" sizeWithCells="1">
              <from>
                <xdr:col>4</xdr:col>
                <xdr:colOff>594360</xdr:colOff>
                <xdr:row>2</xdr:row>
                <xdr:rowOff>7620</xdr:rowOff>
              </from>
              <to>
                <xdr:col>9</xdr:col>
                <xdr:colOff>182880</xdr:colOff>
                <xdr:row>25</xdr:row>
                <xdr:rowOff>45720</xdr:rowOff>
              </to>
            </anchor>
          </objectPr>
        </oleObject>
      </mc:Choice>
      <mc:Fallback>
        <oleObject progId="Equation.DSMT4" shapeId="614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9:D32"/>
  <sheetViews>
    <sheetView topLeftCell="A4" zoomScale="115" zoomScaleNormal="115" workbookViewId="0">
      <selection activeCell="H31" sqref="H31"/>
    </sheetView>
  </sheetViews>
  <sheetFormatPr baseColWidth="10" defaultColWidth="8.796875" defaultRowHeight="15.6" x14ac:dyDescent="0.3"/>
  <cols>
    <col min="1" max="1" width="16.19921875" customWidth="1"/>
    <col min="2" max="2" width="11.5" customWidth="1"/>
    <col min="3" max="3" width="12.69921875" customWidth="1"/>
  </cols>
  <sheetData>
    <row r="9" spans="1:4" x14ac:dyDescent="0.3">
      <c r="A9" s="114">
        <v>43938</v>
      </c>
      <c r="B9" s="5"/>
    </row>
    <row r="10" spans="1:4" x14ac:dyDescent="0.3">
      <c r="A10" s="5"/>
      <c r="B10" s="5"/>
    </row>
    <row r="11" spans="1:4" x14ac:dyDescent="0.3">
      <c r="A11" s="6" t="s">
        <v>205</v>
      </c>
      <c r="B11" s="5"/>
    </row>
    <row r="14" spans="1:4" x14ac:dyDescent="0.3">
      <c r="B14" s="121">
        <v>2</v>
      </c>
      <c r="C14" s="121">
        <v>3</v>
      </c>
      <c r="D14" s="121">
        <v>4</v>
      </c>
    </row>
    <row r="15" spans="1:4" x14ac:dyDescent="0.3">
      <c r="A15" s="121">
        <v>400</v>
      </c>
      <c r="B15" s="69">
        <v>55</v>
      </c>
      <c r="C15" s="69">
        <v>55</v>
      </c>
      <c r="D15" s="69">
        <v>55</v>
      </c>
    </row>
    <row r="16" spans="1:4" x14ac:dyDescent="0.3">
      <c r="A16" s="121">
        <v>1000</v>
      </c>
      <c r="B16" s="69"/>
      <c r="C16" s="69"/>
      <c r="D16" s="69">
        <v>45</v>
      </c>
    </row>
    <row r="17" spans="1:4" x14ac:dyDescent="0.3">
      <c r="A17" s="121">
        <v>1400</v>
      </c>
      <c r="B17" s="69">
        <v>26</v>
      </c>
      <c r="C17" s="69">
        <v>26</v>
      </c>
      <c r="D17" s="69"/>
    </row>
    <row r="18" spans="1:4" x14ac:dyDescent="0.3">
      <c r="A18" s="121">
        <v>2100</v>
      </c>
      <c r="B18" s="69">
        <v>26</v>
      </c>
      <c r="C18" s="69">
        <v>26</v>
      </c>
      <c r="D18" s="69"/>
    </row>
    <row r="20" spans="1:4" x14ac:dyDescent="0.3">
      <c r="A20" s="5"/>
      <c r="B20" s="7" t="s">
        <v>20</v>
      </c>
      <c r="C20" s="7" t="s">
        <v>21</v>
      </c>
    </row>
    <row r="21" spans="1:4" x14ac:dyDescent="0.3">
      <c r="A21" s="5" t="s">
        <v>16</v>
      </c>
      <c r="B21" s="122">
        <v>3.3</v>
      </c>
      <c r="C21" s="122">
        <v>5</v>
      </c>
    </row>
    <row r="22" spans="1:4" x14ac:dyDescent="0.3">
      <c r="A22" s="121"/>
    </row>
    <row r="23" spans="1:4" x14ac:dyDescent="0.3">
      <c r="A23" t="s">
        <v>198</v>
      </c>
      <c r="B23" s="37">
        <f>INDEX(A14:D18,MATCH(loop_gain!B18/1000,cout_min_calc2!A14:A18,0),MATCH(Helper_calcs!B22,cout_min_calc2!A14:D14,0))</f>
        <v>26</v>
      </c>
    </row>
    <row r="25" spans="1:4" x14ac:dyDescent="0.3">
      <c r="A25" s="121" t="s">
        <v>199</v>
      </c>
      <c r="B25" s="124">
        <f>($C$21/Main!B20)*cout_min_calc2!B23</f>
        <v>26</v>
      </c>
      <c r="C25" s="126" t="s">
        <v>204</v>
      </c>
    </row>
    <row r="26" spans="1:4" x14ac:dyDescent="0.3">
      <c r="A26" s="121" t="s">
        <v>200</v>
      </c>
      <c r="B26" s="124">
        <f>($B$21/Main!B20)*cout_min_calc2!B23</f>
        <v>17.159999999999997</v>
      </c>
      <c r="C26" s="126" t="s">
        <v>204</v>
      </c>
    </row>
    <row r="27" spans="1:4" x14ac:dyDescent="0.3">
      <c r="A27" s="121"/>
      <c r="C27" s="126"/>
    </row>
    <row r="28" spans="1:4" x14ac:dyDescent="0.3">
      <c r="A28" s="121" t="s">
        <v>202</v>
      </c>
      <c r="B28" s="124">
        <f>IF(Main!B20&gt;=4.2,cout_min_calc2!B25,cout_min_calc2!B26)</f>
        <v>26</v>
      </c>
      <c r="C28" s="126" t="s">
        <v>204</v>
      </c>
    </row>
    <row r="29" spans="1:4" x14ac:dyDescent="0.3">
      <c r="A29" s="121"/>
      <c r="B29" s="127"/>
    </row>
    <row r="30" spans="1:4" x14ac:dyDescent="0.3">
      <c r="A30" s="121" t="s">
        <v>203</v>
      </c>
      <c r="B30" s="124">
        <f>IF(B28&lt;=8,8,B28)</f>
        <v>26</v>
      </c>
      <c r="C30" s="126" t="s">
        <v>204</v>
      </c>
    </row>
    <row r="31" spans="1:4" x14ac:dyDescent="0.3">
      <c r="A31" s="121"/>
    </row>
    <row r="32" spans="1:4" x14ac:dyDescent="0.3">
      <c r="A32" s="12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9:D32"/>
  <sheetViews>
    <sheetView topLeftCell="A4" zoomScale="115" zoomScaleNormal="115" workbookViewId="0">
      <selection activeCell="G31" sqref="G31"/>
    </sheetView>
  </sheetViews>
  <sheetFormatPr baseColWidth="10" defaultColWidth="8.796875" defaultRowHeight="15.6" x14ac:dyDescent="0.3"/>
  <cols>
    <col min="1" max="1" width="16.19921875" customWidth="1"/>
    <col min="2" max="2" width="11.5" customWidth="1"/>
    <col min="3" max="3" width="12.69921875" customWidth="1"/>
  </cols>
  <sheetData>
    <row r="9" spans="1:4" x14ac:dyDescent="0.3">
      <c r="A9" s="114">
        <v>43938</v>
      </c>
      <c r="B9" s="5"/>
    </row>
    <row r="10" spans="1:4" x14ac:dyDescent="0.3">
      <c r="A10" s="5"/>
      <c r="B10" s="5"/>
    </row>
    <row r="11" spans="1:4" x14ac:dyDescent="0.3">
      <c r="A11" s="6" t="s">
        <v>205</v>
      </c>
      <c r="B11" s="5"/>
    </row>
    <row r="14" spans="1:4" x14ac:dyDescent="0.3">
      <c r="B14" s="121">
        <v>2</v>
      </c>
      <c r="C14" s="121">
        <v>3</v>
      </c>
      <c r="D14" s="121">
        <v>4</v>
      </c>
    </row>
    <row r="15" spans="1:4" x14ac:dyDescent="0.3">
      <c r="A15" s="121">
        <v>400</v>
      </c>
      <c r="B15" s="69">
        <v>72</v>
      </c>
      <c r="C15" s="69">
        <v>72</v>
      </c>
      <c r="D15" s="69">
        <v>72</v>
      </c>
    </row>
    <row r="16" spans="1:4" x14ac:dyDescent="0.3">
      <c r="A16" s="121">
        <v>1000</v>
      </c>
      <c r="B16" s="69"/>
      <c r="C16" s="69"/>
      <c r="D16" s="69">
        <v>55</v>
      </c>
    </row>
    <row r="17" spans="1:4" x14ac:dyDescent="0.3">
      <c r="A17" s="121">
        <v>1400</v>
      </c>
      <c r="B17" s="69">
        <v>36</v>
      </c>
      <c r="C17" s="69">
        <v>36</v>
      </c>
      <c r="D17" s="69"/>
    </row>
    <row r="18" spans="1:4" x14ac:dyDescent="0.3">
      <c r="A18" s="121">
        <v>2100</v>
      </c>
      <c r="B18" s="69">
        <v>36</v>
      </c>
      <c r="C18" s="69">
        <v>36</v>
      </c>
      <c r="D18" s="69"/>
    </row>
    <row r="20" spans="1:4" x14ac:dyDescent="0.3">
      <c r="A20" s="5"/>
      <c r="B20" s="7" t="s">
        <v>20</v>
      </c>
      <c r="C20" s="7" t="s">
        <v>21</v>
      </c>
    </row>
    <row r="21" spans="1:4" x14ac:dyDescent="0.3">
      <c r="A21" s="5" t="s">
        <v>16</v>
      </c>
      <c r="B21" s="122">
        <v>3.3</v>
      </c>
      <c r="C21" s="122">
        <v>5</v>
      </c>
    </row>
    <row r="22" spans="1:4" x14ac:dyDescent="0.3">
      <c r="A22" s="121"/>
    </row>
    <row r="23" spans="1:4" x14ac:dyDescent="0.3">
      <c r="A23" t="s">
        <v>198</v>
      </c>
      <c r="B23" s="37">
        <f>INDEX(A14:D18,MATCH(loop_gain!B18/1000,cout_calc2!A14:A18,0),MATCH(Helper_calcs!B22,cout_calc2!A14:D14,0))</f>
        <v>36</v>
      </c>
    </row>
    <row r="25" spans="1:4" x14ac:dyDescent="0.3">
      <c r="A25" s="121" t="s">
        <v>199</v>
      </c>
      <c r="B25" s="124">
        <f>($C$21/Main!B20)*cout_calc2!B23</f>
        <v>36</v>
      </c>
      <c r="C25" s="126" t="s">
        <v>204</v>
      </c>
    </row>
    <row r="26" spans="1:4" x14ac:dyDescent="0.3">
      <c r="A26" s="121" t="s">
        <v>200</v>
      </c>
      <c r="B26" s="124">
        <f>($B$21/Main!B20)*cout_calc2!B23</f>
        <v>23.759999999999998</v>
      </c>
      <c r="C26" s="126" t="s">
        <v>204</v>
      </c>
    </row>
    <row r="27" spans="1:4" x14ac:dyDescent="0.3">
      <c r="A27" s="121"/>
      <c r="C27" s="126"/>
    </row>
    <row r="28" spans="1:4" x14ac:dyDescent="0.3">
      <c r="A28" s="121" t="s">
        <v>201</v>
      </c>
      <c r="B28" s="37">
        <f>IF(Main!B20&gt;=4.2,cout_calc2!B25,cout_calc2!B26)</f>
        <v>36</v>
      </c>
      <c r="C28" s="126" t="s">
        <v>204</v>
      </c>
    </row>
    <row r="29" spans="1:4" x14ac:dyDescent="0.3">
      <c r="A29" s="121"/>
    </row>
    <row r="30" spans="1:4" x14ac:dyDescent="0.3">
      <c r="A30" s="121"/>
    </row>
    <row r="31" spans="1:4" x14ac:dyDescent="0.3">
      <c r="A31" s="121"/>
    </row>
    <row r="32" spans="1:4" x14ac:dyDescent="0.3">
      <c r="A32" s="1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Insructions</vt:lpstr>
      <vt:lpstr>Main</vt:lpstr>
      <vt:lpstr>loop_gain</vt:lpstr>
      <vt:lpstr>FB_div</vt:lpstr>
      <vt:lpstr>Helper_calcs</vt:lpstr>
      <vt:lpstr>Notes</vt:lpstr>
      <vt:lpstr>Eamp</vt:lpstr>
      <vt:lpstr>cout_min_calc2</vt:lpstr>
      <vt:lpstr>cout_calc2</vt:lpstr>
      <vt:lpstr>Current_limit</vt:lpstr>
      <vt:lpstr>Revision History</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Stasi, Frank</dc:creator>
  <cp:lastModifiedBy>Alexander Ulbrich</cp:lastModifiedBy>
  <dcterms:created xsi:type="dcterms:W3CDTF">2019-01-11T22:06:50Z</dcterms:created>
  <dcterms:modified xsi:type="dcterms:W3CDTF">2023-06-24T11:51:57Z</dcterms:modified>
</cp:coreProperties>
</file>