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mc:AlternateContent xmlns:mc="http://schemas.openxmlformats.org/markup-compatibility/2006">
    <mc:Choice Requires="x15">
      <x15ac:absPath xmlns:x15ac="http://schemas.microsoft.com/office/spreadsheetml/2010/11/ac" url="C:\Users\Robso\Desktop\"/>
    </mc:Choice>
  </mc:AlternateContent>
  <xr:revisionPtr revIDLastSave="0" documentId="13_ncr:1_{40D2F83B-A9FC-4D33-8E88-028EABEF3098}" xr6:coauthVersionLast="47" xr6:coauthVersionMax="47" xr10:uidLastSave="{00000000-0000-0000-0000-000000000000}"/>
  <bookViews>
    <workbookView xWindow="28680" yWindow="-120" windowWidth="29040" windowHeight="15840" activeTab="1" xr2:uid="{00000000-000D-0000-FFFF-FFFF00000000}"/>
  </bookViews>
  <sheets>
    <sheet name="Only Firms With Price Data as o" sheetId="1" r:id="rId1"/>
    <sheet name="Raw Data with All Firms" sheetId="2" r:id="rId2"/>
    <sheet name="Counterfactual Portfolio"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4" i="3" l="1"/>
  <c r="F3" i="3"/>
  <c r="F2" i="3"/>
  <c r="C4" i="3"/>
  <c r="G4" i="3" s="1"/>
  <c r="E3" i="3"/>
  <c r="E2" i="3"/>
  <c r="B4" i="3"/>
  <c r="D3" i="3" s="1"/>
  <c r="I3" i="3" s="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1" i="1"/>
  <c r="J492" i="1"/>
  <c r="J493" i="1"/>
  <c r="J494" i="1"/>
  <c r="J495" i="1"/>
  <c r="J496" i="1"/>
  <c r="J497" i="1"/>
  <c r="J498" i="1"/>
  <c r="J499" i="1"/>
  <c r="J500" i="1"/>
  <c r="J501" i="1"/>
  <c r="J502" i="1"/>
  <c r="J503" i="1"/>
  <c r="J504" i="1"/>
  <c r="J505" i="1"/>
  <c r="J506" i="1"/>
  <c r="J507" i="1"/>
  <c r="J508" i="1"/>
  <c r="J509" i="1"/>
  <c r="J510" i="1"/>
  <c r="J511" i="1"/>
  <c r="J512" i="1"/>
  <c r="J513" i="1"/>
  <c r="J514" i="1"/>
  <c r="J515" i="1"/>
  <c r="J516" i="1"/>
  <c r="J517" i="1"/>
  <c r="J518" i="1"/>
  <c r="J519" i="1"/>
  <c r="J520" i="1"/>
  <c r="J521" i="1"/>
  <c r="J522" i="1"/>
  <c r="J523" i="1"/>
  <c r="J524" i="1"/>
  <c r="J525" i="1"/>
  <c r="J526" i="1"/>
  <c r="J527" i="1"/>
  <c r="J528" i="1"/>
  <c r="J529" i="1"/>
  <c r="J530" i="1"/>
  <c r="J531" i="1"/>
  <c r="J532" i="1"/>
  <c r="J533" i="1"/>
  <c r="J534" i="1"/>
  <c r="J535" i="1"/>
  <c r="J536" i="1"/>
  <c r="J537" i="1"/>
  <c r="J538" i="1"/>
  <c r="J539" i="1"/>
  <c r="J540" i="1"/>
  <c r="J541" i="1"/>
  <c r="J542" i="1"/>
  <c r="J543" i="1"/>
  <c r="J544" i="1"/>
  <c r="J545" i="1"/>
  <c r="J546" i="1"/>
  <c r="J547" i="1"/>
  <c r="J548" i="1"/>
  <c r="J549" i="1"/>
  <c r="J550" i="1"/>
  <c r="J551" i="1"/>
  <c r="J552" i="1"/>
  <c r="J553" i="1"/>
  <c r="J554" i="1"/>
  <c r="J555" i="1"/>
  <c r="J556" i="1"/>
  <c r="J557" i="1"/>
  <c r="J558" i="1"/>
  <c r="J559" i="1"/>
  <c r="J560" i="1"/>
  <c r="J561" i="1"/>
  <c r="J562" i="1"/>
  <c r="J563" i="1"/>
  <c r="J564" i="1"/>
  <c r="J565" i="1"/>
  <c r="J566" i="1"/>
  <c r="J567" i="1"/>
  <c r="J568" i="1"/>
  <c r="J569" i="1"/>
  <c r="J570" i="1"/>
  <c r="J571" i="1"/>
  <c r="J572" i="1"/>
  <c r="J573" i="1"/>
  <c r="J574" i="1"/>
  <c r="J575" i="1"/>
  <c r="J576" i="1"/>
  <c r="J577" i="1"/>
  <c r="J578" i="1"/>
  <c r="J579" i="1"/>
  <c r="J580" i="1"/>
  <c r="J581" i="1"/>
  <c r="J582" i="1"/>
  <c r="J583" i="1"/>
  <c r="J584" i="1"/>
  <c r="J585" i="1"/>
  <c r="J586" i="1"/>
  <c r="J587" i="1"/>
  <c r="J588" i="1"/>
  <c r="J589" i="1"/>
  <c r="J590" i="1"/>
  <c r="J591" i="1"/>
  <c r="J592" i="1"/>
  <c r="J593" i="1"/>
  <c r="J594" i="1"/>
  <c r="J595" i="1"/>
  <c r="J596" i="1"/>
  <c r="J597" i="1"/>
  <c r="J598" i="1"/>
  <c r="J599" i="1"/>
  <c r="J600" i="1"/>
  <c r="J601" i="1"/>
  <c r="J602" i="1"/>
  <c r="J603" i="1"/>
  <c r="J604" i="1"/>
  <c r="J605" i="1"/>
  <c r="J606" i="1"/>
  <c r="J607" i="1"/>
  <c r="J2" i="1"/>
  <c r="E619" i="2"/>
  <c r="F617" i="2"/>
  <c r="F616" i="2"/>
  <c r="F615" i="2"/>
  <c r="F614" i="2"/>
  <c r="F613" i="2"/>
  <c r="F612" i="2"/>
  <c r="F611" i="2"/>
  <c r="F610" i="2"/>
  <c r="F609" i="2"/>
  <c r="F608" i="2"/>
  <c r="F607" i="2"/>
  <c r="F606" i="2"/>
  <c r="F605" i="2"/>
  <c r="F604" i="2"/>
  <c r="F603" i="2"/>
  <c r="F602" i="2"/>
  <c r="F601" i="2"/>
  <c r="F600" i="2"/>
  <c r="F599" i="2"/>
  <c r="F598" i="2"/>
  <c r="F597" i="2"/>
  <c r="F596" i="2"/>
  <c r="F595" i="2"/>
  <c r="F594" i="2"/>
  <c r="F593" i="2"/>
  <c r="F592" i="2"/>
  <c r="F591" i="2"/>
  <c r="F590" i="2"/>
  <c r="F589" i="2"/>
  <c r="F588" i="2"/>
  <c r="F587" i="2"/>
  <c r="F586" i="2"/>
  <c r="F585" i="2"/>
  <c r="F584" i="2"/>
  <c r="F583" i="2"/>
  <c r="F582" i="2"/>
  <c r="F581" i="2"/>
  <c r="F580" i="2"/>
  <c r="F579" i="2"/>
  <c r="F578" i="2"/>
  <c r="F577" i="2"/>
  <c r="F576" i="2"/>
  <c r="F575" i="2"/>
  <c r="F574" i="2"/>
  <c r="F573" i="2"/>
  <c r="F572" i="2"/>
  <c r="F571" i="2"/>
  <c r="F570" i="2"/>
  <c r="F569" i="2"/>
  <c r="F568" i="2"/>
  <c r="F567" i="2"/>
  <c r="F566" i="2"/>
  <c r="F565" i="2"/>
  <c r="F564" i="2"/>
  <c r="F563" i="2"/>
  <c r="F562" i="2"/>
  <c r="F561" i="2"/>
  <c r="F560" i="2"/>
  <c r="F559" i="2"/>
  <c r="F558" i="2"/>
  <c r="F557" i="2"/>
  <c r="F556" i="2"/>
  <c r="F555" i="2"/>
  <c r="F554" i="2"/>
  <c r="F553" i="2"/>
  <c r="F552" i="2"/>
  <c r="F551" i="2"/>
  <c r="F550" i="2"/>
  <c r="F549" i="2"/>
  <c r="F548" i="2"/>
  <c r="F547" i="2"/>
  <c r="F546" i="2"/>
  <c r="F545" i="2"/>
  <c r="F544" i="2"/>
  <c r="F543" i="2"/>
  <c r="F542" i="2"/>
  <c r="F541" i="2"/>
  <c r="F540" i="2"/>
  <c r="F539" i="2"/>
  <c r="F538" i="2"/>
  <c r="F537" i="2"/>
  <c r="F536" i="2"/>
  <c r="F535" i="2"/>
  <c r="F534" i="2"/>
  <c r="F533" i="2"/>
  <c r="F532" i="2"/>
  <c r="F531" i="2"/>
  <c r="F530" i="2"/>
  <c r="F529" i="2"/>
  <c r="F528" i="2"/>
  <c r="F527" i="2"/>
  <c r="F526" i="2"/>
  <c r="F525" i="2"/>
  <c r="F524" i="2"/>
  <c r="F523" i="2"/>
  <c r="F522" i="2"/>
  <c r="F521" i="2"/>
  <c r="F520" i="2"/>
  <c r="F519" i="2"/>
  <c r="F518" i="2"/>
  <c r="F517" i="2"/>
  <c r="F516" i="2"/>
  <c r="F515" i="2"/>
  <c r="F514" i="2"/>
  <c r="F513" i="2"/>
  <c r="F512" i="2"/>
  <c r="F511" i="2"/>
  <c r="F510" i="2"/>
  <c r="F509" i="2"/>
  <c r="F508" i="2"/>
  <c r="F507" i="2"/>
  <c r="F506" i="2"/>
  <c r="F505" i="2"/>
  <c r="F504" i="2"/>
  <c r="F503" i="2"/>
  <c r="F502" i="2"/>
  <c r="F501" i="2"/>
  <c r="F500" i="2"/>
  <c r="F499" i="2"/>
  <c r="F498" i="2"/>
  <c r="F497" i="2"/>
  <c r="F496" i="2"/>
  <c r="F495" i="2"/>
  <c r="F494" i="2"/>
  <c r="F493" i="2"/>
  <c r="F492" i="2"/>
  <c r="F491" i="2"/>
  <c r="F490" i="2"/>
  <c r="F489" i="2"/>
  <c r="F488" i="2"/>
  <c r="F487" i="2"/>
  <c r="F486" i="2"/>
  <c r="F485" i="2"/>
  <c r="F484" i="2"/>
  <c r="F483" i="2"/>
  <c r="F482" i="2"/>
  <c r="F481" i="2"/>
  <c r="F480" i="2"/>
  <c r="F479" i="2"/>
  <c r="F478" i="2"/>
  <c r="F477" i="2"/>
  <c r="F476" i="2"/>
  <c r="F475" i="2"/>
  <c r="F474" i="2"/>
  <c r="F473" i="2"/>
  <c r="F472" i="2"/>
  <c r="F471" i="2"/>
  <c r="F470" i="2"/>
  <c r="F469" i="2"/>
  <c r="F468" i="2"/>
  <c r="F467" i="2"/>
  <c r="F466" i="2"/>
  <c r="F465" i="2"/>
  <c r="F464" i="2"/>
  <c r="F463" i="2"/>
  <c r="F462" i="2"/>
  <c r="F461" i="2"/>
  <c r="F460" i="2"/>
  <c r="F459" i="2"/>
  <c r="F458" i="2"/>
  <c r="F457" i="2"/>
  <c r="F456" i="2"/>
  <c r="F455" i="2"/>
  <c r="F454" i="2"/>
  <c r="F453" i="2"/>
  <c r="F452" i="2"/>
  <c r="F451" i="2"/>
  <c r="F450" i="2"/>
  <c r="F449" i="2"/>
  <c r="F448" i="2"/>
  <c r="F447" i="2"/>
  <c r="F446" i="2"/>
  <c r="F445" i="2"/>
  <c r="F444" i="2"/>
  <c r="F443" i="2"/>
  <c r="F442" i="2"/>
  <c r="F441" i="2"/>
  <c r="F440" i="2"/>
  <c r="F439" i="2"/>
  <c r="F438" i="2"/>
  <c r="F437" i="2"/>
  <c r="F436" i="2"/>
  <c r="F435" i="2"/>
  <c r="F434" i="2"/>
  <c r="F433" i="2"/>
  <c r="F432" i="2"/>
  <c r="F431" i="2"/>
  <c r="F430" i="2"/>
  <c r="F429" i="2"/>
  <c r="F428" i="2"/>
  <c r="F427" i="2"/>
  <c r="F426" i="2"/>
  <c r="F425" i="2"/>
  <c r="F424" i="2"/>
  <c r="F423" i="2"/>
  <c r="F422" i="2"/>
  <c r="F421" i="2"/>
  <c r="F420" i="2"/>
  <c r="F419" i="2"/>
  <c r="F418" i="2"/>
  <c r="F417" i="2"/>
  <c r="F416" i="2"/>
  <c r="F415" i="2"/>
  <c r="F414" i="2"/>
  <c r="F413" i="2"/>
  <c r="F412" i="2"/>
  <c r="F411" i="2"/>
  <c r="F410" i="2"/>
  <c r="F409" i="2"/>
  <c r="F408" i="2"/>
  <c r="F407" i="2"/>
  <c r="F406" i="2"/>
  <c r="F405" i="2"/>
  <c r="F404" i="2"/>
  <c r="F403" i="2"/>
  <c r="F402" i="2"/>
  <c r="F401" i="2"/>
  <c r="F400" i="2"/>
  <c r="F399" i="2"/>
  <c r="F398" i="2"/>
  <c r="F397" i="2"/>
  <c r="F396" i="2"/>
  <c r="F395" i="2"/>
  <c r="F394" i="2"/>
  <c r="F393" i="2"/>
  <c r="F392" i="2"/>
  <c r="F391" i="2"/>
  <c r="F390" i="2"/>
  <c r="F389" i="2"/>
  <c r="F388" i="2"/>
  <c r="F387" i="2"/>
  <c r="F386" i="2"/>
  <c r="F385" i="2"/>
  <c r="F384" i="2"/>
  <c r="F383" i="2"/>
  <c r="F382" i="2"/>
  <c r="F381" i="2"/>
  <c r="F380" i="2"/>
  <c r="F379" i="2"/>
  <c r="F378" i="2"/>
  <c r="F377" i="2"/>
  <c r="F376" i="2"/>
  <c r="F375" i="2"/>
  <c r="F374" i="2"/>
  <c r="F373" i="2"/>
  <c r="F372" i="2"/>
  <c r="F371" i="2"/>
  <c r="F370" i="2"/>
  <c r="F369" i="2"/>
  <c r="F368" i="2"/>
  <c r="F367" i="2"/>
  <c r="F366" i="2"/>
  <c r="F365" i="2"/>
  <c r="F364" i="2"/>
  <c r="F363" i="2"/>
  <c r="F362" i="2"/>
  <c r="F361" i="2"/>
  <c r="F360" i="2"/>
  <c r="F359" i="2"/>
  <c r="F358" i="2"/>
  <c r="F357" i="2"/>
  <c r="F356" i="2"/>
  <c r="F355" i="2"/>
  <c r="F354" i="2"/>
  <c r="F353" i="2"/>
  <c r="F352" i="2"/>
  <c r="F351" i="2"/>
  <c r="F350" i="2"/>
  <c r="F349" i="2"/>
  <c r="F348" i="2"/>
  <c r="F347" i="2"/>
  <c r="F346" i="2"/>
  <c r="F345" i="2"/>
  <c r="F344" i="2"/>
  <c r="F343" i="2"/>
  <c r="F342" i="2"/>
  <c r="F341" i="2"/>
  <c r="F340" i="2"/>
  <c r="F339" i="2"/>
  <c r="F338" i="2"/>
  <c r="F337" i="2"/>
  <c r="F336" i="2"/>
  <c r="F335" i="2"/>
  <c r="F334" i="2"/>
  <c r="F333" i="2"/>
  <c r="F332" i="2"/>
  <c r="F331" i="2"/>
  <c r="F330" i="2"/>
  <c r="F329" i="2"/>
  <c r="F328" i="2"/>
  <c r="F327" i="2"/>
  <c r="F326" i="2"/>
  <c r="F325" i="2"/>
  <c r="F324" i="2"/>
  <c r="F323" i="2"/>
  <c r="F322" i="2"/>
  <c r="F321" i="2"/>
  <c r="F320" i="2"/>
  <c r="F319" i="2"/>
  <c r="F318" i="2"/>
  <c r="F317" i="2"/>
  <c r="F316" i="2"/>
  <c r="F315" i="2"/>
  <c r="F314" i="2"/>
  <c r="F313" i="2"/>
  <c r="F312" i="2"/>
  <c r="F311" i="2"/>
  <c r="F310" i="2"/>
  <c r="F309" i="2"/>
  <c r="F308" i="2"/>
  <c r="F307" i="2"/>
  <c r="F306" i="2"/>
  <c r="F305" i="2"/>
  <c r="F304" i="2"/>
  <c r="F303" i="2"/>
  <c r="F302" i="2"/>
  <c r="F301" i="2"/>
  <c r="F300" i="2"/>
  <c r="F299" i="2"/>
  <c r="F298" i="2"/>
  <c r="F297" i="2"/>
  <c r="F296" i="2"/>
  <c r="F295" i="2"/>
  <c r="F294" i="2"/>
  <c r="F293" i="2"/>
  <c r="F292" i="2"/>
  <c r="F291" i="2"/>
  <c r="F290" i="2"/>
  <c r="F289" i="2"/>
  <c r="F288" i="2"/>
  <c r="F287" i="2"/>
  <c r="F286" i="2"/>
  <c r="F285" i="2"/>
  <c r="F284" i="2"/>
  <c r="F283" i="2"/>
  <c r="F282" i="2"/>
  <c r="F281" i="2"/>
  <c r="F280" i="2"/>
  <c r="F279" i="2"/>
  <c r="F278" i="2"/>
  <c r="F277" i="2"/>
  <c r="F276" i="2"/>
  <c r="F275" i="2"/>
  <c r="F274" i="2"/>
  <c r="F273" i="2"/>
  <c r="F272" i="2"/>
  <c r="F271" i="2"/>
  <c r="F270" i="2"/>
  <c r="F269" i="2"/>
  <c r="F268" i="2"/>
  <c r="F267" i="2"/>
  <c r="F266" i="2"/>
  <c r="F265" i="2"/>
  <c r="F264" i="2"/>
  <c r="F263" i="2"/>
  <c r="F262" i="2"/>
  <c r="F261" i="2"/>
  <c r="F260" i="2"/>
  <c r="F259" i="2"/>
  <c r="F258" i="2"/>
  <c r="F257" i="2"/>
  <c r="F256" i="2"/>
  <c r="F255" i="2"/>
  <c r="F254" i="2"/>
  <c r="F253" i="2"/>
  <c r="F252" i="2"/>
  <c r="F251" i="2"/>
  <c r="F250" i="2"/>
  <c r="F249" i="2"/>
  <c r="F248" i="2"/>
  <c r="F247" i="2"/>
  <c r="F246" i="2"/>
  <c r="F245" i="2"/>
  <c r="F244" i="2"/>
  <c r="F243" i="2"/>
  <c r="F242" i="2"/>
  <c r="F241" i="2"/>
  <c r="F240" i="2"/>
  <c r="F239" i="2"/>
  <c r="F238" i="2"/>
  <c r="F237" i="2"/>
  <c r="F236" i="2"/>
  <c r="F235" i="2"/>
  <c r="F234" i="2"/>
  <c r="F233" i="2"/>
  <c r="F232" i="2"/>
  <c r="F231" i="2"/>
  <c r="F230" i="2"/>
  <c r="F229" i="2"/>
  <c r="F228" i="2"/>
  <c r="F227" i="2"/>
  <c r="F226" i="2"/>
  <c r="F225" i="2"/>
  <c r="F224" i="2"/>
  <c r="F223" i="2"/>
  <c r="F222" i="2"/>
  <c r="F221" i="2"/>
  <c r="F220" i="2"/>
  <c r="F219" i="2"/>
  <c r="F218" i="2"/>
  <c r="F217" i="2"/>
  <c r="F216" i="2"/>
  <c r="F215" i="2"/>
  <c r="F214" i="2"/>
  <c r="F212" i="2"/>
  <c r="F211" i="2"/>
  <c r="F210" i="2"/>
  <c r="F209" i="2"/>
  <c r="F208" i="2"/>
  <c r="F207" i="2"/>
  <c r="F206" i="2"/>
  <c r="F205" i="2"/>
  <c r="F204" i="2"/>
  <c r="F203" i="2"/>
  <c r="F202" i="2"/>
  <c r="F201" i="2"/>
  <c r="F200" i="2"/>
  <c r="F199" i="2"/>
  <c r="F198" i="2"/>
  <c r="F197" i="2"/>
  <c r="F196" i="2"/>
  <c r="F195" i="2"/>
  <c r="F194" i="2"/>
  <c r="F193" i="2"/>
  <c r="F192" i="2"/>
  <c r="F191" i="2"/>
  <c r="F190" i="2"/>
  <c r="F189" i="2"/>
  <c r="F188" i="2"/>
  <c r="F187" i="2"/>
  <c r="F185" i="2"/>
  <c r="F184" i="2"/>
  <c r="F183" i="2"/>
  <c r="F182" i="2"/>
  <c r="F181" i="2"/>
  <c r="F180" i="2"/>
  <c r="F179" i="2"/>
  <c r="F178" i="2"/>
  <c r="F177" i="2"/>
  <c r="F176" i="2"/>
  <c r="F175" i="2"/>
  <c r="F174" i="2"/>
  <c r="F173" i="2"/>
  <c r="F172" i="2"/>
  <c r="F171" i="2"/>
  <c r="F170" i="2"/>
  <c r="F169" i="2"/>
  <c r="F168" i="2"/>
  <c r="F167" i="2"/>
  <c r="F166" i="2"/>
  <c r="F165" i="2"/>
  <c r="F164" i="2"/>
  <c r="F163" i="2"/>
  <c r="F162" i="2"/>
  <c r="F161" i="2"/>
  <c r="F160" i="2"/>
  <c r="F159" i="2"/>
  <c r="F158" i="2"/>
  <c r="F157" i="2"/>
  <c r="F156" i="2"/>
  <c r="F155" i="2"/>
  <c r="F154" i="2"/>
  <c r="F153" i="2"/>
  <c r="F152" i="2"/>
  <c r="F151" i="2"/>
  <c r="F150" i="2"/>
  <c r="F149" i="2"/>
  <c r="F148" i="2"/>
  <c r="F147" i="2"/>
  <c r="F146" i="2"/>
  <c r="F145" i="2"/>
  <c r="F144" i="2"/>
  <c r="F143" i="2"/>
  <c r="F142" i="2"/>
  <c r="F141" i="2"/>
  <c r="F140" i="2"/>
  <c r="F139" i="2"/>
  <c r="F138" i="2"/>
  <c r="F137" i="2"/>
  <c r="F136" i="2"/>
  <c r="F135" i="2"/>
  <c r="F134" i="2"/>
  <c r="F133" i="2"/>
  <c r="F132" i="2"/>
  <c r="F131" i="2"/>
  <c r="F130" i="2"/>
  <c r="F129" i="2"/>
  <c r="F128" i="2"/>
  <c r="F127" i="2"/>
  <c r="F126" i="2"/>
  <c r="F125" i="2"/>
  <c r="F124" i="2"/>
  <c r="F123" i="2"/>
  <c r="F122" i="2"/>
  <c r="F121" i="2"/>
  <c r="F120" i="2"/>
  <c r="F119" i="2"/>
  <c r="F118" i="2"/>
  <c r="F117" i="2"/>
  <c r="F116" i="2"/>
  <c r="F115" i="2"/>
  <c r="F114" i="2"/>
  <c r="F113" i="2"/>
  <c r="F112" i="2"/>
  <c r="F111" i="2"/>
  <c r="F110" i="2"/>
  <c r="F109" i="2"/>
  <c r="F108" i="2"/>
  <c r="F107" i="2"/>
  <c r="F106" i="2"/>
  <c r="F105" i="2"/>
  <c r="F104" i="2"/>
  <c r="F103" i="2"/>
  <c r="F102" i="2"/>
  <c r="F101" i="2"/>
  <c r="F99" i="2"/>
  <c r="F98" i="2"/>
  <c r="F97" i="2"/>
  <c r="F96" i="2"/>
  <c r="F95" i="2"/>
  <c r="F94" i="2"/>
  <c r="F93" i="2"/>
  <c r="F92" i="2"/>
  <c r="F91" i="2"/>
  <c r="F90" i="2"/>
  <c r="F89" i="2"/>
  <c r="F88" i="2"/>
  <c r="F87" i="2"/>
  <c r="F86" i="2"/>
  <c r="F85" i="2"/>
  <c r="F84" i="2"/>
  <c r="F83" i="2"/>
  <c r="F82" i="2"/>
  <c r="F81" i="2"/>
  <c r="F80" i="2"/>
  <c r="F79" i="2"/>
  <c r="F78" i="2"/>
  <c r="F77" i="2"/>
  <c r="F76" i="2"/>
  <c r="F75" i="2"/>
  <c r="F74" i="2"/>
  <c r="F73" i="2"/>
  <c r="F72" i="2"/>
  <c r="F71" i="2"/>
  <c r="F70" i="2"/>
  <c r="F69" i="2"/>
  <c r="F68" i="2"/>
  <c r="F67" i="2"/>
  <c r="F66" i="2"/>
  <c r="F65" i="2"/>
  <c r="F64" i="2"/>
  <c r="F63" i="2"/>
  <c r="F62" i="2"/>
  <c r="F61" i="2"/>
  <c r="F60" i="2"/>
  <c r="F59" i="2"/>
  <c r="F58" i="2"/>
  <c r="F57" i="2"/>
  <c r="F56" i="2"/>
  <c r="F55" i="2"/>
  <c r="F54" i="2"/>
  <c r="F53" i="2"/>
  <c r="F52" i="2"/>
  <c r="F51" i="2"/>
  <c r="F50" i="2"/>
  <c r="F49" i="2"/>
  <c r="F48" i="2"/>
  <c r="F47" i="2"/>
  <c r="F46" i="2"/>
  <c r="F45" i="2"/>
  <c r="F44" i="2"/>
  <c r="F43" i="2"/>
  <c r="F42" i="2"/>
  <c r="F41" i="2"/>
  <c r="F40" i="2"/>
  <c r="F39" i="2"/>
  <c r="F38" i="2"/>
  <c r="F37" i="2"/>
  <c r="F36" i="2"/>
  <c r="F35" i="2"/>
  <c r="F34" i="2"/>
  <c r="F33" i="2"/>
  <c r="F32" i="2"/>
  <c r="F31" i="2"/>
  <c r="F30" i="2"/>
  <c r="F29" i="2"/>
  <c r="F28" i="2"/>
  <c r="F27" i="2"/>
  <c r="F26" i="2"/>
  <c r="F25" i="2"/>
  <c r="F24" i="2"/>
  <c r="F23" i="2"/>
  <c r="F22" i="2"/>
  <c r="F21" i="2"/>
  <c r="F20" i="2"/>
  <c r="F19" i="2"/>
  <c r="F18" i="2"/>
  <c r="F17" i="2"/>
  <c r="F16" i="2"/>
  <c r="F15" i="2"/>
  <c r="F14" i="2"/>
  <c r="F13" i="2"/>
  <c r="F12" i="2"/>
  <c r="F11" i="2"/>
  <c r="F10" i="2"/>
  <c r="F9" i="2"/>
  <c r="F8" i="2"/>
  <c r="F7" i="2"/>
  <c r="F6" i="2"/>
  <c r="F5" i="2"/>
  <c r="F4" i="2"/>
  <c r="F3" i="2"/>
  <c r="F2" i="2"/>
  <c r="F1" i="2"/>
  <c r="H609" i="1"/>
  <c r="G609" i="1" s="1"/>
  <c r="E609" i="1"/>
  <c r="I607" i="1"/>
  <c r="F607" i="1"/>
  <c r="I606" i="1"/>
  <c r="F606" i="1"/>
  <c r="I605" i="1"/>
  <c r="F605" i="1"/>
  <c r="I604" i="1"/>
  <c r="F604" i="1"/>
  <c r="I603" i="1"/>
  <c r="F603" i="1"/>
  <c r="I602" i="1"/>
  <c r="F602" i="1"/>
  <c r="I601" i="1"/>
  <c r="F601" i="1"/>
  <c r="I600" i="1"/>
  <c r="F600" i="1"/>
  <c r="I599" i="1"/>
  <c r="F599" i="1"/>
  <c r="I598" i="1"/>
  <c r="F598" i="1"/>
  <c r="I597" i="1"/>
  <c r="F597" i="1"/>
  <c r="I596" i="1"/>
  <c r="F596" i="1"/>
  <c r="I595" i="1"/>
  <c r="F595" i="1"/>
  <c r="I594" i="1"/>
  <c r="F594" i="1"/>
  <c r="I593" i="1"/>
  <c r="F593" i="1"/>
  <c r="I592" i="1"/>
  <c r="F592" i="1"/>
  <c r="I591" i="1"/>
  <c r="F591" i="1"/>
  <c r="I590" i="1"/>
  <c r="F590" i="1"/>
  <c r="I589" i="1"/>
  <c r="F589" i="1"/>
  <c r="I588" i="1"/>
  <c r="F588" i="1"/>
  <c r="I587" i="1"/>
  <c r="F587" i="1"/>
  <c r="I586" i="1"/>
  <c r="F586" i="1"/>
  <c r="I585" i="1"/>
  <c r="F585" i="1"/>
  <c r="I584" i="1"/>
  <c r="F584" i="1"/>
  <c r="I583" i="1"/>
  <c r="F583" i="1"/>
  <c r="I582" i="1"/>
  <c r="F582" i="1"/>
  <c r="I581" i="1"/>
  <c r="F581" i="1"/>
  <c r="I580" i="1"/>
  <c r="F580" i="1"/>
  <c r="I579" i="1"/>
  <c r="F579" i="1"/>
  <c r="I578" i="1"/>
  <c r="F578" i="1"/>
  <c r="I577" i="1"/>
  <c r="F577" i="1"/>
  <c r="I576" i="1"/>
  <c r="F576" i="1"/>
  <c r="I575" i="1"/>
  <c r="F575" i="1"/>
  <c r="I574" i="1"/>
  <c r="F574" i="1"/>
  <c r="I573" i="1"/>
  <c r="F573" i="1"/>
  <c r="I572" i="1"/>
  <c r="F572" i="1"/>
  <c r="I571" i="1"/>
  <c r="F571" i="1"/>
  <c r="I570" i="1"/>
  <c r="F570" i="1"/>
  <c r="I569" i="1"/>
  <c r="F569" i="1"/>
  <c r="I568" i="1"/>
  <c r="F568" i="1"/>
  <c r="I567" i="1"/>
  <c r="F567" i="1"/>
  <c r="I566" i="1"/>
  <c r="F566" i="1"/>
  <c r="I565" i="1"/>
  <c r="F565" i="1"/>
  <c r="I564" i="1"/>
  <c r="F564" i="1"/>
  <c r="I563" i="1"/>
  <c r="F563" i="1"/>
  <c r="I562" i="1"/>
  <c r="F562" i="1"/>
  <c r="I561" i="1"/>
  <c r="F561" i="1"/>
  <c r="I560" i="1"/>
  <c r="F560" i="1"/>
  <c r="I559" i="1"/>
  <c r="F559" i="1"/>
  <c r="I558" i="1"/>
  <c r="F558" i="1"/>
  <c r="I557" i="1"/>
  <c r="F557" i="1"/>
  <c r="I556" i="1"/>
  <c r="F556" i="1"/>
  <c r="I555" i="1"/>
  <c r="F555" i="1"/>
  <c r="I554" i="1"/>
  <c r="F554" i="1"/>
  <c r="I553" i="1"/>
  <c r="F553" i="1"/>
  <c r="I552" i="1"/>
  <c r="F552" i="1"/>
  <c r="I551" i="1"/>
  <c r="F551" i="1"/>
  <c r="I550" i="1"/>
  <c r="F550" i="1"/>
  <c r="I549" i="1"/>
  <c r="F549" i="1"/>
  <c r="I548" i="1"/>
  <c r="F548" i="1"/>
  <c r="I547" i="1"/>
  <c r="F547" i="1"/>
  <c r="I546" i="1"/>
  <c r="F546" i="1"/>
  <c r="I545" i="1"/>
  <c r="F545" i="1"/>
  <c r="I544" i="1"/>
  <c r="F544" i="1"/>
  <c r="I543" i="1"/>
  <c r="F543" i="1"/>
  <c r="I542" i="1"/>
  <c r="F542" i="1"/>
  <c r="I541" i="1"/>
  <c r="F541" i="1"/>
  <c r="I540" i="1"/>
  <c r="F540" i="1"/>
  <c r="I539" i="1"/>
  <c r="F539" i="1"/>
  <c r="I538" i="1"/>
  <c r="F538" i="1"/>
  <c r="I537" i="1"/>
  <c r="F537" i="1"/>
  <c r="I536" i="1"/>
  <c r="F536" i="1"/>
  <c r="I535" i="1"/>
  <c r="F535" i="1"/>
  <c r="I534" i="1"/>
  <c r="F534" i="1"/>
  <c r="I533" i="1"/>
  <c r="F533" i="1"/>
  <c r="I532" i="1"/>
  <c r="F532" i="1"/>
  <c r="I531" i="1"/>
  <c r="F531" i="1"/>
  <c r="I530" i="1"/>
  <c r="F530" i="1"/>
  <c r="I529" i="1"/>
  <c r="F529" i="1"/>
  <c r="I528" i="1"/>
  <c r="F528" i="1"/>
  <c r="I527" i="1"/>
  <c r="F527" i="1"/>
  <c r="I526" i="1"/>
  <c r="F526" i="1"/>
  <c r="I525" i="1"/>
  <c r="F525" i="1"/>
  <c r="I524" i="1"/>
  <c r="F524" i="1"/>
  <c r="I523" i="1"/>
  <c r="F523" i="1"/>
  <c r="I522" i="1"/>
  <c r="F522" i="1"/>
  <c r="I521" i="1"/>
  <c r="F521" i="1"/>
  <c r="I520" i="1"/>
  <c r="F520" i="1"/>
  <c r="I519" i="1"/>
  <c r="F519" i="1"/>
  <c r="I518" i="1"/>
  <c r="F518" i="1"/>
  <c r="I517" i="1"/>
  <c r="F517" i="1"/>
  <c r="I516" i="1"/>
  <c r="F516" i="1"/>
  <c r="I515" i="1"/>
  <c r="F515" i="1"/>
  <c r="I514" i="1"/>
  <c r="F514" i="1"/>
  <c r="I513" i="1"/>
  <c r="F513" i="1"/>
  <c r="I512" i="1"/>
  <c r="F512" i="1"/>
  <c r="I511" i="1"/>
  <c r="F511" i="1"/>
  <c r="I510" i="1"/>
  <c r="F510" i="1"/>
  <c r="I509" i="1"/>
  <c r="F509" i="1"/>
  <c r="I508" i="1"/>
  <c r="F508" i="1"/>
  <c r="I507" i="1"/>
  <c r="F507" i="1"/>
  <c r="I506" i="1"/>
  <c r="F506" i="1"/>
  <c r="I505" i="1"/>
  <c r="F505" i="1"/>
  <c r="I504" i="1"/>
  <c r="F504" i="1"/>
  <c r="I503" i="1"/>
  <c r="F503" i="1"/>
  <c r="I502" i="1"/>
  <c r="F502" i="1"/>
  <c r="I501" i="1"/>
  <c r="F501" i="1"/>
  <c r="I500" i="1"/>
  <c r="F500" i="1"/>
  <c r="I499" i="1"/>
  <c r="F499" i="1"/>
  <c r="I498" i="1"/>
  <c r="F498" i="1"/>
  <c r="I497" i="1"/>
  <c r="F497" i="1"/>
  <c r="I496" i="1"/>
  <c r="F496" i="1"/>
  <c r="I495" i="1"/>
  <c r="F495" i="1"/>
  <c r="I494" i="1"/>
  <c r="F494" i="1"/>
  <c r="I493" i="1"/>
  <c r="F493" i="1"/>
  <c r="I492" i="1"/>
  <c r="F492" i="1"/>
  <c r="I491" i="1"/>
  <c r="F491" i="1"/>
  <c r="I490" i="1"/>
  <c r="F490" i="1"/>
  <c r="I489" i="1"/>
  <c r="F489" i="1"/>
  <c r="I488" i="1"/>
  <c r="F488" i="1"/>
  <c r="I487" i="1"/>
  <c r="F487" i="1"/>
  <c r="I486" i="1"/>
  <c r="F486" i="1"/>
  <c r="I485" i="1"/>
  <c r="F485" i="1"/>
  <c r="I484" i="1"/>
  <c r="F484" i="1"/>
  <c r="I483" i="1"/>
  <c r="F483" i="1"/>
  <c r="I482" i="1"/>
  <c r="F482" i="1"/>
  <c r="I481" i="1"/>
  <c r="F481" i="1"/>
  <c r="I480" i="1"/>
  <c r="F480" i="1"/>
  <c r="I479" i="1"/>
  <c r="F479" i="1"/>
  <c r="I478" i="1"/>
  <c r="F478" i="1"/>
  <c r="I477" i="1"/>
  <c r="F477" i="1"/>
  <c r="I476" i="1"/>
  <c r="F476" i="1"/>
  <c r="I475" i="1"/>
  <c r="F475" i="1"/>
  <c r="I474" i="1"/>
  <c r="F474" i="1"/>
  <c r="I473" i="1"/>
  <c r="F473" i="1"/>
  <c r="I472" i="1"/>
  <c r="F472" i="1"/>
  <c r="I471" i="1"/>
  <c r="F471" i="1"/>
  <c r="I470" i="1"/>
  <c r="F470" i="1"/>
  <c r="I469" i="1"/>
  <c r="F469" i="1"/>
  <c r="I468" i="1"/>
  <c r="F468" i="1"/>
  <c r="I467" i="1"/>
  <c r="F467" i="1"/>
  <c r="I466" i="1"/>
  <c r="F466" i="1"/>
  <c r="I465" i="1"/>
  <c r="F465" i="1"/>
  <c r="I464" i="1"/>
  <c r="F464" i="1"/>
  <c r="I463" i="1"/>
  <c r="F463" i="1"/>
  <c r="I462" i="1"/>
  <c r="F462" i="1"/>
  <c r="I461" i="1"/>
  <c r="F461" i="1"/>
  <c r="I460" i="1"/>
  <c r="F460" i="1"/>
  <c r="I459" i="1"/>
  <c r="F459" i="1"/>
  <c r="I458" i="1"/>
  <c r="F458" i="1"/>
  <c r="I457" i="1"/>
  <c r="F457" i="1"/>
  <c r="I456" i="1"/>
  <c r="F456" i="1"/>
  <c r="I455" i="1"/>
  <c r="F455" i="1"/>
  <c r="I454" i="1"/>
  <c r="F454" i="1"/>
  <c r="I453" i="1"/>
  <c r="F453" i="1"/>
  <c r="I452" i="1"/>
  <c r="F452" i="1"/>
  <c r="I451" i="1"/>
  <c r="F451" i="1"/>
  <c r="I450" i="1"/>
  <c r="F450" i="1"/>
  <c r="I449" i="1"/>
  <c r="F449" i="1"/>
  <c r="I448" i="1"/>
  <c r="F448" i="1"/>
  <c r="I447" i="1"/>
  <c r="F447" i="1"/>
  <c r="I446" i="1"/>
  <c r="F446" i="1"/>
  <c r="I445" i="1"/>
  <c r="F445" i="1"/>
  <c r="I444" i="1"/>
  <c r="F444" i="1"/>
  <c r="I443" i="1"/>
  <c r="F443" i="1"/>
  <c r="I442" i="1"/>
  <c r="F442" i="1"/>
  <c r="I441" i="1"/>
  <c r="F441" i="1"/>
  <c r="I440" i="1"/>
  <c r="F440" i="1"/>
  <c r="I439" i="1"/>
  <c r="F439" i="1"/>
  <c r="I438" i="1"/>
  <c r="F438" i="1"/>
  <c r="I437" i="1"/>
  <c r="F437" i="1"/>
  <c r="I436" i="1"/>
  <c r="F436" i="1"/>
  <c r="I435" i="1"/>
  <c r="F435" i="1"/>
  <c r="I434" i="1"/>
  <c r="F434" i="1"/>
  <c r="I433" i="1"/>
  <c r="F433" i="1"/>
  <c r="I432" i="1"/>
  <c r="F432" i="1"/>
  <c r="I431" i="1"/>
  <c r="F431" i="1"/>
  <c r="I430" i="1"/>
  <c r="F430" i="1"/>
  <c r="I429" i="1"/>
  <c r="F429" i="1"/>
  <c r="I428" i="1"/>
  <c r="F428" i="1"/>
  <c r="I427" i="1"/>
  <c r="F427" i="1"/>
  <c r="I426" i="1"/>
  <c r="F426" i="1"/>
  <c r="I425" i="1"/>
  <c r="F425" i="1"/>
  <c r="I424" i="1"/>
  <c r="F424" i="1"/>
  <c r="I423" i="1"/>
  <c r="F423" i="1"/>
  <c r="I422" i="1"/>
  <c r="F422" i="1"/>
  <c r="I421" i="1"/>
  <c r="F421" i="1"/>
  <c r="I420" i="1"/>
  <c r="F420" i="1"/>
  <c r="I419" i="1"/>
  <c r="F419" i="1"/>
  <c r="I418" i="1"/>
  <c r="F418" i="1"/>
  <c r="I417" i="1"/>
  <c r="F417" i="1"/>
  <c r="I416" i="1"/>
  <c r="F416" i="1"/>
  <c r="I415" i="1"/>
  <c r="F415" i="1"/>
  <c r="I414" i="1"/>
  <c r="F414" i="1"/>
  <c r="I413" i="1"/>
  <c r="F413" i="1"/>
  <c r="I412" i="1"/>
  <c r="F412" i="1"/>
  <c r="I411" i="1"/>
  <c r="F411" i="1"/>
  <c r="I410" i="1"/>
  <c r="F410" i="1"/>
  <c r="I409" i="1"/>
  <c r="F409" i="1"/>
  <c r="I408" i="1"/>
  <c r="F408" i="1"/>
  <c r="I407" i="1"/>
  <c r="F407" i="1"/>
  <c r="I406" i="1"/>
  <c r="F406" i="1"/>
  <c r="I405" i="1"/>
  <c r="F405" i="1"/>
  <c r="I404" i="1"/>
  <c r="F404" i="1"/>
  <c r="I403" i="1"/>
  <c r="F403" i="1"/>
  <c r="I402" i="1"/>
  <c r="F402" i="1"/>
  <c r="I401" i="1"/>
  <c r="F401" i="1"/>
  <c r="I400" i="1"/>
  <c r="F400" i="1"/>
  <c r="I399" i="1"/>
  <c r="F399" i="1"/>
  <c r="I398" i="1"/>
  <c r="F398" i="1"/>
  <c r="I397" i="1"/>
  <c r="F397" i="1"/>
  <c r="I396" i="1"/>
  <c r="F396" i="1"/>
  <c r="I395" i="1"/>
  <c r="F395" i="1"/>
  <c r="I394" i="1"/>
  <c r="F394" i="1"/>
  <c r="I393" i="1"/>
  <c r="F393" i="1"/>
  <c r="I392" i="1"/>
  <c r="F392" i="1"/>
  <c r="I391" i="1"/>
  <c r="F391" i="1"/>
  <c r="I390" i="1"/>
  <c r="F390" i="1"/>
  <c r="I389" i="1"/>
  <c r="F389" i="1"/>
  <c r="I388" i="1"/>
  <c r="F388" i="1"/>
  <c r="I387" i="1"/>
  <c r="F387" i="1"/>
  <c r="I386" i="1"/>
  <c r="F386" i="1"/>
  <c r="I385" i="1"/>
  <c r="F385" i="1"/>
  <c r="I384" i="1"/>
  <c r="F384" i="1"/>
  <c r="I383" i="1"/>
  <c r="F383" i="1"/>
  <c r="I382" i="1"/>
  <c r="F382" i="1"/>
  <c r="I381" i="1"/>
  <c r="F381" i="1"/>
  <c r="I380" i="1"/>
  <c r="F380" i="1"/>
  <c r="I379" i="1"/>
  <c r="F379" i="1"/>
  <c r="I378" i="1"/>
  <c r="F378" i="1"/>
  <c r="I377" i="1"/>
  <c r="F377" i="1"/>
  <c r="I376" i="1"/>
  <c r="F376" i="1"/>
  <c r="I375" i="1"/>
  <c r="F375" i="1"/>
  <c r="I374" i="1"/>
  <c r="F374" i="1"/>
  <c r="I373" i="1"/>
  <c r="F373" i="1"/>
  <c r="I372" i="1"/>
  <c r="F372" i="1"/>
  <c r="I371" i="1"/>
  <c r="F371" i="1"/>
  <c r="I370" i="1"/>
  <c r="F370" i="1"/>
  <c r="I369" i="1"/>
  <c r="F369" i="1"/>
  <c r="I368" i="1"/>
  <c r="F368" i="1"/>
  <c r="I367" i="1"/>
  <c r="F367" i="1"/>
  <c r="I366" i="1"/>
  <c r="F366" i="1"/>
  <c r="I365" i="1"/>
  <c r="F365" i="1"/>
  <c r="I364" i="1"/>
  <c r="F364" i="1"/>
  <c r="I363" i="1"/>
  <c r="F363" i="1"/>
  <c r="I362" i="1"/>
  <c r="F362" i="1"/>
  <c r="I361" i="1"/>
  <c r="F361" i="1"/>
  <c r="I360" i="1"/>
  <c r="F360" i="1"/>
  <c r="I359" i="1"/>
  <c r="F359" i="1"/>
  <c r="I358" i="1"/>
  <c r="F358" i="1"/>
  <c r="I357" i="1"/>
  <c r="F357" i="1"/>
  <c r="I356" i="1"/>
  <c r="F356" i="1"/>
  <c r="I355" i="1"/>
  <c r="F355" i="1"/>
  <c r="I354" i="1"/>
  <c r="F354" i="1"/>
  <c r="I353" i="1"/>
  <c r="F353" i="1"/>
  <c r="I352" i="1"/>
  <c r="F352" i="1"/>
  <c r="I351" i="1"/>
  <c r="F351" i="1"/>
  <c r="I350" i="1"/>
  <c r="F350" i="1"/>
  <c r="I349" i="1"/>
  <c r="F349" i="1"/>
  <c r="I348" i="1"/>
  <c r="F348" i="1"/>
  <c r="I347" i="1"/>
  <c r="F347" i="1"/>
  <c r="I346" i="1"/>
  <c r="F346" i="1"/>
  <c r="I345" i="1"/>
  <c r="F345" i="1"/>
  <c r="I344" i="1"/>
  <c r="F344" i="1"/>
  <c r="I343" i="1"/>
  <c r="F343" i="1"/>
  <c r="I342" i="1"/>
  <c r="F342" i="1"/>
  <c r="I341" i="1"/>
  <c r="F341" i="1"/>
  <c r="I340" i="1"/>
  <c r="F340" i="1"/>
  <c r="I339" i="1"/>
  <c r="F339" i="1"/>
  <c r="I338" i="1"/>
  <c r="F338" i="1"/>
  <c r="I337" i="1"/>
  <c r="F337" i="1"/>
  <c r="I336" i="1"/>
  <c r="F336" i="1"/>
  <c r="I335" i="1"/>
  <c r="F335" i="1"/>
  <c r="I334" i="1"/>
  <c r="F334" i="1"/>
  <c r="I333" i="1"/>
  <c r="F333" i="1"/>
  <c r="I332" i="1"/>
  <c r="F332" i="1"/>
  <c r="I331" i="1"/>
  <c r="F331" i="1"/>
  <c r="I330" i="1"/>
  <c r="F330" i="1"/>
  <c r="I329" i="1"/>
  <c r="F329" i="1"/>
  <c r="I328" i="1"/>
  <c r="F328" i="1"/>
  <c r="I327" i="1"/>
  <c r="F327" i="1"/>
  <c r="I326" i="1"/>
  <c r="F326" i="1"/>
  <c r="I325" i="1"/>
  <c r="F325" i="1"/>
  <c r="I324" i="1"/>
  <c r="F324" i="1"/>
  <c r="I323" i="1"/>
  <c r="F323" i="1"/>
  <c r="I322" i="1"/>
  <c r="F322" i="1"/>
  <c r="I321" i="1"/>
  <c r="F321" i="1"/>
  <c r="I320" i="1"/>
  <c r="F320" i="1"/>
  <c r="I319" i="1"/>
  <c r="F319" i="1"/>
  <c r="I318" i="1"/>
  <c r="F318" i="1"/>
  <c r="I317" i="1"/>
  <c r="F317" i="1"/>
  <c r="I316" i="1"/>
  <c r="F316" i="1"/>
  <c r="I315" i="1"/>
  <c r="F315" i="1"/>
  <c r="I314" i="1"/>
  <c r="F314" i="1"/>
  <c r="I313" i="1"/>
  <c r="F313" i="1"/>
  <c r="I312" i="1"/>
  <c r="F312" i="1"/>
  <c r="I311" i="1"/>
  <c r="F311" i="1"/>
  <c r="I310" i="1"/>
  <c r="F310" i="1"/>
  <c r="I309" i="1"/>
  <c r="F309" i="1"/>
  <c r="I308" i="1"/>
  <c r="F308" i="1"/>
  <c r="I307" i="1"/>
  <c r="F307" i="1"/>
  <c r="I306" i="1"/>
  <c r="F306" i="1"/>
  <c r="I305" i="1"/>
  <c r="F305" i="1"/>
  <c r="I304" i="1"/>
  <c r="F304" i="1"/>
  <c r="I303" i="1"/>
  <c r="F303" i="1"/>
  <c r="I302" i="1"/>
  <c r="F302" i="1"/>
  <c r="I301" i="1"/>
  <c r="F301" i="1"/>
  <c r="I300" i="1"/>
  <c r="F300" i="1"/>
  <c r="I299" i="1"/>
  <c r="F299" i="1"/>
  <c r="I298" i="1"/>
  <c r="F298" i="1"/>
  <c r="I297" i="1"/>
  <c r="F297" i="1"/>
  <c r="I296" i="1"/>
  <c r="F296" i="1"/>
  <c r="I295" i="1"/>
  <c r="F295" i="1"/>
  <c r="I294" i="1"/>
  <c r="F294" i="1"/>
  <c r="I293" i="1"/>
  <c r="F293" i="1"/>
  <c r="I292" i="1"/>
  <c r="F292" i="1"/>
  <c r="I291" i="1"/>
  <c r="F291" i="1"/>
  <c r="I290" i="1"/>
  <c r="F290" i="1"/>
  <c r="I289" i="1"/>
  <c r="F289" i="1"/>
  <c r="I288" i="1"/>
  <c r="F288" i="1"/>
  <c r="I287" i="1"/>
  <c r="F287" i="1"/>
  <c r="I286" i="1"/>
  <c r="F286" i="1"/>
  <c r="I285" i="1"/>
  <c r="F285" i="1"/>
  <c r="I284" i="1"/>
  <c r="F284" i="1"/>
  <c r="I283" i="1"/>
  <c r="F283" i="1"/>
  <c r="I282" i="1"/>
  <c r="F282" i="1"/>
  <c r="I281" i="1"/>
  <c r="F281" i="1"/>
  <c r="I280" i="1"/>
  <c r="F280" i="1"/>
  <c r="I279" i="1"/>
  <c r="F279" i="1"/>
  <c r="I278" i="1"/>
  <c r="F278" i="1"/>
  <c r="I277" i="1"/>
  <c r="F277" i="1"/>
  <c r="I276" i="1"/>
  <c r="F276" i="1"/>
  <c r="I275" i="1"/>
  <c r="F275" i="1"/>
  <c r="I274" i="1"/>
  <c r="F274" i="1"/>
  <c r="I273" i="1"/>
  <c r="F273" i="1"/>
  <c r="I272" i="1"/>
  <c r="F272" i="1"/>
  <c r="I271" i="1"/>
  <c r="F271" i="1"/>
  <c r="I270" i="1"/>
  <c r="F270" i="1"/>
  <c r="I269" i="1"/>
  <c r="F269" i="1"/>
  <c r="I268" i="1"/>
  <c r="F268" i="1"/>
  <c r="I267" i="1"/>
  <c r="F267" i="1"/>
  <c r="I266" i="1"/>
  <c r="F266" i="1"/>
  <c r="I265" i="1"/>
  <c r="F265" i="1"/>
  <c r="I264" i="1"/>
  <c r="F264" i="1"/>
  <c r="I263" i="1"/>
  <c r="F263" i="1"/>
  <c r="I262" i="1"/>
  <c r="F262" i="1"/>
  <c r="I261" i="1"/>
  <c r="F261" i="1"/>
  <c r="I260" i="1"/>
  <c r="F260" i="1"/>
  <c r="I259" i="1"/>
  <c r="F259" i="1"/>
  <c r="I258" i="1"/>
  <c r="F258" i="1"/>
  <c r="I257" i="1"/>
  <c r="F257" i="1"/>
  <c r="I256" i="1"/>
  <c r="F256" i="1"/>
  <c r="I255" i="1"/>
  <c r="F255" i="1"/>
  <c r="I254" i="1"/>
  <c r="F254" i="1"/>
  <c r="I253" i="1"/>
  <c r="F253" i="1"/>
  <c r="I252" i="1"/>
  <c r="F252" i="1"/>
  <c r="I251" i="1"/>
  <c r="F251" i="1"/>
  <c r="I250" i="1"/>
  <c r="F250" i="1"/>
  <c r="I249" i="1"/>
  <c r="F249" i="1"/>
  <c r="I248" i="1"/>
  <c r="F248" i="1"/>
  <c r="I247" i="1"/>
  <c r="F247" i="1"/>
  <c r="I246" i="1"/>
  <c r="F246" i="1"/>
  <c r="I245" i="1"/>
  <c r="F245" i="1"/>
  <c r="I244" i="1"/>
  <c r="F244" i="1"/>
  <c r="I243" i="1"/>
  <c r="F243" i="1"/>
  <c r="I242" i="1"/>
  <c r="F242" i="1"/>
  <c r="I241" i="1"/>
  <c r="F241" i="1"/>
  <c r="I240" i="1"/>
  <c r="F240" i="1"/>
  <c r="I239" i="1"/>
  <c r="F239" i="1"/>
  <c r="I238" i="1"/>
  <c r="F238" i="1"/>
  <c r="I237" i="1"/>
  <c r="F237" i="1"/>
  <c r="I236" i="1"/>
  <c r="F236" i="1"/>
  <c r="I235" i="1"/>
  <c r="F235" i="1"/>
  <c r="I234" i="1"/>
  <c r="F234" i="1"/>
  <c r="I233" i="1"/>
  <c r="F233" i="1"/>
  <c r="I232" i="1"/>
  <c r="F232" i="1"/>
  <c r="I231" i="1"/>
  <c r="F231" i="1"/>
  <c r="I230" i="1"/>
  <c r="F230" i="1"/>
  <c r="I229" i="1"/>
  <c r="F229" i="1"/>
  <c r="I228" i="1"/>
  <c r="F228" i="1"/>
  <c r="I227" i="1"/>
  <c r="F227" i="1"/>
  <c r="I226" i="1"/>
  <c r="F226" i="1"/>
  <c r="I225" i="1"/>
  <c r="F225" i="1"/>
  <c r="I224" i="1"/>
  <c r="F224" i="1"/>
  <c r="I223" i="1"/>
  <c r="F223" i="1"/>
  <c r="I222" i="1"/>
  <c r="F222" i="1"/>
  <c r="I221" i="1"/>
  <c r="F221" i="1"/>
  <c r="I220" i="1"/>
  <c r="F220" i="1"/>
  <c r="I219" i="1"/>
  <c r="F219" i="1"/>
  <c r="I218" i="1"/>
  <c r="F218" i="1"/>
  <c r="I217" i="1"/>
  <c r="F217" i="1"/>
  <c r="I216" i="1"/>
  <c r="F216" i="1"/>
  <c r="I215" i="1"/>
  <c r="F215" i="1"/>
  <c r="I214" i="1"/>
  <c r="F214" i="1"/>
  <c r="I213" i="1"/>
  <c r="F213" i="1"/>
  <c r="I212" i="1"/>
  <c r="F212" i="1"/>
  <c r="I211" i="1"/>
  <c r="F211" i="1"/>
  <c r="I210" i="1"/>
  <c r="F210" i="1"/>
  <c r="I209" i="1"/>
  <c r="F209" i="1"/>
  <c r="I208" i="1"/>
  <c r="F208" i="1"/>
  <c r="I207" i="1"/>
  <c r="F207" i="1"/>
  <c r="I206" i="1"/>
  <c r="F206" i="1"/>
  <c r="I205" i="1"/>
  <c r="F205" i="1"/>
  <c r="I204" i="1"/>
  <c r="F204" i="1"/>
  <c r="I203" i="1"/>
  <c r="F203" i="1"/>
  <c r="I202" i="1"/>
  <c r="F202" i="1"/>
  <c r="I201" i="1"/>
  <c r="F201" i="1"/>
  <c r="I200" i="1"/>
  <c r="F200" i="1"/>
  <c r="I199" i="1"/>
  <c r="F199" i="1"/>
  <c r="I198" i="1"/>
  <c r="F198" i="1"/>
  <c r="I197" i="1"/>
  <c r="F197" i="1"/>
  <c r="I196" i="1"/>
  <c r="F196" i="1"/>
  <c r="I195" i="1"/>
  <c r="F195" i="1"/>
  <c r="I194" i="1"/>
  <c r="F194" i="1"/>
  <c r="I193" i="1"/>
  <c r="F193" i="1"/>
  <c r="I192" i="1"/>
  <c r="F192" i="1"/>
  <c r="I191" i="1"/>
  <c r="F191" i="1"/>
  <c r="I190" i="1"/>
  <c r="F190" i="1"/>
  <c r="I189" i="1"/>
  <c r="F189" i="1"/>
  <c r="I188" i="1"/>
  <c r="F188" i="1"/>
  <c r="I187" i="1"/>
  <c r="F187" i="1"/>
  <c r="I186" i="1"/>
  <c r="F186" i="1"/>
  <c r="I185" i="1"/>
  <c r="F185" i="1"/>
  <c r="I184" i="1"/>
  <c r="F184" i="1"/>
  <c r="I183" i="1"/>
  <c r="F183" i="1"/>
  <c r="I182" i="1"/>
  <c r="F182" i="1"/>
  <c r="I181" i="1"/>
  <c r="F181" i="1"/>
  <c r="I180" i="1"/>
  <c r="F180" i="1"/>
  <c r="I179" i="1"/>
  <c r="F179" i="1"/>
  <c r="I178" i="1"/>
  <c r="F178" i="1"/>
  <c r="I177" i="1"/>
  <c r="F177" i="1"/>
  <c r="I176" i="1"/>
  <c r="F176" i="1"/>
  <c r="I175" i="1"/>
  <c r="F175" i="1"/>
  <c r="I174" i="1"/>
  <c r="F174" i="1"/>
  <c r="I173" i="1"/>
  <c r="F173" i="1"/>
  <c r="I172" i="1"/>
  <c r="F172" i="1"/>
  <c r="I171" i="1"/>
  <c r="F171" i="1"/>
  <c r="I170" i="1"/>
  <c r="F170" i="1"/>
  <c r="I169" i="1"/>
  <c r="F169" i="1"/>
  <c r="I168" i="1"/>
  <c r="F168" i="1"/>
  <c r="I167" i="1"/>
  <c r="F167" i="1"/>
  <c r="I166" i="1"/>
  <c r="F166" i="1"/>
  <c r="I165" i="1"/>
  <c r="F165" i="1"/>
  <c r="I164" i="1"/>
  <c r="F164" i="1"/>
  <c r="I163" i="1"/>
  <c r="F163" i="1"/>
  <c r="I162" i="1"/>
  <c r="F162" i="1"/>
  <c r="I161" i="1"/>
  <c r="F161" i="1"/>
  <c r="I160" i="1"/>
  <c r="F160" i="1"/>
  <c r="I159" i="1"/>
  <c r="F159" i="1"/>
  <c r="I158" i="1"/>
  <c r="F158" i="1"/>
  <c r="I157" i="1"/>
  <c r="F157" i="1"/>
  <c r="I156" i="1"/>
  <c r="F156" i="1"/>
  <c r="I155" i="1"/>
  <c r="F155" i="1"/>
  <c r="I154" i="1"/>
  <c r="F154" i="1"/>
  <c r="I153" i="1"/>
  <c r="F153" i="1"/>
  <c r="I152" i="1"/>
  <c r="F152" i="1"/>
  <c r="I151" i="1"/>
  <c r="F151" i="1"/>
  <c r="I150" i="1"/>
  <c r="F150" i="1"/>
  <c r="I149" i="1"/>
  <c r="F149" i="1"/>
  <c r="I148" i="1"/>
  <c r="F148" i="1"/>
  <c r="I147" i="1"/>
  <c r="F147" i="1"/>
  <c r="I146" i="1"/>
  <c r="F146" i="1"/>
  <c r="I145" i="1"/>
  <c r="F145" i="1"/>
  <c r="I144" i="1"/>
  <c r="F144" i="1"/>
  <c r="I143" i="1"/>
  <c r="F143" i="1"/>
  <c r="I142" i="1"/>
  <c r="F142" i="1"/>
  <c r="I141" i="1"/>
  <c r="F141" i="1"/>
  <c r="I140" i="1"/>
  <c r="F140" i="1"/>
  <c r="I139" i="1"/>
  <c r="F139" i="1"/>
  <c r="I138" i="1"/>
  <c r="F138" i="1"/>
  <c r="I137" i="1"/>
  <c r="F137" i="1"/>
  <c r="I136" i="1"/>
  <c r="F136" i="1"/>
  <c r="I135" i="1"/>
  <c r="F135" i="1"/>
  <c r="I134" i="1"/>
  <c r="F134" i="1"/>
  <c r="I133" i="1"/>
  <c r="F133" i="1"/>
  <c r="I132" i="1"/>
  <c r="F132" i="1"/>
  <c r="I131" i="1"/>
  <c r="F131" i="1"/>
  <c r="I130" i="1"/>
  <c r="F130" i="1"/>
  <c r="I129" i="1"/>
  <c r="F129" i="1"/>
  <c r="I128" i="1"/>
  <c r="F128" i="1"/>
  <c r="I127" i="1"/>
  <c r="F127" i="1"/>
  <c r="I126" i="1"/>
  <c r="F126" i="1"/>
  <c r="I125" i="1"/>
  <c r="F125" i="1"/>
  <c r="I124" i="1"/>
  <c r="F124" i="1"/>
  <c r="I123" i="1"/>
  <c r="F123" i="1"/>
  <c r="I122" i="1"/>
  <c r="F122" i="1"/>
  <c r="I121" i="1"/>
  <c r="F121" i="1"/>
  <c r="I120" i="1"/>
  <c r="F120" i="1"/>
  <c r="I119" i="1"/>
  <c r="F119" i="1"/>
  <c r="I118" i="1"/>
  <c r="F118" i="1"/>
  <c r="I117" i="1"/>
  <c r="F117" i="1"/>
  <c r="I116" i="1"/>
  <c r="F116" i="1"/>
  <c r="I115" i="1"/>
  <c r="F115" i="1"/>
  <c r="I114" i="1"/>
  <c r="F114" i="1"/>
  <c r="I113" i="1"/>
  <c r="F113" i="1"/>
  <c r="I112" i="1"/>
  <c r="F112" i="1"/>
  <c r="I111" i="1"/>
  <c r="F111" i="1"/>
  <c r="I110" i="1"/>
  <c r="F110" i="1"/>
  <c r="I109" i="1"/>
  <c r="F109" i="1"/>
  <c r="I108" i="1"/>
  <c r="F108" i="1"/>
  <c r="I107" i="1"/>
  <c r="F107" i="1"/>
  <c r="I106" i="1"/>
  <c r="F106" i="1"/>
  <c r="I105" i="1"/>
  <c r="F105" i="1"/>
  <c r="I104" i="1"/>
  <c r="F104" i="1"/>
  <c r="I103" i="1"/>
  <c r="F103" i="1"/>
  <c r="I102" i="1"/>
  <c r="F102" i="1"/>
  <c r="I101" i="1"/>
  <c r="I100" i="1"/>
  <c r="F100" i="1"/>
  <c r="I99" i="1"/>
  <c r="F99" i="1"/>
  <c r="I98" i="1"/>
  <c r="F98" i="1"/>
  <c r="I97" i="1"/>
  <c r="F97" i="1"/>
  <c r="I96" i="1"/>
  <c r="F96" i="1"/>
  <c r="I95" i="1"/>
  <c r="F95" i="1"/>
  <c r="I94" i="1"/>
  <c r="F94" i="1"/>
  <c r="I93" i="1"/>
  <c r="F93" i="1"/>
  <c r="I92" i="1"/>
  <c r="F92" i="1"/>
  <c r="I91" i="1"/>
  <c r="F91" i="1"/>
  <c r="I90" i="1"/>
  <c r="F90" i="1"/>
  <c r="I89" i="1"/>
  <c r="F89" i="1"/>
  <c r="I88" i="1"/>
  <c r="F88" i="1"/>
  <c r="I87" i="1"/>
  <c r="F87" i="1"/>
  <c r="I86" i="1"/>
  <c r="F86" i="1"/>
  <c r="I85" i="1"/>
  <c r="F85" i="1"/>
  <c r="I84" i="1"/>
  <c r="F84" i="1"/>
  <c r="I83" i="1"/>
  <c r="F83" i="1"/>
  <c r="I82" i="1"/>
  <c r="F82" i="1"/>
  <c r="I81" i="1"/>
  <c r="F81" i="1"/>
  <c r="I80" i="1"/>
  <c r="F80" i="1"/>
  <c r="I79" i="1"/>
  <c r="F79" i="1"/>
  <c r="I78" i="1"/>
  <c r="F78" i="1"/>
  <c r="I77" i="1"/>
  <c r="F77" i="1"/>
  <c r="I76" i="1"/>
  <c r="F76" i="1"/>
  <c r="I75" i="1"/>
  <c r="F75" i="1"/>
  <c r="I74" i="1"/>
  <c r="F74" i="1"/>
  <c r="I73" i="1"/>
  <c r="F73" i="1"/>
  <c r="I72" i="1"/>
  <c r="F72" i="1"/>
  <c r="I71" i="1"/>
  <c r="F71" i="1"/>
  <c r="I70" i="1"/>
  <c r="F70" i="1"/>
  <c r="I69" i="1"/>
  <c r="F69" i="1"/>
  <c r="I68" i="1"/>
  <c r="F68" i="1"/>
  <c r="I67" i="1"/>
  <c r="F67" i="1"/>
  <c r="I66" i="1"/>
  <c r="F66" i="1"/>
  <c r="I65" i="1"/>
  <c r="F65" i="1"/>
  <c r="I64" i="1"/>
  <c r="F64" i="1"/>
  <c r="I63" i="1"/>
  <c r="F63" i="1"/>
  <c r="I62" i="1"/>
  <c r="F62" i="1"/>
  <c r="I61" i="1"/>
  <c r="F61" i="1"/>
  <c r="I60" i="1"/>
  <c r="F60" i="1"/>
  <c r="I59" i="1"/>
  <c r="F59" i="1"/>
  <c r="I58" i="1"/>
  <c r="F58" i="1"/>
  <c r="I57" i="1"/>
  <c r="F57" i="1"/>
  <c r="I56" i="1"/>
  <c r="F56" i="1"/>
  <c r="I55" i="1"/>
  <c r="F55" i="1"/>
  <c r="I54" i="1"/>
  <c r="F54" i="1"/>
  <c r="I53" i="1"/>
  <c r="F53" i="1"/>
  <c r="I52" i="1"/>
  <c r="F52" i="1"/>
  <c r="I51" i="1"/>
  <c r="F51" i="1"/>
  <c r="I50" i="1"/>
  <c r="F50" i="1"/>
  <c r="I49" i="1"/>
  <c r="F49" i="1"/>
  <c r="I48" i="1"/>
  <c r="F48" i="1"/>
  <c r="I47" i="1"/>
  <c r="F47" i="1"/>
  <c r="I46" i="1"/>
  <c r="F46" i="1"/>
  <c r="I45" i="1"/>
  <c r="F45" i="1"/>
  <c r="I44" i="1"/>
  <c r="F44" i="1"/>
  <c r="I43" i="1"/>
  <c r="F43" i="1"/>
  <c r="I42" i="1"/>
  <c r="F42" i="1"/>
  <c r="I41" i="1"/>
  <c r="F41" i="1"/>
  <c r="I40" i="1"/>
  <c r="F40" i="1"/>
  <c r="I39" i="1"/>
  <c r="F39" i="1"/>
  <c r="I38" i="1"/>
  <c r="F38" i="1"/>
  <c r="I37" i="1"/>
  <c r="F37" i="1"/>
  <c r="I36" i="1"/>
  <c r="F36" i="1"/>
  <c r="I35" i="1"/>
  <c r="F35" i="1"/>
  <c r="I34" i="1"/>
  <c r="F34" i="1"/>
  <c r="I33" i="1"/>
  <c r="F33" i="1"/>
  <c r="I32" i="1"/>
  <c r="F32" i="1"/>
  <c r="I31" i="1"/>
  <c r="F31" i="1"/>
  <c r="I30" i="1"/>
  <c r="F30" i="1"/>
  <c r="I29" i="1"/>
  <c r="F29" i="1"/>
  <c r="I28" i="1"/>
  <c r="F28" i="1"/>
  <c r="I27" i="1"/>
  <c r="F27" i="1"/>
  <c r="I26" i="1"/>
  <c r="F26" i="1"/>
  <c r="I25" i="1"/>
  <c r="F25" i="1"/>
  <c r="I24" i="1"/>
  <c r="F24" i="1"/>
  <c r="I23" i="1"/>
  <c r="F23" i="1"/>
  <c r="I22" i="1"/>
  <c r="F22" i="1"/>
  <c r="I21" i="1"/>
  <c r="F21" i="1"/>
  <c r="I20" i="1"/>
  <c r="F20" i="1"/>
  <c r="I19" i="1"/>
  <c r="F19" i="1"/>
  <c r="I18" i="1"/>
  <c r="F18" i="1"/>
  <c r="I17" i="1"/>
  <c r="F17" i="1"/>
  <c r="I16" i="1"/>
  <c r="F16" i="1"/>
  <c r="I15" i="1"/>
  <c r="F15" i="1"/>
  <c r="I14" i="1"/>
  <c r="F14" i="1"/>
  <c r="I13" i="1"/>
  <c r="F13" i="1"/>
  <c r="I12" i="1"/>
  <c r="F12" i="1"/>
  <c r="I11" i="1"/>
  <c r="F11" i="1"/>
  <c r="I10" i="1"/>
  <c r="F10" i="1"/>
  <c r="I9" i="1"/>
  <c r="F9" i="1"/>
  <c r="I8" i="1"/>
  <c r="F8" i="1"/>
  <c r="I7" i="1"/>
  <c r="F7" i="1"/>
  <c r="I6" i="1"/>
  <c r="F6" i="1"/>
  <c r="I5" i="1"/>
  <c r="F5" i="1"/>
  <c r="I4" i="1"/>
  <c r="F4" i="1"/>
  <c r="I3" i="1"/>
  <c r="F3" i="1"/>
  <c r="I2" i="1"/>
  <c r="I609" i="1" s="1"/>
  <c r="F2" i="1"/>
  <c r="E4" i="3" l="1"/>
  <c r="H4" i="3" s="1"/>
  <c r="D2" i="3"/>
  <c r="F619" i="2"/>
  <c r="F609" i="1"/>
  <c r="J609" i="1"/>
  <c r="I2" i="3" l="1"/>
  <c r="I4" i="3" s="1"/>
  <c r="J4" i="3" s="1"/>
  <c r="D4"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H1" authorId="0" shapeId="0" xr:uid="{00000000-0006-0000-0000-000001000000}">
      <text>
        <r>
          <rPr>
            <sz val="10"/>
            <color rgb="FF000000"/>
            <rFont val="Arial"/>
          </rPr>
          <t>These were added so that there is a column that contains historical values and won't auto-update upon spreadsheet opening, unlike Column F which is linked to Google Finance and will pull new prices upon file opening.
	-Robson Glasscock</t>
        </r>
      </text>
    </comment>
    <comment ref="E609" authorId="0" shapeId="0" xr:uid="{00000000-0006-0000-0000-000006000000}">
      <text>
        <r>
          <rPr>
            <sz val="10"/>
            <color rgb="FF000000"/>
            <rFont val="Arial"/>
          </rPr>
          <t>This is the total amount you would have invested if you bought everything Cramer said to buy. Note that this does not include stocks that don't have current prices as of 12/18/21 (e.g., mergers, going private, bankruptcies, etc.)
	-Robson Glasscock</t>
        </r>
      </text>
    </comment>
    <comment ref="F609" authorId="0" shapeId="0" xr:uid="{00000000-0006-0000-0000-000005000000}">
      <text>
        <r>
          <rPr>
            <sz val="10"/>
            <color rgb="FF000000"/>
            <rFont val="Arial"/>
          </rPr>
          <t>This is what those shares are worth as of 12/18/21. Note that on 12/18 DD pulled but on 12/19 it did not, resulting in the error for the summation. I ended up pulling DD's price from Etrade and then added column H which was pasted values to avoid this in the future. Column F has the original formula with Google Finance queries from the Reddit post.
	-Robson Glasscock</t>
        </r>
      </text>
    </comment>
    <comment ref="G609" authorId="0" shapeId="0" xr:uid="{00000000-0006-0000-0000-000004000000}">
      <text>
        <r>
          <rPr>
            <sz val="10"/>
            <color rgb="FF000000"/>
            <rFont val="Arial"/>
          </rPr>
          <t>This is the total return if you invested a total of $102,904.55 and ended up with $103,343,33
 at the end of the year.
	-Robson Glasscock</t>
        </r>
      </text>
    </comment>
    <comment ref="I609" authorId="0" shapeId="0" xr:uid="{00000000-0006-0000-0000-000003000000}">
      <text>
        <r>
          <rPr>
            <sz val="10"/>
            <color rgb="FF000000"/>
            <rFont val="Arial"/>
          </rPr>
          <t>This is summing up all of the return percentages. This is the piece I of the original post that seemed incorrect to me. Here, my numbers are even higher than what he reported (given, I think these prices may be more current since they are today and I excluded companies without trading data today. You can see which companies were excluded on Raw Data with All Firms). If we just sum up the percentage gains, we get 746% but if you invested $102K and ended up with 103K you can see that calculating the return that way is a 0.43% return.
	-Robson Glasscock</t>
        </r>
      </text>
    </comment>
    <comment ref="J609" authorId="0" shapeId="0" xr:uid="{00000000-0006-0000-0000-000002000000}">
      <text>
        <r>
          <rPr>
            <sz val="10"/>
            <color rgb="FF000000"/>
            <rFont val="Arial"/>
          </rPr>
          <t>The return on each asset in a portfolio has to be weighted by the relative "importance" of each asset in the portfolio. Here, if we multiply each raw percentage on each stock times the portfolio allocation (e.g., the percentage each stock makes up of the overall portfolio's basis of $102,904.55), we come back to an overall return of 0.43%. The overall return on a portfolio is a function of the weights of each asset in the portfolio and the return on each asset.
	-Robson Glasscock</t>
        </r>
      </text>
    </comment>
  </commentList>
</comments>
</file>

<file path=xl/sharedStrings.xml><?xml version="1.0" encoding="utf-8"?>
<sst xmlns="http://schemas.openxmlformats.org/spreadsheetml/2006/main" count="2475" uniqueCount="645">
  <si>
    <t>Name</t>
  </si>
  <si>
    <t>Ticker</t>
  </si>
  <si>
    <t>Date of Rec</t>
  </si>
  <si>
    <t>Price at Rec</t>
  </si>
  <si>
    <t>Price at 12/18/21 Google Query Pull</t>
  </si>
  <si>
    <t>Price at 12/18/21 Pasted Values</t>
  </si>
  <si>
    <t xml:space="preserve">Return on Stock </t>
  </si>
  <si>
    <t>Return on Stock as a Percent of Portfolio</t>
  </si>
  <si>
    <t>UnitedHealth Group (UNH)</t>
  </si>
  <si>
    <t>UNH</t>
  </si>
  <si>
    <t>Twilio (TWLO)</t>
  </si>
  <si>
    <t>TWLO</t>
  </si>
  <si>
    <t>Old Republic Internationa (ORI)</t>
  </si>
  <si>
    <t>ORI</t>
  </si>
  <si>
    <t>Okta (OKTA)</t>
  </si>
  <si>
    <t>OKTA</t>
  </si>
  <si>
    <t>Neogenomics (NEO)</t>
  </si>
  <si>
    <t>NEO</t>
  </si>
  <si>
    <t>JPMorgan Chase (JPM)</t>
  </si>
  <si>
    <t>JPM</t>
  </si>
  <si>
    <t>JetBlue Airways (JBLU)</t>
  </si>
  <si>
    <t>JBLU</t>
  </si>
  <si>
    <t>Goldman Sachs (GS)</t>
  </si>
  <si>
    <t>GS</t>
  </si>
  <si>
    <t>Big Lots (BIG)</t>
  </si>
  <si>
    <t>BIG</t>
  </si>
  <si>
    <t>Bank of America (BAC)</t>
  </si>
  <si>
    <t>BAC</t>
  </si>
  <si>
    <t>American Electric Power (AEP)</t>
  </si>
  <si>
    <t>AEP</t>
  </si>
  <si>
    <t>American Eagle Outfitters (AEO)</t>
  </si>
  <si>
    <t>AEO</t>
  </si>
  <si>
    <t>Xilinx (XLNX)</t>
  </si>
  <si>
    <t>XLNX</t>
  </si>
  <si>
    <t>Regeneron Pharmaceuticals (REGN)</t>
  </si>
  <si>
    <t>REGN</t>
  </si>
  <si>
    <t>Roblox (RBLX)</t>
  </si>
  <si>
    <t>RBLX</t>
  </si>
  <si>
    <t>Paysafe (PSFE)</t>
  </si>
  <si>
    <t>PSFE</t>
  </si>
  <si>
    <t>PAR Technologies (PAR)</t>
  </si>
  <si>
    <t>PAR</t>
  </si>
  <si>
    <t>Lemonade (LMND)</t>
  </si>
  <si>
    <t>LMND</t>
  </si>
  <si>
    <t>Keysight Technologies (KEYS)</t>
  </si>
  <si>
    <t>KEYS</t>
  </si>
  <si>
    <t>GoodRX (GDRX)</t>
  </si>
  <si>
    <t>GDRX</t>
  </si>
  <si>
    <t>CoinBase (COIN)</t>
  </si>
  <si>
    <t>COIN</t>
  </si>
  <si>
    <t>Airbnb (ABNB)</t>
  </si>
  <si>
    <t>ABNB</t>
  </si>
  <si>
    <t>Apple (AAPL)</t>
  </si>
  <si>
    <t>AAPL</t>
  </si>
  <si>
    <t>Weyerhaeuser (WY)</t>
  </si>
  <si>
    <t>WY</t>
  </si>
  <si>
    <t>NovoCure (NVCR)</t>
  </si>
  <si>
    <t>NVCR</t>
  </si>
  <si>
    <t>Logitech International (LOGI)</t>
  </si>
  <si>
    <t>LOGI</t>
  </si>
  <si>
    <t>DraftKings (DKNG)</t>
  </si>
  <si>
    <t>DKNG</t>
  </si>
  <si>
    <t>Chicago Mercantile Exchan (CME)</t>
  </si>
  <si>
    <t>CME</t>
  </si>
  <si>
    <t>Bumble (BMBL)</t>
  </si>
  <si>
    <t>BMBL</t>
  </si>
  <si>
    <t>Yum! Brands (YUM)</t>
  </si>
  <si>
    <t>YUM</t>
  </si>
  <si>
    <t>Starbucks (SBUX)</t>
  </si>
  <si>
    <t>SBUX</t>
  </si>
  <si>
    <t>Ruth's Chris Steakhouse (RUTH)</t>
  </si>
  <si>
    <t>RUTH</t>
  </si>
  <si>
    <t>Planet Fitness (PLNT)</t>
  </si>
  <si>
    <t>PLNT</t>
  </si>
  <si>
    <t>NVIDIA (NVDA)</t>
  </si>
  <si>
    <t>NVDA</t>
  </si>
  <si>
    <t>Microsoft (MSFT)</t>
  </si>
  <si>
    <t>MSFT</t>
  </si>
  <si>
    <t>Honeywell (HON)</t>
  </si>
  <si>
    <t>HON</t>
  </si>
  <si>
    <t>Darden Restaurants (DRI)</t>
  </si>
  <si>
    <t>DRI</t>
  </si>
  <si>
    <t>Cisco Systems (CSCO)</t>
  </si>
  <si>
    <t>CSCO</t>
  </si>
  <si>
    <t>Costco (COST)</t>
  </si>
  <si>
    <t>COST</t>
  </si>
  <si>
    <t>Boeing (BA)</t>
  </si>
  <si>
    <t>BA</t>
  </si>
  <si>
    <t>Wynn Resorts (WYNN)</t>
  </si>
  <si>
    <t>WYNN</t>
  </si>
  <si>
    <t>Verizon (VZ)</t>
  </si>
  <si>
    <t>VZ</t>
  </si>
  <si>
    <t>Constellation Brands (STZ)</t>
  </si>
  <si>
    <t>STZ</t>
  </si>
  <si>
    <t>Levi's (LEVI)</t>
  </si>
  <si>
    <t>LEVI</t>
  </si>
  <si>
    <t>InMode (INMD)</t>
  </si>
  <si>
    <t>INMD</t>
  </si>
  <si>
    <t>Caterpillar (CAT)</t>
  </si>
  <si>
    <t>CAT</t>
  </si>
  <si>
    <t>Williams-Sonoma (WSM)</t>
  </si>
  <si>
    <t>WSM</t>
  </si>
  <si>
    <t>Walmart (WMT)</t>
  </si>
  <si>
    <t>WMT</t>
  </si>
  <si>
    <t>Stanley Black &amp; Decker (SWK)</t>
  </si>
  <si>
    <t>SWK</t>
  </si>
  <si>
    <t>RH (RH)</t>
  </si>
  <si>
    <t>RH</t>
  </si>
  <si>
    <t>Pioneer Natural Resources (PXD)</t>
  </si>
  <si>
    <t>PXD</t>
  </si>
  <si>
    <t>Paychex (PAYX)</t>
  </si>
  <si>
    <t>PAYX</t>
  </si>
  <si>
    <t>McCormick (MKC)</t>
  </si>
  <si>
    <t>MKC</t>
  </si>
  <si>
    <t>Lowe's (LOW)</t>
  </si>
  <si>
    <t>LOW</t>
  </si>
  <si>
    <t>Kroger (KR)</t>
  </si>
  <si>
    <t>KR</t>
  </si>
  <si>
    <t>Home Depot (HD)</t>
  </si>
  <si>
    <t>HD</t>
  </si>
  <si>
    <t>Fisker (FSR)</t>
  </si>
  <si>
    <t>FSR</t>
  </si>
  <si>
    <t>Etsy (ETSY)</t>
  </si>
  <si>
    <t>ETSY</t>
  </si>
  <si>
    <t>Callaway Golf (ELY)</t>
  </si>
  <si>
    <t>ELY</t>
  </si>
  <si>
    <t>Chewy (CHWY)</t>
  </si>
  <si>
    <t>CHWY</t>
  </si>
  <si>
    <t>Bill.com (BILL)</t>
  </si>
  <si>
    <t>BILL</t>
  </si>
  <si>
    <t>Applied Materials (AMAT)</t>
  </si>
  <si>
    <t>AMAT</t>
  </si>
  <si>
    <t>Ocugen (OCGN)</t>
  </si>
  <si>
    <t>OCGN</t>
  </si>
  <si>
    <t>ServiceNow (NOW)</t>
  </si>
  <si>
    <t>NOW</t>
  </si>
  <si>
    <t>Norwegian Cruise Line (NCLH)</t>
  </si>
  <si>
    <t>NCLH</t>
  </si>
  <si>
    <t>MP Materials (MP)</t>
  </si>
  <si>
    <t>MP</t>
  </si>
  <si>
    <t>General Motors (GM)</t>
  </si>
  <si>
    <t>GM</t>
  </si>
  <si>
    <t>Ford Motor (F)</t>
  </si>
  <si>
    <t>F</t>
  </si>
  <si>
    <t>Crown Castle (CCI)</t>
  </si>
  <si>
    <t>CCI</t>
  </si>
  <si>
    <t>Taiwan Semiconductor (TSM)</t>
  </si>
  <si>
    <t>TSM</t>
  </si>
  <si>
    <t>Netflix (NFLX)</t>
  </si>
  <si>
    <t>NFLX</t>
  </si>
  <si>
    <t>MarketAxess (MKTX)</t>
  </si>
  <si>
    <t>MKTX</t>
  </si>
  <si>
    <t>Fastly (FSLY)</t>
  </si>
  <si>
    <t>FSLY</t>
  </si>
  <si>
    <t>Facebook (FB)</t>
  </si>
  <si>
    <t>FB</t>
  </si>
  <si>
    <t>Tesla (TSLA)</t>
  </si>
  <si>
    <t>TSLA</t>
  </si>
  <si>
    <t>QuantumScape (QS)</t>
  </si>
  <si>
    <t>QS</t>
  </si>
  <si>
    <t>Micron Technology (MU)</t>
  </si>
  <si>
    <t>MU</t>
  </si>
  <si>
    <t>ConAgra Foods (CAG)</t>
  </si>
  <si>
    <t>CAG</t>
  </si>
  <si>
    <t>AMC Entertainment (AMC)</t>
  </si>
  <si>
    <t>AMC</t>
  </si>
  <si>
    <t>Zillow (Z)</t>
  </si>
  <si>
    <t>Z</t>
  </si>
  <si>
    <t>Tractor Supply (TSCO)</t>
  </si>
  <si>
    <t>TSCO</t>
  </si>
  <si>
    <t>Thunder Bridge Acquisitio (THBR)</t>
  </si>
  <si>
    <t>THBR</t>
  </si>
  <si>
    <t>from etrade on 12/18/21</t>
  </si>
  <si>
    <t>Ncino (NCNO)</t>
  </si>
  <si>
    <t>NCNO</t>
  </si>
  <si>
    <t>M/I Homes (MHO)</t>
  </si>
  <si>
    <t>MHO</t>
  </si>
  <si>
    <t>Cintas (CTAS)</t>
  </si>
  <si>
    <t>CTAS</t>
  </si>
  <si>
    <t>Cleveland-Cliffs (CLF)</t>
  </si>
  <si>
    <t>CLF</t>
  </si>
  <si>
    <t>Vista Outdoor (VSTO)</t>
  </si>
  <si>
    <t>VSTO</t>
  </si>
  <si>
    <t>Nucor (NUE)</t>
  </si>
  <si>
    <t>NUE</t>
  </si>
  <si>
    <t>NCR Corp (NCR)</t>
  </si>
  <si>
    <t>NCR</t>
  </si>
  <si>
    <t>Manitowoc (MTW)</t>
  </si>
  <si>
    <t>MTW</t>
  </si>
  <si>
    <t>Macy's (M)</t>
  </si>
  <si>
    <t>M</t>
  </si>
  <si>
    <t>Lithia Motors (LAD)</t>
  </si>
  <si>
    <t>LAD</t>
  </si>
  <si>
    <t>Carmax (KMX)</t>
  </si>
  <si>
    <t>KMX</t>
  </si>
  <si>
    <t>Carvana (CVNA)</t>
  </si>
  <si>
    <t>CVNA</t>
  </si>
  <si>
    <t>Comerica (CMA)</t>
  </si>
  <si>
    <t>CMA</t>
  </si>
  <si>
    <t>AutoNation (AN)</t>
  </si>
  <si>
    <t>AN</t>
  </si>
  <si>
    <t>Inseego (INSG)</t>
  </si>
  <si>
    <t>INSG</t>
  </si>
  <si>
    <t>Walt Disney (DIS)</t>
  </si>
  <si>
    <t>DIS</t>
  </si>
  <si>
    <t>Yelp (YELP)</t>
  </si>
  <si>
    <t>YELP</t>
  </si>
  <si>
    <t>Martin Marietta Materials (MLM)</t>
  </si>
  <si>
    <t>MLM</t>
  </si>
  <si>
    <t>GrowGeneration (GRWG)</t>
  </si>
  <si>
    <t>GRWG</t>
  </si>
  <si>
    <t>Fast Acquisition (FST)</t>
  </si>
  <si>
    <t>FST</t>
  </si>
  <si>
    <t>Abbott Laboratories (ABT)</t>
  </si>
  <si>
    <t>ABT</t>
  </si>
  <si>
    <t>UWM Holdings (UWMC)</t>
  </si>
  <si>
    <t>UWMC</t>
  </si>
  <si>
    <t>Union Pacific (UNP)</t>
  </si>
  <si>
    <t>UNP</t>
  </si>
  <si>
    <t>Cemex (CX)</t>
  </si>
  <si>
    <t>CX</t>
  </si>
  <si>
    <t>Tellurian (TELL)</t>
  </si>
  <si>
    <t>TELL</t>
  </si>
  <si>
    <t>AquaBounty Technologies (AQB)</t>
  </si>
  <si>
    <t>AQB</t>
  </si>
  <si>
    <t>Marvell Technology (MRVL)</t>
  </si>
  <si>
    <t>MRVL</t>
  </si>
  <si>
    <t>Southwest Airlines (LUV)</t>
  </si>
  <si>
    <t>LUV</t>
  </si>
  <si>
    <t>Deere &amp; Company (DE)</t>
  </si>
  <si>
    <t>DE</t>
  </si>
  <si>
    <t>CSX (CSX)</t>
  </si>
  <si>
    <t>CSX</t>
  </si>
  <si>
    <t>CRISPR Therapeutics (CRSP)</t>
  </si>
  <si>
    <t>CRSP</t>
  </si>
  <si>
    <t>Cummins (CMI)</t>
  </si>
  <si>
    <t>CMI</t>
  </si>
  <si>
    <t>Biohaven Pharmaceuticals (BHVN)</t>
  </si>
  <si>
    <t>BHVN</t>
  </si>
  <si>
    <t>AGCO (AGCO)</t>
  </si>
  <si>
    <t>AGCO</t>
  </si>
  <si>
    <t>Utz Brands (UTZ)</t>
  </si>
  <si>
    <t>UTZ</t>
  </si>
  <si>
    <t>Upstart (UPST)</t>
  </si>
  <si>
    <t>UPST</t>
  </si>
  <si>
    <t>Signet Jewelers (SIG)</t>
  </si>
  <si>
    <t>SIG</t>
  </si>
  <si>
    <t>Live Nation (LYV)</t>
  </si>
  <si>
    <t>LYV</t>
  </si>
  <si>
    <t>Plug Power (PLUG)</t>
  </si>
  <si>
    <t>PLUG</t>
  </si>
  <si>
    <t>Magna International (MGA)</t>
  </si>
  <si>
    <t>MGA</t>
  </si>
  <si>
    <t>Linde (LIN)</t>
  </si>
  <si>
    <t>LIN</t>
  </si>
  <si>
    <t>AppHarvest (APPH)</t>
  </si>
  <si>
    <t>APPH</t>
  </si>
  <si>
    <t>SunOpta (STKL)</t>
  </si>
  <si>
    <t>STKL</t>
  </si>
  <si>
    <t>MakeMyTrip (MMYT)</t>
  </si>
  <si>
    <t>MMYT</t>
  </si>
  <si>
    <t>Angi (ANGI)</t>
  </si>
  <si>
    <t>ANGI</t>
  </si>
  <si>
    <t>Tapestry (TPR)</t>
  </si>
  <si>
    <t>TPR</t>
  </si>
  <si>
    <t>LVMH (LVMUY)</t>
  </si>
  <si>
    <t>LVMUY</t>
  </si>
  <si>
    <t>Nordstrom (JWN)</t>
  </si>
  <si>
    <t>JWN</t>
  </si>
  <si>
    <t>Duke Energy (DUK)</t>
  </si>
  <si>
    <t>DUK</t>
  </si>
  <si>
    <t>Dow Chemical (DOW)</t>
  </si>
  <si>
    <t>DOW</t>
  </si>
  <si>
    <t>CrowdStrike (CRWD)</t>
  </si>
  <si>
    <t>CRWD</t>
  </si>
  <si>
    <t>Capri Holdings (CPRI)</t>
  </si>
  <si>
    <t>CPRI</t>
  </si>
  <si>
    <t>Visa (V)</t>
  </si>
  <si>
    <t>V</t>
  </si>
  <si>
    <t>Teladoc (TDOC)</t>
  </si>
  <si>
    <t>TDOC</t>
  </si>
  <si>
    <t>Square (SQ)</t>
  </si>
  <si>
    <t>SQ</t>
  </si>
  <si>
    <t>Snowflake (SNOW)</t>
  </si>
  <si>
    <t>SNOW</t>
  </si>
  <si>
    <t>PayPal (PYPL)</t>
  </si>
  <si>
    <t>PYPL</t>
  </si>
  <si>
    <t>Moderna (MRNA)</t>
  </si>
  <si>
    <t>MRNA</t>
  </si>
  <si>
    <t>Mastercard (MA)</t>
  </si>
  <si>
    <t>MA</t>
  </si>
  <si>
    <t>Johnson &amp; Johnson (JNJ)</t>
  </si>
  <si>
    <t>JNJ</t>
  </si>
  <si>
    <t>Fiverr International (FVRR)</t>
  </si>
  <si>
    <t>FVRR</t>
  </si>
  <si>
    <t>Exact Sciences (EXAS)</t>
  </si>
  <si>
    <t>EXAS</t>
  </si>
  <si>
    <t>Celsius Holdings (CELH)</t>
  </si>
  <si>
    <t>CELH</t>
  </si>
  <si>
    <t>Beyond Meat (BYND)</t>
  </si>
  <si>
    <t>BYND</t>
  </si>
  <si>
    <t>Advanced Micro Devices (AMD)</t>
  </si>
  <si>
    <t>AMD</t>
  </si>
  <si>
    <t>United Micro Electronics (UMC)</t>
  </si>
  <si>
    <t>UMC</t>
  </si>
  <si>
    <t>Ulta Beauty (ULTA)</t>
  </si>
  <si>
    <t>ULTA</t>
  </si>
  <si>
    <t>Trex (TREX)</t>
  </si>
  <si>
    <t>TREX</t>
  </si>
  <si>
    <t>Oracle (ORCL)</t>
  </si>
  <si>
    <t>ORCL</t>
  </si>
  <si>
    <t>Nutanix (NTNX)</t>
  </si>
  <si>
    <t>NTNX</t>
  </si>
  <si>
    <t>Dicks Sporting Goods (DKS)</t>
  </si>
  <si>
    <t>DKS</t>
  </si>
  <si>
    <t>Splunk (SPLK)</t>
  </si>
  <si>
    <t>SPLK</t>
  </si>
  <si>
    <t>CEL-SCI (CVM)</t>
  </si>
  <si>
    <t>CVM</t>
  </si>
  <si>
    <t>Wendy's (WEN)</t>
  </si>
  <si>
    <t>WEN</t>
  </si>
  <si>
    <t>United Continental (UAL)</t>
  </si>
  <si>
    <t>UAL</t>
  </si>
  <si>
    <t>Royal Caribbean Cruises (RCL)</t>
  </si>
  <si>
    <t>RCL</t>
  </si>
  <si>
    <t>Groupon (GRPN)</t>
  </si>
  <si>
    <t>GRPN</t>
  </si>
  <si>
    <t>Emergent BioSolutions (EBS)</t>
  </si>
  <si>
    <t>EBS</t>
  </si>
  <si>
    <t>Zillow Group (ZG)</t>
  </si>
  <si>
    <t>ZG</t>
  </si>
  <si>
    <t>XL Fleet (XL)</t>
  </si>
  <si>
    <t>XL</t>
  </si>
  <si>
    <t>Pfizer (PFE)</t>
  </si>
  <si>
    <t>PFE</t>
  </si>
  <si>
    <t>Public Service Enterprise (PEG)</t>
  </si>
  <si>
    <t>PEG</t>
  </si>
  <si>
    <t>Palo Alto Networks (PANW)</t>
  </si>
  <si>
    <t>PANW</t>
  </si>
  <si>
    <t>Canopy Growth (CGC)</t>
  </si>
  <si>
    <t>CGC</t>
  </si>
  <si>
    <t>BorgWarner (BWA)</t>
  </si>
  <si>
    <t>BWA</t>
  </si>
  <si>
    <t>Ralph Lauren (RL)</t>
  </si>
  <si>
    <t>RL</t>
  </si>
  <si>
    <t>Penn National Gaming (PENN)</t>
  </si>
  <si>
    <t>PENN</t>
  </si>
  <si>
    <t>Federal Realty Investment (FRT)</t>
  </si>
  <si>
    <t>FRT</t>
  </si>
  <si>
    <t>Edwards Lifesciences (EW)</t>
  </si>
  <si>
    <t>EW</t>
  </si>
  <si>
    <t>Salesforce.com (CRM)</t>
  </si>
  <si>
    <t>CRM</t>
  </si>
  <si>
    <t>Zoom Video Communications (ZM)</t>
  </si>
  <si>
    <t>ZM</t>
  </si>
  <si>
    <t>Workday (WDAY)</t>
  </si>
  <si>
    <t>WDAY</t>
  </si>
  <si>
    <t>Target (TGT)</t>
  </si>
  <si>
    <t>TGT</t>
  </si>
  <si>
    <t>Rocket Companies (RKT)</t>
  </si>
  <si>
    <t>RKT</t>
  </si>
  <si>
    <t>Madison Square Garden Spo (MSGS)</t>
  </si>
  <si>
    <t>MSGS</t>
  </si>
  <si>
    <t>Dollar Tree (DLTR)</t>
  </si>
  <si>
    <t>DLTR</t>
  </si>
  <si>
    <t>Arista Networks (ANET)</t>
  </si>
  <si>
    <t>ANET</t>
  </si>
  <si>
    <t>Twitter (TWTR)</t>
  </si>
  <si>
    <t>TWTR</t>
  </si>
  <si>
    <t>NanoString Technologies (NSTG)</t>
  </si>
  <si>
    <t>NSTG</t>
  </si>
  <si>
    <t>Inari Medica (NARI)</t>
  </si>
  <si>
    <t>NARI</t>
  </si>
  <si>
    <t>Vertiv (VRT)</t>
  </si>
  <si>
    <t>VRT</t>
  </si>
  <si>
    <t>Upwork (UPWK)</t>
  </si>
  <si>
    <t>UPWK</t>
  </si>
  <si>
    <t>The Trade Desk (TTD)</t>
  </si>
  <si>
    <t>TTD</t>
  </si>
  <si>
    <t>Skillz (SKLZ)</t>
  </si>
  <si>
    <t>SKLZ</t>
  </si>
  <si>
    <t>Porch (PRCH)</t>
  </si>
  <si>
    <t>PRCH</t>
  </si>
  <si>
    <t>Lululemon Athletica (LULU)</t>
  </si>
  <si>
    <t>LULU</t>
  </si>
  <si>
    <t>Lam Research (LRCX)</t>
  </si>
  <si>
    <t>LRCX</t>
  </si>
  <si>
    <t>Open Lending (LPRO)</t>
  </si>
  <si>
    <t>LPRO</t>
  </si>
  <si>
    <t>Intuitive Surgical (ISRG)</t>
  </si>
  <si>
    <t>ISRG</t>
  </si>
  <si>
    <t>HubSpot (HUBS)</t>
  </si>
  <si>
    <t>HUBS</t>
  </si>
  <si>
    <t>Enphase Energy (ENPH)</t>
  </si>
  <si>
    <t>ENPH</t>
  </si>
  <si>
    <t>Align Technology (ALGN)</t>
  </si>
  <si>
    <t>ALGN</t>
  </si>
  <si>
    <t>Vertex Pharmaceuticals (VRTX)</t>
  </si>
  <si>
    <t>VRTX</t>
  </si>
  <si>
    <t>eXp World (EXPI)</t>
  </si>
  <si>
    <t>EXPI</t>
  </si>
  <si>
    <t>Charles River Labs (CRL)</t>
  </si>
  <si>
    <t>CRL</t>
  </si>
  <si>
    <t>Brinks (BCO)</t>
  </si>
  <si>
    <t>BCO</t>
  </si>
  <si>
    <t>XPO Logistics (XPO)</t>
  </si>
  <si>
    <t>XPO</t>
  </si>
  <si>
    <t>Simon Property Group (SPG)</t>
  </si>
  <si>
    <t>SPG</t>
  </si>
  <si>
    <t>ON Semiconductor (ON)</t>
  </si>
  <si>
    <t>ON</t>
  </si>
  <si>
    <t>Marriott International (MAR)</t>
  </si>
  <si>
    <t>MAR</t>
  </si>
  <si>
    <t>Eli Lilly (LLY)</t>
  </si>
  <si>
    <t>LLY</t>
  </si>
  <si>
    <t>Estee Lauder (EL)</t>
  </si>
  <si>
    <t>EL</t>
  </si>
  <si>
    <t>Dollar General (DG)</t>
  </si>
  <si>
    <t>DG</t>
  </si>
  <si>
    <t>Boise Cascade (BCC)</t>
  </si>
  <si>
    <t>BCC</t>
  </si>
  <si>
    <t>Azek Company (AZEK)</t>
  </si>
  <si>
    <t>AZEK</t>
  </si>
  <si>
    <t>American Express (AXP)</t>
  </si>
  <si>
    <t>AXP</t>
  </si>
  <si>
    <t>Ambarella (AMBA)</t>
  </si>
  <si>
    <t>AMBA</t>
  </si>
  <si>
    <t>Zoetis (ZTS)</t>
  </si>
  <si>
    <t>ZTS</t>
  </si>
  <si>
    <t>Roku (ROKU)</t>
  </si>
  <si>
    <t>ROKU</t>
  </si>
  <si>
    <t>Barrick Gold (GOLD)</t>
  </si>
  <si>
    <t>GOLD</t>
  </si>
  <si>
    <t>Emerson Electric (EMR)</t>
  </si>
  <si>
    <t>EMR</t>
  </si>
  <si>
    <t>Dexcom (DXCM)</t>
  </si>
  <si>
    <t>DXCM</t>
  </si>
  <si>
    <t>DuPont (DD)</t>
  </si>
  <si>
    <t>DD</t>
  </si>
  <si>
    <t>CVS Health (CVS)</t>
  </si>
  <si>
    <t>CVS</t>
  </si>
  <si>
    <t>Affirm (AFRM)</t>
  </si>
  <si>
    <t>AFRM</t>
  </si>
  <si>
    <t>AbbVie (ABBV)</t>
  </si>
  <si>
    <t>ABBV</t>
  </si>
  <si>
    <t>Sensata Technologies (ST)</t>
  </si>
  <si>
    <t>ST</t>
  </si>
  <si>
    <t>Sonos (SONO)</t>
  </si>
  <si>
    <t>SONO</t>
  </si>
  <si>
    <t>Match Group (MTCH)</t>
  </si>
  <si>
    <t>MTCH</t>
  </si>
  <si>
    <t>KLA Corp (KLAC)</t>
  </si>
  <si>
    <t>KLAC</t>
  </si>
  <si>
    <t>InterDigital Communicatio (IDCC)</t>
  </si>
  <si>
    <t>IDCC</t>
  </si>
  <si>
    <t>Hormel Foods (HRL)</t>
  </si>
  <si>
    <t>HRL</t>
  </si>
  <si>
    <t>Skyworks Solutions (SWKS)</t>
  </si>
  <si>
    <t>SWKS</t>
  </si>
  <si>
    <t>Mitek Systems (MITK)</t>
  </si>
  <si>
    <t>MITK</t>
  </si>
  <si>
    <t>Magnite (MGNI)</t>
  </si>
  <si>
    <t>MGNI</t>
  </si>
  <si>
    <t>Mattel (MAT)</t>
  </si>
  <si>
    <t>MAT</t>
  </si>
  <si>
    <t>Juniper Networks (JNPR)</t>
  </si>
  <si>
    <t>JNPR</t>
  </si>
  <si>
    <t>Take-Two Interactive (TTWO)</t>
  </si>
  <si>
    <t>TTWO</t>
  </si>
  <si>
    <t>Stitch Fix (SFIX)</t>
  </si>
  <si>
    <t>SFIX</t>
  </si>
  <si>
    <t>Chegg (CHGG)</t>
  </si>
  <si>
    <t>CHGG</t>
  </si>
  <si>
    <t>Aspen Aerogels (ASPN)</t>
  </si>
  <si>
    <t>ASPN</t>
  </si>
  <si>
    <t>Vulcan Materials (VMC)</t>
  </si>
  <si>
    <t>VMC</t>
  </si>
  <si>
    <t>Veru (VERU)</t>
  </si>
  <si>
    <t>VERU</t>
  </si>
  <si>
    <t>Pulte Homes (PHM)</t>
  </si>
  <si>
    <t>PHM</t>
  </si>
  <si>
    <t>Lennar (LEN)</t>
  </si>
  <si>
    <t>LEN</t>
  </si>
  <si>
    <t>Dycom Industries (DY)</t>
  </si>
  <si>
    <t>DY</t>
  </si>
  <si>
    <t>Sanofi (SNY)</t>
  </si>
  <si>
    <t>SNY</t>
  </si>
  <si>
    <t>Snap (SNAP)</t>
  </si>
  <si>
    <t>SNAP</t>
  </si>
  <si>
    <t>Renewable Energy Group (REGI)</t>
  </si>
  <si>
    <t>REGI</t>
  </si>
  <si>
    <t>Pepsico (PEP)</t>
  </si>
  <si>
    <t>PEP</t>
  </si>
  <si>
    <t>Newell Brands (NWL)</t>
  </si>
  <si>
    <t>NWL</t>
  </si>
  <si>
    <t>Brunswick (BC)</t>
  </si>
  <si>
    <t>BC</t>
  </si>
  <si>
    <t>Rockwell Automation (ROK)</t>
  </si>
  <si>
    <t>ROK</t>
  </si>
  <si>
    <t>Nike (NKE)</t>
  </si>
  <si>
    <t>NKE</t>
  </si>
  <si>
    <t>3D Systems (DDD)</t>
  </si>
  <si>
    <t>DDD</t>
  </si>
  <si>
    <t>Centene (CNC)</t>
  </si>
  <si>
    <t>CNC</t>
  </si>
  <si>
    <t>Clorox (CLX)</t>
  </si>
  <si>
    <t>CLX</t>
  </si>
  <si>
    <t>Hologic (HOLX)</t>
  </si>
  <si>
    <t>HOLX</t>
  </si>
  <si>
    <t>Futu Holdings (FUTU)</t>
  </si>
  <si>
    <t>FUTU</t>
  </si>
  <si>
    <t>e.l.f. Beauty (ELF)</t>
  </si>
  <si>
    <t>ELF</t>
  </si>
  <si>
    <t>eBay (EBAY)</t>
  </si>
  <si>
    <t>EBAY</t>
  </si>
  <si>
    <t>United Parcel Service (UPS)</t>
  </si>
  <si>
    <t>UPS</t>
  </si>
  <si>
    <t>Norfolk Southern (NSC)</t>
  </si>
  <si>
    <t>NSC</t>
  </si>
  <si>
    <t>Consolidated Edison (ED)</t>
  </si>
  <si>
    <t>ED</t>
  </si>
  <si>
    <t>Alibaba (BABA)</t>
  </si>
  <si>
    <t>BABA</t>
  </si>
  <si>
    <t>Thermo Fisher Scientific (TMO)</t>
  </si>
  <si>
    <t>TMO</t>
  </si>
  <si>
    <t>Otis Worldwide (OTIS)</t>
  </si>
  <si>
    <t>OTIS</t>
  </si>
  <si>
    <t>OpenDoor Technologies (OPEN)</t>
  </si>
  <si>
    <t>OPEN</t>
  </si>
  <si>
    <t>American Superconductor (AMSC)</t>
  </si>
  <si>
    <t>AMSC</t>
  </si>
  <si>
    <t>TPG Pace (TPGY)</t>
  </si>
  <si>
    <t>TPGY</t>
  </si>
  <si>
    <t>Kimberly-Clark (KMB)</t>
  </si>
  <si>
    <t>KMB</t>
  </si>
  <si>
    <t>Boot Barn (BOOT)</t>
  </si>
  <si>
    <t>BOOT</t>
  </si>
  <si>
    <t>First Horizon National (FHN)</t>
  </si>
  <si>
    <t>FHN</t>
  </si>
  <si>
    <t>Chevron (CVX)</t>
  </si>
  <si>
    <t>CVX</t>
  </si>
  <si>
    <t>PPG Industries (PPG)</t>
  </si>
  <si>
    <t>PPG</t>
  </si>
  <si>
    <t>HP (HPQ)</t>
  </si>
  <si>
    <t>HPQ</t>
  </si>
  <si>
    <t>Palantir Technologies (PLTR)</t>
  </si>
  <si>
    <t>PLTR</t>
  </si>
  <si>
    <t>Morgan Stanley (MS)</t>
  </si>
  <si>
    <t>MS</t>
  </si>
  <si>
    <t>Gritstone Oncology (GRTS)</t>
  </si>
  <si>
    <t>GRTS</t>
  </si>
  <si>
    <t>PVH Corp (PVH)</t>
  </si>
  <si>
    <t>PVH</t>
  </si>
  <si>
    <t>T-Mobile US (TMUS)</t>
  </si>
  <si>
    <t>TMUS</t>
  </si>
  <si>
    <t>Surface Oncology (SURF)</t>
  </si>
  <si>
    <t>SURF</t>
  </si>
  <si>
    <t>S&amp;P Global (SPGI)</t>
  </si>
  <si>
    <t>SPGI</t>
  </si>
  <si>
    <t>Qualcomm (QCOM)</t>
  </si>
  <si>
    <t>QCOM</t>
  </si>
  <si>
    <t>Procter &amp; Gamble (PG)</t>
  </si>
  <si>
    <t>PG</t>
  </si>
  <si>
    <t>Romeo Power (RMO)</t>
  </si>
  <si>
    <t>RMO</t>
  </si>
  <si>
    <t>TG Therapeutics (TGTX)</t>
  </si>
  <si>
    <t>TGTX</t>
  </si>
  <si>
    <t>Kinder Morgan (KMI)</t>
  </si>
  <si>
    <t>KMI</t>
  </si>
  <si>
    <t>Pacific Biosciences (PACB)</t>
  </si>
  <si>
    <t>PACB</t>
  </si>
  <si>
    <t>MicroStrategy (MSTR)</t>
  </si>
  <si>
    <t>MSTR</t>
  </si>
  <si>
    <t>Medtronic (MDT)</t>
  </si>
  <si>
    <t>MDT</t>
  </si>
  <si>
    <t>KAR Auction Services (KAR)</t>
  </si>
  <si>
    <t>KAR</t>
  </si>
  <si>
    <t>Uber (UBER)</t>
  </si>
  <si>
    <t>UBER</t>
  </si>
  <si>
    <t>General Electric (GE)</t>
  </si>
  <si>
    <t>GE</t>
  </si>
  <si>
    <t>Bristol-Myers Squibb (BMY)</t>
  </si>
  <si>
    <t>BMY</t>
  </si>
  <si>
    <t>Bluebird Bio (BLUE)</t>
  </si>
  <si>
    <t>BLUE</t>
  </si>
  <si>
    <t>Best Buy (BBY)</t>
  </si>
  <si>
    <t>BBY</t>
  </si>
  <si>
    <t>Walgreens Boots Alliance (WBA)</t>
  </si>
  <si>
    <t>WBA</t>
  </si>
  <si>
    <t>KB Home (KBH)</t>
  </si>
  <si>
    <t>KBH</t>
  </si>
  <si>
    <t>Bed Bath &amp; Beyond (BBBY)</t>
  </si>
  <si>
    <t>BBBY</t>
  </si>
  <si>
    <t>Autodesk (ADSK)</t>
  </si>
  <si>
    <t>ADSK</t>
  </si>
  <si>
    <t>Adobe Systems (ADBE)</t>
  </si>
  <si>
    <t>ADBE</t>
  </si>
  <si>
    <t>Tattooed Chef (TTCF)</t>
  </si>
  <si>
    <t>TTCF</t>
  </si>
  <si>
    <t>IBM (IBM)</t>
  </si>
  <si>
    <t>IBM</t>
  </si>
  <si>
    <t>Entergy (ETR)</t>
  </si>
  <si>
    <t>ETR</t>
  </si>
  <si>
    <t>DocuSign (DOCU)</t>
  </si>
  <si>
    <t>DOCU</t>
  </si>
  <si>
    <t>Dominion Energy (D)</t>
  </si>
  <si>
    <t>D</t>
  </si>
  <si>
    <t>B&amp;G Foods (BGS)</t>
  </si>
  <si>
    <t>BGS</t>
  </si>
  <si>
    <t>Star Peak Energy (STPK)</t>
  </si>
  <si>
    <t>STPK</t>
  </si>
  <si>
    <t>acquired around 4/28/21</t>
  </si>
  <si>
    <t>Churchill Capital (CCIV)</t>
  </si>
  <si>
    <t>CCIV</t>
  </si>
  <si>
    <t>last trade around 7/21/21</t>
  </si>
  <si>
    <t>https://www.barchart.com/stocks/quotes/CCIV</t>
  </si>
  <si>
    <t>FireEye (FEYE)</t>
  </si>
  <si>
    <t>FEYE</t>
  </si>
  <si>
    <t>10/4/21 last trade</t>
  </si>
  <si>
    <t>https://www.barchart.com/stocks/quotes/FEYE/overview</t>
  </si>
  <si>
    <t>Lydall (LDL)</t>
  </si>
  <si>
    <t>LDL</t>
  </si>
  <si>
    <t>company has one sec filling since 2008?</t>
  </si>
  <si>
    <t>https://www.marketwatch.com/investing/stock/ldl</t>
  </si>
  <si>
    <t>https://www.sec.gov/edgar/browse/?CIK=1433933</t>
  </si>
  <si>
    <t>Social Capital Hedosophia (IPOE)</t>
  </si>
  <si>
    <t>IPOE</t>
  </si>
  <si>
    <t>(STPK)</t>
  </si>
  <si>
    <t>Climate Real Impact Acqui (CLII)</t>
  </si>
  <si>
    <t>CLII</t>
  </si>
  <si>
    <t>Silver Spike Acquisition (SSPK)</t>
  </si>
  <si>
    <t>SSPK</t>
  </si>
  <si>
    <t>Northern Genesis Acquisit (NGA)</t>
  </si>
  <si>
    <t>NGA</t>
  </si>
  <si>
    <t>Return on Portfolio Using Basis and 12/18/21 FMV</t>
  </si>
  <si>
    <t>Asset A</t>
  </si>
  <si>
    <t>Asset B</t>
  </si>
  <si>
    <t>Value at Year End</t>
  </si>
  <si>
    <t>Asset Return</t>
  </si>
  <si>
    <t>Portfolio Return</t>
  </si>
  <si>
    <t>Asset Allocation</t>
  </si>
  <si>
    <t>Weighted Asset Return</t>
  </si>
  <si>
    <t>Difference Between Portfolio Return and Weighted Asset Return (e.g. Columns G and H)</t>
  </si>
  <si>
    <t>Dollars Earned From Investing</t>
  </si>
  <si>
    <t>Average Return Ignoring Portfolio Weights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</si>
</sst>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quot;#,##0.00"/>
    <numFmt numFmtId="166" formatCode="0.000%"/>
    <numFmt numFmtId="167" formatCode="0.0000000000000000000%"/>
    <numFmt numFmtId="169" formatCode="0.0000000000000000%"/>
  </numFmts>
  <fonts count="11" x14ac:knownFonts="1">
    <font>
      <sz val="10"/>
      <color rgb="FF000000"/>
      <name val="Arial"/>
    </font>
    <font>
      <sz val="10"/>
      <color rgb="FF000000"/>
      <name val="Arial"/>
    </font>
    <font>
      <b/>
      <sz val="11"/>
      <color rgb="FF000000"/>
      <name val="Calibri"/>
    </font>
    <font>
      <b/>
      <sz val="10"/>
      <color rgb="FF000000"/>
      <name val="Arial"/>
    </font>
    <font>
      <b/>
      <sz val="10"/>
      <color theme="1"/>
      <name val="Arial"/>
    </font>
    <font>
      <sz val="11"/>
      <color rgb="FF000000"/>
      <name val="Calibri"/>
    </font>
    <font>
      <sz val="10"/>
      <color theme="1"/>
      <name val="Arial"/>
    </font>
    <font>
      <u/>
      <sz val="10"/>
      <color rgb="FF0000FF"/>
      <name val="Arial"/>
    </font>
    <font>
      <b/>
      <sz val="10"/>
      <color theme="1"/>
      <name val="Arial"/>
      <family val="2"/>
    </font>
    <font>
      <sz val="10"/>
      <color rgb="FF000000"/>
      <name val="Arial"/>
      <family val="2"/>
    </font>
    <font>
      <b/>
      <u/>
      <sz val="10"/>
      <color rgb="FF000000"/>
      <name val="Arial"/>
      <family val="2"/>
    </font>
  </fonts>
  <fills count="4">
    <fill>
      <patternFill patternType="none"/>
    </fill>
    <fill>
      <patternFill patternType="gray125"/>
    </fill>
    <fill>
      <patternFill patternType="solid">
        <fgColor rgb="FFFFFF00"/>
        <bgColor rgb="FFFFFF00"/>
      </patternFill>
    </fill>
    <fill>
      <patternFill patternType="solid">
        <fgColor theme="0"/>
        <bgColor theme="0"/>
      </patternFill>
    </fill>
  </fills>
  <borders count="6">
    <border>
      <left/>
      <right/>
      <top/>
      <bottom/>
      <diagonal/>
    </border>
    <border>
      <left style="dotted">
        <color rgb="FF000000"/>
      </left>
      <right style="dotted">
        <color rgb="FF000000"/>
      </right>
      <top style="dotted">
        <color rgb="FF000000"/>
      </top>
      <bottom style="dotted">
        <color rgb="FF000000"/>
      </bottom>
      <diagonal/>
    </border>
    <border>
      <left/>
      <right style="dotted">
        <color rgb="FF000000"/>
      </right>
      <top style="dotted">
        <color rgb="FF000000"/>
      </top>
      <bottom style="dotted">
        <color rgb="FF000000"/>
      </bottom>
      <diagonal/>
    </border>
    <border>
      <left style="dotted">
        <color rgb="FF000000"/>
      </left>
      <right style="dotted">
        <color rgb="FF000000"/>
      </right>
      <top/>
      <bottom style="dotted">
        <color rgb="FF000000"/>
      </bottom>
      <diagonal/>
    </border>
    <border>
      <left/>
      <right style="dotted">
        <color rgb="FF000000"/>
      </right>
      <top/>
      <bottom style="dotted">
        <color rgb="FF000000"/>
      </bottom>
      <diagonal/>
    </border>
    <border>
      <left/>
      <right/>
      <top style="thin">
        <color indexed="64"/>
      </top>
      <bottom style="double">
        <color indexed="64"/>
      </bottom>
      <diagonal/>
    </border>
  </borders>
  <cellStyleXfs count="1">
    <xf numFmtId="0" fontId="0" fillId="0" borderId="0"/>
  </cellStyleXfs>
  <cellXfs count="41">
    <xf numFmtId="0" fontId="0" fillId="0" borderId="0" xfId="0" applyFont="1" applyAlignment="1"/>
    <xf numFmtId="0" fontId="1" fillId="0" borderId="0" xfId="0" applyFont="1" applyAlignment="1">
      <alignment horizontal="center"/>
    </xf>
    <xf numFmtId="0" fontId="2" fillId="0" borderId="0" xfId="0" applyFont="1" applyAlignment="1"/>
    <xf numFmtId="0" fontId="2" fillId="0" borderId="0" xfId="0" applyFont="1" applyAlignment="1">
      <alignment horizontal="center"/>
    </xf>
    <xf numFmtId="164" fontId="3" fillId="0" borderId="0" xfId="0" applyNumberFormat="1" applyFont="1" applyAlignment="1">
      <alignment horizontal="center"/>
    </xf>
    <xf numFmtId="0" fontId="4" fillId="0" borderId="0" xfId="0" applyFont="1" applyAlignment="1"/>
    <xf numFmtId="0" fontId="4" fillId="2" borderId="0" xfId="0" applyFont="1" applyFill="1" applyAlignment="1"/>
    <xf numFmtId="0" fontId="1" fillId="0" borderId="1" xfId="0" applyFont="1" applyBorder="1" applyAlignment="1">
      <alignment horizontal="center"/>
    </xf>
    <xf numFmtId="0" fontId="5" fillId="0" borderId="2" xfId="0" applyFont="1" applyBorder="1" applyAlignment="1"/>
    <xf numFmtId="0" fontId="5" fillId="0" borderId="2" xfId="0" applyFont="1" applyBorder="1" applyAlignment="1">
      <alignment horizontal="center"/>
    </xf>
    <xf numFmtId="15" fontId="5" fillId="0" borderId="2" xfId="0" applyNumberFormat="1" applyFont="1" applyBorder="1" applyAlignment="1">
      <alignment horizontal="center"/>
    </xf>
    <xf numFmtId="164" fontId="1" fillId="0" borderId="2" xfId="0" applyNumberFormat="1" applyFont="1" applyBorder="1" applyAlignment="1">
      <alignment horizontal="center"/>
    </xf>
    <xf numFmtId="0" fontId="6" fillId="0" borderId="0" xfId="0" applyFont="1"/>
    <xf numFmtId="10" fontId="6" fillId="0" borderId="0" xfId="0" applyNumberFormat="1" applyFont="1"/>
    <xf numFmtId="0" fontId="1" fillId="0" borderId="3" xfId="0" applyFont="1" applyBorder="1" applyAlignment="1">
      <alignment horizontal="center"/>
    </xf>
    <xf numFmtId="0" fontId="5" fillId="0" borderId="4" xfId="0" applyFont="1" applyBorder="1" applyAlignment="1"/>
    <xf numFmtId="0" fontId="5" fillId="0" borderId="4" xfId="0" applyFont="1" applyBorder="1" applyAlignment="1">
      <alignment horizontal="center"/>
    </xf>
    <xf numFmtId="15" fontId="5" fillId="0" borderId="4" xfId="0" applyNumberFormat="1" applyFont="1" applyBorder="1" applyAlignment="1">
      <alignment horizontal="center"/>
    </xf>
    <xf numFmtId="164" fontId="1" fillId="0" borderId="4" xfId="0" applyNumberFormat="1" applyFont="1" applyBorder="1" applyAlignment="1">
      <alignment horizontal="center"/>
    </xf>
    <xf numFmtId="0" fontId="6" fillId="3" borderId="0" xfId="0" applyFont="1" applyFill="1"/>
    <xf numFmtId="0" fontId="6" fillId="0" borderId="0" xfId="0" applyFont="1" applyAlignment="1"/>
    <xf numFmtId="0" fontId="6" fillId="2" borderId="0" xfId="0" applyFont="1" applyFill="1" applyAlignment="1"/>
    <xf numFmtId="0" fontId="6" fillId="0" borderId="0" xfId="0" applyFont="1" applyAlignment="1"/>
    <xf numFmtId="164" fontId="6" fillId="2" borderId="0" xfId="0" applyNumberFormat="1" applyFont="1" applyFill="1"/>
    <xf numFmtId="166" fontId="6" fillId="2" borderId="0" xfId="0" applyNumberFormat="1" applyFont="1" applyFill="1"/>
    <xf numFmtId="10" fontId="6" fillId="2" borderId="0" xfId="0" applyNumberFormat="1" applyFont="1" applyFill="1"/>
    <xf numFmtId="0" fontId="7" fillId="0" borderId="0" xfId="0" applyFont="1" applyAlignment="1"/>
    <xf numFmtId="164" fontId="6" fillId="0" borderId="0" xfId="0" applyNumberFormat="1" applyFont="1"/>
    <xf numFmtId="167" fontId="6" fillId="0" borderId="0" xfId="0" applyNumberFormat="1" applyFont="1"/>
    <xf numFmtId="164" fontId="6" fillId="2" borderId="5" xfId="0" applyNumberFormat="1" applyFont="1" applyFill="1" applyBorder="1"/>
    <xf numFmtId="164" fontId="6" fillId="0" borderId="5" xfId="0" applyNumberFormat="1" applyFont="1" applyBorder="1"/>
    <xf numFmtId="166" fontId="6" fillId="2" borderId="0" xfId="0" applyNumberFormat="1" applyFont="1" applyFill="1" applyBorder="1"/>
    <xf numFmtId="0" fontId="8" fillId="0" borderId="0" xfId="0" applyFont="1"/>
    <xf numFmtId="0" fontId="9" fillId="0" borderId="0" xfId="0" applyFont="1" applyAlignment="1"/>
    <xf numFmtId="164" fontId="0" fillId="0" borderId="0" xfId="0" applyNumberFormat="1" applyFont="1" applyAlignment="1"/>
    <xf numFmtId="164" fontId="0" fillId="0" borderId="5" xfId="0" applyNumberFormat="1" applyFont="1" applyBorder="1" applyAlignment="1"/>
    <xf numFmtId="10" fontId="0" fillId="0" borderId="0" xfId="0" applyNumberFormat="1" applyFont="1" applyAlignment="1"/>
    <xf numFmtId="10" fontId="0" fillId="0" borderId="5" xfId="0" applyNumberFormat="1" applyFont="1" applyBorder="1" applyAlignment="1"/>
    <xf numFmtId="0" fontId="10" fillId="0" borderId="0" xfId="0" applyFont="1" applyAlignment="1"/>
    <xf numFmtId="169" fontId="0" fillId="0" borderId="0" xfId="0" applyNumberFormat="1" applyFont="1" applyAlignment="1"/>
    <xf numFmtId="10" fontId="0" fillId="0" borderId="0" xfId="0" applyNumberFormat="1" applyFont="1" applyBorder="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marketwatch.com/investing/stock/ldl" TargetMode="External"/><Relationship Id="rId2" Type="http://schemas.openxmlformats.org/officeDocument/2006/relationships/hyperlink" Target="https://www.barchart.com/stocks/quotes/FEYE/overview" TargetMode="External"/><Relationship Id="rId1" Type="http://schemas.openxmlformats.org/officeDocument/2006/relationships/hyperlink" Target="https://www.barchart.com/stocks/quotes/CCIV" TargetMode="External"/><Relationship Id="rId4" Type="http://schemas.openxmlformats.org/officeDocument/2006/relationships/hyperlink" Target="https://www.sec.gov/edgar/browse/?CIK=1433933"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J990"/>
  <sheetViews>
    <sheetView topLeftCell="A592" workbookViewId="0">
      <selection activeCell="G1" sqref="G1"/>
    </sheetView>
  </sheetViews>
  <sheetFormatPr defaultColWidth="14.42578125" defaultRowHeight="15.75" customHeight="1" x14ac:dyDescent="0.2"/>
  <cols>
    <col min="1" max="1" width="4" bestFit="1" customWidth="1"/>
    <col min="2" max="2" width="33.28515625" bestFit="1" customWidth="1"/>
    <col min="3" max="3" width="7.140625" bestFit="1" customWidth="1"/>
    <col min="4" max="4" width="11" bestFit="1" customWidth="1"/>
    <col min="5" max="5" width="12" bestFit="1" customWidth="1"/>
    <col min="6" max="6" width="33.85546875" bestFit="1" customWidth="1"/>
    <col min="7" max="7" width="50.7109375" customWidth="1"/>
    <col min="8" max="8" width="29.85546875" bestFit="1" customWidth="1"/>
    <col min="9" max="9" width="16.140625" bestFit="1" customWidth="1"/>
    <col min="10" max="10" width="38.85546875" bestFit="1" customWidth="1"/>
  </cols>
  <sheetData>
    <row r="1" spans="1:10" ht="15.75" customHeight="1" x14ac:dyDescent="0.25">
      <c r="A1" s="1"/>
      <c r="B1" s="2" t="s">
        <v>0</v>
      </c>
      <c r="C1" s="3" t="s">
        <v>1</v>
      </c>
      <c r="D1" s="3" t="s">
        <v>2</v>
      </c>
      <c r="E1" s="4" t="s">
        <v>3</v>
      </c>
      <c r="F1" s="5" t="s">
        <v>4</v>
      </c>
      <c r="G1" s="32" t="s">
        <v>634</v>
      </c>
      <c r="H1" s="6" t="s">
        <v>5</v>
      </c>
      <c r="I1" s="5" t="s">
        <v>6</v>
      </c>
      <c r="J1" s="5" t="s">
        <v>7</v>
      </c>
    </row>
    <row r="2" spans="1:10" ht="15.75" customHeight="1" x14ac:dyDescent="0.25">
      <c r="A2" s="7">
        <v>1</v>
      </c>
      <c r="B2" s="8" t="s">
        <v>8</v>
      </c>
      <c r="C2" s="9" t="s">
        <v>9</v>
      </c>
      <c r="D2" s="10">
        <v>44301</v>
      </c>
      <c r="E2" s="11">
        <v>390.01</v>
      </c>
      <c r="F2" s="12">
        <f ca="1">IFERROR(__xludf.DUMMYFUNCTION("GOOGLEFINANCE(C2)"),487.12)</f>
        <v>487.12</v>
      </c>
      <c r="H2" s="12">
        <v>487.12</v>
      </c>
      <c r="I2" s="13">
        <f t="shared" ref="I2:I607" si="0">(H2-E2)/E2</f>
        <v>0.24899361554831931</v>
      </c>
      <c r="J2" s="28">
        <f>(E2/$E$609)*I2</f>
        <v>9.4369005063430151E-4</v>
      </c>
    </row>
    <row r="3" spans="1:10" ht="15.75" customHeight="1" x14ac:dyDescent="0.25">
      <c r="A3" s="14">
        <v>2</v>
      </c>
      <c r="B3" s="15" t="s">
        <v>10</v>
      </c>
      <c r="C3" s="16" t="s">
        <v>11</v>
      </c>
      <c r="D3" s="17">
        <v>44301</v>
      </c>
      <c r="E3" s="18">
        <v>389.89</v>
      </c>
      <c r="F3" s="12">
        <f ca="1">IFERROR(__xludf.DUMMYFUNCTION("GOOGLEFINANCE(C3)"),273.63)</f>
        <v>273.63</v>
      </c>
      <c r="H3" s="12">
        <v>273.63</v>
      </c>
      <c r="I3" s="13">
        <f t="shared" si="0"/>
        <v>-0.29818666803457383</v>
      </c>
      <c r="J3" s="28">
        <f t="shared" ref="J3:J66" si="1">(E3/$E$609)*I3</f>
        <v>-1.129784834587003E-3</v>
      </c>
    </row>
    <row r="4" spans="1:10" ht="15.75" customHeight="1" x14ac:dyDescent="0.25">
      <c r="A4" s="14">
        <v>3</v>
      </c>
      <c r="B4" s="15" t="s">
        <v>12</v>
      </c>
      <c r="C4" s="16" t="s">
        <v>13</v>
      </c>
      <c r="D4" s="17">
        <v>44301</v>
      </c>
      <c r="E4" s="18">
        <v>23.52</v>
      </c>
      <c r="F4" s="12">
        <f ca="1">IFERROR(__xludf.DUMMYFUNCTION("GOOGLEFINANCE(C4)"),24.11)</f>
        <v>24.11</v>
      </c>
      <c r="H4" s="12">
        <v>24.11</v>
      </c>
      <c r="I4" s="13">
        <f t="shared" si="0"/>
        <v>2.5085034013605435E-2</v>
      </c>
      <c r="J4" s="28">
        <f t="shared" si="1"/>
        <v>5.7334685395349366E-6</v>
      </c>
    </row>
    <row r="5" spans="1:10" ht="15.75" customHeight="1" x14ac:dyDescent="0.25">
      <c r="A5" s="14">
        <v>4</v>
      </c>
      <c r="B5" s="15" t="s">
        <v>14</v>
      </c>
      <c r="C5" s="16" t="s">
        <v>15</v>
      </c>
      <c r="D5" s="17">
        <v>44301</v>
      </c>
      <c r="E5" s="18">
        <v>274.25</v>
      </c>
      <c r="F5" s="12">
        <f ca="1">IFERROR(__xludf.DUMMYFUNCTION("GOOGLEFINANCE(C5)"),217.91)</f>
        <v>217.91</v>
      </c>
      <c r="H5" s="12">
        <v>217.91</v>
      </c>
      <c r="I5" s="13">
        <f t="shared" si="0"/>
        <v>-0.205432999088423</v>
      </c>
      <c r="J5" s="28">
        <f t="shared" si="1"/>
        <v>-5.4749765680914991E-4</v>
      </c>
    </row>
    <row r="6" spans="1:10" ht="15.75" customHeight="1" x14ac:dyDescent="0.25">
      <c r="A6" s="14">
        <v>5</v>
      </c>
      <c r="B6" s="15" t="s">
        <v>16</v>
      </c>
      <c r="C6" s="16" t="s">
        <v>17</v>
      </c>
      <c r="D6" s="17">
        <v>44301</v>
      </c>
      <c r="E6" s="18">
        <v>49.54</v>
      </c>
      <c r="F6" s="12">
        <f ca="1">IFERROR(__xludf.DUMMYFUNCTION("GOOGLEFINANCE(C6)"),34.11)</f>
        <v>34.11</v>
      </c>
      <c r="H6" s="12">
        <v>34.11</v>
      </c>
      <c r="I6" s="13">
        <f t="shared" si="0"/>
        <v>-0.31146548243843358</v>
      </c>
      <c r="J6" s="28">
        <f t="shared" si="1"/>
        <v>-1.4994477892376964E-4</v>
      </c>
    </row>
    <row r="7" spans="1:10" ht="15.75" customHeight="1" x14ac:dyDescent="0.25">
      <c r="A7" s="14">
        <v>6</v>
      </c>
      <c r="B7" s="15" t="s">
        <v>18</v>
      </c>
      <c r="C7" s="16" t="s">
        <v>19</v>
      </c>
      <c r="D7" s="17">
        <v>44301</v>
      </c>
      <c r="E7" s="18">
        <v>152.16999999999999</v>
      </c>
      <c r="F7" s="12">
        <f ca="1">IFERROR(__xludf.DUMMYFUNCTION("GOOGLEFINANCE(C7)"),156.76)</f>
        <v>156.76</v>
      </c>
      <c r="H7" s="12">
        <v>156.76</v>
      </c>
      <c r="I7" s="13">
        <f t="shared" si="0"/>
        <v>3.0163632779128632E-2</v>
      </c>
      <c r="J7" s="28">
        <f t="shared" si="1"/>
        <v>4.4604441688924383E-5</v>
      </c>
    </row>
    <row r="8" spans="1:10" ht="15.75" customHeight="1" x14ac:dyDescent="0.25">
      <c r="A8" s="14">
        <v>7</v>
      </c>
      <c r="B8" s="15" t="s">
        <v>20</v>
      </c>
      <c r="C8" s="16" t="s">
        <v>21</v>
      </c>
      <c r="D8" s="17">
        <v>44301</v>
      </c>
      <c r="E8" s="18">
        <v>20.69</v>
      </c>
      <c r="F8" s="12">
        <f ca="1">IFERROR(__xludf.DUMMYFUNCTION("GOOGLEFINANCE(C8)"),13.91)</f>
        <v>13.91</v>
      </c>
      <c r="H8" s="12">
        <v>13.91</v>
      </c>
      <c r="I8" s="13">
        <f t="shared" si="0"/>
        <v>-0.32769453842435964</v>
      </c>
      <c r="J8" s="28">
        <f t="shared" si="1"/>
        <v>-6.5886299488215056E-5</v>
      </c>
    </row>
    <row r="9" spans="1:10" ht="15.75" customHeight="1" x14ac:dyDescent="0.25">
      <c r="A9" s="14">
        <v>8</v>
      </c>
      <c r="B9" s="15" t="s">
        <v>22</v>
      </c>
      <c r="C9" s="16" t="s">
        <v>23</v>
      </c>
      <c r="D9" s="17">
        <v>44301</v>
      </c>
      <c r="E9" s="18">
        <v>338.55</v>
      </c>
      <c r="F9" s="12">
        <f ca="1">IFERROR(__xludf.DUMMYFUNCTION("GOOGLEFINANCE(C9)"),381.8)</f>
        <v>381.8</v>
      </c>
      <c r="H9" s="12">
        <v>381.8</v>
      </c>
      <c r="I9" s="13">
        <f t="shared" si="0"/>
        <v>0.12775070152119333</v>
      </c>
      <c r="J9" s="28">
        <f t="shared" si="1"/>
        <v>4.2029239717777299E-4</v>
      </c>
    </row>
    <row r="10" spans="1:10" ht="15.75" customHeight="1" x14ac:dyDescent="0.25">
      <c r="A10" s="14">
        <v>9</v>
      </c>
      <c r="B10" s="15" t="s">
        <v>24</v>
      </c>
      <c r="C10" s="16" t="s">
        <v>25</v>
      </c>
      <c r="D10" s="17">
        <v>44301</v>
      </c>
      <c r="E10" s="18">
        <v>67.39</v>
      </c>
      <c r="F10" s="12">
        <f ca="1">IFERROR(__xludf.DUMMYFUNCTION("GOOGLEFINANCE(C10)"),42.55)</f>
        <v>42.55</v>
      </c>
      <c r="H10" s="12">
        <v>42.55</v>
      </c>
      <c r="I10" s="13">
        <f t="shared" si="0"/>
        <v>-0.3686006825938567</v>
      </c>
      <c r="J10" s="28">
        <f t="shared" si="1"/>
        <v>-2.4138874325770824E-4</v>
      </c>
    </row>
    <row r="11" spans="1:10" ht="15.75" customHeight="1" x14ac:dyDescent="0.25">
      <c r="A11" s="14">
        <v>10</v>
      </c>
      <c r="B11" s="15" t="s">
        <v>26</v>
      </c>
      <c r="C11" s="16" t="s">
        <v>27</v>
      </c>
      <c r="D11" s="17">
        <v>44301</v>
      </c>
      <c r="E11" s="18">
        <v>38.74</v>
      </c>
      <c r="F11" s="12">
        <f ca="1">IFERROR(__xludf.DUMMYFUNCTION("GOOGLEFINANCE(C11)"),43.88)</f>
        <v>43.88</v>
      </c>
      <c r="H11" s="12">
        <v>43.88</v>
      </c>
      <c r="I11" s="13">
        <f t="shared" si="0"/>
        <v>0.13267940113577698</v>
      </c>
      <c r="J11" s="28">
        <f t="shared" si="1"/>
        <v>4.994920049696539E-5</v>
      </c>
    </row>
    <row r="12" spans="1:10" ht="15.75" customHeight="1" x14ac:dyDescent="0.25">
      <c r="A12" s="14">
        <v>11</v>
      </c>
      <c r="B12" s="15" t="s">
        <v>28</v>
      </c>
      <c r="C12" s="16" t="s">
        <v>29</v>
      </c>
      <c r="D12" s="17">
        <v>44301</v>
      </c>
      <c r="E12" s="18">
        <v>87.81</v>
      </c>
      <c r="F12" s="12">
        <f ca="1">IFERROR(__xludf.DUMMYFUNCTION("GOOGLEFINANCE(C12)"),86.54)</f>
        <v>86.54</v>
      </c>
      <c r="H12" s="12">
        <v>86.54</v>
      </c>
      <c r="I12" s="13">
        <f t="shared" si="0"/>
        <v>-1.4463045211251521E-2</v>
      </c>
      <c r="J12" s="28">
        <f t="shared" si="1"/>
        <v>-1.2341533974931099E-5</v>
      </c>
    </row>
    <row r="13" spans="1:10" ht="15.75" customHeight="1" x14ac:dyDescent="0.25">
      <c r="A13" s="14">
        <v>12</v>
      </c>
      <c r="B13" s="15" t="s">
        <v>30</v>
      </c>
      <c r="C13" s="16" t="s">
        <v>31</v>
      </c>
      <c r="D13" s="17">
        <v>44301</v>
      </c>
      <c r="E13" s="18">
        <v>34.33</v>
      </c>
      <c r="F13" s="12">
        <f ca="1">IFERROR(__xludf.DUMMYFUNCTION("GOOGLEFINANCE(C13)"),23.05)</f>
        <v>23.05</v>
      </c>
      <c r="H13" s="12">
        <v>23.05</v>
      </c>
      <c r="I13" s="13">
        <f t="shared" si="0"/>
        <v>-0.32857558986309343</v>
      </c>
      <c r="J13" s="28">
        <f t="shared" si="1"/>
        <v>-1.096161442812781E-4</v>
      </c>
    </row>
    <row r="14" spans="1:10" ht="15.75" customHeight="1" x14ac:dyDescent="0.25">
      <c r="A14" s="14">
        <v>13</v>
      </c>
      <c r="B14" s="15" t="s">
        <v>32</v>
      </c>
      <c r="C14" s="16" t="s">
        <v>33</v>
      </c>
      <c r="D14" s="17">
        <v>44300</v>
      </c>
      <c r="E14" s="18">
        <v>123.61</v>
      </c>
      <c r="F14" s="12">
        <f ca="1">IFERROR(__xludf.DUMMYFUNCTION("GOOGLEFINANCE(C14)"),200.14)</f>
        <v>200.14</v>
      </c>
      <c r="H14" s="12">
        <v>200.14</v>
      </c>
      <c r="I14" s="13">
        <f t="shared" si="0"/>
        <v>0.61912466628913509</v>
      </c>
      <c r="J14" s="28">
        <f t="shared" si="1"/>
        <v>7.4369889378069279E-4</v>
      </c>
    </row>
    <row r="15" spans="1:10" ht="15.75" customHeight="1" x14ac:dyDescent="0.25">
      <c r="A15" s="14">
        <v>14</v>
      </c>
      <c r="B15" s="15" t="s">
        <v>34</v>
      </c>
      <c r="C15" s="16" t="s">
        <v>35</v>
      </c>
      <c r="D15" s="17">
        <v>44300</v>
      </c>
      <c r="E15" s="18">
        <v>481.16</v>
      </c>
      <c r="F15" s="12">
        <f ca="1">IFERROR(__xludf.DUMMYFUNCTION("GOOGLEFINANCE(C15)"),619.28)</f>
        <v>619.28</v>
      </c>
      <c r="H15" s="12">
        <v>619.28</v>
      </c>
      <c r="I15" s="13">
        <f t="shared" si="0"/>
        <v>0.28705628065508343</v>
      </c>
      <c r="J15" s="28">
        <f t="shared" si="1"/>
        <v>1.3422147028484157E-3</v>
      </c>
    </row>
    <row r="16" spans="1:10" ht="15.75" customHeight="1" x14ac:dyDescent="0.25">
      <c r="A16" s="14">
        <v>15</v>
      </c>
      <c r="B16" s="15" t="s">
        <v>36</v>
      </c>
      <c r="C16" s="16" t="s">
        <v>37</v>
      </c>
      <c r="D16" s="17">
        <v>44300</v>
      </c>
      <c r="E16" s="18">
        <v>75.349999999999994</v>
      </c>
      <c r="F16" s="12">
        <f ca="1">IFERROR(__xludf.DUMMYFUNCTION("GOOGLEFINANCE(C16)"),102.4)</f>
        <v>102.4</v>
      </c>
      <c r="H16" s="12">
        <v>102.4</v>
      </c>
      <c r="I16" s="13">
        <f t="shared" si="0"/>
        <v>0.3589913735899139</v>
      </c>
      <c r="J16" s="28">
        <f t="shared" si="1"/>
        <v>2.6286495592274599E-4</v>
      </c>
    </row>
    <row r="17" spans="1:10" ht="15.75" customHeight="1" x14ac:dyDescent="0.25">
      <c r="A17" s="14">
        <v>16</v>
      </c>
      <c r="B17" s="15" t="s">
        <v>38</v>
      </c>
      <c r="C17" s="16" t="s">
        <v>39</v>
      </c>
      <c r="D17" s="17">
        <v>44300</v>
      </c>
      <c r="E17" s="18">
        <v>13.73</v>
      </c>
      <c r="F17" s="12">
        <f ca="1">IFERROR(__xludf.DUMMYFUNCTION("GOOGLEFINANCE(C17)"),3.89)</f>
        <v>3.89</v>
      </c>
      <c r="H17" s="12">
        <v>3.89</v>
      </c>
      <c r="I17" s="13">
        <f t="shared" si="0"/>
        <v>-0.71667880553532404</v>
      </c>
      <c r="J17" s="28">
        <f t="shared" si="1"/>
        <v>-9.5622593947497928E-5</v>
      </c>
    </row>
    <row r="18" spans="1:10" ht="15.75" customHeight="1" x14ac:dyDescent="0.25">
      <c r="A18" s="14">
        <v>17</v>
      </c>
      <c r="B18" s="15" t="s">
        <v>40</v>
      </c>
      <c r="C18" s="16" t="s">
        <v>41</v>
      </c>
      <c r="D18" s="17">
        <v>44300</v>
      </c>
      <c r="E18" s="18">
        <v>77.75</v>
      </c>
      <c r="F18" s="12">
        <f ca="1">IFERROR(__xludf.DUMMYFUNCTION("GOOGLEFINANCE(C18)"),49.94)</f>
        <v>49.94</v>
      </c>
      <c r="H18" s="12">
        <v>49.94</v>
      </c>
      <c r="I18" s="13">
        <f t="shared" si="0"/>
        <v>-0.35768488745980709</v>
      </c>
      <c r="J18" s="28">
        <f t="shared" si="1"/>
        <v>-2.7025044082112985E-4</v>
      </c>
    </row>
    <row r="19" spans="1:10" ht="15.75" customHeight="1" x14ac:dyDescent="0.25">
      <c r="A19" s="14">
        <v>18</v>
      </c>
      <c r="B19" s="15" t="s">
        <v>42</v>
      </c>
      <c r="C19" s="16" t="s">
        <v>43</v>
      </c>
      <c r="D19" s="17">
        <v>44300</v>
      </c>
      <c r="E19" s="18">
        <v>88.6</v>
      </c>
      <c r="F19" s="12">
        <f ca="1">IFERROR(__xludf.DUMMYFUNCTION("GOOGLEFINANCE(C19)"),46.28)</f>
        <v>46.28</v>
      </c>
      <c r="H19" s="12">
        <v>46.28</v>
      </c>
      <c r="I19" s="13">
        <f t="shared" si="0"/>
        <v>-0.4776523702031602</v>
      </c>
      <c r="J19" s="28">
        <f t="shared" si="1"/>
        <v>-4.1125489592053985E-4</v>
      </c>
    </row>
    <row r="20" spans="1:10" ht="15.75" customHeight="1" x14ac:dyDescent="0.25">
      <c r="A20" s="14">
        <v>19</v>
      </c>
      <c r="B20" s="15" t="s">
        <v>44</v>
      </c>
      <c r="C20" s="16" t="s">
        <v>45</v>
      </c>
      <c r="D20" s="17">
        <v>44300</v>
      </c>
      <c r="E20" s="18">
        <v>143.41999999999999</v>
      </c>
      <c r="F20" s="12">
        <f ca="1">IFERROR(__xludf.DUMMYFUNCTION("GOOGLEFINANCE(C20)"),197.2)</f>
        <v>197.2</v>
      </c>
      <c r="H20" s="12">
        <v>197.2</v>
      </c>
      <c r="I20" s="13">
        <f t="shared" si="0"/>
        <v>0.37498256867940322</v>
      </c>
      <c r="J20" s="28">
        <f t="shared" si="1"/>
        <v>5.226202339935407E-4</v>
      </c>
    </row>
    <row r="21" spans="1:10" ht="15.75" customHeight="1" x14ac:dyDescent="0.25">
      <c r="A21" s="14">
        <v>20</v>
      </c>
      <c r="B21" s="15" t="s">
        <v>46</v>
      </c>
      <c r="C21" s="16" t="s">
        <v>47</v>
      </c>
      <c r="D21" s="17">
        <v>44300</v>
      </c>
      <c r="E21" s="18">
        <v>37.67</v>
      </c>
      <c r="F21" s="12">
        <f ca="1">IFERROR(__xludf.DUMMYFUNCTION("GOOGLEFINANCE(C21)"),33.69)</f>
        <v>33.69</v>
      </c>
      <c r="H21" s="12">
        <v>33.69</v>
      </c>
      <c r="I21" s="13">
        <f t="shared" si="0"/>
        <v>-0.10565436687018857</v>
      </c>
      <c r="J21" s="28">
        <f t="shared" si="1"/>
        <v>-3.8676618283642499E-5</v>
      </c>
    </row>
    <row r="22" spans="1:10" ht="15.75" customHeight="1" x14ac:dyDescent="0.25">
      <c r="A22" s="14">
        <v>21</v>
      </c>
      <c r="B22" s="15" t="s">
        <v>48</v>
      </c>
      <c r="C22" s="16" t="s">
        <v>49</v>
      </c>
      <c r="D22" s="17">
        <v>44300</v>
      </c>
      <c r="E22" s="18">
        <v>328.28</v>
      </c>
      <c r="F22" s="12">
        <f ca="1">IFERROR(__xludf.DUMMYFUNCTION("GOOGLEFINANCE(C22)"),243.35)</f>
        <v>243.35</v>
      </c>
      <c r="H22" s="12">
        <v>243.35</v>
      </c>
      <c r="I22" s="13">
        <f t="shared" si="0"/>
        <v>-0.25871207505787736</v>
      </c>
      <c r="J22" s="28">
        <f t="shared" si="1"/>
        <v>-8.253279373944103E-4</v>
      </c>
    </row>
    <row r="23" spans="1:10" ht="15.75" customHeight="1" x14ac:dyDescent="0.25">
      <c r="A23" s="14">
        <v>22</v>
      </c>
      <c r="B23" s="15" t="s">
        <v>50</v>
      </c>
      <c r="C23" s="16" t="s">
        <v>51</v>
      </c>
      <c r="D23" s="17">
        <v>44300</v>
      </c>
      <c r="E23" s="18">
        <v>176.43</v>
      </c>
      <c r="F23" s="12">
        <f ca="1">IFERROR(__xludf.DUMMYFUNCTION("GOOGLEFINANCE(C23)"),157.91)</f>
        <v>157.91</v>
      </c>
      <c r="H23" s="12">
        <v>157.91</v>
      </c>
      <c r="I23" s="13">
        <f t="shared" si="0"/>
        <v>-0.10497080995295591</v>
      </c>
      <c r="J23" s="28">
        <f t="shared" si="1"/>
        <v>-1.7997260568167309E-4</v>
      </c>
    </row>
    <row r="24" spans="1:10" ht="15.75" customHeight="1" x14ac:dyDescent="0.25">
      <c r="A24" s="14">
        <v>23</v>
      </c>
      <c r="B24" s="15" t="s">
        <v>52</v>
      </c>
      <c r="C24" s="16" t="s">
        <v>53</v>
      </c>
      <c r="D24" s="17">
        <v>44300</v>
      </c>
      <c r="E24" s="18">
        <v>132.03</v>
      </c>
      <c r="F24" s="12">
        <f ca="1">IFERROR(__xludf.DUMMYFUNCTION("GOOGLEFINANCE(C24)"),171.14)</f>
        <v>171.14</v>
      </c>
      <c r="H24" s="12">
        <v>171.14</v>
      </c>
      <c r="I24" s="13">
        <f t="shared" si="0"/>
        <v>0.29622055593425722</v>
      </c>
      <c r="J24" s="28">
        <f t="shared" si="1"/>
        <v>3.8006093996815479E-4</v>
      </c>
    </row>
    <row r="25" spans="1:10" ht="15.75" customHeight="1" x14ac:dyDescent="0.25">
      <c r="A25" s="14">
        <v>24</v>
      </c>
      <c r="B25" s="15" t="s">
        <v>54</v>
      </c>
      <c r="C25" s="16" t="s">
        <v>55</v>
      </c>
      <c r="D25" s="17">
        <v>44299</v>
      </c>
      <c r="E25" s="18">
        <v>37.42</v>
      </c>
      <c r="F25" s="12">
        <f ca="1">IFERROR(__xludf.DUMMYFUNCTION("GOOGLEFINANCE(C25)"),39.64)</f>
        <v>39.64</v>
      </c>
      <c r="H25" s="12">
        <v>39.64</v>
      </c>
      <c r="I25" s="13">
        <f t="shared" si="0"/>
        <v>5.9326563335114879E-2</v>
      </c>
      <c r="J25" s="28">
        <f t="shared" si="1"/>
        <v>2.1573390097911112E-5</v>
      </c>
    </row>
    <row r="26" spans="1:10" ht="15.75" customHeight="1" x14ac:dyDescent="0.25">
      <c r="A26" s="14">
        <v>25</v>
      </c>
      <c r="B26" s="15" t="s">
        <v>56</v>
      </c>
      <c r="C26" s="16" t="s">
        <v>57</v>
      </c>
      <c r="D26" s="17">
        <v>44299</v>
      </c>
      <c r="E26" s="18">
        <v>197.33</v>
      </c>
      <c r="F26" s="12">
        <f ca="1">IFERROR(__xludf.DUMMYFUNCTION("GOOGLEFINANCE(C26)"),84.03)</f>
        <v>84.03</v>
      </c>
      <c r="H26" s="12">
        <v>84.03</v>
      </c>
      <c r="I26" s="13">
        <f t="shared" si="0"/>
        <v>-0.57416510414027266</v>
      </c>
      <c r="J26" s="28">
        <f t="shared" si="1"/>
        <v>-1.1010203144564551E-3</v>
      </c>
    </row>
    <row r="27" spans="1:10" ht="15.75" customHeight="1" x14ac:dyDescent="0.25">
      <c r="A27" s="14">
        <v>26</v>
      </c>
      <c r="B27" s="15" t="s">
        <v>58</v>
      </c>
      <c r="C27" s="16" t="s">
        <v>59</v>
      </c>
      <c r="D27" s="17">
        <v>44299</v>
      </c>
      <c r="E27" s="18">
        <v>109.49</v>
      </c>
      <c r="F27" s="12">
        <f ca="1">IFERROR(__xludf.DUMMYFUNCTION("GOOGLEFINANCE(C27)"),83.3)</f>
        <v>83.3</v>
      </c>
      <c r="H27" s="12">
        <v>83.3</v>
      </c>
      <c r="I27" s="13">
        <f t="shared" si="0"/>
        <v>-0.23919992693396655</v>
      </c>
      <c r="J27" s="28">
        <f t="shared" si="1"/>
        <v>-2.5450769669562714E-4</v>
      </c>
    </row>
    <row r="28" spans="1:10" ht="15.75" customHeight="1" x14ac:dyDescent="0.25">
      <c r="A28" s="14">
        <v>27</v>
      </c>
      <c r="B28" s="15" t="s">
        <v>60</v>
      </c>
      <c r="C28" s="16" t="s">
        <v>61</v>
      </c>
      <c r="D28" s="17">
        <v>44299</v>
      </c>
      <c r="E28" s="18">
        <v>59.24</v>
      </c>
      <c r="F28" s="12">
        <f ca="1">IFERROR(__xludf.DUMMYFUNCTION("GOOGLEFINANCE(C28)"),28.67)</f>
        <v>28.67</v>
      </c>
      <c r="H28" s="12">
        <v>28.67</v>
      </c>
      <c r="I28" s="13">
        <f t="shared" si="0"/>
        <v>-0.51603646185010132</v>
      </c>
      <c r="J28" s="28">
        <f t="shared" si="1"/>
        <v>-2.9707141229420858E-4</v>
      </c>
    </row>
    <row r="29" spans="1:10" ht="15.75" customHeight="1" x14ac:dyDescent="0.25">
      <c r="A29" s="14">
        <v>28</v>
      </c>
      <c r="B29" s="15" t="s">
        <v>62</v>
      </c>
      <c r="C29" s="16" t="s">
        <v>63</v>
      </c>
      <c r="D29" s="17">
        <v>44299</v>
      </c>
      <c r="E29" s="18">
        <v>205.86</v>
      </c>
      <c r="F29" s="12">
        <f ca="1">IFERROR(__xludf.DUMMYFUNCTION("GOOGLEFINANCE(C29)"),224.78)</f>
        <v>224.78</v>
      </c>
      <c r="H29" s="12">
        <v>224.78</v>
      </c>
      <c r="I29" s="13">
        <f t="shared" si="0"/>
        <v>9.1907121344603063E-2</v>
      </c>
      <c r="J29" s="28">
        <f t="shared" si="1"/>
        <v>1.8385970299661177E-4</v>
      </c>
    </row>
    <row r="30" spans="1:10" ht="15.75" customHeight="1" x14ac:dyDescent="0.25">
      <c r="A30" s="14">
        <v>29</v>
      </c>
      <c r="B30" s="15" t="s">
        <v>64</v>
      </c>
      <c r="C30" s="16" t="s">
        <v>65</v>
      </c>
      <c r="D30" s="17">
        <v>44299</v>
      </c>
      <c r="E30" s="18">
        <v>59.52</v>
      </c>
      <c r="F30" s="12">
        <f ca="1">IFERROR(__xludf.DUMMYFUNCTION("GOOGLEFINANCE(C30)"),32.85)</f>
        <v>32.85</v>
      </c>
      <c r="H30" s="12">
        <v>32.85</v>
      </c>
      <c r="I30" s="13">
        <f t="shared" si="0"/>
        <v>-0.44808467741935487</v>
      </c>
      <c r="J30" s="28">
        <f t="shared" si="1"/>
        <v>-2.5917221347355389E-4</v>
      </c>
    </row>
    <row r="31" spans="1:10" ht="15.75" customHeight="1" x14ac:dyDescent="0.25">
      <c r="A31" s="14">
        <v>30</v>
      </c>
      <c r="B31" s="15" t="s">
        <v>66</v>
      </c>
      <c r="C31" s="16" t="s">
        <v>67</v>
      </c>
      <c r="D31" s="17">
        <v>44298</v>
      </c>
      <c r="E31" s="18">
        <v>116.42</v>
      </c>
      <c r="F31" s="12">
        <f ca="1">IFERROR(__xludf.DUMMYFUNCTION("GOOGLEFINANCE(C31)"),131.93)</f>
        <v>131.93</v>
      </c>
      <c r="H31" s="12">
        <v>131.93</v>
      </c>
      <c r="I31" s="13">
        <f t="shared" si="0"/>
        <v>0.13322453186737679</v>
      </c>
      <c r="J31" s="28">
        <f t="shared" si="1"/>
        <v>1.5072219838675749E-4</v>
      </c>
    </row>
    <row r="32" spans="1:10" ht="15.75" customHeight="1" x14ac:dyDescent="0.25">
      <c r="A32" s="14">
        <v>31</v>
      </c>
      <c r="B32" s="15" t="s">
        <v>68</v>
      </c>
      <c r="C32" s="16" t="s">
        <v>69</v>
      </c>
      <c r="D32" s="17">
        <v>44298</v>
      </c>
      <c r="E32" s="18">
        <v>113.81</v>
      </c>
      <c r="F32" s="12">
        <f ca="1">IFERROR(__xludf.DUMMYFUNCTION("GOOGLEFINANCE(C32)"),108.63)</f>
        <v>108.63</v>
      </c>
      <c r="H32" s="12">
        <v>108.63</v>
      </c>
      <c r="I32" s="13">
        <f t="shared" si="0"/>
        <v>-4.5514453914418829E-2</v>
      </c>
      <c r="J32" s="28">
        <f t="shared" si="1"/>
        <v>-5.0337910228459353E-5</v>
      </c>
    </row>
    <row r="33" spans="1:10" ht="15.75" customHeight="1" x14ac:dyDescent="0.25">
      <c r="A33" s="14">
        <v>32</v>
      </c>
      <c r="B33" s="15" t="s">
        <v>70</v>
      </c>
      <c r="C33" s="16" t="s">
        <v>71</v>
      </c>
      <c r="D33" s="17">
        <v>44298</v>
      </c>
      <c r="E33" s="18">
        <v>24.77</v>
      </c>
      <c r="F33" s="12">
        <f ca="1">IFERROR(__xludf.DUMMYFUNCTION("GOOGLEFINANCE(C33)"),18.48)</f>
        <v>18.48</v>
      </c>
      <c r="H33" s="12">
        <v>18.48</v>
      </c>
      <c r="I33" s="13">
        <f t="shared" si="0"/>
        <v>-0.25393621316108195</v>
      </c>
      <c r="J33" s="28">
        <f t="shared" si="1"/>
        <v>-6.1124605277414852E-5</v>
      </c>
    </row>
    <row r="34" spans="1:10" ht="15.75" customHeight="1" x14ac:dyDescent="0.25">
      <c r="A34" s="14">
        <v>33</v>
      </c>
      <c r="B34" s="15" t="s">
        <v>72</v>
      </c>
      <c r="C34" s="16" t="s">
        <v>73</v>
      </c>
      <c r="D34" s="17">
        <v>44298</v>
      </c>
      <c r="E34" s="18">
        <v>85.5</v>
      </c>
      <c r="F34" s="12">
        <f ca="1">IFERROR(__xludf.DUMMYFUNCTION("GOOGLEFINANCE(C34)"),82.13)</f>
        <v>82.13</v>
      </c>
      <c r="H34" s="12">
        <v>82.13</v>
      </c>
      <c r="I34" s="13">
        <f t="shared" si="0"/>
        <v>-3.9415204678362625E-2</v>
      </c>
      <c r="J34" s="28">
        <f t="shared" si="1"/>
        <v>-3.2748794878360621E-5</v>
      </c>
    </row>
    <row r="35" spans="1:10" ht="15" x14ac:dyDescent="0.25">
      <c r="A35" s="14">
        <v>34</v>
      </c>
      <c r="B35" s="15" t="s">
        <v>74</v>
      </c>
      <c r="C35" s="16" t="s">
        <v>75</v>
      </c>
      <c r="D35" s="17">
        <v>44298</v>
      </c>
      <c r="E35" s="18">
        <v>608.36</v>
      </c>
      <c r="F35" s="12">
        <f ca="1">IFERROR(__xludf.DUMMYFUNCTION("GOOGLEFINANCE(C35)"),278.01)</f>
        <v>278.01</v>
      </c>
      <c r="H35" s="12">
        <v>278.01</v>
      </c>
      <c r="I35" s="13">
        <f t="shared" si="0"/>
        <v>-0.54301729239266228</v>
      </c>
      <c r="J35" s="28">
        <f t="shared" si="1"/>
        <v>-3.2102564949751979E-3</v>
      </c>
    </row>
    <row r="36" spans="1:10" ht="15" x14ac:dyDescent="0.25">
      <c r="A36" s="14">
        <v>35</v>
      </c>
      <c r="B36" s="15" t="s">
        <v>76</v>
      </c>
      <c r="C36" s="16" t="s">
        <v>77</v>
      </c>
      <c r="D36" s="17">
        <v>44298</v>
      </c>
      <c r="E36" s="18">
        <v>255.91</v>
      </c>
      <c r="F36" s="12">
        <f ca="1">IFERROR(__xludf.DUMMYFUNCTION("GOOGLEFINANCE(C36)"),323.8)</f>
        <v>323.8</v>
      </c>
      <c r="H36" s="12">
        <v>323.8</v>
      </c>
      <c r="I36" s="13">
        <f t="shared" si="0"/>
        <v>0.26528857801570871</v>
      </c>
      <c r="J36" s="28">
        <f t="shared" si="1"/>
        <v>6.5973759177801188E-4</v>
      </c>
    </row>
    <row r="37" spans="1:10" ht="15" x14ac:dyDescent="0.25">
      <c r="A37" s="14">
        <v>36</v>
      </c>
      <c r="B37" s="15" t="s">
        <v>78</v>
      </c>
      <c r="C37" s="16" t="s">
        <v>79</v>
      </c>
      <c r="D37" s="17">
        <v>44298</v>
      </c>
      <c r="E37" s="18">
        <v>228.6</v>
      </c>
      <c r="F37" s="12">
        <f ca="1">IFERROR(__xludf.DUMMYFUNCTION("GOOGLEFINANCE(C37)"),205.17)</f>
        <v>205.17</v>
      </c>
      <c r="H37" s="12">
        <v>205.17</v>
      </c>
      <c r="I37" s="13">
        <f t="shared" si="0"/>
        <v>-0.10249343832021</v>
      </c>
      <c r="J37" s="28">
        <f t="shared" si="1"/>
        <v>-2.2768672522254852E-4</v>
      </c>
    </row>
    <row r="38" spans="1:10" ht="15" x14ac:dyDescent="0.25">
      <c r="A38" s="14">
        <v>37</v>
      </c>
      <c r="B38" s="15" t="s">
        <v>80</v>
      </c>
      <c r="C38" s="16" t="s">
        <v>81</v>
      </c>
      <c r="D38" s="17">
        <v>44298</v>
      </c>
      <c r="E38" s="18">
        <v>143.69</v>
      </c>
      <c r="F38" s="12">
        <f ca="1">IFERROR(__xludf.DUMMYFUNCTION("GOOGLEFINANCE(C38)"),139.83)</f>
        <v>139.83000000000001</v>
      </c>
      <c r="H38" s="12">
        <v>139.83000000000001</v>
      </c>
      <c r="I38" s="13">
        <f t="shared" si="0"/>
        <v>-2.6863386456955844E-2</v>
      </c>
      <c r="J38" s="28">
        <f t="shared" si="1"/>
        <v>-3.7510489089160636E-5</v>
      </c>
    </row>
    <row r="39" spans="1:10" ht="15" x14ac:dyDescent="0.25">
      <c r="A39" s="14">
        <v>38</v>
      </c>
      <c r="B39" s="15" t="s">
        <v>82</v>
      </c>
      <c r="C39" s="16" t="s">
        <v>83</v>
      </c>
      <c r="D39" s="17">
        <v>44298</v>
      </c>
      <c r="E39" s="18">
        <v>51.57</v>
      </c>
      <c r="F39" s="12">
        <f ca="1">IFERROR(__xludf.DUMMYFUNCTION("GOOGLEFINANCE(C39)"),60.46)</f>
        <v>60.46</v>
      </c>
      <c r="H39" s="12">
        <v>60.46</v>
      </c>
      <c r="I39" s="13">
        <f t="shared" si="0"/>
        <v>0.17238704673259647</v>
      </c>
      <c r="J39" s="28">
        <f t="shared" si="1"/>
        <v>8.6390737824517972E-5</v>
      </c>
    </row>
    <row r="40" spans="1:10" ht="15" x14ac:dyDescent="0.25">
      <c r="A40" s="14">
        <v>39</v>
      </c>
      <c r="B40" s="15" t="s">
        <v>84</v>
      </c>
      <c r="C40" s="16" t="s">
        <v>85</v>
      </c>
      <c r="D40" s="17">
        <v>44298</v>
      </c>
      <c r="E40" s="18">
        <v>364.81</v>
      </c>
      <c r="F40" s="12">
        <f ca="1">IFERROR(__xludf.DUMMYFUNCTION("GOOGLEFINANCE(C40)"),547.61)</f>
        <v>547.61</v>
      </c>
      <c r="H40" s="12">
        <v>547.61</v>
      </c>
      <c r="I40" s="13">
        <f t="shared" si="0"/>
        <v>0.50108275540692415</v>
      </c>
      <c r="J40" s="28">
        <f t="shared" si="1"/>
        <v>1.7764034729270961E-3</v>
      </c>
    </row>
    <row r="41" spans="1:10" ht="15" x14ac:dyDescent="0.25">
      <c r="A41" s="14">
        <v>40</v>
      </c>
      <c r="B41" s="15" t="s">
        <v>86</v>
      </c>
      <c r="C41" s="16" t="s">
        <v>87</v>
      </c>
      <c r="D41" s="17">
        <v>44298</v>
      </c>
      <c r="E41" s="18">
        <v>249.52</v>
      </c>
      <c r="F41" s="12">
        <f ca="1">IFERROR(__xludf.DUMMYFUNCTION("GOOGLEFINANCE(C41)"),192.63)</f>
        <v>192.63</v>
      </c>
      <c r="H41" s="12">
        <v>192.63</v>
      </c>
      <c r="I41" s="13">
        <f t="shared" si="0"/>
        <v>-0.22799775569092662</v>
      </c>
      <c r="J41" s="28">
        <f t="shared" si="1"/>
        <v>-5.5284241561719095E-4</v>
      </c>
    </row>
    <row r="42" spans="1:10" ht="15" x14ac:dyDescent="0.25">
      <c r="A42" s="14">
        <v>41</v>
      </c>
      <c r="B42" s="15" t="s">
        <v>88</v>
      </c>
      <c r="C42" s="16" t="s">
        <v>89</v>
      </c>
      <c r="D42" s="17">
        <v>44294</v>
      </c>
      <c r="E42" s="18">
        <v>133.49</v>
      </c>
      <c r="F42" s="12">
        <f ca="1">IFERROR(__xludf.DUMMYFUNCTION("GOOGLEFINANCE(C42)"),82.27)</f>
        <v>82.27</v>
      </c>
      <c r="H42" s="12">
        <v>82.27</v>
      </c>
      <c r="I42" s="13">
        <f t="shared" si="0"/>
        <v>-0.38369915349464384</v>
      </c>
      <c r="J42" s="28">
        <f t="shared" si="1"/>
        <v>-4.9774281117793149E-4</v>
      </c>
    </row>
    <row r="43" spans="1:10" ht="15" x14ac:dyDescent="0.25">
      <c r="A43" s="14">
        <v>42</v>
      </c>
      <c r="B43" s="15" t="s">
        <v>90</v>
      </c>
      <c r="C43" s="16" t="s">
        <v>91</v>
      </c>
      <c r="D43" s="17">
        <v>44294</v>
      </c>
      <c r="E43" s="18">
        <v>57.6</v>
      </c>
      <c r="F43" s="12">
        <f ca="1">IFERROR(__xludf.DUMMYFUNCTION("GOOGLEFINANCE(C43)"),53.17)</f>
        <v>53.17</v>
      </c>
      <c r="H43" s="12">
        <v>53.17</v>
      </c>
      <c r="I43" s="13">
        <f t="shared" si="0"/>
        <v>-7.6909722222222213E-2</v>
      </c>
      <c r="J43" s="28">
        <f t="shared" si="1"/>
        <v>-4.3049602762948767E-5</v>
      </c>
    </row>
    <row r="44" spans="1:10" ht="15" x14ac:dyDescent="0.25">
      <c r="A44" s="14">
        <v>43</v>
      </c>
      <c r="B44" s="15" t="s">
        <v>92</v>
      </c>
      <c r="C44" s="16" t="s">
        <v>93</v>
      </c>
      <c r="D44" s="17">
        <v>44294</v>
      </c>
      <c r="E44" s="18">
        <v>224.21</v>
      </c>
      <c r="F44" s="12">
        <f ca="1">IFERROR(__xludf.DUMMYFUNCTION("GOOGLEFINANCE(C44)"),242.25)</f>
        <v>242.25</v>
      </c>
      <c r="H44" s="12">
        <v>242.25</v>
      </c>
      <c r="I44" s="13">
        <f t="shared" si="0"/>
        <v>8.0460282770616801E-2</v>
      </c>
      <c r="J44" s="28">
        <f t="shared" si="1"/>
        <v>1.7530808890374618E-4</v>
      </c>
    </row>
    <row r="45" spans="1:10" ht="15" x14ac:dyDescent="0.25">
      <c r="A45" s="14">
        <v>45</v>
      </c>
      <c r="B45" s="15" t="s">
        <v>94</v>
      </c>
      <c r="C45" s="16" t="s">
        <v>95</v>
      </c>
      <c r="D45" s="17">
        <v>44294</v>
      </c>
      <c r="E45" s="18">
        <v>25.02</v>
      </c>
      <c r="F45" s="12">
        <f ca="1">IFERROR(__xludf.DUMMYFUNCTION("GOOGLEFINANCE(C45)"),23.96)</f>
        <v>23.96</v>
      </c>
      <c r="H45" s="12">
        <v>23.96</v>
      </c>
      <c r="I45" s="13">
        <f t="shared" si="0"/>
        <v>-4.23661071143085E-2</v>
      </c>
      <c r="J45" s="28">
        <f t="shared" si="1"/>
        <v>-1.030080788458818E-5</v>
      </c>
    </row>
    <row r="46" spans="1:10" ht="15" x14ac:dyDescent="0.25">
      <c r="A46" s="14">
        <v>46</v>
      </c>
      <c r="B46" s="15" t="s">
        <v>96</v>
      </c>
      <c r="C46" s="16" t="s">
        <v>97</v>
      </c>
      <c r="D46" s="17">
        <v>44294</v>
      </c>
      <c r="E46" s="18">
        <v>80.7</v>
      </c>
      <c r="F46" s="12">
        <f ca="1">IFERROR(__xludf.DUMMYFUNCTION("GOOGLEFINANCE(C46)"),67.77)</f>
        <v>67.77</v>
      </c>
      <c r="H46" s="12">
        <v>67.77</v>
      </c>
      <c r="I46" s="13">
        <f t="shared" si="0"/>
        <v>-0.16022304832713763</v>
      </c>
      <c r="J46" s="28">
        <f t="shared" si="1"/>
        <v>-1.2565042070540133E-4</v>
      </c>
    </row>
    <row r="47" spans="1:10" ht="15" x14ac:dyDescent="0.25">
      <c r="A47" s="14">
        <v>47</v>
      </c>
      <c r="B47" s="15" t="s">
        <v>98</v>
      </c>
      <c r="C47" s="16" t="s">
        <v>99</v>
      </c>
      <c r="D47" s="17">
        <v>44294</v>
      </c>
      <c r="E47" s="18">
        <v>230.48</v>
      </c>
      <c r="F47" s="12">
        <f ca="1">IFERROR(__xludf.DUMMYFUNCTION("GOOGLEFINANCE(C47)"),201.37)</f>
        <v>201.37</v>
      </c>
      <c r="H47" s="12">
        <v>201.37</v>
      </c>
      <c r="I47" s="13">
        <f t="shared" si="0"/>
        <v>-0.12630163137799369</v>
      </c>
      <c r="J47" s="28">
        <f t="shared" si="1"/>
        <v>-2.8288350709468129E-4</v>
      </c>
    </row>
    <row r="48" spans="1:10" ht="15" x14ac:dyDescent="0.25">
      <c r="A48" s="14">
        <v>48</v>
      </c>
      <c r="B48" s="15" t="s">
        <v>86</v>
      </c>
      <c r="C48" s="16" t="s">
        <v>87</v>
      </c>
      <c r="D48" s="17">
        <v>44294</v>
      </c>
      <c r="E48" s="18">
        <v>254.95</v>
      </c>
      <c r="F48" s="12">
        <f ca="1">IFERROR(__xludf.DUMMYFUNCTION("GOOGLEFINANCE(C48)"),192.63)</f>
        <v>192.63</v>
      </c>
      <c r="H48" s="12">
        <v>192.63</v>
      </c>
      <c r="I48" s="13">
        <f t="shared" si="0"/>
        <v>-0.24444008629142969</v>
      </c>
      <c r="J48" s="28">
        <f t="shared" si="1"/>
        <v>-6.0560976166748701E-4</v>
      </c>
    </row>
    <row r="49" spans="1:10" ht="15" x14ac:dyDescent="0.25">
      <c r="A49" s="14">
        <v>49</v>
      </c>
      <c r="B49" s="15" t="s">
        <v>100</v>
      </c>
      <c r="C49" s="16" t="s">
        <v>101</v>
      </c>
      <c r="D49" s="17">
        <v>44293</v>
      </c>
      <c r="E49" s="18">
        <v>178.61</v>
      </c>
      <c r="F49" s="12">
        <f ca="1">IFERROR(__xludf.DUMMYFUNCTION("GOOGLEFINANCE(C49)"),169.44)</f>
        <v>169.44</v>
      </c>
      <c r="H49" s="12">
        <v>169.44</v>
      </c>
      <c r="I49" s="13">
        <f t="shared" si="0"/>
        <v>-5.1340910363361601E-2</v>
      </c>
      <c r="J49" s="28">
        <f t="shared" si="1"/>
        <v>-8.9111705944975377E-5</v>
      </c>
    </row>
    <row r="50" spans="1:10" ht="15" x14ac:dyDescent="0.25">
      <c r="A50" s="14">
        <v>50</v>
      </c>
      <c r="B50" s="15" t="s">
        <v>102</v>
      </c>
      <c r="C50" s="16" t="s">
        <v>103</v>
      </c>
      <c r="D50" s="17">
        <v>44293</v>
      </c>
      <c r="E50" s="18">
        <v>139.80000000000001</v>
      </c>
      <c r="F50" s="12">
        <f ca="1">IFERROR(__xludf.DUMMYFUNCTION("GOOGLEFINANCE(C50)"),138.75)</f>
        <v>138.75</v>
      </c>
      <c r="H50" s="12">
        <v>138.75</v>
      </c>
      <c r="I50" s="13">
        <f t="shared" si="0"/>
        <v>-7.5107296137339862E-3</v>
      </c>
      <c r="J50" s="28">
        <f t="shared" si="1"/>
        <v>-1.0203630451714829E-5</v>
      </c>
    </row>
    <row r="51" spans="1:10" ht="15" x14ac:dyDescent="0.25">
      <c r="A51" s="14">
        <v>51</v>
      </c>
      <c r="B51" s="15" t="s">
        <v>104</v>
      </c>
      <c r="C51" s="16" t="s">
        <v>105</v>
      </c>
      <c r="D51" s="17">
        <v>44293</v>
      </c>
      <c r="E51" s="18">
        <v>200.24</v>
      </c>
      <c r="F51" s="12">
        <f ca="1">IFERROR(__xludf.DUMMYFUNCTION("GOOGLEFINANCE(C51)"),183.7)</f>
        <v>183.7</v>
      </c>
      <c r="H51" s="12">
        <v>183.7</v>
      </c>
      <c r="I51" s="13">
        <f t="shared" si="0"/>
        <v>-8.2600878945265785E-2</v>
      </c>
      <c r="J51" s="28">
        <f t="shared" si="1"/>
        <v>-1.6073147397272541E-4</v>
      </c>
    </row>
    <row r="52" spans="1:10" ht="15" x14ac:dyDescent="0.25">
      <c r="A52" s="14">
        <v>52</v>
      </c>
      <c r="B52" s="15" t="s">
        <v>106</v>
      </c>
      <c r="C52" s="16" t="s">
        <v>107</v>
      </c>
      <c r="D52" s="17">
        <v>44293</v>
      </c>
      <c r="E52" s="18">
        <v>587.55999999999995</v>
      </c>
      <c r="F52" s="12">
        <f ca="1">IFERROR(__xludf.DUMMYFUNCTION("GOOGLEFINANCE(C52)"),552.82)</f>
        <v>552.82000000000005</v>
      </c>
      <c r="H52" s="12">
        <v>552.82000000000005</v>
      </c>
      <c r="I52" s="13">
        <f t="shared" si="0"/>
        <v>-5.9125876506228976E-2</v>
      </c>
      <c r="J52" s="28">
        <f t="shared" si="1"/>
        <v>-3.3759440180244595E-4</v>
      </c>
    </row>
    <row r="53" spans="1:10" ht="15" x14ac:dyDescent="0.25">
      <c r="A53" s="14">
        <v>53</v>
      </c>
      <c r="B53" s="15" t="s">
        <v>108</v>
      </c>
      <c r="C53" s="16" t="s">
        <v>109</v>
      </c>
      <c r="D53" s="17">
        <v>44293</v>
      </c>
      <c r="E53" s="18">
        <v>153.53</v>
      </c>
      <c r="F53" s="12">
        <f ca="1">IFERROR(__xludf.DUMMYFUNCTION("GOOGLEFINANCE(C53)"),173.69)</f>
        <v>173.69</v>
      </c>
      <c r="H53" s="12">
        <v>173.69</v>
      </c>
      <c r="I53" s="13">
        <f t="shared" si="0"/>
        <v>0.13130984172474433</v>
      </c>
      <c r="J53" s="28">
        <f t="shared" si="1"/>
        <v>1.9590970467292258E-4</v>
      </c>
    </row>
    <row r="54" spans="1:10" ht="15" x14ac:dyDescent="0.25">
      <c r="A54" s="14">
        <v>54</v>
      </c>
      <c r="B54" s="15" t="s">
        <v>110</v>
      </c>
      <c r="C54" s="16" t="s">
        <v>111</v>
      </c>
      <c r="D54" s="17">
        <v>44293</v>
      </c>
      <c r="E54" s="18">
        <v>94.81</v>
      </c>
      <c r="F54" s="12">
        <f ca="1">IFERROR(__xludf.DUMMYFUNCTION("GOOGLEFINANCE(C54)"),123.89)</f>
        <v>123.89</v>
      </c>
      <c r="H54" s="12">
        <v>123.89</v>
      </c>
      <c r="I54" s="13">
        <f t="shared" si="0"/>
        <v>0.30671870055901274</v>
      </c>
      <c r="J54" s="28">
        <f t="shared" si="1"/>
        <v>2.8259197479606099E-4</v>
      </c>
    </row>
    <row r="55" spans="1:10" ht="15" x14ac:dyDescent="0.25">
      <c r="A55" s="14">
        <v>55</v>
      </c>
      <c r="B55" s="15" t="s">
        <v>14</v>
      </c>
      <c r="C55" s="16" t="s">
        <v>15</v>
      </c>
      <c r="D55" s="17">
        <v>44293</v>
      </c>
      <c r="E55" s="18">
        <v>222.56</v>
      </c>
      <c r="F55" s="12">
        <f ca="1">IFERROR(__xludf.DUMMYFUNCTION("GOOGLEFINANCE(C55)"),217.91)</f>
        <v>217.91</v>
      </c>
      <c r="H55" s="12">
        <v>217.91</v>
      </c>
      <c r="I55" s="13">
        <f t="shared" si="0"/>
        <v>-2.0893242271746972E-2</v>
      </c>
      <c r="J55" s="28">
        <f t="shared" si="1"/>
        <v>-4.5187506286165247E-5</v>
      </c>
    </row>
    <row r="56" spans="1:10" ht="15" x14ac:dyDescent="0.25">
      <c r="A56" s="14">
        <v>56</v>
      </c>
      <c r="B56" s="15" t="s">
        <v>112</v>
      </c>
      <c r="C56" s="16" t="s">
        <v>113</v>
      </c>
      <c r="D56" s="17">
        <v>44293</v>
      </c>
      <c r="E56" s="18">
        <v>89.16</v>
      </c>
      <c r="F56" s="12">
        <f ca="1">IFERROR(__xludf.DUMMYFUNCTION("GOOGLEFINANCE(C56)"),94.12)</f>
        <v>94.12</v>
      </c>
      <c r="H56" s="12">
        <v>94.12</v>
      </c>
      <c r="I56" s="13">
        <f t="shared" si="0"/>
        <v>5.5630327501121672E-2</v>
      </c>
      <c r="J56" s="28">
        <f t="shared" si="1"/>
        <v>4.8200006705242948E-5</v>
      </c>
    </row>
    <row r="57" spans="1:10" ht="15" x14ac:dyDescent="0.25">
      <c r="A57" s="14">
        <v>57</v>
      </c>
      <c r="B57" s="15" t="s">
        <v>114</v>
      </c>
      <c r="C57" s="16" t="s">
        <v>115</v>
      </c>
      <c r="D57" s="17">
        <v>44293</v>
      </c>
      <c r="E57" s="18">
        <v>193.67</v>
      </c>
      <c r="F57" s="12">
        <f ca="1">IFERROR(__xludf.DUMMYFUNCTION("GOOGLEFINANCE(C57)"),248.09)</f>
        <v>248.09</v>
      </c>
      <c r="H57" s="12">
        <v>248.09</v>
      </c>
      <c r="I57" s="13">
        <f t="shared" si="0"/>
        <v>0.28099344245365837</v>
      </c>
      <c r="J57" s="28">
        <f t="shared" si="1"/>
        <v>5.2883958969744303E-4</v>
      </c>
    </row>
    <row r="58" spans="1:10" ht="15" x14ac:dyDescent="0.25">
      <c r="A58" s="14">
        <v>58</v>
      </c>
      <c r="B58" s="15" t="s">
        <v>116</v>
      </c>
      <c r="C58" s="16" t="s">
        <v>117</v>
      </c>
      <c r="D58" s="17">
        <v>44293</v>
      </c>
      <c r="E58" s="18">
        <v>37.15</v>
      </c>
      <c r="F58" s="12">
        <f ca="1">IFERROR(__xludf.DUMMYFUNCTION("GOOGLEFINANCE(C58)"),44.79)</f>
        <v>44.79</v>
      </c>
      <c r="H58" s="12">
        <v>44.79</v>
      </c>
      <c r="I58" s="13">
        <f t="shared" si="0"/>
        <v>0.20565275908479141</v>
      </c>
      <c r="J58" s="28">
        <f t="shared" si="1"/>
        <v>7.4243558715333778E-5</v>
      </c>
    </row>
    <row r="59" spans="1:10" ht="15" x14ac:dyDescent="0.25">
      <c r="A59" s="14">
        <v>59</v>
      </c>
      <c r="B59" s="15" t="s">
        <v>118</v>
      </c>
      <c r="C59" s="16" t="s">
        <v>119</v>
      </c>
      <c r="D59" s="17">
        <v>44293</v>
      </c>
      <c r="E59" s="18">
        <v>312.47000000000003</v>
      </c>
      <c r="F59" s="12">
        <f ca="1">IFERROR(__xludf.DUMMYFUNCTION("GOOGLEFINANCE(C59)"),387.98)</f>
        <v>387.98</v>
      </c>
      <c r="H59" s="12">
        <v>387.98</v>
      </c>
      <c r="I59" s="13">
        <f t="shared" si="0"/>
        <v>0.24165519889909426</v>
      </c>
      <c r="J59" s="28">
        <f t="shared" si="1"/>
        <v>7.3378679562759847E-4</v>
      </c>
    </row>
    <row r="60" spans="1:10" ht="15" x14ac:dyDescent="0.25">
      <c r="A60" s="14">
        <v>60</v>
      </c>
      <c r="B60" s="15" t="s">
        <v>120</v>
      </c>
      <c r="C60" s="16" t="s">
        <v>121</v>
      </c>
      <c r="D60" s="17">
        <v>44293</v>
      </c>
      <c r="E60" s="18">
        <v>16.02</v>
      </c>
      <c r="F60" s="12">
        <f ca="1">IFERROR(__xludf.DUMMYFUNCTION("GOOGLEFINANCE(C60)"),17.04)</f>
        <v>17.04</v>
      </c>
      <c r="H60" s="12">
        <v>17.04</v>
      </c>
      <c r="I60" s="13">
        <f t="shared" si="0"/>
        <v>6.3670411985018702E-2</v>
      </c>
      <c r="J60" s="28">
        <f t="shared" si="1"/>
        <v>9.9120981530942958E-6</v>
      </c>
    </row>
    <row r="61" spans="1:10" ht="15" x14ac:dyDescent="0.25">
      <c r="A61" s="14">
        <v>61</v>
      </c>
      <c r="B61" s="15" t="s">
        <v>122</v>
      </c>
      <c r="C61" s="16" t="s">
        <v>123</v>
      </c>
      <c r="D61" s="17">
        <v>44293</v>
      </c>
      <c r="E61" s="18">
        <v>204.02</v>
      </c>
      <c r="F61" s="12">
        <f ca="1">IFERROR(__xludf.DUMMYFUNCTION("GOOGLEFINANCE(C61)"),221.6)</f>
        <v>221.6</v>
      </c>
      <c r="H61" s="12">
        <v>221.6</v>
      </c>
      <c r="I61" s="13">
        <f t="shared" si="0"/>
        <v>8.6168022742868264E-2</v>
      </c>
      <c r="J61" s="28">
        <f t="shared" si="1"/>
        <v>1.7083792699156629E-4</v>
      </c>
    </row>
    <row r="62" spans="1:10" ht="15" x14ac:dyDescent="0.25">
      <c r="A62" s="14">
        <v>62</v>
      </c>
      <c r="B62" s="15" t="s">
        <v>124</v>
      </c>
      <c r="C62" s="16" t="s">
        <v>125</v>
      </c>
      <c r="D62" s="17">
        <v>44293</v>
      </c>
      <c r="E62" s="18">
        <v>27.34</v>
      </c>
      <c r="F62" s="12">
        <f ca="1">IFERROR(__xludf.DUMMYFUNCTION("GOOGLEFINANCE(C62)"),25.99)</f>
        <v>25.99</v>
      </c>
      <c r="H62" s="12">
        <v>25.99</v>
      </c>
      <c r="I62" s="13">
        <f t="shared" si="0"/>
        <v>-4.9378200438917393E-2</v>
      </c>
      <c r="J62" s="28">
        <f t="shared" si="1"/>
        <v>-1.3118953437918941E-5</v>
      </c>
    </row>
    <row r="63" spans="1:10" ht="15" x14ac:dyDescent="0.25">
      <c r="A63" s="14">
        <v>63</v>
      </c>
      <c r="B63" s="15" t="s">
        <v>82</v>
      </c>
      <c r="C63" s="16" t="s">
        <v>83</v>
      </c>
      <c r="D63" s="17">
        <v>44293</v>
      </c>
      <c r="E63" s="18">
        <v>51.77</v>
      </c>
      <c r="F63" s="12">
        <f ca="1">IFERROR(__xludf.DUMMYFUNCTION("GOOGLEFINANCE(C63)"),60.46)</f>
        <v>60.46</v>
      </c>
      <c r="H63" s="12">
        <v>60.46</v>
      </c>
      <c r="I63" s="13">
        <f t="shared" si="0"/>
        <v>0.16785783272165342</v>
      </c>
      <c r="J63" s="28">
        <f t="shared" si="1"/>
        <v>8.4447189167048467E-5</v>
      </c>
    </row>
    <row r="64" spans="1:10" ht="15" x14ac:dyDescent="0.25">
      <c r="A64" s="14">
        <v>64</v>
      </c>
      <c r="B64" s="15" t="s">
        <v>126</v>
      </c>
      <c r="C64" s="16" t="s">
        <v>127</v>
      </c>
      <c r="D64" s="17">
        <v>44293</v>
      </c>
      <c r="E64" s="18">
        <v>81.849999999999994</v>
      </c>
      <c r="F64" s="12">
        <f ca="1">IFERROR(__xludf.DUMMYFUNCTION("GOOGLEFINANCE(C64)"),54.76)</f>
        <v>54.76</v>
      </c>
      <c r="H64" s="12">
        <v>54.76</v>
      </c>
      <c r="I64" s="13">
        <f t="shared" si="0"/>
        <v>-0.33097128894318872</v>
      </c>
      <c r="J64" s="28">
        <f t="shared" si="1"/>
        <v>-2.632536656542397E-4</v>
      </c>
    </row>
    <row r="65" spans="1:10" ht="15" x14ac:dyDescent="0.25">
      <c r="A65" s="14">
        <v>65</v>
      </c>
      <c r="B65" s="15" t="s">
        <v>128</v>
      </c>
      <c r="C65" s="16" t="s">
        <v>129</v>
      </c>
      <c r="D65" s="17">
        <v>44293</v>
      </c>
      <c r="E65" s="18">
        <v>151.47</v>
      </c>
      <c r="F65" s="12">
        <f ca="1">IFERROR(__xludf.DUMMYFUNCTION("GOOGLEFINANCE(C65)"),244.74)</f>
        <v>244.74</v>
      </c>
      <c r="H65" s="12">
        <v>244.74</v>
      </c>
      <c r="I65" s="13">
        <f t="shared" si="0"/>
        <v>0.61576549811843939</v>
      </c>
      <c r="J65" s="28">
        <f t="shared" si="1"/>
        <v>9.0637391641088774E-4</v>
      </c>
    </row>
    <row r="66" spans="1:10" ht="15" x14ac:dyDescent="0.25">
      <c r="A66" s="14">
        <v>66</v>
      </c>
      <c r="B66" s="15" t="s">
        <v>130</v>
      </c>
      <c r="C66" s="16" t="s">
        <v>131</v>
      </c>
      <c r="D66" s="17">
        <v>44293</v>
      </c>
      <c r="E66" s="18">
        <v>139.13999999999999</v>
      </c>
      <c r="F66" s="12">
        <f ca="1">IFERROR(__xludf.DUMMYFUNCTION("GOOGLEFINANCE(C66)"),146.15)</f>
        <v>146.15</v>
      </c>
      <c r="H66" s="12">
        <v>146.15</v>
      </c>
      <c r="I66" s="13">
        <f t="shared" si="0"/>
        <v>5.0380911312347419E-2</v>
      </c>
      <c r="J66" s="28">
        <f t="shared" si="1"/>
        <v>6.8121380444305122E-5</v>
      </c>
    </row>
    <row r="67" spans="1:10" ht="15" x14ac:dyDescent="0.25">
      <c r="A67" s="14">
        <v>67</v>
      </c>
      <c r="B67" s="15" t="s">
        <v>66</v>
      </c>
      <c r="C67" s="16" t="s">
        <v>67</v>
      </c>
      <c r="D67" s="17">
        <v>44292</v>
      </c>
      <c r="E67" s="18">
        <v>114.08</v>
      </c>
      <c r="F67" s="12">
        <f ca="1">IFERROR(__xludf.DUMMYFUNCTION("GOOGLEFINANCE(C67)"),131.93)</f>
        <v>131.93</v>
      </c>
      <c r="H67" s="12">
        <v>131.93</v>
      </c>
      <c r="I67" s="13">
        <f t="shared" si="0"/>
        <v>0.15646914446002813</v>
      </c>
      <c r="J67" s="28">
        <f t="shared" ref="J67:J130" si="2">(E67/$E$609)*I67</f>
        <v>1.7346171767915032E-4</v>
      </c>
    </row>
    <row r="68" spans="1:10" ht="15" x14ac:dyDescent="0.25">
      <c r="A68" s="14">
        <v>68</v>
      </c>
      <c r="B68" s="15" t="s">
        <v>88</v>
      </c>
      <c r="C68" s="16" t="s">
        <v>89</v>
      </c>
      <c r="D68" s="17">
        <v>44292</v>
      </c>
      <c r="E68" s="18">
        <v>136.37</v>
      </c>
      <c r="F68" s="12">
        <f ca="1">IFERROR(__xludf.DUMMYFUNCTION("GOOGLEFINANCE(C68)"),82.27)</f>
        <v>82.27</v>
      </c>
      <c r="H68" s="12">
        <v>82.27</v>
      </c>
      <c r="I68" s="13">
        <f t="shared" si="0"/>
        <v>-0.39671481997506786</v>
      </c>
      <c r="J68" s="28">
        <f t="shared" si="2"/>
        <v>-5.2572991184549186E-4</v>
      </c>
    </row>
    <row r="69" spans="1:10" ht="15" x14ac:dyDescent="0.25">
      <c r="A69" s="14">
        <v>69</v>
      </c>
      <c r="B69" s="15" t="s">
        <v>102</v>
      </c>
      <c r="C69" s="16" t="s">
        <v>103</v>
      </c>
      <c r="D69" s="17">
        <v>44292</v>
      </c>
      <c r="E69" s="18">
        <v>140.1</v>
      </c>
      <c r="F69" s="12">
        <f ca="1">IFERROR(__xludf.DUMMYFUNCTION("GOOGLEFINANCE(C69)"),138.75)</f>
        <v>138.75</v>
      </c>
      <c r="H69" s="12">
        <v>138.75</v>
      </c>
      <c r="I69" s="13">
        <f t="shared" si="0"/>
        <v>-9.6359743040684825E-3</v>
      </c>
      <c r="J69" s="28">
        <f t="shared" si="2"/>
        <v>-1.311895343791887E-5</v>
      </c>
    </row>
    <row r="70" spans="1:10" ht="15" x14ac:dyDescent="0.25">
      <c r="A70" s="14">
        <v>70</v>
      </c>
      <c r="B70" s="15" t="s">
        <v>92</v>
      </c>
      <c r="C70" s="16" t="s">
        <v>93</v>
      </c>
      <c r="D70" s="17">
        <v>44292</v>
      </c>
      <c r="E70" s="18">
        <v>236.3</v>
      </c>
      <c r="F70" s="12">
        <f ca="1">IFERROR(__xludf.DUMMYFUNCTION("GOOGLEFINANCE(C70)"),242.25)</f>
        <v>242.25</v>
      </c>
      <c r="H70" s="12">
        <v>242.25</v>
      </c>
      <c r="I70" s="13">
        <f t="shared" si="0"/>
        <v>2.5179856115107865E-2</v>
      </c>
      <c r="J70" s="28">
        <f t="shared" si="2"/>
        <v>5.7820572559716637E-5</v>
      </c>
    </row>
    <row r="71" spans="1:10" ht="15" x14ac:dyDescent="0.25">
      <c r="A71" s="14">
        <v>71</v>
      </c>
      <c r="B71" s="15" t="s">
        <v>132</v>
      </c>
      <c r="C71" s="16" t="s">
        <v>133</v>
      </c>
      <c r="D71" s="17">
        <v>44292</v>
      </c>
      <c r="E71" s="18">
        <v>6.35</v>
      </c>
      <c r="F71" s="12">
        <f ca="1">IFERROR(__xludf.DUMMYFUNCTION("GOOGLEFINANCE(C71)"),5.24)</f>
        <v>5.24</v>
      </c>
      <c r="H71" s="12">
        <v>5.24</v>
      </c>
      <c r="I71" s="13">
        <f t="shared" si="0"/>
        <v>-0.17480314960629914</v>
      </c>
      <c r="J71" s="28">
        <f t="shared" si="2"/>
        <v>-1.0786695048955558E-5</v>
      </c>
    </row>
    <row r="72" spans="1:10" ht="15" x14ac:dyDescent="0.25">
      <c r="A72" s="14">
        <v>72</v>
      </c>
      <c r="B72" s="15" t="s">
        <v>134</v>
      </c>
      <c r="C72" s="16" t="s">
        <v>135</v>
      </c>
      <c r="D72" s="17">
        <v>44292</v>
      </c>
      <c r="E72" s="18">
        <v>509.08</v>
      </c>
      <c r="F72" s="12">
        <f ca="1">IFERROR(__xludf.DUMMYFUNCTION("GOOGLEFINANCE(C72)"),615.63)</f>
        <v>615.63</v>
      </c>
      <c r="H72" s="12">
        <v>615.63</v>
      </c>
      <c r="I72" s="13">
        <f t="shared" si="0"/>
        <v>0.2092991278384537</v>
      </c>
      <c r="J72" s="28">
        <f t="shared" si="2"/>
        <v>1.0354255472668605E-3</v>
      </c>
    </row>
    <row r="73" spans="1:10" ht="15" x14ac:dyDescent="0.25">
      <c r="A73" s="14">
        <v>73</v>
      </c>
      <c r="B73" s="15" t="s">
        <v>136</v>
      </c>
      <c r="C73" s="16" t="s">
        <v>137</v>
      </c>
      <c r="D73" s="17">
        <v>44292</v>
      </c>
      <c r="E73" s="18">
        <v>31.08</v>
      </c>
      <c r="F73" s="12">
        <f ca="1">IFERROR(__xludf.DUMMYFUNCTION("GOOGLEFINANCE(C73)"),20.33)</f>
        <v>20.329999999999998</v>
      </c>
      <c r="H73" s="12">
        <v>20.329999999999998</v>
      </c>
      <c r="I73" s="13">
        <f t="shared" si="0"/>
        <v>-0.34588159588159589</v>
      </c>
      <c r="J73" s="28">
        <f t="shared" si="2"/>
        <v>-1.0446574033898403E-4</v>
      </c>
    </row>
    <row r="74" spans="1:10" ht="15" x14ac:dyDescent="0.25">
      <c r="A74" s="14">
        <v>74</v>
      </c>
      <c r="B74" s="15" t="s">
        <v>138</v>
      </c>
      <c r="C74" s="16" t="s">
        <v>139</v>
      </c>
      <c r="D74" s="17">
        <v>44292</v>
      </c>
      <c r="E74" s="18">
        <v>34.14</v>
      </c>
      <c r="F74" s="12">
        <f ca="1">IFERROR(__xludf.DUMMYFUNCTION("GOOGLEFINANCE(C74)"),42.48)</f>
        <v>42.48</v>
      </c>
      <c r="H74" s="12">
        <v>42.48</v>
      </c>
      <c r="I74" s="13">
        <f t="shared" si="0"/>
        <v>0.24428822495606314</v>
      </c>
      <c r="J74" s="28">
        <f t="shared" si="2"/>
        <v>8.1045979016476877E-5</v>
      </c>
    </row>
    <row r="75" spans="1:10" ht="15" x14ac:dyDescent="0.25">
      <c r="A75" s="14">
        <v>75</v>
      </c>
      <c r="B75" s="15" t="s">
        <v>78</v>
      </c>
      <c r="C75" s="16" t="s">
        <v>79</v>
      </c>
      <c r="D75" s="17">
        <v>44292</v>
      </c>
      <c r="E75" s="18">
        <v>219.19</v>
      </c>
      <c r="F75" s="12">
        <f ca="1">IFERROR(__xludf.DUMMYFUNCTION("GOOGLEFINANCE(C75)"),205.17)</f>
        <v>205.17</v>
      </c>
      <c r="H75" s="12">
        <v>205.17</v>
      </c>
      <c r="I75" s="13">
        <f t="shared" si="0"/>
        <v>-6.3962772024271225E-2</v>
      </c>
      <c r="J75" s="28">
        <f t="shared" si="2"/>
        <v>-1.3624276088860997E-4</v>
      </c>
    </row>
    <row r="76" spans="1:10" ht="15" x14ac:dyDescent="0.25">
      <c r="A76" s="14">
        <v>76</v>
      </c>
      <c r="B76" s="15" t="s">
        <v>140</v>
      </c>
      <c r="C76" s="16" t="s">
        <v>141</v>
      </c>
      <c r="D76" s="17">
        <v>44292</v>
      </c>
      <c r="E76" s="18">
        <v>61.94</v>
      </c>
      <c r="F76" s="12">
        <f ca="1">IFERROR(__xludf.DUMMYFUNCTION("GOOGLEFINANCE(C76)"),55.16)</f>
        <v>55.16</v>
      </c>
      <c r="H76" s="12">
        <v>55.16</v>
      </c>
      <c r="I76" s="13">
        <f t="shared" si="0"/>
        <v>-0.10946076848563129</v>
      </c>
      <c r="J76" s="28">
        <f t="shared" si="2"/>
        <v>-6.588629948821507E-5</v>
      </c>
    </row>
    <row r="77" spans="1:10" ht="15" x14ac:dyDescent="0.25">
      <c r="A77" s="14">
        <v>77</v>
      </c>
      <c r="B77" s="15" t="s">
        <v>142</v>
      </c>
      <c r="C77" s="16" t="s">
        <v>143</v>
      </c>
      <c r="D77" s="17">
        <v>44292</v>
      </c>
      <c r="E77" s="18">
        <v>12.92</v>
      </c>
      <c r="F77" s="12">
        <f ca="1">IFERROR(__xludf.DUMMYFUNCTION("GOOGLEFINANCE(C77)"),19.77)</f>
        <v>19.77</v>
      </c>
      <c r="H77" s="12">
        <v>19.77</v>
      </c>
      <c r="I77" s="13">
        <f t="shared" si="0"/>
        <v>0.5301857585139319</v>
      </c>
      <c r="J77" s="28">
        <f t="shared" si="2"/>
        <v>6.6566541518329363E-5</v>
      </c>
    </row>
    <row r="78" spans="1:10" ht="15" x14ac:dyDescent="0.25">
      <c r="A78" s="14">
        <v>78</v>
      </c>
      <c r="B78" s="15" t="s">
        <v>144</v>
      </c>
      <c r="C78" s="16" t="s">
        <v>145</v>
      </c>
      <c r="D78" s="17">
        <v>44292</v>
      </c>
      <c r="E78" s="18">
        <v>176.62</v>
      </c>
      <c r="F78" s="12">
        <f ca="1">IFERROR(__xludf.DUMMYFUNCTION("GOOGLEFINANCE(C78)"),201.34)</f>
        <v>201.34</v>
      </c>
      <c r="H78" s="12">
        <v>201.34</v>
      </c>
      <c r="I78" s="13">
        <f t="shared" si="0"/>
        <v>0.13996149926395651</v>
      </c>
      <c r="J78" s="28">
        <f t="shared" si="2"/>
        <v>2.4022261406322657E-4</v>
      </c>
    </row>
    <row r="79" spans="1:10" ht="15" x14ac:dyDescent="0.25">
      <c r="A79" s="14">
        <v>79</v>
      </c>
      <c r="B79" s="15" t="s">
        <v>146</v>
      </c>
      <c r="C79" s="16" t="s">
        <v>147</v>
      </c>
      <c r="D79" s="17">
        <v>44291</v>
      </c>
      <c r="E79" s="18">
        <v>124.5</v>
      </c>
      <c r="F79" s="12">
        <f ca="1">IFERROR(__xludf.DUMMYFUNCTION("GOOGLEFINANCE(C79)"),116.32)</f>
        <v>116.32</v>
      </c>
      <c r="H79" s="12">
        <v>116.32</v>
      </c>
      <c r="I79" s="13">
        <f t="shared" si="0"/>
        <v>-6.5702811244979981E-2</v>
      </c>
      <c r="J79" s="28">
        <f t="shared" si="2"/>
        <v>-7.9491140090501416E-5</v>
      </c>
    </row>
    <row r="80" spans="1:10" ht="15" x14ac:dyDescent="0.25">
      <c r="A80" s="14">
        <v>80</v>
      </c>
      <c r="B80" s="15" t="s">
        <v>148</v>
      </c>
      <c r="C80" s="16" t="s">
        <v>149</v>
      </c>
      <c r="D80" s="17">
        <v>44291</v>
      </c>
      <c r="E80" s="18">
        <v>540.66999999999996</v>
      </c>
      <c r="F80" s="12">
        <f ca="1">IFERROR(__xludf.DUMMYFUNCTION("GOOGLEFINANCE(C80)"),586.73)</f>
        <v>586.73</v>
      </c>
      <c r="H80" s="12">
        <v>586.73</v>
      </c>
      <c r="I80" s="13">
        <f t="shared" si="0"/>
        <v>8.5190596852054046E-2</v>
      </c>
      <c r="J80" s="28">
        <f t="shared" si="2"/>
        <v>4.4759925581521962E-4</v>
      </c>
    </row>
    <row r="81" spans="1:10" ht="15" x14ac:dyDescent="0.25">
      <c r="A81" s="14">
        <v>81</v>
      </c>
      <c r="B81" s="15" t="s">
        <v>136</v>
      </c>
      <c r="C81" s="16" t="s">
        <v>137</v>
      </c>
      <c r="D81" s="17">
        <v>44291</v>
      </c>
      <c r="E81" s="18">
        <v>29.71</v>
      </c>
      <c r="F81" s="12">
        <f ca="1">IFERROR(__xludf.DUMMYFUNCTION("GOOGLEFINANCE(C81)"),20.33)</f>
        <v>20.329999999999998</v>
      </c>
      <c r="H81" s="12">
        <v>20.329999999999998</v>
      </c>
      <c r="I81" s="13">
        <f t="shared" si="0"/>
        <v>-0.31571861326152817</v>
      </c>
      <c r="J81" s="28">
        <f t="shared" si="2"/>
        <v>-9.115243203531819E-5</v>
      </c>
    </row>
    <row r="82" spans="1:10" ht="15" x14ac:dyDescent="0.25">
      <c r="A82" s="14">
        <v>82</v>
      </c>
      <c r="B82" s="15" t="s">
        <v>76</v>
      </c>
      <c r="C82" s="16" t="s">
        <v>77</v>
      </c>
      <c r="D82" s="17">
        <v>44291</v>
      </c>
      <c r="E82" s="18">
        <v>249.07</v>
      </c>
      <c r="F82" s="12">
        <f ca="1">IFERROR(__xludf.DUMMYFUNCTION("GOOGLEFINANCE(C82)"),323.8)</f>
        <v>323.8</v>
      </c>
      <c r="H82" s="12">
        <v>323.8</v>
      </c>
      <c r="I82" s="13">
        <f t="shared" si="0"/>
        <v>0.30003613442004262</v>
      </c>
      <c r="J82" s="28">
        <f t="shared" si="2"/>
        <v>7.2620695586346766E-4</v>
      </c>
    </row>
    <row r="83" spans="1:10" ht="15" x14ac:dyDescent="0.25">
      <c r="A83" s="14">
        <v>83</v>
      </c>
      <c r="B83" s="15" t="s">
        <v>150</v>
      </c>
      <c r="C83" s="16" t="s">
        <v>151</v>
      </c>
      <c r="D83" s="17">
        <v>44291</v>
      </c>
      <c r="E83" s="18">
        <v>520</v>
      </c>
      <c r="F83" s="12">
        <f ca="1">IFERROR(__xludf.DUMMYFUNCTION("GOOGLEFINANCE(C83)"),410.42)</f>
        <v>410.42</v>
      </c>
      <c r="H83" s="12">
        <v>410.42</v>
      </c>
      <c r="I83" s="13">
        <f t="shared" si="0"/>
        <v>-0.21073076923076919</v>
      </c>
      <c r="J83" s="28">
        <f t="shared" si="2"/>
        <v>-1.0648703094275225E-3</v>
      </c>
    </row>
    <row r="84" spans="1:10" ht="15" x14ac:dyDescent="0.25">
      <c r="A84" s="14">
        <v>84</v>
      </c>
      <c r="B84" s="15" t="s">
        <v>140</v>
      </c>
      <c r="C84" s="16" t="s">
        <v>141</v>
      </c>
      <c r="D84" s="17">
        <v>44291</v>
      </c>
      <c r="E84" s="18">
        <v>61.04</v>
      </c>
      <c r="F84" s="12">
        <f ca="1">IFERROR(__xludf.DUMMYFUNCTION("GOOGLEFINANCE(C84)"),55.16)</f>
        <v>55.16</v>
      </c>
      <c r="H84" s="12">
        <v>55.16</v>
      </c>
      <c r="I84" s="13">
        <f t="shared" si="0"/>
        <v>-9.6330275229357845E-2</v>
      </c>
      <c r="J84" s="28">
        <f t="shared" si="2"/>
        <v>-5.7140330529602459E-5</v>
      </c>
    </row>
    <row r="85" spans="1:10" ht="15" x14ac:dyDescent="0.25">
      <c r="A85" s="14">
        <v>85</v>
      </c>
      <c r="B85" s="15" t="s">
        <v>152</v>
      </c>
      <c r="C85" s="16" t="s">
        <v>153</v>
      </c>
      <c r="D85" s="17">
        <v>44291</v>
      </c>
      <c r="E85" s="18">
        <v>68.849999999999994</v>
      </c>
      <c r="F85" s="12">
        <f ca="1">IFERROR(__xludf.DUMMYFUNCTION("GOOGLEFINANCE(C85)"),40.68)</f>
        <v>40.68</v>
      </c>
      <c r="H85" s="12">
        <v>40.68</v>
      </c>
      <c r="I85" s="13">
        <f t="shared" si="0"/>
        <v>-0.40915032679738556</v>
      </c>
      <c r="J85" s="28">
        <f t="shared" si="2"/>
        <v>-2.7374882840457485E-4</v>
      </c>
    </row>
    <row r="86" spans="1:10" ht="15" x14ac:dyDescent="0.25">
      <c r="A86" s="14">
        <v>86</v>
      </c>
      <c r="B86" s="15" t="s">
        <v>154</v>
      </c>
      <c r="C86" s="16" t="s">
        <v>155</v>
      </c>
      <c r="D86" s="17">
        <v>44291</v>
      </c>
      <c r="E86" s="18">
        <v>308.91000000000003</v>
      </c>
      <c r="F86" s="12">
        <f ca="1">IFERROR(__xludf.DUMMYFUNCTION("GOOGLEFINANCE(C86)"),333.79)</f>
        <v>333.79</v>
      </c>
      <c r="H86" s="12">
        <v>333.79</v>
      </c>
      <c r="I86" s="13">
        <f t="shared" si="0"/>
        <v>8.0541257971577462E-2</v>
      </c>
      <c r="J86" s="28">
        <f t="shared" si="2"/>
        <v>2.417774529892021E-4</v>
      </c>
    </row>
    <row r="87" spans="1:10" ht="15" x14ac:dyDescent="0.25">
      <c r="A87" s="14">
        <v>87</v>
      </c>
      <c r="B87" s="15" t="s">
        <v>142</v>
      </c>
      <c r="C87" s="16" t="s">
        <v>143</v>
      </c>
      <c r="D87" s="17">
        <v>44291</v>
      </c>
      <c r="E87" s="18">
        <v>12.7</v>
      </c>
      <c r="F87" s="12">
        <f ca="1">IFERROR(__xludf.DUMMYFUNCTION("GOOGLEFINANCE(C87)"),19.77)</f>
        <v>19.77</v>
      </c>
      <c r="H87" s="12">
        <v>19.77</v>
      </c>
      <c r="I87" s="13">
        <f t="shared" si="0"/>
        <v>0.55669291338582683</v>
      </c>
      <c r="J87" s="28">
        <f t="shared" si="2"/>
        <v>6.8704445041545782E-5</v>
      </c>
    </row>
    <row r="88" spans="1:10" ht="15" x14ac:dyDescent="0.25">
      <c r="A88" s="14">
        <v>88</v>
      </c>
      <c r="B88" s="15" t="s">
        <v>52</v>
      </c>
      <c r="C88" s="16" t="s">
        <v>53</v>
      </c>
      <c r="D88" s="17">
        <v>44291</v>
      </c>
      <c r="E88" s="18">
        <v>125.9</v>
      </c>
      <c r="F88" s="12">
        <f ca="1">IFERROR(__xludf.DUMMYFUNCTION("GOOGLEFINANCE(C88)"),171.14)</f>
        <v>171.14</v>
      </c>
      <c r="H88" s="12">
        <v>171.14</v>
      </c>
      <c r="I88" s="13">
        <f t="shared" si="0"/>
        <v>0.35933280381254945</v>
      </c>
      <c r="J88" s="28">
        <f t="shared" si="2"/>
        <v>4.3963070631959395E-4</v>
      </c>
    </row>
    <row r="89" spans="1:10" ht="15" x14ac:dyDescent="0.25">
      <c r="A89" s="14">
        <v>89</v>
      </c>
      <c r="B89" s="15" t="s">
        <v>146</v>
      </c>
      <c r="C89" s="16" t="s">
        <v>147</v>
      </c>
      <c r="D89" s="17">
        <v>44287</v>
      </c>
      <c r="E89" s="18">
        <v>124.8</v>
      </c>
      <c r="F89" s="12">
        <f ca="1">IFERROR(__xludf.DUMMYFUNCTION("GOOGLEFINANCE(C89)"),116.32)</f>
        <v>116.32</v>
      </c>
      <c r="H89" s="12">
        <v>116.32</v>
      </c>
      <c r="I89" s="13">
        <f t="shared" si="0"/>
        <v>-6.7948717948717985E-2</v>
      </c>
      <c r="J89" s="28">
        <f t="shared" si="2"/>
        <v>-8.2406463076705586E-5</v>
      </c>
    </row>
    <row r="90" spans="1:10" ht="15" x14ac:dyDescent="0.25">
      <c r="A90" s="14">
        <v>90</v>
      </c>
      <c r="B90" s="15" t="s">
        <v>156</v>
      </c>
      <c r="C90" s="16" t="s">
        <v>157</v>
      </c>
      <c r="D90" s="17">
        <v>44287</v>
      </c>
      <c r="E90" s="18">
        <v>661.75</v>
      </c>
      <c r="F90" s="12">
        <f ca="1">IFERROR(__xludf.DUMMYFUNCTION("GOOGLEFINANCE(C90)"),932.57)</f>
        <v>932.57</v>
      </c>
      <c r="H90" s="12">
        <v>932.57</v>
      </c>
      <c r="I90" s="13">
        <f t="shared" si="0"/>
        <v>0.4092482055156782</v>
      </c>
      <c r="J90" s="28">
        <f t="shared" si="2"/>
        <v>2.6317592370794104E-3</v>
      </c>
    </row>
    <row r="91" spans="1:10" ht="15" x14ac:dyDescent="0.25">
      <c r="A91" s="14">
        <v>91</v>
      </c>
      <c r="B91" s="15" t="s">
        <v>158</v>
      </c>
      <c r="C91" s="16" t="s">
        <v>159</v>
      </c>
      <c r="D91" s="17">
        <v>44287</v>
      </c>
      <c r="E91" s="18">
        <v>49.3</v>
      </c>
      <c r="F91" s="12">
        <f ca="1">IFERROR(__xludf.DUMMYFUNCTION("GOOGLEFINANCE(C91)"),23.78)</f>
        <v>23.78</v>
      </c>
      <c r="H91" s="12">
        <v>23.78</v>
      </c>
      <c r="I91" s="13">
        <f t="shared" si="0"/>
        <v>-0.51764705882352935</v>
      </c>
      <c r="J91" s="28">
        <f t="shared" si="2"/>
        <v>-2.479968086931044E-4</v>
      </c>
    </row>
    <row r="92" spans="1:10" ht="15" x14ac:dyDescent="0.25">
      <c r="A92" s="14">
        <v>92</v>
      </c>
      <c r="B92" s="15" t="s">
        <v>160</v>
      </c>
      <c r="C92" s="16" t="s">
        <v>161</v>
      </c>
      <c r="D92" s="17">
        <v>44287</v>
      </c>
      <c r="E92" s="18">
        <v>92.41</v>
      </c>
      <c r="F92" s="12">
        <f ca="1">IFERROR(__xludf.DUMMYFUNCTION("GOOGLEFINANCE(C92)"),83)</f>
        <v>83</v>
      </c>
      <c r="H92" s="12">
        <v>83</v>
      </c>
      <c r="I92" s="13">
        <f t="shared" si="0"/>
        <v>-0.10182880640623306</v>
      </c>
      <c r="J92" s="28">
        <f t="shared" si="2"/>
        <v>-9.1443964333938547E-5</v>
      </c>
    </row>
    <row r="93" spans="1:10" ht="15" x14ac:dyDescent="0.25">
      <c r="A93" s="14">
        <v>93</v>
      </c>
      <c r="B93" s="15" t="s">
        <v>94</v>
      </c>
      <c r="C93" s="16" t="s">
        <v>95</v>
      </c>
      <c r="D93" s="17">
        <v>44287</v>
      </c>
      <c r="E93" s="18">
        <v>23.69</v>
      </c>
      <c r="F93" s="12">
        <f ca="1">IFERROR(__xludf.DUMMYFUNCTION("GOOGLEFINANCE(C93)"),23.96)</f>
        <v>23.96</v>
      </c>
      <c r="H93" s="12">
        <v>23.96</v>
      </c>
      <c r="I93" s="13">
        <f t="shared" si="0"/>
        <v>1.1397214014352029E-2</v>
      </c>
      <c r="J93" s="28">
        <f t="shared" si="2"/>
        <v>2.623790687583781E-6</v>
      </c>
    </row>
    <row r="94" spans="1:10" ht="15" x14ac:dyDescent="0.25">
      <c r="A94" s="14">
        <v>94</v>
      </c>
      <c r="B94" s="15" t="s">
        <v>98</v>
      </c>
      <c r="C94" s="16" t="s">
        <v>99</v>
      </c>
      <c r="D94" s="17">
        <v>44287</v>
      </c>
      <c r="E94" s="18">
        <v>232.74</v>
      </c>
      <c r="F94" s="12">
        <f ca="1">IFERROR(__xludf.DUMMYFUNCTION("GOOGLEFINANCE(C94)"),201.37)</f>
        <v>201.37</v>
      </c>
      <c r="H94" s="12">
        <v>201.37</v>
      </c>
      <c r="I94" s="13">
        <f t="shared" si="0"/>
        <v>-0.13478559766262785</v>
      </c>
      <c r="J94" s="28">
        <f t="shared" si="2"/>
        <v>-3.0484560692408649E-4</v>
      </c>
    </row>
    <row r="95" spans="1:10" ht="15" x14ac:dyDescent="0.25">
      <c r="A95" s="14">
        <v>95</v>
      </c>
      <c r="B95" s="15" t="s">
        <v>162</v>
      </c>
      <c r="C95" s="16" t="s">
        <v>163</v>
      </c>
      <c r="D95" s="17">
        <v>44287</v>
      </c>
      <c r="E95" s="18">
        <v>37.29</v>
      </c>
      <c r="F95" s="12">
        <f ca="1">IFERROR(__xludf.DUMMYFUNCTION("GOOGLEFINANCE(C95)"),34.58)</f>
        <v>34.58</v>
      </c>
      <c r="H95" s="12">
        <v>34.58</v>
      </c>
      <c r="I95" s="13">
        <f t="shared" si="0"/>
        <v>-7.2673639045320482E-2</v>
      </c>
      <c r="J95" s="28">
        <f t="shared" si="2"/>
        <v>-2.6335084308711333E-5</v>
      </c>
    </row>
    <row r="96" spans="1:10" ht="15" x14ac:dyDescent="0.25">
      <c r="A96" s="14">
        <v>96</v>
      </c>
      <c r="B96" s="15" t="s">
        <v>164</v>
      </c>
      <c r="C96" s="16" t="s">
        <v>165</v>
      </c>
      <c r="D96" s="17">
        <v>44287</v>
      </c>
      <c r="E96" s="18">
        <v>9.36</v>
      </c>
      <c r="F96" s="12">
        <f ca="1">IFERROR(__xludf.DUMMYFUNCTION("GOOGLEFINANCE(C96)"),29.12)</f>
        <v>29.12</v>
      </c>
      <c r="H96" s="12">
        <v>29.12</v>
      </c>
      <c r="I96" s="13">
        <f t="shared" si="0"/>
        <v>2.1111111111111116</v>
      </c>
      <c r="J96" s="28">
        <f t="shared" si="2"/>
        <v>1.920226073579837E-4</v>
      </c>
    </row>
    <row r="97" spans="1:10" ht="15" x14ac:dyDescent="0.25">
      <c r="A97" s="14">
        <v>97</v>
      </c>
      <c r="B97" s="15" t="s">
        <v>130</v>
      </c>
      <c r="C97" s="16" t="s">
        <v>131</v>
      </c>
      <c r="D97" s="17">
        <v>44287</v>
      </c>
      <c r="E97" s="18">
        <v>141.52000000000001</v>
      </c>
      <c r="F97" s="12">
        <f ca="1">IFERROR(__xludf.DUMMYFUNCTION("GOOGLEFINANCE(C97)"),146.15)</f>
        <v>146.15</v>
      </c>
      <c r="H97" s="19">
        <v>146.15</v>
      </c>
      <c r="I97" s="13">
        <f t="shared" si="0"/>
        <v>3.2716223855285435E-2</v>
      </c>
      <c r="J97" s="28">
        <f t="shared" si="2"/>
        <v>4.4993151420418197E-5</v>
      </c>
    </row>
    <row r="98" spans="1:10" ht="15" x14ac:dyDescent="0.25">
      <c r="A98" s="14">
        <v>98</v>
      </c>
      <c r="B98" s="15" t="s">
        <v>166</v>
      </c>
      <c r="C98" s="16" t="s">
        <v>167</v>
      </c>
      <c r="D98" s="17">
        <v>44286</v>
      </c>
      <c r="E98" s="18">
        <v>129.63999999999999</v>
      </c>
      <c r="F98" s="12">
        <f ca="1">IFERROR(__xludf.DUMMYFUNCTION("GOOGLEFINANCE(C98)"),62.46)</f>
        <v>62.46</v>
      </c>
      <c r="H98" s="12">
        <v>62.46</v>
      </c>
      <c r="I98" s="13">
        <f t="shared" si="0"/>
        <v>-0.51820425794507852</v>
      </c>
      <c r="J98" s="28">
        <f t="shared" si="2"/>
        <v>-6.5283799404399487E-4</v>
      </c>
    </row>
    <row r="99" spans="1:10" ht="15" x14ac:dyDescent="0.25">
      <c r="A99" s="14">
        <v>99</v>
      </c>
      <c r="B99" s="15" t="s">
        <v>146</v>
      </c>
      <c r="C99" s="16" t="s">
        <v>147</v>
      </c>
      <c r="D99" s="17">
        <v>44286</v>
      </c>
      <c r="E99" s="18">
        <v>118.28</v>
      </c>
      <c r="F99" s="12">
        <f ca="1">IFERROR(__xludf.DUMMYFUNCTION("GOOGLEFINANCE(C99)"),116.32)</f>
        <v>116.32</v>
      </c>
      <c r="H99" s="12">
        <v>116.32</v>
      </c>
      <c r="I99" s="13">
        <f t="shared" si="0"/>
        <v>-1.6570848833277037E-2</v>
      </c>
      <c r="J99" s="28">
        <f t="shared" si="2"/>
        <v>-1.9046776843200889E-5</v>
      </c>
    </row>
    <row r="100" spans="1:10" ht="15" x14ac:dyDescent="0.25">
      <c r="A100" s="14">
        <v>100</v>
      </c>
      <c r="B100" s="15" t="s">
        <v>168</v>
      </c>
      <c r="C100" s="16" t="s">
        <v>169</v>
      </c>
      <c r="D100" s="17">
        <v>44286</v>
      </c>
      <c r="E100" s="18">
        <v>177.08</v>
      </c>
      <c r="F100" s="12">
        <f ca="1">IFERROR(__xludf.DUMMYFUNCTION("GOOGLEFINANCE(C100)"),226.65)</f>
        <v>226.65</v>
      </c>
      <c r="H100" s="12">
        <v>226.65</v>
      </c>
      <c r="I100" s="13">
        <f t="shared" si="0"/>
        <v>0.27992997515247342</v>
      </c>
      <c r="J100" s="28">
        <f t="shared" si="2"/>
        <v>4.817085347538082E-4</v>
      </c>
    </row>
    <row r="101" spans="1:10" ht="15" x14ac:dyDescent="0.25">
      <c r="A101" s="14">
        <v>101</v>
      </c>
      <c r="B101" s="15" t="s">
        <v>170</v>
      </c>
      <c r="C101" s="16" t="s">
        <v>171</v>
      </c>
      <c r="D101" s="17">
        <v>44286</v>
      </c>
      <c r="E101" s="18">
        <v>10.42</v>
      </c>
      <c r="F101" s="20">
        <v>3.5001000000000002</v>
      </c>
      <c r="G101" s="21" t="s">
        <v>172</v>
      </c>
      <c r="H101" s="22">
        <v>3.5001000000000002</v>
      </c>
      <c r="I101" s="13">
        <f t="shared" si="0"/>
        <v>-0.6640978886756238</v>
      </c>
      <c r="J101" s="28">
        <f t="shared" si="2"/>
        <v>-6.724581177411494E-5</v>
      </c>
    </row>
    <row r="102" spans="1:10" ht="15" x14ac:dyDescent="0.25">
      <c r="A102" s="14">
        <v>102</v>
      </c>
      <c r="B102" s="15" t="s">
        <v>173</v>
      </c>
      <c r="C102" s="16" t="s">
        <v>174</v>
      </c>
      <c r="D102" s="17">
        <v>44286</v>
      </c>
      <c r="E102" s="18">
        <v>66.72</v>
      </c>
      <c r="F102" s="12">
        <f ca="1">IFERROR(__xludf.DUMMYFUNCTION("GOOGLEFINANCE(C102)"),57.36)</f>
        <v>57.36</v>
      </c>
      <c r="H102" s="12">
        <v>57.36</v>
      </c>
      <c r="I102" s="13">
        <f t="shared" si="0"/>
        <v>-0.14028776978417265</v>
      </c>
      <c r="J102" s="28">
        <f t="shared" si="2"/>
        <v>-9.0958077169571208E-5</v>
      </c>
    </row>
    <row r="103" spans="1:10" ht="15" x14ac:dyDescent="0.25">
      <c r="A103" s="14">
        <v>103</v>
      </c>
      <c r="B103" s="15" t="s">
        <v>175</v>
      </c>
      <c r="C103" s="16" t="s">
        <v>176</v>
      </c>
      <c r="D103" s="17">
        <v>44286</v>
      </c>
      <c r="E103" s="18">
        <v>59.07</v>
      </c>
      <c r="F103" s="12">
        <f ca="1">IFERROR(__xludf.DUMMYFUNCTION("GOOGLEFINANCE(C103)"),57.36)</f>
        <v>57.36</v>
      </c>
      <c r="H103" s="12">
        <v>57.36</v>
      </c>
      <c r="I103" s="13">
        <f t="shared" si="0"/>
        <v>-2.8948704926358572E-2</v>
      </c>
      <c r="J103" s="28">
        <f t="shared" si="2"/>
        <v>-1.661734102136398E-5</v>
      </c>
    </row>
    <row r="104" spans="1:10" ht="15" x14ac:dyDescent="0.25">
      <c r="A104" s="14">
        <v>104</v>
      </c>
      <c r="B104" s="15" t="s">
        <v>177</v>
      </c>
      <c r="C104" s="16" t="s">
        <v>178</v>
      </c>
      <c r="D104" s="17">
        <v>44286</v>
      </c>
      <c r="E104" s="18">
        <v>341.31</v>
      </c>
      <c r="F104" s="12">
        <f ca="1">IFERROR(__xludf.DUMMYFUNCTION("GOOGLEFINANCE(C104)"),438.51)</f>
        <v>438.51</v>
      </c>
      <c r="H104" s="12">
        <v>438.51</v>
      </c>
      <c r="I104" s="13">
        <f t="shared" si="0"/>
        <v>0.28478509273094837</v>
      </c>
      <c r="J104" s="28">
        <f t="shared" si="2"/>
        <v>9.4456464753016258E-4</v>
      </c>
    </row>
    <row r="105" spans="1:10" ht="15" x14ac:dyDescent="0.25">
      <c r="A105" s="14">
        <v>105</v>
      </c>
      <c r="B105" s="15" t="s">
        <v>179</v>
      </c>
      <c r="C105" s="16" t="s">
        <v>180</v>
      </c>
      <c r="D105" s="17">
        <v>44286</v>
      </c>
      <c r="E105" s="18">
        <v>20.11</v>
      </c>
      <c r="F105" s="12">
        <f ca="1">IFERROR(__xludf.DUMMYFUNCTION("GOOGLEFINANCE(C105)"),20.59)</f>
        <v>20.59</v>
      </c>
      <c r="H105" s="12">
        <v>20.59</v>
      </c>
      <c r="I105" s="13">
        <f t="shared" si="0"/>
        <v>2.3868722028841393E-2</v>
      </c>
      <c r="J105" s="28">
        <f t="shared" si="2"/>
        <v>4.664516777926733E-6</v>
      </c>
    </row>
    <row r="106" spans="1:10" ht="15" x14ac:dyDescent="0.25">
      <c r="A106" s="14">
        <v>106</v>
      </c>
      <c r="B106" s="15" t="s">
        <v>52</v>
      </c>
      <c r="C106" s="16" t="s">
        <v>53</v>
      </c>
      <c r="D106" s="17">
        <v>44286</v>
      </c>
      <c r="E106" s="18">
        <v>122.15</v>
      </c>
      <c r="F106" s="12">
        <f ca="1">IFERROR(__xludf.DUMMYFUNCTION("GOOGLEFINANCE(C106)"),171.14)</f>
        <v>171.14</v>
      </c>
      <c r="H106" s="12">
        <v>171.14</v>
      </c>
      <c r="I106" s="13">
        <f t="shared" si="0"/>
        <v>0.40106426524764616</v>
      </c>
      <c r="J106" s="28">
        <f t="shared" si="2"/>
        <v>4.7607224364714658E-4</v>
      </c>
    </row>
    <row r="107" spans="1:10" ht="15" x14ac:dyDescent="0.25">
      <c r="A107" s="14">
        <v>107</v>
      </c>
      <c r="B107" s="15" t="s">
        <v>166</v>
      </c>
      <c r="C107" s="16" t="s">
        <v>167</v>
      </c>
      <c r="D107" s="17">
        <v>44285</v>
      </c>
      <c r="E107" s="18">
        <v>123.76</v>
      </c>
      <c r="F107" s="12">
        <f ca="1">IFERROR(__xludf.DUMMYFUNCTION("GOOGLEFINANCE(C107)"),62.46)</f>
        <v>62.46</v>
      </c>
      <c r="H107" s="12">
        <v>62.46</v>
      </c>
      <c r="I107" s="13">
        <f t="shared" si="0"/>
        <v>-0.49531351001939239</v>
      </c>
      <c r="J107" s="28">
        <f t="shared" si="2"/>
        <v>-5.956976635143928E-4</v>
      </c>
    </row>
    <row r="108" spans="1:10" ht="15" x14ac:dyDescent="0.25">
      <c r="A108" s="14">
        <v>108</v>
      </c>
      <c r="B108" s="15" t="s">
        <v>100</v>
      </c>
      <c r="C108" s="16" t="s">
        <v>101</v>
      </c>
      <c r="D108" s="17">
        <v>44285</v>
      </c>
      <c r="E108" s="18">
        <v>184</v>
      </c>
      <c r="F108" s="12">
        <f ca="1">IFERROR(__xludf.DUMMYFUNCTION("GOOGLEFINANCE(C108)"),169.44)</f>
        <v>169.44</v>
      </c>
      <c r="H108" s="12">
        <v>169.44</v>
      </c>
      <c r="I108" s="13">
        <f t="shared" si="0"/>
        <v>-7.9130434782608713E-2</v>
      </c>
      <c r="J108" s="28">
        <f t="shared" si="2"/>
        <v>-1.4149034226377749E-4</v>
      </c>
    </row>
    <row r="109" spans="1:10" ht="15" x14ac:dyDescent="0.25">
      <c r="A109" s="14">
        <v>109</v>
      </c>
      <c r="B109" s="15" t="s">
        <v>181</v>
      </c>
      <c r="C109" s="16" t="s">
        <v>182</v>
      </c>
      <c r="D109" s="17">
        <v>44285</v>
      </c>
      <c r="E109" s="18">
        <v>30.67</v>
      </c>
      <c r="F109" s="12">
        <f ca="1">IFERROR(__xludf.DUMMYFUNCTION("GOOGLEFINANCE(C109)"),40.27)</f>
        <v>40.270000000000003</v>
      </c>
      <c r="H109" s="12">
        <v>40.270000000000003</v>
      </c>
      <c r="I109" s="13">
        <f t="shared" si="0"/>
        <v>0.31300945549396808</v>
      </c>
      <c r="J109" s="28">
        <f t="shared" si="2"/>
        <v>9.3290335558534595E-5</v>
      </c>
    </row>
    <row r="110" spans="1:10" ht="15" x14ac:dyDescent="0.25">
      <c r="A110" s="14">
        <v>110</v>
      </c>
      <c r="B110" s="15" t="s">
        <v>168</v>
      </c>
      <c r="C110" s="16" t="s">
        <v>169</v>
      </c>
      <c r="D110" s="17">
        <v>44285</v>
      </c>
      <c r="E110" s="18">
        <v>177.05</v>
      </c>
      <c r="F110" s="12">
        <f ca="1">IFERROR(__xludf.DUMMYFUNCTION("GOOGLEFINANCE(C110)"),226.65)</f>
        <v>226.65</v>
      </c>
      <c r="H110" s="12">
        <v>226.65</v>
      </c>
      <c r="I110" s="13">
        <f t="shared" si="0"/>
        <v>0.28014685117198529</v>
      </c>
      <c r="J110" s="28">
        <f t="shared" si="2"/>
        <v>4.8200006705242867E-4</v>
      </c>
    </row>
    <row r="111" spans="1:10" ht="15" x14ac:dyDescent="0.25">
      <c r="A111" s="14">
        <v>111</v>
      </c>
      <c r="B111" s="15" t="s">
        <v>106</v>
      </c>
      <c r="C111" s="16" t="s">
        <v>107</v>
      </c>
      <c r="D111" s="17">
        <v>44285</v>
      </c>
      <c r="E111" s="18">
        <v>600</v>
      </c>
      <c r="F111" s="12">
        <f ca="1">IFERROR(__xludf.DUMMYFUNCTION("GOOGLEFINANCE(C111)"),552.82)</f>
        <v>552.82000000000005</v>
      </c>
      <c r="H111" s="12">
        <v>552.82000000000005</v>
      </c>
      <c r="I111" s="13">
        <f t="shared" si="0"/>
        <v>-7.863333333333325E-2</v>
      </c>
      <c r="J111" s="28">
        <f t="shared" si="2"/>
        <v>-4.5848312829704761E-4</v>
      </c>
    </row>
    <row r="112" spans="1:10" ht="15" x14ac:dyDescent="0.25">
      <c r="A112" s="14">
        <v>112</v>
      </c>
      <c r="B112" s="15" t="s">
        <v>183</v>
      </c>
      <c r="C112" s="16" t="s">
        <v>184</v>
      </c>
      <c r="D112" s="17">
        <v>44285</v>
      </c>
      <c r="E112" s="18">
        <v>80.39</v>
      </c>
      <c r="F112" s="12">
        <f ca="1">IFERROR(__xludf.DUMMYFUNCTION("GOOGLEFINANCE(C112)"),118)</f>
        <v>118</v>
      </c>
      <c r="H112" s="12">
        <v>118</v>
      </c>
      <c r="I112" s="13">
        <f t="shared" si="0"/>
        <v>0.46784425923622341</v>
      </c>
      <c r="J112" s="28">
        <f t="shared" si="2"/>
        <v>3.6548432503713389E-4</v>
      </c>
    </row>
    <row r="113" spans="1:10" ht="15" x14ac:dyDescent="0.25">
      <c r="A113" s="14">
        <v>113</v>
      </c>
      <c r="B113" s="15" t="s">
        <v>185</v>
      </c>
      <c r="C113" s="16" t="s">
        <v>186</v>
      </c>
      <c r="D113" s="17">
        <v>44285</v>
      </c>
      <c r="E113" s="18">
        <v>37.92</v>
      </c>
      <c r="F113" s="12">
        <f ca="1">IFERROR(__xludf.DUMMYFUNCTION("GOOGLEFINANCE(C113)"),38.74)</f>
        <v>38.74</v>
      </c>
      <c r="H113" s="12">
        <v>38.74</v>
      </c>
      <c r="I113" s="13">
        <f t="shared" si="0"/>
        <v>2.1624472573839669E-2</v>
      </c>
      <c r="J113" s="28">
        <f t="shared" si="2"/>
        <v>7.9685494956248313E-6</v>
      </c>
    </row>
    <row r="114" spans="1:10" ht="15" x14ac:dyDescent="0.25">
      <c r="A114" s="14">
        <v>114</v>
      </c>
      <c r="B114" s="15" t="s">
        <v>187</v>
      </c>
      <c r="C114" s="16" t="s">
        <v>188</v>
      </c>
      <c r="D114" s="17">
        <v>44285</v>
      </c>
      <c r="E114" s="18">
        <v>21.12</v>
      </c>
      <c r="F114" s="12">
        <f ca="1">IFERROR(__xludf.DUMMYFUNCTION("GOOGLEFINANCE(C114)"),17.68)</f>
        <v>17.68</v>
      </c>
      <c r="H114" s="12">
        <v>17.68</v>
      </c>
      <c r="I114" s="13">
        <f t="shared" si="0"/>
        <v>-0.16287878787878793</v>
      </c>
      <c r="J114" s="28">
        <f t="shared" si="2"/>
        <v>-3.3429036908474908E-5</v>
      </c>
    </row>
    <row r="115" spans="1:10" ht="15" x14ac:dyDescent="0.25">
      <c r="A115" s="14">
        <v>115</v>
      </c>
      <c r="B115" s="15" t="s">
        <v>189</v>
      </c>
      <c r="C115" s="16" t="s">
        <v>190</v>
      </c>
      <c r="D115" s="17">
        <v>44285</v>
      </c>
      <c r="E115" s="18">
        <v>16.57</v>
      </c>
      <c r="F115" s="12">
        <f ca="1">IFERROR(__xludf.DUMMYFUNCTION("GOOGLEFINANCE(C115)"),24.55)</f>
        <v>24.55</v>
      </c>
      <c r="H115" s="12">
        <v>24.55</v>
      </c>
      <c r="I115" s="13">
        <f t="shared" si="0"/>
        <v>0.48159324079662041</v>
      </c>
      <c r="J115" s="28">
        <f t="shared" si="2"/>
        <v>7.754759143303187E-5</v>
      </c>
    </row>
    <row r="116" spans="1:10" ht="15" x14ac:dyDescent="0.25">
      <c r="A116" s="14">
        <v>116</v>
      </c>
      <c r="B116" s="15" t="s">
        <v>114</v>
      </c>
      <c r="C116" s="16" t="s">
        <v>115</v>
      </c>
      <c r="D116" s="17">
        <v>44285</v>
      </c>
      <c r="E116" s="18">
        <v>190.02</v>
      </c>
      <c r="F116" s="12">
        <f ca="1">IFERROR(__xludf.DUMMYFUNCTION("GOOGLEFINANCE(C116)"),248.09)</f>
        <v>248.09</v>
      </c>
      <c r="H116" s="12">
        <v>248.09</v>
      </c>
      <c r="I116" s="13">
        <f t="shared" si="0"/>
        <v>0.30559941058835904</v>
      </c>
      <c r="J116" s="28">
        <f t="shared" si="2"/>
        <v>5.6430935269626058E-4</v>
      </c>
    </row>
    <row r="117" spans="1:10" ht="15" x14ac:dyDescent="0.25">
      <c r="A117" s="14">
        <v>117</v>
      </c>
      <c r="B117" s="15" t="s">
        <v>191</v>
      </c>
      <c r="C117" s="16" t="s">
        <v>192</v>
      </c>
      <c r="D117" s="17">
        <v>44285</v>
      </c>
      <c r="E117" s="18">
        <v>399.71</v>
      </c>
      <c r="F117" s="12">
        <f ca="1">IFERROR(__xludf.DUMMYFUNCTION("GOOGLEFINANCE(C117)"),286.25)</f>
        <v>286.25</v>
      </c>
      <c r="H117" s="12">
        <v>286.25</v>
      </c>
      <c r="I117" s="13">
        <f t="shared" si="0"/>
        <v>-0.28385579545170248</v>
      </c>
      <c r="J117" s="28">
        <f t="shared" si="2"/>
        <v>-1.1025751533824304E-3</v>
      </c>
    </row>
    <row r="118" spans="1:10" ht="15" x14ac:dyDescent="0.25">
      <c r="A118" s="14">
        <v>118</v>
      </c>
      <c r="B118" s="15" t="s">
        <v>193</v>
      </c>
      <c r="C118" s="16" t="s">
        <v>194</v>
      </c>
      <c r="D118" s="17">
        <v>44285</v>
      </c>
      <c r="E118" s="18">
        <v>135.83000000000001</v>
      </c>
      <c r="F118" s="12">
        <f ca="1">IFERROR(__xludf.DUMMYFUNCTION("GOOGLEFINANCE(C118)"),137.54)</f>
        <v>137.54</v>
      </c>
      <c r="H118" s="12">
        <v>137.54</v>
      </c>
      <c r="I118" s="13">
        <f t="shared" si="0"/>
        <v>1.2589265994257377E-2</v>
      </c>
      <c r="J118" s="28">
        <f t="shared" si="2"/>
        <v>1.6617341021363777E-5</v>
      </c>
    </row>
    <row r="119" spans="1:10" ht="15" x14ac:dyDescent="0.25">
      <c r="A119" s="14">
        <v>119</v>
      </c>
      <c r="B119" s="15" t="s">
        <v>118</v>
      </c>
      <c r="C119" s="16" t="s">
        <v>119</v>
      </c>
      <c r="D119" s="17">
        <v>44285</v>
      </c>
      <c r="E119" s="18">
        <v>304.82</v>
      </c>
      <c r="F119" s="12">
        <f ca="1">IFERROR(__xludf.DUMMYFUNCTION("GOOGLEFINANCE(C119)"),387.98)</f>
        <v>387.98</v>
      </c>
      <c r="H119" s="12">
        <v>387.98</v>
      </c>
      <c r="I119" s="13">
        <f t="shared" si="0"/>
        <v>0.27281674430811637</v>
      </c>
      <c r="J119" s="28">
        <f t="shared" si="2"/>
        <v>8.0812753177580607E-4</v>
      </c>
    </row>
    <row r="120" spans="1:10" ht="15" x14ac:dyDescent="0.25">
      <c r="A120" s="14">
        <v>120</v>
      </c>
      <c r="B120" s="15" t="s">
        <v>195</v>
      </c>
      <c r="C120" s="16" t="s">
        <v>196</v>
      </c>
      <c r="D120" s="17">
        <v>44285</v>
      </c>
      <c r="E120" s="18">
        <v>254.5</v>
      </c>
      <c r="F120" s="12">
        <f ca="1">IFERROR(__xludf.DUMMYFUNCTION("GOOGLEFINANCE(C120)"),223.59)</f>
        <v>223.59</v>
      </c>
      <c r="H120" s="12">
        <v>223.59</v>
      </c>
      <c r="I120" s="13">
        <f t="shared" si="0"/>
        <v>-0.12145383104125736</v>
      </c>
      <c r="J120" s="28">
        <f t="shared" si="2"/>
        <v>-3.0037544501190663E-4</v>
      </c>
    </row>
    <row r="121" spans="1:10" ht="15" x14ac:dyDescent="0.25">
      <c r="A121" s="14">
        <v>121</v>
      </c>
      <c r="B121" s="15" t="s">
        <v>197</v>
      </c>
      <c r="C121" s="16" t="s">
        <v>198</v>
      </c>
      <c r="D121" s="17">
        <v>44285</v>
      </c>
      <c r="E121" s="18">
        <v>72.150000000000006</v>
      </c>
      <c r="F121" s="12">
        <f ca="1">IFERROR(__xludf.DUMMYFUNCTION("GOOGLEFINANCE(C121)"),83.74)</f>
        <v>83.74</v>
      </c>
      <c r="H121" s="12">
        <v>83.74</v>
      </c>
      <c r="I121" s="13">
        <f t="shared" si="0"/>
        <v>0.16063756063756046</v>
      </c>
      <c r="J121" s="28">
        <f t="shared" si="2"/>
        <v>1.126286447003557E-4</v>
      </c>
    </row>
    <row r="122" spans="1:10" ht="15" x14ac:dyDescent="0.25">
      <c r="A122" s="14">
        <v>122</v>
      </c>
      <c r="B122" s="15" t="s">
        <v>86</v>
      </c>
      <c r="C122" s="16" t="s">
        <v>87</v>
      </c>
      <c r="D122" s="17">
        <v>44285</v>
      </c>
      <c r="E122" s="18">
        <v>252.01</v>
      </c>
      <c r="F122" s="12">
        <f ca="1">IFERROR(__xludf.DUMMYFUNCTION("GOOGLEFINANCE(C122)"),192.63)</f>
        <v>192.63</v>
      </c>
      <c r="H122" s="12">
        <v>192.63</v>
      </c>
      <c r="I122" s="13">
        <f t="shared" si="0"/>
        <v>-0.23562557041387244</v>
      </c>
      <c r="J122" s="28">
        <f t="shared" si="2"/>
        <v>-5.770395964026857E-4</v>
      </c>
    </row>
    <row r="123" spans="1:10" ht="15" x14ac:dyDescent="0.25">
      <c r="A123" s="14">
        <v>123</v>
      </c>
      <c r="B123" s="15" t="s">
        <v>199</v>
      </c>
      <c r="C123" s="16" t="s">
        <v>200</v>
      </c>
      <c r="D123" s="17">
        <v>44285</v>
      </c>
      <c r="E123" s="18">
        <v>94.81</v>
      </c>
      <c r="F123" s="12">
        <f ca="1">IFERROR(__xludf.DUMMYFUNCTION("GOOGLEFINANCE(C123)"),113.95)</f>
        <v>113.95</v>
      </c>
      <c r="H123" s="12">
        <v>113.95</v>
      </c>
      <c r="I123" s="13">
        <f t="shared" si="0"/>
        <v>0.20187743908870373</v>
      </c>
      <c r="J123" s="28">
        <f t="shared" si="2"/>
        <v>1.8599760651982834E-4</v>
      </c>
    </row>
    <row r="124" spans="1:10" ht="15" x14ac:dyDescent="0.25">
      <c r="A124" s="14">
        <v>124</v>
      </c>
      <c r="B124" s="15" t="s">
        <v>201</v>
      </c>
      <c r="C124" s="16" t="s">
        <v>202</v>
      </c>
      <c r="D124" s="17">
        <v>44284</v>
      </c>
      <c r="E124" s="18">
        <v>9.25</v>
      </c>
      <c r="F124" s="12">
        <f ca="1">IFERROR(__xludf.DUMMYFUNCTION("GOOGLEFINANCE(C124)"),6.25)</f>
        <v>6.25</v>
      </c>
      <c r="H124" s="12">
        <v>6.25</v>
      </c>
      <c r="I124" s="13">
        <f t="shared" si="0"/>
        <v>-0.32432432432432434</v>
      </c>
      <c r="J124" s="28">
        <f t="shared" si="2"/>
        <v>-2.9153229862042056E-5</v>
      </c>
    </row>
    <row r="125" spans="1:10" ht="15" x14ac:dyDescent="0.25">
      <c r="A125" s="14">
        <v>125</v>
      </c>
      <c r="B125" s="15" t="s">
        <v>203</v>
      </c>
      <c r="C125" s="16" t="s">
        <v>204</v>
      </c>
      <c r="D125" s="17">
        <v>44284</v>
      </c>
      <c r="E125" s="18">
        <v>184.85</v>
      </c>
      <c r="F125" s="12">
        <f ca="1">IFERROR(__xludf.DUMMYFUNCTION("GOOGLEFINANCE(C125)"),148.76)</f>
        <v>148.76</v>
      </c>
      <c r="H125" s="12">
        <v>148.76</v>
      </c>
      <c r="I125" s="13">
        <f t="shared" si="0"/>
        <v>-0.1952393832837436</v>
      </c>
      <c r="J125" s="28">
        <f t="shared" si="2"/>
        <v>-3.5071335524036599E-4</v>
      </c>
    </row>
    <row r="126" spans="1:10" ht="15" x14ac:dyDescent="0.25">
      <c r="A126" s="14">
        <v>126</v>
      </c>
      <c r="B126" s="15" t="s">
        <v>86</v>
      </c>
      <c r="C126" s="16" t="s">
        <v>87</v>
      </c>
      <c r="D126" s="17">
        <v>44284</v>
      </c>
      <c r="E126" s="18">
        <v>250.52</v>
      </c>
      <c r="F126" s="12">
        <f ca="1">IFERROR(__xludf.DUMMYFUNCTION("GOOGLEFINANCE(C126)"),192.63)</f>
        <v>192.63</v>
      </c>
      <c r="H126" s="12">
        <v>192.63</v>
      </c>
      <c r="I126" s="13">
        <f t="shared" si="0"/>
        <v>-0.23107935494172127</v>
      </c>
      <c r="J126" s="28">
        <f t="shared" si="2"/>
        <v>-5.6256015890453833E-4</v>
      </c>
    </row>
    <row r="127" spans="1:10" ht="15" x14ac:dyDescent="0.25">
      <c r="A127" s="14">
        <v>127</v>
      </c>
      <c r="B127" s="15" t="s">
        <v>205</v>
      </c>
      <c r="C127" s="16" t="s">
        <v>206</v>
      </c>
      <c r="D127" s="17">
        <v>44280</v>
      </c>
      <c r="E127" s="18">
        <v>38.39</v>
      </c>
      <c r="F127" s="12">
        <f ca="1">IFERROR(__xludf.DUMMYFUNCTION("GOOGLEFINANCE(C127)"),35.09)</f>
        <v>35.090000000000003</v>
      </c>
      <c r="H127" s="12">
        <v>35.090000000000003</v>
      </c>
      <c r="I127" s="13">
        <f t="shared" si="0"/>
        <v>-8.595988538681941E-2</v>
      </c>
      <c r="J127" s="28">
        <f t="shared" si="2"/>
        <v>-3.2068552848246232E-5</v>
      </c>
    </row>
    <row r="128" spans="1:10" ht="15" x14ac:dyDescent="0.25">
      <c r="A128" s="14">
        <v>128</v>
      </c>
      <c r="B128" s="15" t="s">
        <v>106</v>
      </c>
      <c r="C128" s="16" t="s">
        <v>107</v>
      </c>
      <c r="D128" s="17">
        <v>44280</v>
      </c>
      <c r="E128" s="18">
        <v>529.08000000000004</v>
      </c>
      <c r="F128" s="12">
        <f ca="1">IFERROR(__xludf.DUMMYFUNCTION("GOOGLEFINANCE(C128)"),552.82)</f>
        <v>552.82000000000005</v>
      </c>
      <c r="H128" s="12">
        <v>552.82000000000005</v>
      </c>
      <c r="I128" s="13">
        <f t="shared" si="0"/>
        <v>4.4870340969229622E-2</v>
      </c>
      <c r="J128" s="28">
        <f t="shared" si="2"/>
        <v>2.3069922564162627E-4</v>
      </c>
    </row>
    <row r="129" spans="1:10" ht="15" x14ac:dyDescent="0.25">
      <c r="A129" s="14">
        <v>129</v>
      </c>
      <c r="B129" s="15" t="s">
        <v>183</v>
      </c>
      <c r="C129" s="16" t="s">
        <v>184</v>
      </c>
      <c r="D129" s="17">
        <v>44280</v>
      </c>
      <c r="E129" s="18">
        <v>72.819999999999993</v>
      </c>
      <c r="F129" s="12">
        <f ca="1">IFERROR(__xludf.DUMMYFUNCTION("GOOGLEFINANCE(C129)"),118)</f>
        <v>118</v>
      </c>
      <c r="H129" s="12">
        <v>118</v>
      </c>
      <c r="I129" s="13">
        <f t="shared" si="0"/>
        <v>0.62043394671793484</v>
      </c>
      <c r="J129" s="28">
        <f t="shared" si="2"/>
        <v>4.3904764172235345E-4</v>
      </c>
    </row>
    <row r="130" spans="1:10" ht="15" x14ac:dyDescent="0.25">
      <c r="A130" s="14">
        <v>130</v>
      </c>
      <c r="B130" s="15" t="s">
        <v>207</v>
      </c>
      <c r="C130" s="16" t="s">
        <v>208</v>
      </c>
      <c r="D130" s="17">
        <v>44280</v>
      </c>
      <c r="E130" s="18">
        <v>333.23</v>
      </c>
      <c r="F130" s="12">
        <f ca="1">IFERROR(__xludf.DUMMYFUNCTION("GOOGLEFINANCE(C130)"),436.35)</f>
        <v>436.35</v>
      </c>
      <c r="H130" s="12">
        <v>436.35</v>
      </c>
      <c r="I130" s="13">
        <f t="shared" si="0"/>
        <v>0.30945593133871502</v>
      </c>
      <c r="J130" s="28">
        <f t="shared" si="2"/>
        <v>1.002093687791259E-3</v>
      </c>
    </row>
    <row r="131" spans="1:10" ht="15" x14ac:dyDescent="0.25">
      <c r="A131" s="14">
        <v>131</v>
      </c>
      <c r="B131" s="15" t="s">
        <v>209</v>
      </c>
      <c r="C131" s="16" t="s">
        <v>210</v>
      </c>
      <c r="D131" s="17">
        <v>44280</v>
      </c>
      <c r="E131" s="18">
        <v>45.73</v>
      </c>
      <c r="F131" s="12">
        <f ca="1">IFERROR(__xludf.DUMMYFUNCTION("GOOGLEFINANCE(C131)"),13.48)</f>
        <v>13.48</v>
      </c>
      <c r="H131" s="12">
        <v>13.48</v>
      </c>
      <c r="I131" s="13">
        <f t="shared" si="0"/>
        <v>-0.70522632844959554</v>
      </c>
      <c r="J131" s="28">
        <f t="shared" ref="J131:J194" si="3">(E131/$E$609)*I131</f>
        <v>-3.1339722101695212E-4</v>
      </c>
    </row>
    <row r="132" spans="1:10" ht="15" x14ac:dyDescent="0.25">
      <c r="A132" s="14">
        <v>132</v>
      </c>
      <c r="B132" s="15" t="s">
        <v>211</v>
      </c>
      <c r="C132" s="16" t="s">
        <v>212</v>
      </c>
      <c r="D132" s="17">
        <v>44280</v>
      </c>
      <c r="E132" s="18">
        <v>11.69</v>
      </c>
      <c r="F132" s="12">
        <f ca="1">IFERROR(__xludf.DUMMYFUNCTION("GOOGLEFINANCE(C132)"),10.15)</f>
        <v>10.15</v>
      </c>
      <c r="H132" s="12">
        <v>10.15</v>
      </c>
      <c r="I132" s="13">
        <f t="shared" si="0"/>
        <v>-0.13173652694610771</v>
      </c>
      <c r="J132" s="28">
        <f t="shared" si="3"/>
        <v>-1.4965324662514913E-5</v>
      </c>
    </row>
    <row r="133" spans="1:10" ht="15" x14ac:dyDescent="0.25">
      <c r="A133" s="14">
        <v>133</v>
      </c>
      <c r="B133" s="15" t="s">
        <v>213</v>
      </c>
      <c r="C133" s="16" t="s">
        <v>214</v>
      </c>
      <c r="D133" s="17">
        <v>44280</v>
      </c>
      <c r="E133" s="18">
        <v>119.05</v>
      </c>
      <c r="F133" s="12">
        <f ca="1">IFERROR(__xludf.DUMMYFUNCTION("GOOGLEFINANCE(C133)"),137.11)</f>
        <v>137.11000000000001</v>
      </c>
      <c r="H133" s="12">
        <v>137.11000000000001</v>
      </c>
      <c r="I133" s="13">
        <f t="shared" si="0"/>
        <v>0.15170096598068053</v>
      </c>
      <c r="J133" s="28">
        <f t="shared" si="3"/>
        <v>1.7550244376949334E-4</v>
      </c>
    </row>
    <row r="134" spans="1:10" ht="15" x14ac:dyDescent="0.25">
      <c r="A134" s="14">
        <v>134</v>
      </c>
      <c r="B134" s="15" t="s">
        <v>215</v>
      </c>
      <c r="C134" s="16" t="s">
        <v>216</v>
      </c>
      <c r="D134" s="17">
        <v>44279</v>
      </c>
      <c r="E134" s="18">
        <v>8.1300000000000008</v>
      </c>
      <c r="F134" s="12">
        <f ca="1">IFERROR(__xludf.DUMMYFUNCTION("GOOGLEFINANCE(C134)"),6.51)</f>
        <v>6.51</v>
      </c>
      <c r="H134" s="12">
        <v>6.51</v>
      </c>
      <c r="I134" s="13">
        <f t="shared" si="0"/>
        <v>-0.1992619926199263</v>
      </c>
      <c r="J134" s="28">
        <f t="shared" si="3"/>
        <v>-1.5742744125502722E-5</v>
      </c>
    </row>
    <row r="135" spans="1:10" ht="15" x14ac:dyDescent="0.25">
      <c r="A135" s="14">
        <v>135</v>
      </c>
      <c r="B135" s="15" t="s">
        <v>217</v>
      </c>
      <c r="C135" s="16" t="s">
        <v>218</v>
      </c>
      <c r="D135" s="17">
        <v>44279</v>
      </c>
      <c r="E135" s="18">
        <v>212.9</v>
      </c>
      <c r="F135" s="12">
        <f ca="1">IFERROR(__xludf.DUMMYFUNCTION("GOOGLEFINANCE(C135)"),242.69)</f>
        <v>242.69</v>
      </c>
      <c r="H135" s="12">
        <v>242.69</v>
      </c>
      <c r="I135" s="13">
        <f t="shared" si="0"/>
        <v>0.13992484734617186</v>
      </c>
      <c r="J135" s="28">
        <f t="shared" si="3"/>
        <v>2.894915725300775E-4</v>
      </c>
    </row>
    <row r="136" spans="1:10" ht="15" x14ac:dyDescent="0.25">
      <c r="A136" s="14">
        <v>136</v>
      </c>
      <c r="B136" s="15" t="s">
        <v>183</v>
      </c>
      <c r="C136" s="16" t="s">
        <v>184</v>
      </c>
      <c r="D136" s="17">
        <v>44279</v>
      </c>
      <c r="E136" s="18">
        <v>69.47</v>
      </c>
      <c r="F136" s="12">
        <f ca="1">IFERROR(__xludf.DUMMYFUNCTION("GOOGLEFINANCE(C136)"),118)</f>
        <v>118</v>
      </c>
      <c r="H136" s="12">
        <v>118</v>
      </c>
      <c r="I136" s="13">
        <f t="shared" si="0"/>
        <v>0.69857492442781055</v>
      </c>
      <c r="J136" s="28">
        <f t="shared" si="3"/>
        <v>4.71602081734967E-4</v>
      </c>
    </row>
    <row r="137" spans="1:10" ht="15" x14ac:dyDescent="0.25">
      <c r="A137" s="14">
        <v>137</v>
      </c>
      <c r="B137" s="15" t="s">
        <v>219</v>
      </c>
      <c r="C137" s="16" t="s">
        <v>220</v>
      </c>
      <c r="D137" s="17">
        <v>44279</v>
      </c>
      <c r="E137" s="18">
        <v>6.36</v>
      </c>
      <c r="F137" s="12">
        <f ca="1">IFERROR(__xludf.DUMMYFUNCTION("GOOGLEFINANCE(C137)"),6.48)</f>
        <v>6.48</v>
      </c>
      <c r="H137" s="12">
        <v>6.48</v>
      </c>
      <c r="I137" s="13">
        <f t="shared" si="0"/>
        <v>1.8867924528301903E-2</v>
      </c>
      <c r="J137" s="28">
        <f t="shared" si="3"/>
        <v>1.1661291944816832E-6</v>
      </c>
    </row>
    <row r="138" spans="1:10" ht="15" x14ac:dyDescent="0.25">
      <c r="A138" s="14">
        <v>138</v>
      </c>
      <c r="B138" s="15" t="s">
        <v>102</v>
      </c>
      <c r="C138" s="16" t="s">
        <v>103</v>
      </c>
      <c r="D138" s="17">
        <v>44278</v>
      </c>
      <c r="E138" s="18">
        <v>133.94</v>
      </c>
      <c r="F138" s="12">
        <f ca="1">IFERROR(__xludf.DUMMYFUNCTION("GOOGLEFINANCE(C138)"),138.75)</f>
        <v>138.75</v>
      </c>
      <c r="H138" s="12">
        <v>138.75</v>
      </c>
      <c r="I138" s="13">
        <f t="shared" si="0"/>
        <v>3.5911602209944771E-2</v>
      </c>
      <c r="J138" s="28">
        <f t="shared" si="3"/>
        <v>4.6742345212140789E-5</v>
      </c>
    </row>
    <row r="139" spans="1:10" ht="15" x14ac:dyDescent="0.25">
      <c r="A139" s="14">
        <v>139</v>
      </c>
      <c r="B139" s="15" t="s">
        <v>221</v>
      </c>
      <c r="C139" s="16" t="s">
        <v>222</v>
      </c>
      <c r="D139" s="17">
        <v>44278</v>
      </c>
      <c r="E139" s="18">
        <v>2.36</v>
      </c>
      <c r="F139" s="12">
        <f ca="1">IFERROR(__xludf.DUMMYFUNCTION("GOOGLEFINANCE(C139)"),2.96)</f>
        <v>2.96</v>
      </c>
      <c r="H139" s="12">
        <v>2.96</v>
      </c>
      <c r="I139" s="13">
        <f t="shared" si="0"/>
        <v>0.25423728813559326</v>
      </c>
      <c r="J139" s="28">
        <f t="shared" si="3"/>
        <v>5.8306459724084122E-6</v>
      </c>
    </row>
    <row r="140" spans="1:10" ht="15" x14ac:dyDescent="0.25">
      <c r="A140" s="14">
        <v>140</v>
      </c>
      <c r="B140" s="15" t="s">
        <v>84</v>
      </c>
      <c r="C140" s="16" t="s">
        <v>85</v>
      </c>
      <c r="D140" s="17">
        <v>44278</v>
      </c>
      <c r="E140" s="18">
        <v>340.34</v>
      </c>
      <c r="F140" s="12">
        <f ca="1">IFERROR(__xludf.DUMMYFUNCTION("GOOGLEFINANCE(C140)"),547.61)</f>
        <v>547.61</v>
      </c>
      <c r="H140" s="12">
        <v>547.61</v>
      </c>
      <c r="I140" s="13">
        <f t="shared" si="0"/>
        <v>0.60900863842040331</v>
      </c>
      <c r="J140" s="28">
        <f t="shared" si="3"/>
        <v>2.0141966511684861E-3</v>
      </c>
    </row>
    <row r="141" spans="1:10" ht="15" x14ac:dyDescent="0.25">
      <c r="A141" s="14">
        <v>141</v>
      </c>
      <c r="B141" s="15" t="s">
        <v>223</v>
      </c>
      <c r="C141" s="16" t="s">
        <v>224</v>
      </c>
      <c r="D141" s="17">
        <v>44278</v>
      </c>
      <c r="E141" s="18">
        <v>7.68</v>
      </c>
      <c r="F141" s="12">
        <f ca="1">IFERROR(__xludf.DUMMYFUNCTION("GOOGLEFINANCE(C141)"),2.39)</f>
        <v>2.39</v>
      </c>
      <c r="H141" s="12">
        <v>2.39</v>
      </c>
      <c r="I141" s="13">
        <f t="shared" si="0"/>
        <v>-0.68880208333333326</v>
      </c>
      <c r="J141" s="28">
        <f t="shared" si="3"/>
        <v>-5.1406861990067482E-5</v>
      </c>
    </row>
    <row r="142" spans="1:10" ht="15" x14ac:dyDescent="0.25">
      <c r="A142" s="14">
        <v>142</v>
      </c>
      <c r="B142" s="15" t="s">
        <v>217</v>
      </c>
      <c r="C142" s="16" t="s">
        <v>218</v>
      </c>
      <c r="D142" s="17">
        <v>44277</v>
      </c>
      <c r="E142" s="18">
        <v>206.27</v>
      </c>
      <c r="F142" s="12">
        <f ca="1">IFERROR(__xludf.DUMMYFUNCTION("GOOGLEFINANCE(C142)"),242.69)</f>
        <v>242.69</v>
      </c>
      <c r="H142" s="12">
        <v>242.69</v>
      </c>
      <c r="I142" s="13">
        <f t="shared" si="0"/>
        <v>0.17656469675667807</v>
      </c>
      <c r="J142" s="28">
        <f t="shared" si="3"/>
        <v>3.5392021052519046E-4</v>
      </c>
    </row>
    <row r="143" spans="1:10" ht="15" x14ac:dyDescent="0.25">
      <c r="A143" s="14">
        <v>143</v>
      </c>
      <c r="B143" s="15" t="s">
        <v>36</v>
      </c>
      <c r="C143" s="16" t="s">
        <v>37</v>
      </c>
      <c r="D143" s="17">
        <v>44277</v>
      </c>
      <c r="E143" s="18">
        <v>70</v>
      </c>
      <c r="F143" s="12">
        <f ca="1">IFERROR(__xludf.DUMMYFUNCTION("GOOGLEFINANCE(C143)"),102.4)</f>
        <v>102.4</v>
      </c>
      <c r="H143" s="12">
        <v>102.4</v>
      </c>
      <c r="I143" s="13">
        <f t="shared" si="0"/>
        <v>0.46285714285714291</v>
      </c>
      <c r="J143" s="28">
        <f t="shared" si="3"/>
        <v>3.1485488251005423E-4</v>
      </c>
    </row>
    <row r="144" spans="1:10" ht="15" x14ac:dyDescent="0.25">
      <c r="A144" s="14">
        <v>144</v>
      </c>
      <c r="B144" s="15" t="s">
        <v>183</v>
      </c>
      <c r="C144" s="16" t="s">
        <v>184</v>
      </c>
      <c r="D144" s="17">
        <v>44277</v>
      </c>
      <c r="E144" s="18">
        <v>69.55</v>
      </c>
      <c r="F144" s="12">
        <f ca="1">IFERROR(__xludf.DUMMYFUNCTION("GOOGLEFINANCE(C144)"),118)</f>
        <v>118</v>
      </c>
      <c r="H144" s="12">
        <v>118</v>
      </c>
      <c r="I144" s="13">
        <f t="shared" si="0"/>
        <v>0.69662113587347241</v>
      </c>
      <c r="J144" s="28">
        <f t="shared" si="3"/>
        <v>4.7082466227197923E-4</v>
      </c>
    </row>
    <row r="145" spans="1:10" ht="15" x14ac:dyDescent="0.25">
      <c r="A145" s="14">
        <v>145</v>
      </c>
      <c r="B145" s="15" t="s">
        <v>225</v>
      </c>
      <c r="C145" s="16" t="s">
        <v>226</v>
      </c>
      <c r="D145" s="17">
        <v>44277</v>
      </c>
      <c r="E145" s="18">
        <v>47.67</v>
      </c>
      <c r="F145" s="12">
        <f ca="1">IFERROR(__xludf.DUMMYFUNCTION("GOOGLEFINANCE(C145)"),84.03)</f>
        <v>84.03</v>
      </c>
      <c r="H145" s="12">
        <v>84.03</v>
      </c>
      <c r="I145" s="13">
        <f t="shared" si="0"/>
        <v>0.76274386406544992</v>
      </c>
      <c r="J145" s="28">
        <f t="shared" si="3"/>
        <v>3.5333714592794975E-4</v>
      </c>
    </row>
    <row r="146" spans="1:10" ht="15" x14ac:dyDescent="0.25">
      <c r="A146" s="14">
        <v>146</v>
      </c>
      <c r="B146" s="15" t="s">
        <v>227</v>
      </c>
      <c r="C146" s="16" t="s">
        <v>228</v>
      </c>
      <c r="D146" s="17">
        <v>44277</v>
      </c>
      <c r="E146" s="18">
        <v>59.46</v>
      </c>
      <c r="F146" s="12">
        <f ca="1">IFERROR(__xludf.DUMMYFUNCTION("GOOGLEFINANCE(C146)"),39.66)</f>
        <v>39.659999999999997</v>
      </c>
      <c r="H146" s="12">
        <v>39.659999999999997</v>
      </c>
      <c r="I146" s="13">
        <f t="shared" si="0"/>
        <v>-0.33299697275479323</v>
      </c>
      <c r="J146" s="28">
        <f t="shared" si="3"/>
        <v>-1.9241131708947764E-4</v>
      </c>
    </row>
    <row r="147" spans="1:10" ht="15" x14ac:dyDescent="0.25">
      <c r="A147" s="14">
        <v>147</v>
      </c>
      <c r="B147" s="15" t="s">
        <v>191</v>
      </c>
      <c r="C147" s="16" t="s">
        <v>192</v>
      </c>
      <c r="D147" s="17">
        <v>44277</v>
      </c>
      <c r="E147" s="18">
        <v>383</v>
      </c>
      <c r="F147" s="12">
        <f ca="1">IFERROR(__xludf.DUMMYFUNCTION("GOOGLEFINANCE(C147)"),286.25)</f>
        <v>286.25</v>
      </c>
      <c r="H147" s="12">
        <v>286.25</v>
      </c>
      <c r="I147" s="13">
        <f t="shared" si="0"/>
        <v>-0.25261096605744127</v>
      </c>
      <c r="J147" s="28">
        <f t="shared" si="3"/>
        <v>-9.4019166305085635E-4</v>
      </c>
    </row>
    <row r="148" spans="1:10" ht="15" x14ac:dyDescent="0.25">
      <c r="A148" s="14">
        <v>148</v>
      </c>
      <c r="B148" s="15" t="s">
        <v>142</v>
      </c>
      <c r="C148" s="16" t="s">
        <v>143</v>
      </c>
      <c r="D148" s="17">
        <v>44277</v>
      </c>
      <c r="E148" s="18">
        <v>12.85</v>
      </c>
      <c r="F148" s="12">
        <f ca="1">IFERROR(__xludf.DUMMYFUNCTION("GOOGLEFINANCE(C148)"),19.77)</f>
        <v>19.77</v>
      </c>
      <c r="H148" s="12">
        <v>19.77</v>
      </c>
      <c r="I148" s="13">
        <f t="shared" si="0"/>
        <v>0.53852140077821009</v>
      </c>
      <c r="J148" s="28">
        <f t="shared" si="3"/>
        <v>6.724678354844367E-5</v>
      </c>
    </row>
    <row r="149" spans="1:10" ht="15" x14ac:dyDescent="0.25">
      <c r="A149" s="14">
        <v>149</v>
      </c>
      <c r="B149" s="15" t="s">
        <v>229</v>
      </c>
      <c r="C149" s="16" t="s">
        <v>230</v>
      </c>
      <c r="D149" s="17">
        <v>44277</v>
      </c>
      <c r="E149" s="18">
        <v>371.59</v>
      </c>
      <c r="F149" s="12">
        <f ca="1">IFERROR(__xludf.DUMMYFUNCTION("GOOGLEFINANCE(C149)"),347.03)</f>
        <v>347.03</v>
      </c>
      <c r="H149" s="12">
        <v>347.03</v>
      </c>
      <c r="I149" s="13">
        <f t="shared" si="0"/>
        <v>-6.6094351301165269E-2</v>
      </c>
      <c r="J149" s="28">
        <f t="shared" si="3"/>
        <v>-2.3866777513725096E-4</v>
      </c>
    </row>
    <row r="150" spans="1:10" ht="15" x14ac:dyDescent="0.25">
      <c r="A150" s="14">
        <v>150</v>
      </c>
      <c r="B150" s="15" t="s">
        <v>231</v>
      </c>
      <c r="C150" s="16" t="s">
        <v>232</v>
      </c>
      <c r="D150" s="17">
        <v>44277</v>
      </c>
      <c r="E150" s="18">
        <v>93.78</v>
      </c>
      <c r="F150" s="12">
        <f ca="1">IFERROR(__xludf.DUMMYFUNCTION("GOOGLEFINANCE(C150)"),35.72)</f>
        <v>35.72</v>
      </c>
      <c r="H150" s="12">
        <v>35.72</v>
      </c>
      <c r="I150" s="13">
        <f t="shared" si="0"/>
        <v>-0.6191085519300491</v>
      </c>
      <c r="J150" s="28">
        <f t="shared" si="3"/>
        <v>-5.6421217526338727E-4</v>
      </c>
    </row>
    <row r="151" spans="1:10" ht="15" x14ac:dyDescent="0.25">
      <c r="A151" s="14">
        <v>151</v>
      </c>
      <c r="B151" s="15" t="s">
        <v>233</v>
      </c>
      <c r="C151" s="16" t="s">
        <v>234</v>
      </c>
      <c r="D151" s="17">
        <v>44277</v>
      </c>
      <c r="E151" s="18">
        <v>133</v>
      </c>
      <c r="F151" s="12">
        <f ca="1">IFERROR(__xludf.DUMMYFUNCTION("GOOGLEFINANCE(C151)"),82.73)</f>
        <v>82.73</v>
      </c>
      <c r="H151" s="12">
        <v>82.73</v>
      </c>
      <c r="I151" s="13">
        <f t="shared" si="0"/>
        <v>-0.37796992481203007</v>
      </c>
      <c r="J151" s="28">
        <f t="shared" si="3"/>
        <v>-4.885109550549513E-4</v>
      </c>
    </row>
    <row r="152" spans="1:10" ht="15" x14ac:dyDescent="0.25">
      <c r="A152" s="14">
        <v>152</v>
      </c>
      <c r="B152" s="15" t="s">
        <v>235</v>
      </c>
      <c r="C152" s="16" t="s">
        <v>236</v>
      </c>
      <c r="D152" s="17">
        <v>44277</v>
      </c>
      <c r="E152" s="18">
        <v>263.48</v>
      </c>
      <c r="F152" s="12">
        <f ca="1">IFERROR(__xludf.DUMMYFUNCTION("GOOGLEFINANCE(C152)"),211.03)</f>
        <v>211.03</v>
      </c>
      <c r="H152" s="12">
        <v>211.03</v>
      </c>
      <c r="I152" s="13">
        <f t="shared" si="0"/>
        <v>-0.19906634279641724</v>
      </c>
      <c r="J152" s="28">
        <f t="shared" si="3"/>
        <v>-5.0969563542136885E-4</v>
      </c>
    </row>
    <row r="153" spans="1:10" ht="15" x14ac:dyDescent="0.25">
      <c r="A153" s="14">
        <v>153</v>
      </c>
      <c r="B153" s="15" t="s">
        <v>98</v>
      </c>
      <c r="C153" s="16" t="s">
        <v>99</v>
      </c>
      <c r="D153" s="17">
        <v>44277</v>
      </c>
      <c r="E153" s="18">
        <v>226.02</v>
      </c>
      <c r="F153" s="12">
        <f ca="1">IFERROR(__xludf.DUMMYFUNCTION("GOOGLEFINANCE(C153)"),201.37)</f>
        <v>201.37</v>
      </c>
      <c r="H153" s="12">
        <v>201.37</v>
      </c>
      <c r="I153" s="13">
        <f t="shared" si="0"/>
        <v>-0.10906114503141318</v>
      </c>
      <c r="J153" s="28">
        <f t="shared" si="3"/>
        <v>-2.395423720331123E-4</v>
      </c>
    </row>
    <row r="154" spans="1:10" ht="15" x14ac:dyDescent="0.25">
      <c r="A154" s="14">
        <v>154</v>
      </c>
      <c r="B154" s="15" t="s">
        <v>237</v>
      </c>
      <c r="C154" s="16" t="s">
        <v>238</v>
      </c>
      <c r="D154" s="17">
        <v>44277</v>
      </c>
      <c r="E154" s="18">
        <v>72.209999999999994</v>
      </c>
      <c r="F154" s="12">
        <f ca="1">IFERROR(__xludf.DUMMYFUNCTION("GOOGLEFINANCE(C154)"),124.88)</f>
        <v>124.88</v>
      </c>
      <c r="H154" s="12">
        <v>124.88</v>
      </c>
      <c r="I154" s="13">
        <f t="shared" si="0"/>
        <v>0.72940036006093345</v>
      </c>
      <c r="J154" s="28">
        <f t="shared" si="3"/>
        <v>5.1183353894458498E-4</v>
      </c>
    </row>
    <row r="155" spans="1:10" ht="15" x14ac:dyDescent="0.25">
      <c r="A155" s="14">
        <v>155</v>
      </c>
      <c r="B155" s="15" t="s">
        <v>86</v>
      </c>
      <c r="C155" s="16" t="s">
        <v>87</v>
      </c>
      <c r="D155" s="17">
        <v>44277</v>
      </c>
      <c r="E155" s="18">
        <v>251.23</v>
      </c>
      <c r="F155" s="12">
        <f ca="1">IFERROR(__xludf.DUMMYFUNCTION("GOOGLEFINANCE(C155)"),192.63)</f>
        <v>192.63</v>
      </c>
      <c r="H155" s="12">
        <v>192.63</v>
      </c>
      <c r="I155" s="13">
        <f t="shared" si="0"/>
        <v>-0.23325239820085181</v>
      </c>
      <c r="J155" s="28">
        <f t="shared" si="3"/>
        <v>-5.6945975663855479E-4</v>
      </c>
    </row>
    <row r="156" spans="1:10" ht="15" x14ac:dyDescent="0.25">
      <c r="A156" s="14">
        <v>156</v>
      </c>
      <c r="B156" s="15" t="s">
        <v>239</v>
      </c>
      <c r="C156" s="16" t="s">
        <v>240</v>
      </c>
      <c r="D156" s="17">
        <v>44277</v>
      </c>
      <c r="E156" s="18">
        <v>143.01</v>
      </c>
      <c r="F156" s="12">
        <f ca="1">IFERROR(__xludf.DUMMYFUNCTION("GOOGLEFINANCE(C156)"),112.39)</f>
        <v>112.39</v>
      </c>
      <c r="H156" s="12">
        <v>112.39</v>
      </c>
      <c r="I156" s="13">
        <f t="shared" si="0"/>
        <v>-0.2141109013355709</v>
      </c>
      <c r="J156" s="28">
        <f t="shared" si="3"/>
        <v>-2.9755729945857583E-4</v>
      </c>
    </row>
    <row r="157" spans="1:10" ht="15" x14ac:dyDescent="0.25">
      <c r="A157" s="14">
        <v>157</v>
      </c>
      <c r="B157" s="15" t="s">
        <v>241</v>
      </c>
      <c r="C157" s="16" t="s">
        <v>242</v>
      </c>
      <c r="D157" s="17">
        <v>44274</v>
      </c>
      <c r="E157" s="18">
        <v>26.56</v>
      </c>
      <c r="F157" s="12">
        <f ca="1">IFERROR(__xludf.DUMMYFUNCTION("GOOGLEFINANCE(C157)"),16.45)</f>
        <v>16.45</v>
      </c>
      <c r="H157" s="12">
        <v>16.45</v>
      </c>
      <c r="I157" s="13">
        <f t="shared" si="0"/>
        <v>-0.3806475903614458</v>
      </c>
      <c r="J157" s="28">
        <f t="shared" si="3"/>
        <v>-9.8246384635081727E-5</v>
      </c>
    </row>
    <row r="158" spans="1:10" ht="15" x14ac:dyDescent="0.25">
      <c r="A158" s="14">
        <v>158</v>
      </c>
      <c r="B158" s="15" t="s">
        <v>243</v>
      </c>
      <c r="C158" s="16" t="s">
        <v>244</v>
      </c>
      <c r="D158" s="17">
        <v>44274</v>
      </c>
      <c r="E158" s="18">
        <v>125.28</v>
      </c>
      <c r="F158" s="12">
        <f ca="1">IFERROR(__xludf.DUMMYFUNCTION("GOOGLEFINANCE(C158)"),139.18)</f>
        <v>139.18</v>
      </c>
      <c r="H158" s="12">
        <v>139.18</v>
      </c>
      <c r="I158" s="13">
        <f t="shared" si="0"/>
        <v>0.11095146871008944</v>
      </c>
      <c r="J158" s="28">
        <f t="shared" si="3"/>
        <v>1.3507663169412825E-4</v>
      </c>
    </row>
    <row r="159" spans="1:10" ht="15" x14ac:dyDescent="0.25">
      <c r="A159" s="14">
        <v>159</v>
      </c>
      <c r="B159" s="15" t="s">
        <v>10</v>
      </c>
      <c r="C159" s="16" t="s">
        <v>11</v>
      </c>
      <c r="D159" s="17">
        <v>44274</v>
      </c>
      <c r="E159" s="18">
        <v>355.8</v>
      </c>
      <c r="F159" s="12">
        <f ca="1">IFERROR(__xludf.DUMMYFUNCTION("GOOGLEFINANCE(C159)"),273.63)</f>
        <v>273.63</v>
      </c>
      <c r="H159" s="12">
        <v>273.63</v>
      </c>
      <c r="I159" s="13">
        <f t="shared" si="0"/>
        <v>-0.23094435075885333</v>
      </c>
      <c r="J159" s="28">
        <f t="shared" si="3"/>
        <v>-7.9850696592133211E-4</v>
      </c>
    </row>
    <row r="160" spans="1:10" ht="15" x14ac:dyDescent="0.25">
      <c r="A160" s="14">
        <v>160</v>
      </c>
      <c r="B160" s="15" t="s">
        <v>245</v>
      </c>
      <c r="C160" s="16" t="s">
        <v>246</v>
      </c>
      <c r="D160" s="17">
        <v>44274</v>
      </c>
      <c r="E160" s="18">
        <v>60.96</v>
      </c>
      <c r="F160" s="12">
        <f ca="1">IFERROR(__xludf.DUMMYFUNCTION("GOOGLEFINANCE(C160)"),83.7)</f>
        <v>83.7</v>
      </c>
      <c r="H160" s="12">
        <v>83.7</v>
      </c>
      <c r="I160" s="13">
        <f t="shared" si="0"/>
        <v>0.37303149606299213</v>
      </c>
      <c r="J160" s="28">
        <f t="shared" si="3"/>
        <v>2.2098148235427878E-4</v>
      </c>
    </row>
    <row r="161" spans="1:10" ht="15" x14ac:dyDescent="0.25">
      <c r="A161" s="14">
        <v>161</v>
      </c>
      <c r="B161" s="15" t="s">
        <v>106</v>
      </c>
      <c r="C161" s="16" t="s">
        <v>107</v>
      </c>
      <c r="D161" s="17">
        <v>44274</v>
      </c>
      <c r="E161" s="18">
        <v>515.61</v>
      </c>
      <c r="F161" s="12">
        <f ca="1">IFERROR(__xludf.DUMMYFUNCTION("GOOGLEFINANCE(C161)"),552.82)</f>
        <v>552.82000000000005</v>
      </c>
      <c r="H161" s="12">
        <v>552.82000000000005</v>
      </c>
      <c r="I161" s="13">
        <f t="shared" si="0"/>
        <v>7.2166947886968896E-2</v>
      </c>
      <c r="J161" s="28">
        <f t="shared" si="3"/>
        <v>3.6159722772219534E-4</v>
      </c>
    </row>
    <row r="162" spans="1:10" ht="15" x14ac:dyDescent="0.25">
      <c r="A162" s="14">
        <v>162</v>
      </c>
      <c r="B162" s="15" t="s">
        <v>74</v>
      </c>
      <c r="C162" s="16" t="s">
        <v>75</v>
      </c>
      <c r="D162" s="17">
        <v>44274</v>
      </c>
      <c r="E162" s="18">
        <v>513.83000000000004</v>
      </c>
      <c r="F162" s="12">
        <f ca="1">IFERROR(__xludf.DUMMYFUNCTION("GOOGLEFINANCE(C162)"),278.01)</f>
        <v>278.01</v>
      </c>
      <c r="H162" s="12">
        <v>278.01</v>
      </c>
      <c r="I162" s="13">
        <f t="shared" si="0"/>
        <v>-0.45894556565401012</v>
      </c>
      <c r="J162" s="28">
        <f t="shared" si="3"/>
        <v>-2.2916382220222529E-3</v>
      </c>
    </row>
    <row r="163" spans="1:10" ht="15" x14ac:dyDescent="0.25">
      <c r="A163" s="14">
        <v>163</v>
      </c>
      <c r="B163" s="15" t="s">
        <v>247</v>
      </c>
      <c r="C163" s="16" t="s">
        <v>248</v>
      </c>
      <c r="D163" s="17">
        <v>44274</v>
      </c>
      <c r="E163" s="18">
        <v>84.68</v>
      </c>
      <c r="F163" s="12">
        <f ca="1">IFERROR(__xludf.DUMMYFUNCTION("GOOGLEFINANCE(C163)"),105.14)</f>
        <v>105.14</v>
      </c>
      <c r="H163" s="12">
        <v>105.14</v>
      </c>
      <c r="I163" s="13">
        <f t="shared" si="0"/>
        <v>0.2416154936230514</v>
      </c>
      <c r="J163" s="28">
        <f t="shared" si="3"/>
        <v>1.9882502765912677E-4</v>
      </c>
    </row>
    <row r="164" spans="1:10" ht="15" x14ac:dyDescent="0.25">
      <c r="A164" s="14">
        <v>164</v>
      </c>
      <c r="B164" s="15" t="s">
        <v>209</v>
      </c>
      <c r="C164" s="16" t="s">
        <v>210</v>
      </c>
      <c r="D164" s="17">
        <v>44274</v>
      </c>
      <c r="E164" s="18">
        <v>54.78</v>
      </c>
      <c r="F164" s="12">
        <f ca="1">IFERROR(__xludf.DUMMYFUNCTION("GOOGLEFINANCE(C164)"),13.48)</f>
        <v>13.48</v>
      </c>
      <c r="H164" s="12">
        <v>13.48</v>
      </c>
      <c r="I164" s="13">
        <f t="shared" si="0"/>
        <v>-0.7539247900693683</v>
      </c>
      <c r="J164" s="28">
        <f t="shared" si="3"/>
        <v>-4.0134279776744559E-4</v>
      </c>
    </row>
    <row r="165" spans="1:10" ht="15" x14ac:dyDescent="0.25">
      <c r="A165" s="14">
        <v>165</v>
      </c>
      <c r="B165" s="15" t="s">
        <v>80</v>
      </c>
      <c r="C165" s="16" t="s">
        <v>81</v>
      </c>
      <c r="D165" s="17">
        <v>44274</v>
      </c>
      <c r="E165" s="18">
        <v>139.79</v>
      </c>
      <c r="F165" s="12">
        <f ca="1">IFERROR(__xludf.DUMMYFUNCTION("GOOGLEFINANCE(C165)"),139.83)</f>
        <v>139.83000000000001</v>
      </c>
      <c r="H165" s="12">
        <v>139.83000000000001</v>
      </c>
      <c r="I165" s="13">
        <f t="shared" si="0"/>
        <v>2.8614350096588075E-4</v>
      </c>
      <c r="J165" s="28">
        <f t="shared" si="3"/>
        <v>3.8870973149409297E-7</v>
      </c>
    </row>
    <row r="166" spans="1:10" ht="15" x14ac:dyDescent="0.25">
      <c r="A166" s="14">
        <v>166</v>
      </c>
      <c r="B166" s="15" t="s">
        <v>86</v>
      </c>
      <c r="C166" s="16" t="s">
        <v>87</v>
      </c>
      <c r="D166" s="17">
        <v>44274</v>
      </c>
      <c r="E166" s="18">
        <v>255.82</v>
      </c>
      <c r="F166" s="12">
        <f ca="1">IFERROR(__xludf.DUMMYFUNCTION("GOOGLEFINANCE(C166)"),192.63)</f>
        <v>192.63</v>
      </c>
      <c r="H166" s="12">
        <v>192.63</v>
      </c>
      <c r="I166" s="13">
        <f t="shared" si="0"/>
        <v>-0.24700961613634587</v>
      </c>
      <c r="J166" s="28">
        <f t="shared" si="3"/>
        <v>-6.1406419832747922E-4</v>
      </c>
    </row>
    <row r="167" spans="1:10" ht="15" x14ac:dyDescent="0.25">
      <c r="A167" s="14">
        <v>167</v>
      </c>
      <c r="B167" s="15" t="s">
        <v>100</v>
      </c>
      <c r="C167" s="16" t="s">
        <v>101</v>
      </c>
      <c r="D167" s="17">
        <v>44273</v>
      </c>
      <c r="E167" s="18">
        <v>161.57</v>
      </c>
      <c r="F167" s="12">
        <f ca="1">IFERROR(__xludf.DUMMYFUNCTION("GOOGLEFINANCE(C167)"),169.44)</f>
        <v>169.44</v>
      </c>
      <c r="H167" s="12">
        <v>169.44</v>
      </c>
      <c r="I167" s="13">
        <f t="shared" si="0"/>
        <v>4.8709537661694655E-2</v>
      </c>
      <c r="J167" s="28">
        <f t="shared" si="3"/>
        <v>7.6478639671423708E-5</v>
      </c>
    </row>
    <row r="168" spans="1:10" ht="15" x14ac:dyDescent="0.25">
      <c r="A168" s="14">
        <v>168</v>
      </c>
      <c r="B168" s="15" t="s">
        <v>249</v>
      </c>
      <c r="C168" s="16" t="s">
        <v>250</v>
      </c>
      <c r="D168" s="17">
        <v>44273</v>
      </c>
      <c r="E168" s="18">
        <v>36.36</v>
      </c>
      <c r="F168" s="12">
        <f ca="1">IFERROR(__xludf.DUMMYFUNCTION("GOOGLEFINANCE(C168)"),29.75)</f>
        <v>29.75</v>
      </c>
      <c r="H168" s="12">
        <v>29.75</v>
      </c>
      <c r="I168" s="13">
        <f t="shared" si="0"/>
        <v>-0.18179317931793179</v>
      </c>
      <c r="J168" s="28">
        <f t="shared" si="3"/>
        <v>-6.4234283129366003E-5</v>
      </c>
    </row>
    <row r="169" spans="1:10" ht="15" x14ac:dyDescent="0.25">
      <c r="A169" s="14">
        <v>169</v>
      </c>
      <c r="B169" s="15" t="s">
        <v>14</v>
      </c>
      <c r="C169" s="16" t="s">
        <v>15</v>
      </c>
      <c r="D169" s="17">
        <v>44273</v>
      </c>
      <c r="E169" s="18">
        <v>209.04</v>
      </c>
      <c r="F169" s="12">
        <f ca="1">IFERROR(__xludf.DUMMYFUNCTION("GOOGLEFINANCE(C169)"),217.91)</f>
        <v>217.91</v>
      </c>
      <c r="H169" s="12">
        <v>217.91</v>
      </c>
      <c r="I169" s="13">
        <f t="shared" si="0"/>
        <v>4.2432070417145071E-2</v>
      </c>
      <c r="J169" s="28">
        <f t="shared" si="3"/>
        <v>8.6196382958771072E-5</v>
      </c>
    </row>
    <row r="170" spans="1:10" ht="15" x14ac:dyDescent="0.25">
      <c r="A170" s="14">
        <v>170</v>
      </c>
      <c r="B170" s="15" t="s">
        <v>251</v>
      </c>
      <c r="C170" s="16" t="s">
        <v>252</v>
      </c>
      <c r="D170" s="17">
        <v>44273</v>
      </c>
      <c r="E170" s="18">
        <v>91.18</v>
      </c>
      <c r="F170" s="12">
        <f ca="1">IFERROR(__xludf.DUMMYFUNCTION("GOOGLEFINANCE(C170)"),77.29)</f>
        <v>77.290000000000006</v>
      </c>
      <c r="H170" s="12">
        <v>77.290000000000006</v>
      </c>
      <c r="I170" s="13">
        <f t="shared" si="0"/>
        <v>-0.15233603860495723</v>
      </c>
      <c r="J170" s="28">
        <f t="shared" si="3"/>
        <v>-1.3497945426125472E-4</v>
      </c>
    </row>
    <row r="171" spans="1:10" ht="15" x14ac:dyDescent="0.25">
      <c r="A171" s="14">
        <v>171</v>
      </c>
      <c r="B171" s="15" t="s">
        <v>253</v>
      </c>
      <c r="C171" s="16" t="s">
        <v>254</v>
      </c>
      <c r="D171" s="17">
        <v>44273</v>
      </c>
      <c r="E171" s="18">
        <v>267.89999999999998</v>
      </c>
      <c r="F171" s="12">
        <f ca="1">IFERROR(__xludf.DUMMYFUNCTION("GOOGLEFINANCE(C171)"),333.83)</f>
        <v>333.83</v>
      </c>
      <c r="H171" s="12">
        <v>333.83</v>
      </c>
      <c r="I171" s="13">
        <f t="shared" si="0"/>
        <v>0.24609929078014189</v>
      </c>
      <c r="J171" s="28">
        <f t="shared" si="3"/>
        <v>6.4069081493481101E-4</v>
      </c>
    </row>
    <row r="172" spans="1:10" ht="15" x14ac:dyDescent="0.25">
      <c r="A172" s="14">
        <v>172</v>
      </c>
      <c r="B172" s="15" t="s">
        <v>126</v>
      </c>
      <c r="C172" s="16" t="s">
        <v>127</v>
      </c>
      <c r="D172" s="17">
        <v>44273</v>
      </c>
      <c r="E172" s="18">
        <v>77.510000000000005</v>
      </c>
      <c r="F172" s="12">
        <f ca="1">IFERROR(__xludf.DUMMYFUNCTION("GOOGLEFINANCE(C172)"),54.76)</f>
        <v>54.76</v>
      </c>
      <c r="H172" s="12">
        <v>54.76</v>
      </c>
      <c r="I172" s="13">
        <f t="shared" si="0"/>
        <v>-0.29351051477228751</v>
      </c>
      <c r="J172" s="28">
        <f t="shared" si="3"/>
        <v>-2.2107865978715234E-4</v>
      </c>
    </row>
    <row r="173" spans="1:10" ht="15" x14ac:dyDescent="0.25">
      <c r="A173" s="14">
        <v>173</v>
      </c>
      <c r="B173" s="15" t="s">
        <v>255</v>
      </c>
      <c r="C173" s="16" t="s">
        <v>256</v>
      </c>
      <c r="D173" s="17">
        <v>44273</v>
      </c>
      <c r="E173" s="18">
        <v>21.91</v>
      </c>
      <c r="F173" s="12">
        <f ca="1">IFERROR(__xludf.DUMMYFUNCTION("GOOGLEFINANCE(C173)"),4.7)</f>
        <v>4.7</v>
      </c>
      <c r="H173" s="12">
        <v>4.7</v>
      </c>
      <c r="I173" s="13">
        <f t="shared" si="0"/>
        <v>-0.78548607941579196</v>
      </c>
      <c r="J173" s="28">
        <f t="shared" si="3"/>
        <v>-1.6724236197524796E-4</v>
      </c>
    </row>
    <row r="174" spans="1:10" ht="15" x14ac:dyDescent="0.25">
      <c r="A174" s="14">
        <v>174</v>
      </c>
      <c r="B174" s="15" t="s">
        <v>156</v>
      </c>
      <c r="C174" s="16" t="s">
        <v>157</v>
      </c>
      <c r="D174" s="17">
        <v>44272</v>
      </c>
      <c r="E174" s="18">
        <v>701.81</v>
      </c>
      <c r="F174" s="12">
        <f ca="1">IFERROR(__xludf.DUMMYFUNCTION("GOOGLEFINANCE(C174)"),932.57)</f>
        <v>932.57</v>
      </c>
      <c r="H174" s="12">
        <v>932.57</v>
      </c>
      <c r="I174" s="13">
        <f t="shared" si="0"/>
        <v>0.32880694204984273</v>
      </c>
      <c r="J174" s="28">
        <f t="shared" si="3"/>
        <v>2.2424664409882761E-3</v>
      </c>
    </row>
    <row r="175" spans="1:10" ht="15" x14ac:dyDescent="0.25">
      <c r="A175" s="14">
        <v>176</v>
      </c>
      <c r="B175" s="15" t="s">
        <v>257</v>
      </c>
      <c r="C175" s="16" t="s">
        <v>258</v>
      </c>
      <c r="D175" s="17">
        <v>44272</v>
      </c>
      <c r="E175" s="18">
        <v>15.2</v>
      </c>
      <c r="F175" s="12">
        <f ca="1">IFERROR(__xludf.DUMMYFUNCTION("GOOGLEFINANCE(C175)"),6.6)</f>
        <v>6.6</v>
      </c>
      <c r="H175" s="12">
        <v>6.6</v>
      </c>
      <c r="I175" s="13">
        <f t="shared" si="0"/>
        <v>-0.56578947368421051</v>
      </c>
      <c r="J175" s="28">
        <f t="shared" si="3"/>
        <v>-8.3572592271187219E-5</v>
      </c>
    </row>
    <row r="176" spans="1:10" ht="15" x14ac:dyDescent="0.25">
      <c r="A176" s="14">
        <v>177</v>
      </c>
      <c r="B176" s="15" t="s">
        <v>259</v>
      </c>
      <c r="C176" s="16" t="s">
        <v>260</v>
      </c>
      <c r="D176" s="17">
        <v>44272</v>
      </c>
      <c r="E176" s="18">
        <v>38.4</v>
      </c>
      <c r="F176" s="12">
        <f ca="1">IFERROR(__xludf.DUMMYFUNCTION("GOOGLEFINANCE(C176)"),26.93)</f>
        <v>26.93</v>
      </c>
      <c r="H176" s="12">
        <v>26.93</v>
      </c>
      <c r="I176" s="13">
        <f t="shared" si="0"/>
        <v>-0.29869791666666667</v>
      </c>
      <c r="J176" s="28">
        <f t="shared" si="3"/>
        <v>-1.1146251550587414E-4</v>
      </c>
    </row>
    <row r="177" spans="1:10" ht="15" x14ac:dyDescent="0.25">
      <c r="A177" s="14">
        <v>178</v>
      </c>
      <c r="B177" s="15" t="s">
        <v>261</v>
      </c>
      <c r="C177" s="16" t="s">
        <v>262</v>
      </c>
      <c r="D177" s="17">
        <v>44272</v>
      </c>
      <c r="E177" s="18">
        <v>16.329999999999998</v>
      </c>
      <c r="F177" s="12">
        <f ca="1">IFERROR(__xludf.DUMMYFUNCTION("GOOGLEFINANCE(C177)"),9.57)</f>
        <v>9.57</v>
      </c>
      <c r="H177" s="12">
        <v>9.57</v>
      </c>
      <c r="I177" s="13">
        <f t="shared" si="0"/>
        <v>-0.41396203306797297</v>
      </c>
      <c r="J177" s="28">
        <f t="shared" si="3"/>
        <v>-6.5691944622468088E-5</v>
      </c>
    </row>
    <row r="178" spans="1:10" ht="15" x14ac:dyDescent="0.25">
      <c r="A178" s="14">
        <v>179</v>
      </c>
      <c r="B178" s="15" t="s">
        <v>263</v>
      </c>
      <c r="C178" s="16" t="s">
        <v>264</v>
      </c>
      <c r="D178" s="17">
        <v>44271</v>
      </c>
      <c r="E178" s="18">
        <v>44.81</v>
      </c>
      <c r="F178" s="12">
        <f ca="1">IFERROR(__xludf.DUMMYFUNCTION("GOOGLEFINANCE(C178)"),41.26)</f>
        <v>41.26</v>
      </c>
      <c r="H178" s="12">
        <v>41.26</v>
      </c>
      <c r="I178" s="13">
        <f t="shared" si="0"/>
        <v>-7.9223387636688333E-2</v>
      </c>
      <c r="J178" s="28">
        <f t="shared" si="3"/>
        <v>-3.4497988670083144E-5</v>
      </c>
    </row>
    <row r="179" spans="1:10" ht="15" x14ac:dyDescent="0.25">
      <c r="A179" s="14">
        <v>180</v>
      </c>
      <c r="B179" s="15" t="s">
        <v>138</v>
      </c>
      <c r="C179" s="16" t="s">
        <v>139</v>
      </c>
      <c r="D179" s="17">
        <v>44271</v>
      </c>
      <c r="E179" s="18">
        <v>43.54</v>
      </c>
      <c r="F179" s="12">
        <f ca="1">IFERROR(__xludf.DUMMYFUNCTION("GOOGLEFINANCE(C179)"),42.48)</f>
        <v>42.48</v>
      </c>
      <c r="H179" s="12">
        <v>42.48</v>
      </c>
      <c r="I179" s="13">
        <f t="shared" si="0"/>
        <v>-2.4345429490124075E-2</v>
      </c>
      <c r="J179" s="28">
        <f t="shared" si="3"/>
        <v>-1.0300807884588215E-5</v>
      </c>
    </row>
    <row r="180" spans="1:10" ht="15" x14ac:dyDescent="0.25">
      <c r="A180" s="14">
        <v>181</v>
      </c>
      <c r="B180" s="15" t="s">
        <v>265</v>
      </c>
      <c r="C180" s="16" t="s">
        <v>266</v>
      </c>
      <c r="D180" s="17">
        <v>44271</v>
      </c>
      <c r="E180" s="18">
        <v>134.05000000000001</v>
      </c>
      <c r="F180" s="12">
        <f ca="1">IFERROR(__xludf.DUMMYFUNCTION("GOOGLEFINANCE(C180)"),157.09)</f>
        <v>157.09</v>
      </c>
      <c r="H180" s="12">
        <v>157.09</v>
      </c>
      <c r="I180" s="13">
        <f t="shared" si="0"/>
        <v>0.171876165609847</v>
      </c>
      <c r="J180" s="28">
        <f t="shared" si="3"/>
        <v>2.2389680534048293E-4</v>
      </c>
    </row>
    <row r="181" spans="1:10" ht="15" x14ac:dyDescent="0.25">
      <c r="A181" s="14">
        <v>182</v>
      </c>
      <c r="B181" s="15" t="s">
        <v>267</v>
      </c>
      <c r="C181" s="16" t="s">
        <v>268</v>
      </c>
      <c r="D181" s="17">
        <v>44271</v>
      </c>
      <c r="E181" s="18">
        <v>44.86</v>
      </c>
      <c r="F181" s="12">
        <f ca="1">IFERROR(__xludf.DUMMYFUNCTION("GOOGLEFINANCE(C181)"),20.21)</f>
        <v>20.21</v>
      </c>
      <c r="H181" s="12">
        <v>20.21</v>
      </c>
      <c r="I181" s="13">
        <f t="shared" si="0"/>
        <v>-0.54948729380294248</v>
      </c>
      <c r="J181" s="28">
        <f t="shared" si="3"/>
        <v>-2.3954237203311222E-4</v>
      </c>
    </row>
    <row r="182" spans="1:10" ht="15" x14ac:dyDescent="0.25">
      <c r="A182" s="14">
        <v>183</v>
      </c>
      <c r="B182" s="15" t="s">
        <v>269</v>
      </c>
      <c r="C182" s="16" t="s">
        <v>270</v>
      </c>
      <c r="D182" s="17">
        <v>44271</v>
      </c>
      <c r="E182" s="18">
        <v>93.02</v>
      </c>
      <c r="F182" s="12">
        <f ca="1">IFERROR(__xludf.DUMMYFUNCTION("GOOGLEFINANCE(C182)"),103.04)</f>
        <v>103.04</v>
      </c>
      <c r="H182" s="12">
        <v>103.04</v>
      </c>
      <c r="I182" s="13">
        <f t="shared" si="0"/>
        <v>0.10771877015695561</v>
      </c>
      <c r="J182" s="28">
        <f t="shared" si="3"/>
        <v>9.7371787739220574E-5</v>
      </c>
    </row>
    <row r="183" spans="1:10" ht="15" x14ac:dyDescent="0.25">
      <c r="A183" s="14">
        <v>184</v>
      </c>
      <c r="B183" s="15" t="s">
        <v>271</v>
      </c>
      <c r="C183" s="16" t="s">
        <v>272</v>
      </c>
      <c r="D183" s="17">
        <v>44271</v>
      </c>
      <c r="E183" s="18">
        <v>63.18</v>
      </c>
      <c r="F183" s="12">
        <f ca="1">IFERROR(__xludf.DUMMYFUNCTION("GOOGLEFINANCE(C183)"),54.1)</f>
        <v>54.1</v>
      </c>
      <c r="H183" s="12">
        <v>54.1</v>
      </c>
      <c r="I183" s="13">
        <f t="shared" si="0"/>
        <v>-0.14371636593858814</v>
      </c>
      <c r="J183" s="28">
        <f t="shared" si="3"/>
        <v>-8.8237109049113939E-5</v>
      </c>
    </row>
    <row r="184" spans="1:10" ht="15" x14ac:dyDescent="0.25">
      <c r="A184" s="14">
        <v>185</v>
      </c>
      <c r="B184" s="15" t="s">
        <v>273</v>
      </c>
      <c r="C184" s="16" t="s">
        <v>274</v>
      </c>
      <c r="D184" s="17">
        <v>44271</v>
      </c>
      <c r="E184" s="18">
        <v>196.31</v>
      </c>
      <c r="F184" s="12">
        <f ca="1">IFERROR(__xludf.DUMMYFUNCTION("GOOGLEFINANCE(C184)"),205.1)</f>
        <v>205.1</v>
      </c>
      <c r="H184" s="12">
        <v>205.1</v>
      </c>
      <c r="I184" s="13">
        <f t="shared" si="0"/>
        <v>4.477611940298503E-2</v>
      </c>
      <c r="J184" s="28">
        <f t="shared" si="3"/>
        <v>8.5418963495783145E-5</v>
      </c>
    </row>
    <row r="185" spans="1:10" ht="15" x14ac:dyDescent="0.25">
      <c r="A185" s="14">
        <v>186</v>
      </c>
      <c r="B185" s="15" t="s">
        <v>275</v>
      </c>
      <c r="C185" s="16" t="s">
        <v>276</v>
      </c>
      <c r="D185" s="17">
        <v>44271</v>
      </c>
      <c r="E185" s="18">
        <v>55.65</v>
      </c>
      <c r="F185" s="12">
        <f ca="1">IFERROR(__xludf.DUMMYFUNCTION("GOOGLEFINANCE(C185)"),61.47)</f>
        <v>61.47</v>
      </c>
      <c r="H185" s="12">
        <v>61.47</v>
      </c>
      <c r="I185" s="13">
        <f t="shared" si="0"/>
        <v>0.10458221024258761</v>
      </c>
      <c r="J185" s="28">
        <f t="shared" si="3"/>
        <v>5.6557265932361595E-5</v>
      </c>
    </row>
    <row r="186" spans="1:10" ht="15" x14ac:dyDescent="0.25">
      <c r="A186" s="14">
        <v>188</v>
      </c>
      <c r="B186" s="15" t="s">
        <v>277</v>
      </c>
      <c r="C186" s="16" t="s">
        <v>278</v>
      </c>
      <c r="D186" s="17">
        <v>44270</v>
      </c>
      <c r="E186" s="18">
        <v>223.27</v>
      </c>
      <c r="F186" s="12">
        <f ca="1">IFERROR(__xludf.DUMMYFUNCTION("GOOGLEFINANCE(C186)"),211.88)</f>
        <v>211.88</v>
      </c>
      <c r="H186" s="12">
        <v>211.88</v>
      </c>
      <c r="I186" s="13">
        <f t="shared" si="0"/>
        <v>-5.101446678908951E-2</v>
      </c>
      <c r="J186" s="28">
        <f t="shared" si="3"/>
        <v>-1.1068509604288648E-4</v>
      </c>
    </row>
    <row r="187" spans="1:10" ht="15" x14ac:dyDescent="0.25">
      <c r="A187" s="14">
        <v>189</v>
      </c>
      <c r="B187" s="15" t="s">
        <v>156</v>
      </c>
      <c r="C187" s="16" t="s">
        <v>157</v>
      </c>
      <c r="D187" s="17">
        <v>44270</v>
      </c>
      <c r="E187" s="18">
        <v>707.94</v>
      </c>
      <c r="F187" s="12">
        <f ca="1">IFERROR(__xludf.DUMMYFUNCTION("GOOGLEFINANCE(C187)"),932.57)</f>
        <v>932.57</v>
      </c>
      <c r="H187" s="12">
        <v>932.57</v>
      </c>
      <c r="I187" s="13">
        <f t="shared" si="0"/>
        <v>0.31730090120631688</v>
      </c>
      <c r="J187" s="28">
        <f t="shared" si="3"/>
        <v>2.1828966746368357E-3</v>
      </c>
    </row>
    <row r="188" spans="1:10" ht="15" x14ac:dyDescent="0.25">
      <c r="A188" s="14">
        <v>190</v>
      </c>
      <c r="B188" s="15" t="s">
        <v>279</v>
      </c>
      <c r="C188" s="16" t="s">
        <v>280</v>
      </c>
      <c r="D188" s="17">
        <v>44270</v>
      </c>
      <c r="E188" s="18">
        <v>201.24</v>
      </c>
      <c r="F188" s="12">
        <f ca="1">IFERROR(__xludf.DUMMYFUNCTION("GOOGLEFINANCE(C188)"),97.77)</f>
        <v>97.77</v>
      </c>
      <c r="H188" s="12">
        <v>97.77</v>
      </c>
      <c r="I188" s="13">
        <f t="shared" si="0"/>
        <v>-0.51416219439475253</v>
      </c>
      <c r="J188" s="28">
        <f t="shared" si="3"/>
        <v>-1.0054948979418305E-3</v>
      </c>
    </row>
    <row r="189" spans="1:10" ht="15" x14ac:dyDescent="0.25">
      <c r="A189" s="14">
        <v>191</v>
      </c>
      <c r="B189" s="15" t="s">
        <v>281</v>
      </c>
      <c r="C189" s="16" t="s">
        <v>282</v>
      </c>
      <c r="D189" s="17">
        <v>44270</v>
      </c>
      <c r="E189" s="18">
        <v>251.23</v>
      </c>
      <c r="F189" s="12">
        <f ca="1">IFERROR(__xludf.DUMMYFUNCTION("GOOGLEFINANCE(C189)"),167.06)</f>
        <v>167.06</v>
      </c>
      <c r="H189" s="12">
        <v>167.06</v>
      </c>
      <c r="I189" s="13">
        <f t="shared" si="0"/>
        <v>-0.33503164430999477</v>
      </c>
      <c r="J189" s="28">
        <f t="shared" si="3"/>
        <v>-8.1794245249602654E-4</v>
      </c>
    </row>
    <row r="190" spans="1:10" ht="15" x14ac:dyDescent="0.25">
      <c r="A190" s="14">
        <v>192</v>
      </c>
      <c r="B190" s="15" t="s">
        <v>283</v>
      </c>
      <c r="C190" s="16" t="s">
        <v>284</v>
      </c>
      <c r="D190" s="17">
        <v>44270</v>
      </c>
      <c r="E190" s="18">
        <v>238.76</v>
      </c>
      <c r="F190" s="12">
        <f ca="1">IFERROR(__xludf.DUMMYFUNCTION("GOOGLEFINANCE(C190)"),332.33)</f>
        <v>332.33</v>
      </c>
      <c r="H190" s="12">
        <v>332.33</v>
      </c>
      <c r="I190" s="13">
        <f t="shared" si="0"/>
        <v>0.39189981571452503</v>
      </c>
      <c r="J190" s="28">
        <f t="shared" si="3"/>
        <v>9.0928923939709175E-4</v>
      </c>
    </row>
    <row r="191" spans="1:10" ht="15" x14ac:dyDescent="0.25">
      <c r="A191" s="14">
        <v>193</v>
      </c>
      <c r="B191" s="15" t="s">
        <v>285</v>
      </c>
      <c r="C191" s="16" t="s">
        <v>286</v>
      </c>
      <c r="D191" s="17">
        <v>44270</v>
      </c>
      <c r="E191" s="18">
        <v>249.98</v>
      </c>
      <c r="F191" s="12">
        <f ca="1">IFERROR(__xludf.DUMMYFUNCTION("GOOGLEFINANCE(C191)"),186.2)</f>
        <v>186.2</v>
      </c>
      <c r="H191" s="12">
        <v>186.2</v>
      </c>
      <c r="I191" s="13">
        <f t="shared" si="0"/>
        <v>-0.25514041123289866</v>
      </c>
      <c r="J191" s="28">
        <f t="shared" si="3"/>
        <v>-6.1979766686701414E-4</v>
      </c>
    </row>
    <row r="192" spans="1:10" ht="15" x14ac:dyDescent="0.25">
      <c r="A192" s="14">
        <v>194</v>
      </c>
      <c r="B192" s="15" t="s">
        <v>76</v>
      </c>
      <c r="C192" s="16" t="s">
        <v>77</v>
      </c>
      <c r="D192" s="17">
        <v>44270</v>
      </c>
      <c r="E192" s="18">
        <v>234.81</v>
      </c>
      <c r="F192" s="12">
        <f ca="1">IFERROR(__xludf.DUMMYFUNCTION("GOOGLEFINANCE(C192)"),323.8)</f>
        <v>323.8</v>
      </c>
      <c r="H192" s="12">
        <v>323.8</v>
      </c>
      <c r="I192" s="13">
        <f t="shared" si="0"/>
        <v>0.37898726630041313</v>
      </c>
      <c r="J192" s="28">
        <f t="shared" si="3"/>
        <v>8.6478197514104085E-4</v>
      </c>
    </row>
    <row r="193" spans="1:10" ht="15" x14ac:dyDescent="0.25">
      <c r="A193" s="14">
        <v>195</v>
      </c>
      <c r="B193" s="15" t="s">
        <v>287</v>
      </c>
      <c r="C193" s="16" t="s">
        <v>288</v>
      </c>
      <c r="D193" s="17">
        <v>44270</v>
      </c>
      <c r="E193" s="18">
        <v>143.66</v>
      </c>
      <c r="F193" s="12">
        <f ca="1">IFERROR(__xludf.DUMMYFUNCTION("GOOGLEFINANCE(C193)"),294.8)</f>
        <v>294.8</v>
      </c>
      <c r="H193" s="12">
        <v>294.8</v>
      </c>
      <c r="I193" s="13">
        <f t="shared" si="0"/>
        <v>1.0520673813169985</v>
      </c>
      <c r="J193" s="28">
        <f t="shared" si="3"/>
        <v>1.468739720449679E-3</v>
      </c>
    </row>
    <row r="194" spans="1:10" ht="15" x14ac:dyDescent="0.25">
      <c r="A194" s="14">
        <v>196</v>
      </c>
      <c r="B194" s="15" t="s">
        <v>289</v>
      </c>
      <c r="C194" s="16" t="s">
        <v>290</v>
      </c>
      <c r="D194" s="17">
        <v>44270</v>
      </c>
      <c r="E194" s="18">
        <v>381.76</v>
      </c>
      <c r="F194" s="12">
        <f ca="1">IFERROR(__xludf.DUMMYFUNCTION("GOOGLEFINANCE(C194)"),349.31)</f>
        <v>349.31</v>
      </c>
      <c r="H194" s="12">
        <v>349.31</v>
      </c>
      <c r="I194" s="13">
        <f t="shared" si="0"/>
        <v>-8.5001047778709107E-2</v>
      </c>
      <c r="J194" s="28">
        <f t="shared" si="3"/>
        <v>-3.1534076967442147E-4</v>
      </c>
    </row>
    <row r="195" spans="1:10" ht="15" x14ac:dyDescent="0.25">
      <c r="A195" s="14">
        <v>197</v>
      </c>
      <c r="B195" s="15" t="s">
        <v>291</v>
      </c>
      <c r="C195" s="16" t="s">
        <v>292</v>
      </c>
      <c r="D195" s="17">
        <v>44270</v>
      </c>
      <c r="E195" s="18">
        <v>160.41999999999999</v>
      </c>
      <c r="F195" s="12">
        <f ca="1">IFERROR(__xludf.DUMMYFUNCTION("GOOGLEFINANCE(C195)"),168.23)</f>
        <v>168.23</v>
      </c>
      <c r="H195" s="12">
        <v>168.23</v>
      </c>
      <c r="I195" s="13">
        <f t="shared" si="0"/>
        <v>4.8684702655529252E-2</v>
      </c>
      <c r="J195" s="28">
        <f t="shared" ref="J195:J258" si="4">(E195/$E$609)*I195</f>
        <v>7.5895575074182831E-5</v>
      </c>
    </row>
    <row r="196" spans="1:10" ht="15" x14ac:dyDescent="0.25">
      <c r="A196" s="14">
        <v>198</v>
      </c>
      <c r="B196" s="15" t="s">
        <v>140</v>
      </c>
      <c r="C196" s="16" t="s">
        <v>141</v>
      </c>
      <c r="D196" s="17">
        <v>44270</v>
      </c>
      <c r="E196" s="18">
        <v>57.94</v>
      </c>
      <c r="F196" s="12">
        <f ca="1">IFERROR(__xludf.DUMMYFUNCTION("GOOGLEFINANCE(C196)"),55.16)</f>
        <v>55.16</v>
      </c>
      <c r="H196" s="12">
        <v>55.16</v>
      </c>
      <c r="I196" s="13">
        <f t="shared" si="0"/>
        <v>-4.7980669658267194E-2</v>
      </c>
      <c r="J196" s="28">
        <f t="shared" si="4"/>
        <v>-2.7015326338825647E-5</v>
      </c>
    </row>
    <row r="197" spans="1:10" ht="15" x14ac:dyDescent="0.25">
      <c r="A197" s="14">
        <v>199</v>
      </c>
      <c r="B197" s="15" t="s">
        <v>293</v>
      </c>
      <c r="C197" s="16" t="s">
        <v>294</v>
      </c>
      <c r="D197" s="17">
        <v>44270</v>
      </c>
      <c r="E197" s="18">
        <v>241.31</v>
      </c>
      <c r="F197" s="12">
        <f ca="1">IFERROR(__xludf.DUMMYFUNCTION("GOOGLEFINANCE(C197)"),117.7)</f>
        <v>117.7</v>
      </c>
      <c r="H197" s="12">
        <v>117.7</v>
      </c>
      <c r="I197" s="13">
        <f t="shared" si="0"/>
        <v>-0.51224565911068753</v>
      </c>
      <c r="J197" s="28">
        <f t="shared" si="4"/>
        <v>-1.2012102477490063E-3</v>
      </c>
    </row>
    <row r="198" spans="1:10" ht="15" x14ac:dyDescent="0.25">
      <c r="A198" s="14">
        <v>200</v>
      </c>
      <c r="B198" s="15" t="s">
        <v>142</v>
      </c>
      <c r="C198" s="16" t="s">
        <v>143</v>
      </c>
      <c r="D198" s="17">
        <v>44270</v>
      </c>
      <c r="E198" s="18">
        <v>13.2</v>
      </c>
      <c r="F198" s="12">
        <f ca="1">IFERROR(__xludf.DUMMYFUNCTION("GOOGLEFINANCE(C198)"),19.77)</f>
        <v>19.77</v>
      </c>
      <c r="H198" s="12">
        <v>19.77</v>
      </c>
      <c r="I198" s="13">
        <f t="shared" si="0"/>
        <v>0.4977272727272728</v>
      </c>
      <c r="J198" s="28">
        <f t="shared" si="4"/>
        <v>6.3845573397872108E-5</v>
      </c>
    </row>
    <row r="199" spans="1:10" ht="15" x14ac:dyDescent="0.25">
      <c r="A199" s="14">
        <v>201</v>
      </c>
      <c r="B199" s="15" t="s">
        <v>295</v>
      </c>
      <c r="C199" s="16" t="s">
        <v>296</v>
      </c>
      <c r="D199" s="17">
        <v>44270</v>
      </c>
      <c r="E199" s="18">
        <v>129.57</v>
      </c>
      <c r="F199" s="12">
        <f ca="1">IFERROR(__xludf.DUMMYFUNCTION("GOOGLEFINANCE(C199)"),80.27)</f>
        <v>80.27</v>
      </c>
      <c r="H199" s="12">
        <v>80.27</v>
      </c>
      <c r="I199" s="13">
        <f t="shared" si="0"/>
        <v>-0.38048931079725246</v>
      </c>
      <c r="J199" s="28">
        <f t="shared" si="4"/>
        <v>-4.790847440662245E-4</v>
      </c>
    </row>
    <row r="200" spans="1:10" ht="15" x14ac:dyDescent="0.25">
      <c r="A200" s="14">
        <v>202</v>
      </c>
      <c r="B200" s="15" t="s">
        <v>297</v>
      </c>
      <c r="C200" s="16" t="s">
        <v>298</v>
      </c>
      <c r="D200" s="17">
        <v>44270</v>
      </c>
      <c r="E200" s="18">
        <v>48.6</v>
      </c>
      <c r="F200" s="12">
        <f ca="1">IFERROR(__xludf.DUMMYFUNCTION("GOOGLEFINANCE(C200)"),68)</f>
        <v>68</v>
      </c>
      <c r="H200" s="12">
        <v>68</v>
      </c>
      <c r="I200" s="13">
        <f t="shared" si="0"/>
        <v>0.39917695473251025</v>
      </c>
      <c r="J200" s="28">
        <f t="shared" si="4"/>
        <v>1.8852421977453863E-4</v>
      </c>
    </row>
    <row r="201" spans="1:10" ht="15" x14ac:dyDescent="0.25">
      <c r="A201" s="14">
        <v>203</v>
      </c>
      <c r="B201" s="15" t="s">
        <v>299</v>
      </c>
      <c r="C201" s="16" t="s">
        <v>300</v>
      </c>
      <c r="D201" s="17">
        <v>44270</v>
      </c>
      <c r="E201" s="18">
        <v>148.11000000000001</v>
      </c>
      <c r="F201" s="12">
        <f ca="1">IFERROR(__xludf.DUMMYFUNCTION("GOOGLEFINANCE(C201)"),69.24)</f>
        <v>69.239999999999995</v>
      </c>
      <c r="H201" s="12">
        <v>69.239999999999995</v>
      </c>
      <c r="I201" s="13">
        <f t="shared" si="0"/>
        <v>-0.53250962122746615</v>
      </c>
      <c r="J201" s="28">
        <f t="shared" si="4"/>
        <v>-7.6643841307308586E-4</v>
      </c>
    </row>
    <row r="202" spans="1:10" ht="15" x14ac:dyDescent="0.25">
      <c r="A202" s="14">
        <v>204</v>
      </c>
      <c r="B202" s="15" t="s">
        <v>301</v>
      </c>
      <c r="C202" s="16" t="s">
        <v>302</v>
      </c>
      <c r="D202" s="17">
        <v>44270</v>
      </c>
      <c r="E202" s="18">
        <v>82.5</v>
      </c>
      <c r="F202" s="12">
        <f ca="1">IFERROR(__xludf.DUMMYFUNCTION("GOOGLEFINANCE(C202)"),137.75)</f>
        <v>137.75</v>
      </c>
      <c r="H202" s="12">
        <v>137.75</v>
      </c>
      <c r="I202" s="13">
        <f t="shared" si="0"/>
        <v>0.66969696969696968</v>
      </c>
      <c r="J202" s="28">
        <f t="shared" si="4"/>
        <v>5.3690531662594124E-4</v>
      </c>
    </row>
    <row r="203" spans="1:10" ht="15" x14ac:dyDescent="0.25">
      <c r="A203" s="14">
        <v>205</v>
      </c>
      <c r="B203" s="15" t="s">
        <v>303</v>
      </c>
      <c r="C203" s="16" t="s">
        <v>304</v>
      </c>
      <c r="D203" s="17">
        <v>44260</v>
      </c>
      <c r="E203" s="18">
        <v>8.61</v>
      </c>
      <c r="F203" s="12">
        <f ca="1">IFERROR(__xludf.DUMMYFUNCTION("GOOGLEFINANCE(C203)"),11.07)</f>
        <v>11.07</v>
      </c>
      <c r="H203" s="12">
        <v>11.07</v>
      </c>
      <c r="I203" s="13">
        <f t="shared" si="0"/>
        <v>0.28571428571428581</v>
      </c>
      <c r="J203" s="28">
        <f t="shared" si="4"/>
        <v>2.3905648486874496E-5</v>
      </c>
    </row>
    <row r="204" spans="1:10" ht="15" x14ac:dyDescent="0.25">
      <c r="A204" s="14">
        <v>206</v>
      </c>
      <c r="B204" s="15" t="s">
        <v>305</v>
      </c>
      <c r="C204" s="16" t="s">
        <v>306</v>
      </c>
      <c r="D204" s="17">
        <v>44260</v>
      </c>
      <c r="E204" s="18">
        <v>333.37</v>
      </c>
      <c r="F204" s="12">
        <f ca="1">IFERROR(__xludf.DUMMYFUNCTION("GOOGLEFINANCE(C204)"),380.94)</f>
        <v>380.94</v>
      </c>
      <c r="H204" s="12">
        <v>380.94</v>
      </c>
      <c r="I204" s="13">
        <f t="shared" si="0"/>
        <v>0.14269430362660104</v>
      </c>
      <c r="J204" s="28">
        <f t="shared" si="4"/>
        <v>4.6227304817911345E-4</v>
      </c>
    </row>
    <row r="205" spans="1:10" ht="15" x14ac:dyDescent="0.25">
      <c r="A205" s="14">
        <v>207</v>
      </c>
      <c r="B205" s="15" t="s">
        <v>307</v>
      </c>
      <c r="C205" s="16" t="s">
        <v>308</v>
      </c>
      <c r="D205" s="17">
        <v>44260</v>
      </c>
      <c r="E205" s="18">
        <v>88.24</v>
      </c>
      <c r="F205" s="12">
        <f ca="1">IFERROR(__xludf.DUMMYFUNCTION("GOOGLEFINANCE(C205)"),128.61)</f>
        <v>128.61000000000001</v>
      </c>
      <c r="H205" s="12">
        <v>128.61000000000001</v>
      </c>
      <c r="I205" s="13">
        <f t="shared" si="0"/>
        <v>0.45750226654578446</v>
      </c>
      <c r="J205" s="28">
        <f t="shared" si="4"/>
        <v>3.9230529651021278E-4</v>
      </c>
    </row>
    <row r="206" spans="1:10" ht="15" x14ac:dyDescent="0.25">
      <c r="A206" s="14">
        <v>208</v>
      </c>
      <c r="B206" s="15" t="s">
        <v>309</v>
      </c>
      <c r="C206" s="16" t="s">
        <v>310</v>
      </c>
      <c r="D206" s="17">
        <v>44260</v>
      </c>
      <c r="E206" s="18">
        <v>69.97</v>
      </c>
      <c r="F206" s="12">
        <f ca="1">IFERROR(__xludf.DUMMYFUNCTION("GOOGLEFINANCE(C206)"),96.62)</f>
        <v>96.62</v>
      </c>
      <c r="H206" s="12">
        <v>96.62</v>
      </c>
      <c r="I206" s="13">
        <f t="shared" si="0"/>
        <v>0.38087751893668725</v>
      </c>
      <c r="J206" s="28">
        <f t="shared" si="4"/>
        <v>2.58977858607807E-4</v>
      </c>
    </row>
    <row r="207" spans="1:10" ht="15" x14ac:dyDescent="0.25">
      <c r="A207" s="14">
        <v>209</v>
      </c>
      <c r="B207" s="15" t="s">
        <v>14</v>
      </c>
      <c r="C207" s="16" t="s">
        <v>15</v>
      </c>
      <c r="D207" s="17">
        <v>44260</v>
      </c>
      <c r="E207" s="18">
        <v>215.96</v>
      </c>
      <c r="F207" s="12">
        <f ca="1">IFERROR(__xludf.DUMMYFUNCTION("GOOGLEFINANCE(C207)"),217.91)</f>
        <v>217.91</v>
      </c>
      <c r="H207" s="12">
        <v>217.91</v>
      </c>
      <c r="I207" s="13">
        <f t="shared" si="0"/>
        <v>9.0294498981292309E-3</v>
      </c>
      <c r="J207" s="28">
        <f t="shared" si="4"/>
        <v>1.8949599410327225E-5</v>
      </c>
    </row>
    <row r="208" spans="1:10" ht="15" x14ac:dyDescent="0.25">
      <c r="A208" s="14">
        <v>210</v>
      </c>
      <c r="B208" s="15" t="s">
        <v>311</v>
      </c>
      <c r="C208" s="16" t="s">
        <v>312</v>
      </c>
      <c r="D208" s="17">
        <v>44260</v>
      </c>
      <c r="E208" s="18">
        <v>27.27</v>
      </c>
      <c r="F208" s="12">
        <f ca="1">IFERROR(__xludf.DUMMYFUNCTION("GOOGLEFINANCE(C208)"),30.63)</f>
        <v>30.63</v>
      </c>
      <c r="H208" s="12">
        <v>30.63</v>
      </c>
      <c r="I208" s="13">
        <f t="shared" si="0"/>
        <v>0.1232123212321232</v>
      </c>
      <c r="J208" s="28">
        <f t="shared" si="4"/>
        <v>3.2651617445487096E-5</v>
      </c>
    </row>
    <row r="209" spans="1:10" ht="15" x14ac:dyDescent="0.25">
      <c r="A209" s="14">
        <v>211</v>
      </c>
      <c r="B209" s="15" t="s">
        <v>313</v>
      </c>
      <c r="C209" s="16" t="s">
        <v>314</v>
      </c>
      <c r="D209" s="17">
        <v>44260</v>
      </c>
      <c r="E209" s="18">
        <v>71.69</v>
      </c>
      <c r="F209" s="12">
        <f ca="1">IFERROR(__xludf.DUMMYFUNCTION("GOOGLEFINANCE(C209)"),103.98)</f>
        <v>103.98</v>
      </c>
      <c r="H209" s="12">
        <v>103.98</v>
      </c>
      <c r="I209" s="13">
        <f t="shared" si="0"/>
        <v>0.4504114939322082</v>
      </c>
      <c r="J209" s="28">
        <f t="shared" si="4"/>
        <v>3.1378593074844605E-4</v>
      </c>
    </row>
    <row r="210" spans="1:10" ht="15" x14ac:dyDescent="0.25">
      <c r="A210" s="14">
        <v>212</v>
      </c>
      <c r="B210" s="15" t="s">
        <v>84</v>
      </c>
      <c r="C210" s="16" t="s">
        <v>85</v>
      </c>
      <c r="D210" s="17">
        <v>44260</v>
      </c>
      <c r="E210" s="18">
        <v>317.32</v>
      </c>
      <c r="F210" s="12">
        <f ca="1">IFERROR(__xludf.DUMMYFUNCTION("GOOGLEFINANCE(C210)"),547.61)</f>
        <v>547.61</v>
      </c>
      <c r="H210" s="12">
        <v>547.61</v>
      </c>
      <c r="I210" s="13">
        <f t="shared" si="0"/>
        <v>0.72573427454935091</v>
      </c>
      <c r="J210" s="28">
        <f t="shared" si="4"/>
        <v>2.2378991016432218E-3</v>
      </c>
    </row>
    <row r="211" spans="1:10" ht="15" x14ac:dyDescent="0.25">
      <c r="A211" s="14">
        <v>213</v>
      </c>
      <c r="B211" s="15" t="s">
        <v>315</v>
      </c>
      <c r="C211" s="16" t="s">
        <v>316</v>
      </c>
      <c r="D211" s="17">
        <v>44259</v>
      </c>
      <c r="E211" s="18">
        <v>139.47</v>
      </c>
      <c r="F211" s="12">
        <f ca="1">IFERROR(__xludf.DUMMYFUNCTION("GOOGLEFINANCE(C211)"),111.34)</f>
        <v>111.34</v>
      </c>
      <c r="H211" s="12">
        <v>111.34</v>
      </c>
      <c r="I211" s="13">
        <f t="shared" si="0"/>
        <v>-0.20169212016921198</v>
      </c>
      <c r="J211" s="28">
        <f t="shared" si="4"/>
        <v>-2.7336011867308096E-4</v>
      </c>
    </row>
    <row r="212" spans="1:10" ht="15" x14ac:dyDescent="0.25">
      <c r="A212" s="14">
        <v>215</v>
      </c>
      <c r="B212" s="15" t="s">
        <v>317</v>
      </c>
      <c r="C212" s="16" t="s">
        <v>318</v>
      </c>
      <c r="D212" s="17">
        <v>44259</v>
      </c>
      <c r="E212" s="18">
        <v>18.32</v>
      </c>
      <c r="F212" s="12">
        <f ca="1">IFERROR(__xludf.DUMMYFUNCTION("GOOGLEFINANCE(C212)"),8.13)</f>
        <v>8.1300000000000008</v>
      </c>
      <c r="H212" s="12">
        <v>8.1300000000000008</v>
      </c>
      <c r="I212" s="13">
        <f t="shared" si="0"/>
        <v>-0.55622270742358071</v>
      </c>
      <c r="J212" s="28">
        <f t="shared" si="4"/>
        <v>-9.9023804098069505E-5</v>
      </c>
    </row>
    <row r="213" spans="1:10" ht="15" x14ac:dyDescent="0.25">
      <c r="A213" s="14">
        <v>216</v>
      </c>
      <c r="B213" s="15" t="s">
        <v>319</v>
      </c>
      <c r="C213" s="16" t="s">
        <v>320</v>
      </c>
      <c r="D213" s="17">
        <v>44258</v>
      </c>
      <c r="E213" s="18">
        <v>20.12</v>
      </c>
      <c r="F213" s="12">
        <f ca="1">IFERROR(__xludf.DUMMYFUNCTION("GOOGLEFINANCE(C213)"),22.46)</f>
        <v>22.46</v>
      </c>
      <c r="H213" s="12">
        <v>22.46</v>
      </c>
      <c r="I213" s="13">
        <f t="shared" si="0"/>
        <v>0.11630218687872762</v>
      </c>
      <c r="J213" s="28">
        <f t="shared" si="4"/>
        <v>2.2739519292392805E-5</v>
      </c>
    </row>
    <row r="214" spans="1:10" ht="15" x14ac:dyDescent="0.25">
      <c r="A214" s="14">
        <v>217</v>
      </c>
      <c r="B214" s="15" t="s">
        <v>321</v>
      </c>
      <c r="C214" s="16" t="s">
        <v>322</v>
      </c>
      <c r="D214" s="17">
        <v>44258</v>
      </c>
      <c r="E214" s="18">
        <v>54.57</v>
      </c>
      <c r="F214" s="12">
        <f ca="1">IFERROR(__xludf.DUMMYFUNCTION("GOOGLEFINANCE(C214)"),40.78)</f>
        <v>40.78</v>
      </c>
      <c r="H214" s="12">
        <v>40.78</v>
      </c>
      <c r="I214" s="13">
        <f t="shared" si="0"/>
        <v>-0.25270295033901408</v>
      </c>
      <c r="J214" s="28">
        <f t="shared" si="4"/>
        <v>-1.3400767993251996E-4</v>
      </c>
    </row>
    <row r="215" spans="1:10" ht="15" x14ac:dyDescent="0.25">
      <c r="A215" s="14">
        <v>218</v>
      </c>
      <c r="B215" s="15" t="s">
        <v>323</v>
      </c>
      <c r="C215" s="16" t="s">
        <v>324</v>
      </c>
      <c r="D215" s="17">
        <v>44258</v>
      </c>
      <c r="E215" s="18">
        <v>94.48</v>
      </c>
      <c r="F215" s="12">
        <f ca="1">IFERROR(__xludf.DUMMYFUNCTION("GOOGLEFINANCE(C215)"),72.41)</f>
        <v>72.41</v>
      </c>
      <c r="H215" s="12">
        <v>72.41</v>
      </c>
      <c r="I215" s="13">
        <f t="shared" si="0"/>
        <v>-0.23359441151566476</v>
      </c>
      <c r="J215" s="28">
        <f t="shared" si="4"/>
        <v>-2.1447059435175612E-4</v>
      </c>
    </row>
    <row r="216" spans="1:10" ht="15" x14ac:dyDescent="0.25">
      <c r="A216" s="14">
        <v>219</v>
      </c>
      <c r="B216" s="15" t="s">
        <v>136</v>
      </c>
      <c r="C216" s="16" t="s">
        <v>137</v>
      </c>
      <c r="D216" s="17">
        <v>44258</v>
      </c>
      <c r="E216" s="18">
        <v>33.130000000000003</v>
      </c>
      <c r="F216" s="12">
        <f ca="1">IFERROR(__xludf.DUMMYFUNCTION("GOOGLEFINANCE(C216)"),20.33)</f>
        <v>20.329999999999998</v>
      </c>
      <c r="H216" s="12">
        <v>20.329999999999998</v>
      </c>
      <c r="I216" s="13">
        <f t="shared" si="0"/>
        <v>-0.38635677633564752</v>
      </c>
      <c r="J216" s="28">
        <f t="shared" si="4"/>
        <v>-1.2438711407804614E-4</v>
      </c>
    </row>
    <row r="217" spans="1:10" ht="15" x14ac:dyDescent="0.25">
      <c r="A217" s="14">
        <v>220</v>
      </c>
      <c r="B217" s="15" t="s">
        <v>325</v>
      </c>
      <c r="C217" s="16" t="s">
        <v>326</v>
      </c>
      <c r="D217" s="17">
        <v>44258</v>
      </c>
      <c r="E217" s="18">
        <v>61.18</v>
      </c>
      <c r="F217" s="12">
        <f ca="1">IFERROR(__xludf.DUMMYFUNCTION("GOOGLEFINANCE(C217)"),22.05)</f>
        <v>22.05</v>
      </c>
      <c r="H217" s="12">
        <v>22.05</v>
      </c>
      <c r="I217" s="13">
        <f t="shared" si="0"/>
        <v>-0.63958810068649874</v>
      </c>
      <c r="J217" s="28">
        <f t="shared" si="4"/>
        <v>-3.8025529483390184E-4</v>
      </c>
    </row>
    <row r="218" spans="1:10" ht="15" x14ac:dyDescent="0.25">
      <c r="A218" s="14">
        <v>221</v>
      </c>
      <c r="B218" s="15" t="s">
        <v>154</v>
      </c>
      <c r="C218" s="16" t="s">
        <v>155</v>
      </c>
      <c r="D218" s="17">
        <v>44258</v>
      </c>
      <c r="E218" s="18">
        <v>255.41</v>
      </c>
      <c r="F218" s="12">
        <f ca="1">IFERROR(__xludf.DUMMYFUNCTION("GOOGLEFINANCE(C218)"),333.79)</f>
        <v>333.79</v>
      </c>
      <c r="H218" s="12">
        <v>333.79</v>
      </c>
      <c r="I218" s="13">
        <f t="shared" si="0"/>
        <v>0.30687913550761531</v>
      </c>
      <c r="J218" s="28">
        <f t="shared" si="4"/>
        <v>7.6167671886228565E-4</v>
      </c>
    </row>
    <row r="219" spans="1:10" ht="15" x14ac:dyDescent="0.25">
      <c r="A219" s="14">
        <v>222</v>
      </c>
      <c r="B219" s="15" t="s">
        <v>327</v>
      </c>
      <c r="C219" s="16" t="s">
        <v>328</v>
      </c>
      <c r="D219" s="17">
        <v>44258</v>
      </c>
      <c r="E219" s="18">
        <v>94.73</v>
      </c>
      <c r="F219" s="12">
        <f ca="1">IFERROR(__xludf.DUMMYFUNCTION("GOOGLEFINANCE(C219)"),45.04)</f>
        <v>45.04</v>
      </c>
      <c r="H219" s="12">
        <v>45.04</v>
      </c>
      <c r="I219" s="13">
        <f t="shared" si="0"/>
        <v>-0.5245434392483902</v>
      </c>
      <c r="J219" s="28">
        <f t="shared" si="4"/>
        <v>-4.8287466394829001E-4</v>
      </c>
    </row>
    <row r="220" spans="1:10" ht="15" x14ac:dyDescent="0.25">
      <c r="A220" s="14">
        <v>223</v>
      </c>
      <c r="B220" s="15" t="s">
        <v>86</v>
      </c>
      <c r="C220" s="16" t="s">
        <v>87</v>
      </c>
      <c r="D220" s="17">
        <v>44258</v>
      </c>
      <c r="E220" s="18">
        <v>228.56</v>
      </c>
      <c r="F220" s="12">
        <f ca="1">IFERROR(__xludf.DUMMYFUNCTION("GOOGLEFINANCE(C220)"),192.63)</f>
        <v>192.63</v>
      </c>
      <c r="H220" s="12">
        <v>192.63</v>
      </c>
      <c r="I220" s="13">
        <f t="shared" si="0"/>
        <v>-0.15720161008050407</v>
      </c>
      <c r="J220" s="28">
        <f t="shared" si="4"/>
        <v>-3.4915851631439041E-4</v>
      </c>
    </row>
    <row r="221" spans="1:10" ht="15" x14ac:dyDescent="0.25">
      <c r="A221" s="14">
        <v>224</v>
      </c>
      <c r="B221" s="15" t="s">
        <v>28</v>
      </c>
      <c r="C221" s="16" t="s">
        <v>29</v>
      </c>
      <c r="D221" s="17">
        <v>44258</v>
      </c>
      <c r="E221" s="18">
        <v>76.319999999999993</v>
      </c>
      <c r="F221" s="12">
        <f ca="1">IFERROR(__xludf.DUMMYFUNCTION("GOOGLEFINANCE(C221)"),86.54)</f>
        <v>86.54</v>
      </c>
      <c r="H221" s="12">
        <v>86.54</v>
      </c>
      <c r="I221" s="13">
        <f t="shared" si="0"/>
        <v>0.13390985324947607</v>
      </c>
      <c r="J221" s="28">
        <f t="shared" si="4"/>
        <v>9.9315336396690065E-5</v>
      </c>
    </row>
    <row r="222" spans="1:10" ht="15" x14ac:dyDescent="0.25">
      <c r="A222" s="14">
        <v>225</v>
      </c>
      <c r="B222" s="15" t="s">
        <v>329</v>
      </c>
      <c r="C222" s="16" t="s">
        <v>330</v>
      </c>
      <c r="D222" s="17">
        <v>44257</v>
      </c>
      <c r="E222" s="18">
        <v>169.01</v>
      </c>
      <c r="F222" s="12">
        <f ca="1">IFERROR(__xludf.DUMMYFUNCTION("GOOGLEFINANCE(C222)"),61.06)</f>
        <v>61.06</v>
      </c>
      <c r="H222" s="12">
        <v>61.06</v>
      </c>
      <c r="I222" s="13">
        <f t="shared" si="0"/>
        <v>-0.63871960239039105</v>
      </c>
      <c r="J222" s="28">
        <f t="shared" si="4"/>
        <v>-1.0490303878691466E-3</v>
      </c>
    </row>
    <row r="223" spans="1:10" ht="15" x14ac:dyDescent="0.25">
      <c r="A223" s="14">
        <v>226</v>
      </c>
      <c r="B223" s="15" t="s">
        <v>331</v>
      </c>
      <c r="C223" s="16" t="s">
        <v>332</v>
      </c>
      <c r="D223" s="17">
        <v>44257</v>
      </c>
      <c r="E223" s="18">
        <v>15.95</v>
      </c>
      <c r="F223" s="12">
        <f ca="1">IFERROR(__xludf.DUMMYFUNCTION("GOOGLEFINANCE(C223)"),3.85)</f>
        <v>3.85</v>
      </c>
      <c r="H223" s="12">
        <v>3.85</v>
      </c>
      <c r="I223" s="13">
        <f t="shared" si="0"/>
        <v>-0.75862068965517238</v>
      </c>
      <c r="J223" s="28">
        <f t="shared" si="4"/>
        <v>-1.1758469377690296E-4</v>
      </c>
    </row>
    <row r="224" spans="1:10" ht="15" x14ac:dyDescent="0.25">
      <c r="A224" s="14">
        <v>227</v>
      </c>
      <c r="B224" s="15" t="s">
        <v>333</v>
      </c>
      <c r="C224" s="16" t="s">
        <v>334</v>
      </c>
      <c r="D224" s="17">
        <v>44257</v>
      </c>
      <c r="E224" s="18">
        <v>33.51</v>
      </c>
      <c r="F224" s="12">
        <f ca="1">IFERROR(__xludf.DUMMYFUNCTION("GOOGLEFINANCE(C224)"),59.48)</f>
        <v>59.48</v>
      </c>
      <c r="H224" s="12">
        <v>59.48</v>
      </c>
      <c r="I224" s="13">
        <f t="shared" si="0"/>
        <v>0.77499253954043568</v>
      </c>
      <c r="J224" s="28">
        <f t="shared" si="4"/>
        <v>2.5236979317241068E-4</v>
      </c>
    </row>
    <row r="225" spans="1:10" ht="15" x14ac:dyDescent="0.25">
      <c r="A225" s="14">
        <v>228</v>
      </c>
      <c r="B225" s="15" t="s">
        <v>335</v>
      </c>
      <c r="C225" s="16" t="s">
        <v>336</v>
      </c>
      <c r="D225" s="17">
        <v>44257</v>
      </c>
      <c r="E225" s="18">
        <v>54.61</v>
      </c>
      <c r="F225" s="12">
        <f ca="1">IFERROR(__xludf.DUMMYFUNCTION("GOOGLEFINANCE(C225)"),64.09)</f>
        <v>64.09</v>
      </c>
      <c r="H225" s="12">
        <v>64.09</v>
      </c>
      <c r="I225" s="13">
        <f t="shared" si="0"/>
        <v>0.17359457974729911</v>
      </c>
      <c r="J225" s="28">
        <f t="shared" si="4"/>
        <v>9.2124206364052949E-5</v>
      </c>
    </row>
    <row r="226" spans="1:10" ht="15" x14ac:dyDescent="0.25">
      <c r="A226" s="14">
        <v>229</v>
      </c>
      <c r="B226" s="15" t="s">
        <v>337</v>
      </c>
      <c r="C226" s="16" t="s">
        <v>338</v>
      </c>
      <c r="D226" s="17">
        <v>44257</v>
      </c>
      <c r="E226" s="18">
        <v>354.66</v>
      </c>
      <c r="F226" s="12">
        <f ca="1">IFERROR(__xludf.DUMMYFUNCTION("GOOGLEFINANCE(C226)"),530.14)</f>
        <v>530.14</v>
      </c>
      <c r="H226" s="12">
        <v>530.14</v>
      </c>
      <c r="I226" s="13">
        <f t="shared" si="0"/>
        <v>0.4947837365364009</v>
      </c>
      <c r="J226" s="28">
        <f t="shared" si="4"/>
        <v>1.7052695920637131E-3</v>
      </c>
    </row>
    <row r="227" spans="1:10" ht="15" x14ac:dyDescent="0.25">
      <c r="A227" s="14">
        <v>230</v>
      </c>
      <c r="B227" s="15" t="s">
        <v>251</v>
      </c>
      <c r="C227" s="16" t="s">
        <v>252</v>
      </c>
      <c r="D227" s="17">
        <v>44257</v>
      </c>
      <c r="E227" s="18">
        <v>86.37</v>
      </c>
      <c r="F227" s="12">
        <f ca="1">IFERROR(__xludf.DUMMYFUNCTION("GOOGLEFINANCE(C227)"),77.29)</f>
        <v>77.290000000000006</v>
      </c>
      <c r="H227" s="12">
        <v>77.290000000000006</v>
      </c>
      <c r="I227" s="13">
        <f t="shared" si="0"/>
        <v>-0.10512909575083938</v>
      </c>
      <c r="J227" s="28">
        <f t="shared" si="4"/>
        <v>-8.8237109049113939E-5</v>
      </c>
    </row>
    <row r="228" spans="1:10" ht="15" x14ac:dyDescent="0.25">
      <c r="A228" s="14">
        <v>231</v>
      </c>
      <c r="B228" s="15" t="s">
        <v>291</v>
      </c>
      <c r="C228" s="16" t="s">
        <v>292</v>
      </c>
      <c r="D228" s="17">
        <v>44257</v>
      </c>
      <c r="E228" s="18">
        <v>159.02000000000001</v>
      </c>
      <c r="F228" s="12">
        <f ca="1">IFERROR(__xludf.DUMMYFUNCTION("GOOGLEFINANCE(C228)"),168.23)</f>
        <v>168.23</v>
      </c>
      <c r="H228" s="12">
        <v>168.23</v>
      </c>
      <c r="I228" s="13">
        <f t="shared" si="0"/>
        <v>5.791724311407357E-2</v>
      </c>
      <c r="J228" s="28">
        <f t="shared" si="4"/>
        <v>8.9500415676468906E-5</v>
      </c>
    </row>
    <row r="229" spans="1:10" ht="15" x14ac:dyDescent="0.25">
      <c r="A229" s="14">
        <v>232</v>
      </c>
      <c r="B229" s="15" t="s">
        <v>339</v>
      </c>
      <c r="C229" s="16" t="s">
        <v>340</v>
      </c>
      <c r="D229" s="17">
        <v>44257</v>
      </c>
      <c r="E229" s="18">
        <v>35.25</v>
      </c>
      <c r="F229" s="12">
        <f ca="1">IFERROR(__xludf.DUMMYFUNCTION("GOOGLEFINANCE(C229)"),9.59)</f>
        <v>9.59</v>
      </c>
      <c r="H229" s="12">
        <v>9.59</v>
      </c>
      <c r="I229" s="13">
        <f t="shared" si="0"/>
        <v>-0.72794326241134755</v>
      </c>
      <c r="J229" s="28">
        <f t="shared" si="4"/>
        <v>-2.4935729275333304E-4</v>
      </c>
    </row>
    <row r="230" spans="1:10" ht="15" x14ac:dyDescent="0.25">
      <c r="A230" s="14">
        <v>233</v>
      </c>
      <c r="B230" s="15" t="s">
        <v>341</v>
      </c>
      <c r="C230" s="16" t="s">
        <v>342</v>
      </c>
      <c r="D230" s="17">
        <v>44257</v>
      </c>
      <c r="E230" s="18">
        <v>46.22</v>
      </c>
      <c r="F230" s="12">
        <f ca="1">IFERROR(__xludf.DUMMYFUNCTION("GOOGLEFINANCE(C230)"),43.63)</f>
        <v>43.63</v>
      </c>
      <c r="H230" s="12">
        <v>43.63</v>
      </c>
      <c r="I230" s="13">
        <f t="shared" si="0"/>
        <v>-5.6036347901341335E-2</v>
      </c>
      <c r="J230" s="28">
        <f t="shared" si="4"/>
        <v>-2.5168955114229609E-5</v>
      </c>
    </row>
    <row r="231" spans="1:10" ht="15" x14ac:dyDescent="0.25">
      <c r="A231" s="14">
        <v>234</v>
      </c>
      <c r="B231" s="15" t="s">
        <v>305</v>
      </c>
      <c r="C231" s="16" t="s">
        <v>306</v>
      </c>
      <c r="D231" s="17">
        <v>44256</v>
      </c>
      <c r="E231" s="18">
        <v>337.42</v>
      </c>
      <c r="F231" s="12">
        <f ca="1">IFERROR(__xludf.DUMMYFUNCTION("GOOGLEFINANCE(C231)"),380.94)</f>
        <v>380.94</v>
      </c>
      <c r="H231" s="12">
        <v>380.94</v>
      </c>
      <c r="I231" s="13">
        <f t="shared" si="0"/>
        <v>0.12897872088198678</v>
      </c>
      <c r="J231" s="28">
        <f t="shared" si="4"/>
        <v>4.2291618786535659E-4</v>
      </c>
    </row>
    <row r="232" spans="1:10" ht="15" x14ac:dyDescent="0.25">
      <c r="A232" s="14">
        <v>235</v>
      </c>
      <c r="B232" s="15" t="s">
        <v>281</v>
      </c>
      <c r="C232" s="16" t="s">
        <v>282</v>
      </c>
      <c r="D232" s="17">
        <v>44256</v>
      </c>
      <c r="E232" s="18">
        <v>241</v>
      </c>
      <c r="F232" s="12">
        <f ca="1">IFERROR(__xludf.DUMMYFUNCTION("GOOGLEFINANCE(C232)"),167.06)</f>
        <v>167.06</v>
      </c>
      <c r="H232" s="12">
        <v>167.06</v>
      </c>
      <c r="I232" s="13">
        <f t="shared" si="0"/>
        <v>-0.30680497925311201</v>
      </c>
      <c r="J232" s="28">
        <f t="shared" si="4"/>
        <v>-7.1852993866646322E-4</v>
      </c>
    </row>
    <row r="233" spans="1:10" ht="15" x14ac:dyDescent="0.25">
      <c r="A233" s="14">
        <v>236</v>
      </c>
      <c r="B233" s="15" t="s">
        <v>343</v>
      </c>
      <c r="C233" s="16" t="s">
        <v>344</v>
      </c>
      <c r="D233" s="17">
        <v>44256</v>
      </c>
      <c r="E233" s="18">
        <v>120.34</v>
      </c>
      <c r="F233" s="12">
        <f ca="1">IFERROR(__xludf.DUMMYFUNCTION("GOOGLEFINANCE(C233)"),115.05)</f>
        <v>115.05</v>
      </c>
      <c r="H233" s="12">
        <v>115.05</v>
      </c>
      <c r="I233" s="13">
        <f t="shared" si="0"/>
        <v>-4.3958783446900497E-2</v>
      </c>
      <c r="J233" s="28">
        <f t="shared" si="4"/>
        <v>-5.1406861990067549E-5</v>
      </c>
    </row>
    <row r="234" spans="1:10" ht="15" x14ac:dyDescent="0.25">
      <c r="A234" s="14">
        <v>237</v>
      </c>
      <c r="B234" s="15" t="s">
        <v>345</v>
      </c>
      <c r="C234" s="16" t="s">
        <v>346</v>
      </c>
      <c r="D234" s="17">
        <v>44256</v>
      </c>
      <c r="E234" s="18">
        <v>126.26</v>
      </c>
      <c r="F234" s="12">
        <f ca="1">IFERROR(__xludf.DUMMYFUNCTION("GOOGLEFINANCE(C234)"),48.22)</f>
        <v>48.22</v>
      </c>
      <c r="H234" s="12">
        <v>48.22</v>
      </c>
      <c r="I234" s="13">
        <f t="shared" si="0"/>
        <v>-0.61808965626485035</v>
      </c>
      <c r="J234" s="28">
        <f t="shared" si="4"/>
        <v>-7.5837268614458743E-4</v>
      </c>
    </row>
    <row r="235" spans="1:10" ht="15" x14ac:dyDescent="0.25">
      <c r="A235" s="14">
        <v>238</v>
      </c>
      <c r="B235" s="15" t="s">
        <v>74</v>
      </c>
      <c r="C235" s="16" t="s">
        <v>75</v>
      </c>
      <c r="D235" s="17">
        <v>44256</v>
      </c>
      <c r="E235" s="18">
        <v>553.66999999999996</v>
      </c>
      <c r="F235" s="12">
        <f ca="1">IFERROR(__xludf.DUMMYFUNCTION("GOOGLEFINANCE(C235)"),278.01)</f>
        <v>278.01</v>
      </c>
      <c r="H235" s="12">
        <v>278.01</v>
      </c>
      <c r="I235" s="13">
        <f t="shared" si="0"/>
        <v>-0.49787779724384557</v>
      </c>
      <c r="J235" s="28">
        <f t="shared" si="4"/>
        <v>-2.6787931145901707E-3</v>
      </c>
    </row>
    <row r="236" spans="1:10" ht="15" x14ac:dyDescent="0.25">
      <c r="A236" s="14">
        <v>239</v>
      </c>
      <c r="B236" s="15" t="s">
        <v>207</v>
      </c>
      <c r="C236" s="16" t="s">
        <v>208</v>
      </c>
      <c r="D236" s="17">
        <v>44256</v>
      </c>
      <c r="E236" s="18">
        <v>347.56</v>
      </c>
      <c r="F236" s="12">
        <f ca="1">IFERROR(__xludf.DUMMYFUNCTION("GOOGLEFINANCE(C236)"),436.35)</f>
        <v>436.35</v>
      </c>
      <c r="H236" s="12">
        <v>436.35</v>
      </c>
      <c r="I236" s="13">
        <f t="shared" si="0"/>
        <v>0.25546668201173905</v>
      </c>
      <c r="J236" s="28">
        <f t="shared" si="4"/>
        <v>8.6283842648357165E-4</v>
      </c>
    </row>
    <row r="237" spans="1:10" ht="15" x14ac:dyDescent="0.25">
      <c r="A237" s="14">
        <v>240</v>
      </c>
      <c r="B237" s="15" t="s">
        <v>120</v>
      </c>
      <c r="C237" s="16" t="s">
        <v>121</v>
      </c>
      <c r="D237" s="17">
        <v>44256</v>
      </c>
      <c r="E237" s="18">
        <v>27.38</v>
      </c>
      <c r="F237" s="12">
        <f ca="1">IFERROR(__xludf.DUMMYFUNCTION("GOOGLEFINANCE(C237)"),17.04)</f>
        <v>17.04</v>
      </c>
      <c r="H237" s="12">
        <v>17.04</v>
      </c>
      <c r="I237" s="13">
        <f t="shared" si="0"/>
        <v>-0.37764791818845872</v>
      </c>
      <c r="J237" s="28">
        <f t="shared" si="4"/>
        <v>-1.0048146559117162E-4</v>
      </c>
    </row>
    <row r="238" spans="1:10" ht="15" x14ac:dyDescent="0.25">
      <c r="A238" s="14">
        <v>241</v>
      </c>
      <c r="B238" s="15" t="s">
        <v>347</v>
      </c>
      <c r="C238" s="16" t="s">
        <v>348</v>
      </c>
      <c r="D238" s="17">
        <v>44256</v>
      </c>
      <c r="E238" s="18">
        <v>104</v>
      </c>
      <c r="F238" s="12">
        <f ca="1">IFERROR(__xludf.DUMMYFUNCTION("GOOGLEFINANCE(C238)"),129.52)</f>
        <v>129.52000000000001</v>
      </c>
      <c r="H238" s="12">
        <v>129.52000000000001</v>
      </c>
      <c r="I238" s="13">
        <f t="shared" si="0"/>
        <v>0.24538461538461548</v>
      </c>
      <c r="J238" s="28">
        <f t="shared" si="4"/>
        <v>2.4799680869310451E-4</v>
      </c>
    </row>
    <row r="239" spans="1:10" ht="15" x14ac:dyDescent="0.25">
      <c r="A239" s="14">
        <v>242</v>
      </c>
      <c r="B239" s="15" t="s">
        <v>142</v>
      </c>
      <c r="C239" s="16" t="s">
        <v>143</v>
      </c>
      <c r="D239" s="17">
        <v>44256</v>
      </c>
      <c r="E239" s="18">
        <v>11.98</v>
      </c>
      <c r="F239" s="12">
        <f ca="1">IFERROR(__xludf.DUMMYFUNCTION("GOOGLEFINANCE(C239)"),19.77)</f>
        <v>19.77</v>
      </c>
      <c r="H239" s="12">
        <v>19.77</v>
      </c>
      <c r="I239" s="13">
        <f t="shared" si="0"/>
        <v>0.65025041736227041</v>
      </c>
      <c r="J239" s="28">
        <f t="shared" si="4"/>
        <v>7.5701220208435876E-5</v>
      </c>
    </row>
    <row r="240" spans="1:10" ht="15" x14ac:dyDescent="0.25">
      <c r="A240" s="14">
        <v>243</v>
      </c>
      <c r="B240" s="15" t="s">
        <v>349</v>
      </c>
      <c r="C240" s="16" t="s">
        <v>350</v>
      </c>
      <c r="D240" s="17">
        <v>44256</v>
      </c>
      <c r="E240" s="18">
        <v>85.77</v>
      </c>
      <c r="F240" s="12">
        <f ca="1">IFERROR(__xludf.DUMMYFUNCTION("GOOGLEFINANCE(C240)"),122.12)</f>
        <v>122.12</v>
      </c>
      <c r="H240" s="12">
        <v>122.12</v>
      </c>
      <c r="I240" s="13">
        <f t="shared" si="0"/>
        <v>0.42380785822548689</v>
      </c>
      <c r="J240" s="28">
        <f t="shared" si="4"/>
        <v>3.5323996849507633E-4</v>
      </c>
    </row>
    <row r="241" spans="1:10" ht="15" x14ac:dyDescent="0.25">
      <c r="A241" s="14">
        <v>244</v>
      </c>
      <c r="B241" s="15" t="s">
        <v>351</v>
      </c>
      <c r="C241" s="16" t="s">
        <v>352</v>
      </c>
      <c r="D241" s="17">
        <v>44256</v>
      </c>
      <c r="E241" s="18">
        <v>217.54</v>
      </c>
      <c r="F241" s="12">
        <f ca="1">IFERROR(__xludf.DUMMYFUNCTION("GOOGLEFINANCE(C241)"),252.93)</f>
        <v>252.93</v>
      </c>
      <c r="H241" s="12">
        <v>252.93</v>
      </c>
      <c r="I241" s="13">
        <f t="shared" si="0"/>
        <v>0.16268272501608907</v>
      </c>
      <c r="J241" s="28">
        <f t="shared" si="4"/>
        <v>3.4391093493922294E-4</v>
      </c>
    </row>
    <row r="242" spans="1:10" ht="15" x14ac:dyDescent="0.25">
      <c r="A242" s="14">
        <v>245</v>
      </c>
      <c r="B242" s="15" t="s">
        <v>299</v>
      </c>
      <c r="C242" s="16" t="s">
        <v>300</v>
      </c>
      <c r="D242" s="17">
        <v>44256</v>
      </c>
      <c r="E242" s="18">
        <v>147.11000000000001</v>
      </c>
      <c r="F242" s="12">
        <f ca="1">IFERROR(__xludf.DUMMYFUNCTION("GOOGLEFINANCE(C242)"),69.24)</f>
        <v>69.239999999999995</v>
      </c>
      <c r="H242" s="12">
        <v>69.239999999999995</v>
      </c>
      <c r="I242" s="13">
        <f t="shared" si="0"/>
        <v>-0.52933179253619744</v>
      </c>
      <c r="J242" s="28">
        <f t="shared" si="4"/>
        <v>-7.5672066978573838E-4</v>
      </c>
    </row>
    <row r="243" spans="1:10" ht="15" x14ac:dyDescent="0.25">
      <c r="A243" s="14">
        <v>246</v>
      </c>
      <c r="B243" s="15" t="s">
        <v>50</v>
      </c>
      <c r="C243" s="16" t="s">
        <v>51</v>
      </c>
      <c r="D243" s="17">
        <v>44256</v>
      </c>
      <c r="E243" s="18">
        <v>196.42</v>
      </c>
      <c r="F243" s="12">
        <f ca="1">IFERROR(__xludf.DUMMYFUNCTION("GOOGLEFINANCE(C243)"),157.91)</f>
        <v>157.91</v>
      </c>
      <c r="H243" s="12">
        <v>157.91</v>
      </c>
      <c r="I243" s="13">
        <f t="shared" si="0"/>
        <v>-0.19605946441299255</v>
      </c>
      <c r="J243" s="28">
        <f t="shared" si="4"/>
        <v>-3.7423029399574645E-4</v>
      </c>
    </row>
    <row r="244" spans="1:10" ht="15" x14ac:dyDescent="0.25">
      <c r="A244" s="14">
        <v>247</v>
      </c>
      <c r="B244" s="15" t="s">
        <v>353</v>
      </c>
      <c r="C244" s="16" t="s">
        <v>354</v>
      </c>
      <c r="D244" s="17">
        <v>44253</v>
      </c>
      <c r="E244" s="18">
        <v>373.61</v>
      </c>
      <c r="F244" s="12">
        <f ca="1">IFERROR(__xludf.DUMMYFUNCTION("GOOGLEFINANCE(C244)"),199.74)</f>
        <v>199.74</v>
      </c>
      <c r="H244" s="12">
        <v>199.74</v>
      </c>
      <c r="I244" s="13">
        <f t="shared" si="0"/>
        <v>-0.46537833569765263</v>
      </c>
      <c r="J244" s="28">
        <f t="shared" si="4"/>
        <v>-1.6896240253710842E-3</v>
      </c>
    </row>
    <row r="245" spans="1:10" ht="15" x14ac:dyDescent="0.25">
      <c r="A245" s="14">
        <v>248</v>
      </c>
      <c r="B245" s="15" t="s">
        <v>319</v>
      </c>
      <c r="C245" s="16" t="s">
        <v>320</v>
      </c>
      <c r="D245" s="17">
        <v>44253</v>
      </c>
      <c r="E245" s="18">
        <v>20.43</v>
      </c>
      <c r="F245" s="12">
        <f ca="1">IFERROR(__xludf.DUMMYFUNCTION("GOOGLEFINANCE(C245)"),22.46)</f>
        <v>22.46</v>
      </c>
      <c r="H245" s="12">
        <v>22.46</v>
      </c>
      <c r="I245" s="13">
        <f t="shared" si="0"/>
        <v>9.9363680861478273E-2</v>
      </c>
      <c r="J245" s="28">
        <f t="shared" si="4"/>
        <v>1.9727018873315135E-5</v>
      </c>
    </row>
    <row r="246" spans="1:10" ht="15" x14ac:dyDescent="0.25">
      <c r="A246" s="14">
        <v>249</v>
      </c>
      <c r="B246" s="15" t="s">
        <v>355</v>
      </c>
      <c r="C246" s="16" t="s">
        <v>356</v>
      </c>
      <c r="D246" s="17">
        <v>44253</v>
      </c>
      <c r="E246" s="18">
        <v>245.18</v>
      </c>
      <c r="F246" s="12">
        <f ca="1">IFERROR(__xludf.DUMMYFUNCTION("GOOGLEFINANCE(C246)"),273.88)</f>
        <v>273.88</v>
      </c>
      <c r="H246" s="12">
        <v>273.88</v>
      </c>
      <c r="I246" s="13">
        <f t="shared" si="0"/>
        <v>0.11705685618729092</v>
      </c>
      <c r="J246" s="28">
        <f t="shared" si="4"/>
        <v>2.7889923234686889E-4</v>
      </c>
    </row>
    <row r="247" spans="1:10" ht="15" x14ac:dyDescent="0.25">
      <c r="A247" s="14">
        <v>250</v>
      </c>
      <c r="B247" s="15" t="s">
        <v>156</v>
      </c>
      <c r="C247" s="16" t="s">
        <v>157</v>
      </c>
      <c r="D247" s="17">
        <v>44253</v>
      </c>
      <c r="E247" s="18">
        <v>675.5</v>
      </c>
      <c r="F247" s="12">
        <f ca="1">IFERROR(__xludf.DUMMYFUNCTION("GOOGLEFINANCE(C247)"),932.57)</f>
        <v>932.57</v>
      </c>
      <c r="H247" s="12">
        <v>932.57</v>
      </c>
      <c r="I247" s="13">
        <f t="shared" si="0"/>
        <v>0.38056254626202818</v>
      </c>
      <c r="J247" s="28">
        <f t="shared" si="4"/>
        <v>2.4981402668783842E-3</v>
      </c>
    </row>
    <row r="248" spans="1:10" ht="15" x14ac:dyDescent="0.25">
      <c r="A248" s="14">
        <v>251</v>
      </c>
      <c r="B248" s="15" t="s">
        <v>357</v>
      </c>
      <c r="C248" s="16" t="s">
        <v>358</v>
      </c>
      <c r="D248" s="17">
        <v>44253</v>
      </c>
      <c r="E248" s="18">
        <v>183.44</v>
      </c>
      <c r="F248" s="12">
        <f ca="1">IFERROR(__xludf.DUMMYFUNCTION("GOOGLEFINANCE(C248)"),223.31)</f>
        <v>223.31</v>
      </c>
      <c r="H248" s="12">
        <v>223.31</v>
      </c>
      <c r="I248" s="13">
        <f t="shared" si="0"/>
        <v>0.21734627126035763</v>
      </c>
      <c r="J248" s="28">
        <f t="shared" si="4"/>
        <v>3.8744642486653898E-4</v>
      </c>
    </row>
    <row r="249" spans="1:10" ht="15" x14ac:dyDescent="0.25">
      <c r="A249" s="14">
        <v>252</v>
      </c>
      <c r="B249" s="15" t="s">
        <v>283</v>
      </c>
      <c r="C249" s="16" t="s">
        <v>284</v>
      </c>
      <c r="D249" s="17">
        <v>44253</v>
      </c>
      <c r="E249" s="18">
        <v>259.54000000000002</v>
      </c>
      <c r="F249" s="12">
        <f ca="1">IFERROR(__xludf.DUMMYFUNCTION("GOOGLEFINANCE(C249)"),332.33)</f>
        <v>332.33</v>
      </c>
      <c r="H249" s="12">
        <v>332.33</v>
      </c>
      <c r="I249" s="13">
        <f t="shared" si="0"/>
        <v>0.28045773291207504</v>
      </c>
      <c r="J249" s="28">
        <f t="shared" si="4"/>
        <v>7.0735453388601341E-4</v>
      </c>
    </row>
    <row r="250" spans="1:10" ht="15" x14ac:dyDescent="0.25">
      <c r="A250" s="14">
        <v>253</v>
      </c>
      <c r="B250" s="15" t="s">
        <v>359</v>
      </c>
      <c r="C250" s="16" t="s">
        <v>360</v>
      </c>
      <c r="D250" s="17">
        <v>44253</v>
      </c>
      <c r="E250" s="18">
        <v>21.85</v>
      </c>
      <c r="F250" s="12">
        <f ca="1">IFERROR(__xludf.DUMMYFUNCTION("GOOGLEFINANCE(C250)"),15.43)</f>
        <v>15.43</v>
      </c>
      <c r="H250" s="12">
        <v>15.43</v>
      </c>
      <c r="I250" s="13">
        <f t="shared" si="0"/>
        <v>-0.29382151029748288</v>
      </c>
      <c r="J250" s="28">
        <f t="shared" si="4"/>
        <v>-6.2387911904770009E-5</v>
      </c>
    </row>
    <row r="251" spans="1:10" ht="15" x14ac:dyDescent="0.25">
      <c r="A251" s="14">
        <v>254</v>
      </c>
      <c r="B251" s="15" t="s">
        <v>361</v>
      </c>
      <c r="C251" s="16" t="s">
        <v>362</v>
      </c>
      <c r="D251" s="17">
        <v>44253</v>
      </c>
      <c r="E251" s="18">
        <v>192.35</v>
      </c>
      <c r="F251" s="12">
        <f ca="1">IFERROR(__xludf.DUMMYFUNCTION("GOOGLEFINANCE(C251)"),164.72)</f>
        <v>164.72</v>
      </c>
      <c r="H251" s="12">
        <v>164.72</v>
      </c>
      <c r="I251" s="13">
        <f t="shared" si="0"/>
        <v>-0.14364439823238886</v>
      </c>
      <c r="J251" s="28">
        <f t="shared" si="4"/>
        <v>-2.6850124702940733E-4</v>
      </c>
    </row>
    <row r="252" spans="1:10" ht="15" x14ac:dyDescent="0.25">
      <c r="A252" s="14">
        <v>255</v>
      </c>
      <c r="B252" s="15" t="s">
        <v>42</v>
      </c>
      <c r="C252" s="16" t="s">
        <v>43</v>
      </c>
      <c r="D252" s="17">
        <v>44253</v>
      </c>
      <c r="E252" s="18">
        <v>125.79</v>
      </c>
      <c r="F252" s="12">
        <f ca="1">IFERROR(__xludf.DUMMYFUNCTION("GOOGLEFINANCE(C252)"),46.28)</f>
        <v>46.28</v>
      </c>
      <c r="H252" s="12">
        <v>46.28</v>
      </c>
      <c r="I252" s="13">
        <f t="shared" si="0"/>
        <v>-0.6320852214007473</v>
      </c>
      <c r="J252" s="28">
        <f t="shared" si="4"/>
        <v>-7.7265776877698798E-4</v>
      </c>
    </row>
    <row r="253" spans="1:10" ht="15" x14ac:dyDescent="0.25">
      <c r="A253" s="14">
        <v>257</v>
      </c>
      <c r="B253" s="15" t="s">
        <v>363</v>
      </c>
      <c r="C253" s="16" t="s">
        <v>364</v>
      </c>
      <c r="D253" s="17">
        <v>44253</v>
      </c>
      <c r="E253" s="18">
        <v>98.2</v>
      </c>
      <c r="F253" s="12">
        <f ca="1">IFERROR(__xludf.DUMMYFUNCTION("GOOGLEFINANCE(C253)"),136.32)</f>
        <v>136.32</v>
      </c>
      <c r="H253" s="12">
        <v>136.32</v>
      </c>
      <c r="I253" s="13">
        <f t="shared" si="0"/>
        <v>0.38818737270875753</v>
      </c>
      <c r="J253" s="28">
        <f t="shared" si="4"/>
        <v>3.7044037411368099E-4</v>
      </c>
    </row>
    <row r="254" spans="1:10" ht="15" x14ac:dyDescent="0.25">
      <c r="A254" s="14">
        <v>258</v>
      </c>
      <c r="B254" s="15" t="s">
        <v>84</v>
      </c>
      <c r="C254" s="16" t="s">
        <v>85</v>
      </c>
      <c r="D254" s="17">
        <v>44253</v>
      </c>
      <c r="E254" s="18">
        <v>331</v>
      </c>
      <c r="F254" s="12">
        <f ca="1">IFERROR(__xludf.DUMMYFUNCTION("GOOGLEFINANCE(C254)"),547.61)</f>
        <v>547.61</v>
      </c>
      <c r="H254" s="12">
        <v>547.61</v>
      </c>
      <c r="I254" s="13">
        <f t="shared" si="0"/>
        <v>0.65441087613293059</v>
      </c>
      <c r="J254" s="28">
        <f t="shared" si="4"/>
        <v>2.1049603734723103E-3</v>
      </c>
    </row>
    <row r="255" spans="1:10" ht="15" x14ac:dyDescent="0.25">
      <c r="A255" s="14">
        <v>259</v>
      </c>
      <c r="B255" s="15" t="s">
        <v>365</v>
      </c>
      <c r="C255" s="16" t="s">
        <v>366</v>
      </c>
      <c r="D255" s="17">
        <v>44253</v>
      </c>
      <c r="E255" s="18">
        <v>279.83999999999997</v>
      </c>
      <c r="F255" s="12">
        <f ca="1">IFERROR(__xludf.DUMMYFUNCTION("GOOGLEFINANCE(C255)"),135.03)</f>
        <v>135.03</v>
      </c>
      <c r="H255" s="12">
        <v>135.03</v>
      </c>
      <c r="I255" s="13">
        <f t="shared" si="0"/>
        <v>-0.51747427101200683</v>
      </c>
      <c r="J255" s="28">
        <f t="shared" si="4"/>
        <v>-1.4072264054407699E-3</v>
      </c>
    </row>
    <row r="256" spans="1:10" ht="15" x14ac:dyDescent="0.25">
      <c r="A256" s="14">
        <v>260</v>
      </c>
      <c r="B256" s="15" t="s">
        <v>367</v>
      </c>
      <c r="C256" s="16" t="s">
        <v>368</v>
      </c>
      <c r="D256" s="17">
        <v>44252</v>
      </c>
      <c r="E256" s="18">
        <v>74.59</v>
      </c>
      <c r="F256" s="12">
        <f ca="1">IFERROR(__xludf.DUMMYFUNCTION("GOOGLEFINANCE(C256)"),43.07)</f>
        <v>43.07</v>
      </c>
      <c r="H256" s="12">
        <v>43.07</v>
      </c>
      <c r="I256" s="13">
        <f t="shared" si="0"/>
        <v>-0.42257675291594049</v>
      </c>
      <c r="J256" s="28">
        <f t="shared" si="4"/>
        <v>-3.0630326841718861E-4</v>
      </c>
    </row>
    <row r="257" spans="1:10" ht="15" x14ac:dyDescent="0.25">
      <c r="A257" s="14">
        <v>261</v>
      </c>
      <c r="B257" s="15" t="s">
        <v>74</v>
      </c>
      <c r="C257" s="16" t="s">
        <v>75</v>
      </c>
      <c r="D257" s="17">
        <v>44252</v>
      </c>
      <c r="E257" s="18">
        <v>532.29999999999995</v>
      </c>
      <c r="F257" s="12">
        <f ca="1">IFERROR(__xludf.DUMMYFUNCTION("GOOGLEFINANCE(C257)"),278.01)</f>
        <v>278.01</v>
      </c>
      <c r="H257" s="12">
        <v>278.01</v>
      </c>
      <c r="I257" s="13">
        <f t="shared" si="0"/>
        <v>-0.47771933120420812</v>
      </c>
      <c r="J257" s="28">
        <f t="shared" si="4"/>
        <v>-2.4711249405395576E-3</v>
      </c>
    </row>
    <row r="258" spans="1:10" ht="15" x14ac:dyDescent="0.25">
      <c r="A258" s="14">
        <v>262</v>
      </c>
      <c r="B258" s="15" t="s">
        <v>369</v>
      </c>
      <c r="C258" s="16" t="s">
        <v>370</v>
      </c>
      <c r="D258" s="17">
        <v>44252</v>
      </c>
      <c r="E258" s="18">
        <v>70.64</v>
      </c>
      <c r="F258" s="12">
        <f ca="1">IFERROR(__xludf.DUMMYFUNCTION("GOOGLEFINANCE(C258)"),39.31)</f>
        <v>39.31</v>
      </c>
      <c r="H258" s="12">
        <v>39.31</v>
      </c>
      <c r="I258" s="13">
        <f t="shared" si="0"/>
        <v>-0.44351642129105318</v>
      </c>
      <c r="J258" s="28">
        <f t="shared" si="4"/>
        <v>-3.044568971925925E-4</v>
      </c>
    </row>
    <row r="259" spans="1:10" ht="15" x14ac:dyDescent="0.25">
      <c r="A259" s="14">
        <v>263</v>
      </c>
      <c r="B259" s="15" t="s">
        <v>371</v>
      </c>
      <c r="C259" s="16" t="s">
        <v>372</v>
      </c>
      <c r="D259" s="17">
        <v>44252</v>
      </c>
      <c r="E259" s="18">
        <v>104.85</v>
      </c>
      <c r="F259" s="12">
        <f ca="1">IFERROR(__xludf.DUMMYFUNCTION("GOOGLEFINANCE(C259)"),79.76)</f>
        <v>79.760000000000005</v>
      </c>
      <c r="H259" s="12">
        <v>79.760000000000005</v>
      </c>
      <c r="I259" s="13">
        <f t="shared" si="0"/>
        <v>-0.23929422985216967</v>
      </c>
      <c r="J259" s="28">
        <f t="shared" ref="J259:J322" si="5">(E259/$E$609)*I259</f>
        <v>-2.4381817907954492E-4</v>
      </c>
    </row>
    <row r="260" spans="1:10" ht="15" x14ac:dyDescent="0.25">
      <c r="A260" s="14">
        <v>264</v>
      </c>
      <c r="B260" s="15" t="s">
        <v>287</v>
      </c>
      <c r="C260" s="16" t="s">
        <v>288</v>
      </c>
      <c r="D260" s="17">
        <v>44252</v>
      </c>
      <c r="E260" s="18">
        <v>148.38</v>
      </c>
      <c r="F260" s="12">
        <f ca="1">IFERROR(__xludf.DUMMYFUNCTION("GOOGLEFINANCE(C260)"),294.8)</f>
        <v>294.8</v>
      </c>
      <c r="H260" s="12">
        <v>294.8</v>
      </c>
      <c r="I260" s="13">
        <f t="shared" si="0"/>
        <v>0.98679067259738518</v>
      </c>
      <c r="J260" s="28">
        <f t="shared" si="5"/>
        <v>1.4228719721333994E-3</v>
      </c>
    </row>
    <row r="261" spans="1:10" ht="15" x14ac:dyDescent="0.25">
      <c r="A261" s="14">
        <v>265</v>
      </c>
      <c r="B261" s="15" t="s">
        <v>120</v>
      </c>
      <c r="C261" s="16" t="s">
        <v>121</v>
      </c>
      <c r="D261" s="17">
        <v>44252</v>
      </c>
      <c r="E261" s="18">
        <v>21.58</v>
      </c>
      <c r="F261" s="12">
        <f ca="1">IFERROR(__xludf.DUMMYFUNCTION("GOOGLEFINANCE(C261)"),17.04)</f>
        <v>17.04</v>
      </c>
      <c r="H261" s="12">
        <v>17.04</v>
      </c>
      <c r="I261" s="13">
        <f t="shared" si="0"/>
        <v>-0.2103799814643188</v>
      </c>
      <c r="J261" s="28">
        <f t="shared" si="5"/>
        <v>-4.4118554524556976E-5</v>
      </c>
    </row>
    <row r="262" spans="1:10" ht="15" x14ac:dyDescent="0.25">
      <c r="A262" s="14">
        <v>266</v>
      </c>
      <c r="B262" s="15" t="s">
        <v>351</v>
      </c>
      <c r="C262" s="16" t="s">
        <v>352</v>
      </c>
      <c r="D262" s="17">
        <v>44252</v>
      </c>
      <c r="E262" s="18">
        <v>231.08</v>
      </c>
      <c r="F262" s="12">
        <f ca="1">IFERROR(__xludf.DUMMYFUNCTION("GOOGLEFINANCE(C262)"),252.93)</f>
        <v>252.93</v>
      </c>
      <c r="H262" s="12">
        <v>252.93</v>
      </c>
      <c r="I262" s="13">
        <f t="shared" si="0"/>
        <v>9.4555997922797272E-2</v>
      </c>
      <c r="J262" s="28">
        <f t="shared" si="5"/>
        <v>2.1233269082853961E-4</v>
      </c>
    </row>
    <row r="263" spans="1:10" ht="15" x14ac:dyDescent="0.25">
      <c r="A263" s="14">
        <v>267</v>
      </c>
      <c r="B263" s="15" t="s">
        <v>50</v>
      </c>
      <c r="C263" s="16" t="s">
        <v>51</v>
      </c>
      <c r="D263" s="17">
        <v>44252</v>
      </c>
      <c r="E263" s="18">
        <v>182.06</v>
      </c>
      <c r="F263" s="12">
        <f ca="1">IFERROR(__xludf.DUMMYFUNCTION("GOOGLEFINANCE(C263)"),157.91)</f>
        <v>157.91</v>
      </c>
      <c r="H263" s="12">
        <v>157.91</v>
      </c>
      <c r="I263" s="13">
        <f t="shared" si="0"/>
        <v>-0.13264857739206859</v>
      </c>
      <c r="J263" s="28">
        <f t="shared" si="5"/>
        <v>-2.3468350038943864E-4</v>
      </c>
    </row>
    <row r="264" spans="1:10" ht="15" x14ac:dyDescent="0.25">
      <c r="A264" s="14">
        <v>268</v>
      </c>
      <c r="B264" s="15" t="s">
        <v>373</v>
      </c>
      <c r="C264" s="16" t="s">
        <v>374</v>
      </c>
      <c r="D264" s="17">
        <v>44251</v>
      </c>
      <c r="E264" s="18">
        <v>20.8</v>
      </c>
      <c r="F264" s="12">
        <f ca="1">IFERROR(__xludf.DUMMYFUNCTION("GOOGLEFINANCE(C264)"),23.95)</f>
        <v>23.95</v>
      </c>
      <c r="H264" s="12">
        <v>23.95</v>
      </c>
      <c r="I264" s="13">
        <f t="shared" si="0"/>
        <v>0.15144230769230763</v>
      </c>
      <c r="J264" s="28">
        <f t="shared" si="5"/>
        <v>3.0610891355144148E-5</v>
      </c>
    </row>
    <row r="265" spans="1:10" ht="15" x14ac:dyDescent="0.25">
      <c r="A265" s="14">
        <v>269</v>
      </c>
      <c r="B265" s="15" t="s">
        <v>241</v>
      </c>
      <c r="C265" s="16" t="s">
        <v>242</v>
      </c>
      <c r="D265" s="17">
        <v>44251</v>
      </c>
      <c r="E265" s="18">
        <v>25.48</v>
      </c>
      <c r="F265" s="12">
        <f ca="1">IFERROR(__xludf.DUMMYFUNCTION("GOOGLEFINANCE(C265)"),16.45)</f>
        <v>16.45</v>
      </c>
      <c r="H265" s="12">
        <v>16.45</v>
      </c>
      <c r="I265" s="13">
        <f t="shared" si="0"/>
        <v>-0.35439560439560441</v>
      </c>
      <c r="J265" s="28">
        <f t="shared" si="5"/>
        <v>-8.7751221884746586E-5</v>
      </c>
    </row>
    <row r="266" spans="1:10" ht="15" x14ac:dyDescent="0.25">
      <c r="A266" s="14">
        <v>270</v>
      </c>
      <c r="B266" s="15" t="s">
        <v>375</v>
      </c>
      <c r="C266" s="16" t="s">
        <v>376</v>
      </c>
      <c r="D266" s="17">
        <v>44251</v>
      </c>
      <c r="E266" s="18">
        <v>53.36</v>
      </c>
      <c r="F266" s="12">
        <f ca="1">IFERROR(__xludf.DUMMYFUNCTION("GOOGLEFINANCE(C266)"),34.19)</f>
        <v>34.19</v>
      </c>
      <c r="H266" s="12">
        <v>34.19</v>
      </c>
      <c r="I266" s="13">
        <f t="shared" si="0"/>
        <v>-0.35925787106446783</v>
      </c>
      <c r="J266" s="28">
        <f t="shared" si="5"/>
        <v>-1.8628913881844878E-4</v>
      </c>
    </row>
    <row r="267" spans="1:10" ht="15" x14ac:dyDescent="0.25">
      <c r="A267" s="14">
        <v>271</v>
      </c>
      <c r="B267" s="15" t="s">
        <v>377</v>
      </c>
      <c r="C267" s="16" t="s">
        <v>378</v>
      </c>
      <c r="D267" s="17">
        <v>44251</v>
      </c>
      <c r="E267" s="18">
        <v>781.04</v>
      </c>
      <c r="F267" s="12">
        <f ca="1">IFERROR(__xludf.DUMMYFUNCTION("GOOGLEFINANCE(C267)"),89.99)</f>
        <v>89.99</v>
      </c>
      <c r="H267" s="12">
        <v>89.99</v>
      </c>
      <c r="I267" s="13">
        <f t="shared" si="0"/>
        <v>-0.8847818293557308</v>
      </c>
      <c r="J267" s="28">
        <f t="shared" si="5"/>
        <v>-6.715446498721387E-3</v>
      </c>
    </row>
    <row r="268" spans="1:10" ht="15" x14ac:dyDescent="0.25">
      <c r="A268" s="14">
        <v>272</v>
      </c>
      <c r="B268" s="15" t="s">
        <v>156</v>
      </c>
      <c r="C268" s="16" t="s">
        <v>157</v>
      </c>
      <c r="D268" s="17">
        <v>44251</v>
      </c>
      <c r="E268" s="18">
        <v>742.02</v>
      </c>
      <c r="F268" s="12">
        <f ca="1">IFERROR(__xludf.DUMMYFUNCTION("GOOGLEFINANCE(C268)"),932.57)</f>
        <v>932.57</v>
      </c>
      <c r="H268" s="12">
        <v>932.57</v>
      </c>
      <c r="I268" s="13">
        <f t="shared" si="0"/>
        <v>0.25679900811298895</v>
      </c>
      <c r="J268" s="28">
        <f t="shared" si="5"/>
        <v>1.8517159834040384E-3</v>
      </c>
    </row>
    <row r="269" spans="1:10" ht="15" x14ac:dyDescent="0.25">
      <c r="A269" s="14">
        <v>274</v>
      </c>
      <c r="B269" s="15" t="s">
        <v>379</v>
      </c>
      <c r="C269" s="16" t="s">
        <v>380</v>
      </c>
      <c r="D269" s="17">
        <v>44251</v>
      </c>
      <c r="E269" s="18">
        <v>32.950000000000003</v>
      </c>
      <c r="F269" s="12">
        <f ca="1">IFERROR(__xludf.DUMMYFUNCTION("GOOGLEFINANCE(C269)"),8.08)</f>
        <v>8.08</v>
      </c>
      <c r="H269" s="12">
        <v>8.08</v>
      </c>
      <c r="I269" s="13">
        <f t="shared" si="0"/>
        <v>-0.75477996965098637</v>
      </c>
      <c r="J269" s="28">
        <f t="shared" si="5"/>
        <v>-2.4168027555632868E-4</v>
      </c>
    </row>
    <row r="270" spans="1:10" ht="15" x14ac:dyDescent="0.25">
      <c r="A270" s="14">
        <v>275</v>
      </c>
      <c r="B270" s="15" t="s">
        <v>381</v>
      </c>
      <c r="C270" s="16" t="s">
        <v>382</v>
      </c>
      <c r="D270" s="17">
        <v>44251</v>
      </c>
      <c r="E270" s="18">
        <v>19.43</v>
      </c>
      <c r="F270" s="12">
        <f ca="1">IFERROR(__xludf.DUMMYFUNCTION("GOOGLEFINANCE(C270)"),16.66)</f>
        <v>16.66</v>
      </c>
      <c r="H270" s="12">
        <v>16.66</v>
      </c>
      <c r="I270" s="13">
        <f t="shared" si="0"/>
        <v>-0.14256304683479154</v>
      </c>
      <c r="J270" s="28">
        <f t="shared" si="5"/>
        <v>-2.691814890595216E-5</v>
      </c>
    </row>
    <row r="271" spans="1:10" ht="15" x14ac:dyDescent="0.25">
      <c r="A271" s="14">
        <v>276</v>
      </c>
      <c r="B271" s="15" t="s">
        <v>74</v>
      </c>
      <c r="C271" s="16" t="s">
        <v>75</v>
      </c>
      <c r="D271" s="17">
        <v>44251</v>
      </c>
      <c r="E271" s="18">
        <v>579.96</v>
      </c>
      <c r="F271" s="12">
        <f ca="1">IFERROR(__xludf.DUMMYFUNCTION("GOOGLEFINANCE(C271)"),278.01)</f>
        <v>278.01</v>
      </c>
      <c r="H271" s="12">
        <v>278.01</v>
      </c>
      <c r="I271" s="13">
        <f t="shared" si="0"/>
        <v>-0.52063935443823717</v>
      </c>
      <c r="J271" s="28">
        <f t="shared" si="5"/>
        <v>-2.9342725856145334E-3</v>
      </c>
    </row>
    <row r="272" spans="1:10" ht="15" x14ac:dyDescent="0.25">
      <c r="A272" s="14">
        <v>277</v>
      </c>
      <c r="B272" s="15" t="s">
        <v>134</v>
      </c>
      <c r="C272" s="16" t="s">
        <v>135</v>
      </c>
      <c r="D272" s="17">
        <v>44251</v>
      </c>
      <c r="E272" s="18">
        <v>551.83000000000004</v>
      </c>
      <c r="F272" s="12">
        <f ca="1">IFERROR(__xludf.DUMMYFUNCTION("GOOGLEFINANCE(C272)"),615.63)</f>
        <v>615.63</v>
      </c>
      <c r="H272" s="12">
        <v>615.63</v>
      </c>
      <c r="I272" s="13">
        <f t="shared" si="0"/>
        <v>0.1156153163111827</v>
      </c>
      <c r="J272" s="28">
        <f t="shared" si="5"/>
        <v>6.1999202173276054E-4</v>
      </c>
    </row>
    <row r="273" spans="1:10" ht="15" x14ac:dyDescent="0.25">
      <c r="A273" s="14">
        <v>278</v>
      </c>
      <c r="B273" s="15" t="s">
        <v>148</v>
      </c>
      <c r="C273" s="16" t="s">
        <v>149</v>
      </c>
      <c r="D273" s="17">
        <v>44251</v>
      </c>
      <c r="E273" s="18">
        <v>553.41</v>
      </c>
      <c r="F273" s="12">
        <f ca="1">IFERROR(__xludf.DUMMYFUNCTION("GOOGLEFINANCE(C273)"),586.73)</f>
        <v>586.73</v>
      </c>
      <c r="H273" s="12">
        <v>586.73</v>
      </c>
      <c r="I273" s="13">
        <f t="shared" si="0"/>
        <v>6.0208525324804488E-2</v>
      </c>
      <c r="J273" s="28">
        <f t="shared" si="5"/>
        <v>3.2379520633441428E-4</v>
      </c>
    </row>
    <row r="274" spans="1:10" ht="15" x14ac:dyDescent="0.25">
      <c r="A274" s="14">
        <v>279</v>
      </c>
      <c r="B274" s="15" t="s">
        <v>138</v>
      </c>
      <c r="C274" s="16" t="s">
        <v>139</v>
      </c>
      <c r="D274" s="17">
        <v>44251</v>
      </c>
      <c r="E274" s="18">
        <v>43.53</v>
      </c>
      <c r="F274" s="12">
        <f ca="1">IFERROR(__xludf.DUMMYFUNCTION("GOOGLEFINANCE(C274)"),42.48)</f>
        <v>42.48</v>
      </c>
      <c r="H274" s="12">
        <v>42.48</v>
      </c>
      <c r="I274" s="13">
        <f t="shared" si="0"/>
        <v>-2.412129565816688E-2</v>
      </c>
      <c r="J274" s="28">
        <f t="shared" si="5"/>
        <v>-1.0203630451714762E-5</v>
      </c>
    </row>
    <row r="275" spans="1:10" ht="15" x14ac:dyDescent="0.25">
      <c r="A275" s="14">
        <v>280</v>
      </c>
      <c r="B275" s="15" t="s">
        <v>383</v>
      </c>
      <c r="C275" s="16" t="s">
        <v>384</v>
      </c>
      <c r="D275" s="17">
        <v>44251</v>
      </c>
      <c r="E275" s="18">
        <v>317.7</v>
      </c>
      <c r="F275" s="12">
        <f ca="1">IFERROR(__xludf.DUMMYFUNCTION("GOOGLEFINANCE(C275)"),384.66)</f>
        <v>384.66</v>
      </c>
      <c r="H275" s="12">
        <v>384.66</v>
      </c>
      <c r="I275" s="13">
        <f t="shared" si="0"/>
        <v>0.21076487252124659</v>
      </c>
      <c r="J275" s="28">
        <f t="shared" si="5"/>
        <v>6.5070009052077906E-4</v>
      </c>
    </row>
    <row r="276" spans="1:10" ht="15" x14ac:dyDescent="0.25">
      <c r="A276" s="14">
        <v>281</v>
      </c>
      <c r="B276" s="15" t="s">
        <v>385</v>
      </c>
      <c r="C276" s="16" t="s">
        <v>386</v>
      </c>
      <c r="D276" s="17">
        <v>44251</v>
      </c>
      <c r="E276" s="18">
        <v>596.9</v>
      </c>
      <c r="F276" s="12">
        <f ca="1">IFERROR(__xludf.DUMMYFUNCTION("GOOGLEFINANCE(C276)"),669.17)</f>
        <v>669.17</v>
      </c>
      <c r="H276" s="12">
        <v>669.17</v>
      </c>
      <c r="I276" s="13">
        <f t="shared" si="0"/>
        <v>0.12107555704473108</v>
      </c>
      <c r="J276" s="28">
        <f t="shared" si="5"/>
        <v>7.0230130737659294E-4</v>
      </c>
    </row>
    <row r="277" spans="1:10" ht="15" x14ac:dyDescent="0.25">
      <c r="A277" s="14">
        <v>282</v>
      </c>
      <c r="B277" s="15" t="s">
        <v>387</v>
      </c>
      <c r="C277" s="16" t="s">
        <v>388</v>
      </c>
      <c r="D277" s="17">
        <v>44251</v>
      </c>
      <c r="E277" s="18">
        <v>39.06</v>
      </c>
      <c r="F277" s="12">
        <f ca="1">IFERROR(__xludf.DUMMYFUNCTION("GOOGLEFINANCE(C277)"),22.71)</f>
        <v>22.71</v>
      </c>
      <c r="H277" s="12">
        <v>22.71</v>
      </c>
      <c r="I277" s="13">
        <f t="shared" si="0"/>
        <v>-0.41858678955453149</v>
      </c>
      <c r="J277" s="28">
        <f t="shared" si="5"/>
        <v>-1.5888510274812923E-4</v>
      </c>
    </row>
    <row r="278" spans="1:10" ht="15" x14ac:dyDescent="0.25">
      <c r="A278" s="14">
        <v>283</v>
      </c>
      <c r="B278" s="15" t="s">
        <v>389</v>
      </c>
      <c r="C278" s="16" t="s">
        <v>390</v>
      </c>
      <c r="D278" s="17">
        <v>44251</v>
      </c>
      <c r="E278" s="18">
        <v>758.71</v>
      </c>
      <c r="F278" s="12">
        <f ca="1">IFERROR(__xludf.DUMMYFUNCTION("GOOGLEFINANCE(C278)"),337.4)</f>
        <v>337.4</v>
      </c>
      <c r="H278" s="12">
        <v>337.4</v>
      </c>
      <c r="I278" s="13">
        <f t="shared" si="0"/>
        <v>-0.55529780812168028</v>
      </c>
      <c r="J278" s="28">
        <f t="shared" si="5"/>
        <v>-4.0941824243923139E-3</v>
      </c>
    </row>
    <row r="279" spans="1:10" ht="15" x14ac:dyDescent="0.25">
      <c r="A279" s="14">
        <v>285</v>
      </c>
      <c r="B279" s="15" t="s">
        <v>391</v>
      </c>
      <c r="C279" s="16" t="s">
        <v>392</v>
      </c>
      <c r="D279" s="17">
        <v>44251</v>
      </c>
      <c r="E279" s="18">
        <v>518.73</v>
      </c>
      <c r="F279" s="12">
        <f ca="1">IFERROR(__xludf.DUMMYFUNCTION("GOOGLEFINANCE(C279)"),668.5)</f>
        <v>668.5</v>
      </c>
      <c r="H279" s="12">
        <v>668.5</v>
      </c>
      <c r="I279" s="13">
        <f t="shared" si="0"/>
        <v>0.28872438455458521</v>
      </c>
      <c r="J279" s="28">
        <f t="shared" si="5"/>
        <v>1.4554264121460127E-3</v>
      </c>
    </row>
    <row r="280" spans="1:10" ht="15" x14ac:dyDescent="0.25">
      <c r="A280" s="14">
        <v>286</v>
      </c>
      <c r="B280" s="15" t="s">
        <v>393</v>
      </c>
      <c r="C280" s="16" t="s">
        <v>394</v>
      </c>
      <c r="D280" s="17">
        <v>44251</v>
      </c>
      <c r="E280" s="18">
        <v>180.87</v>
      </c>
      <c r="F280" s="12">
        <f ca="1">IFERROR(__xludf.DUMMYFUNCTION("GOOGLEFINANCE(C280)"),189.11)</f>
        <v>189.11</v>
      </c>
      <c r="H280" s="12">
        <v>189.11</v>
      </c>
      <c r="I280" s="13">
        <f t="shared" si="0"/>
        <v>4.5557582794272175E-2</v>
      </c>
      <c r="J280" s="28">
        <f t="shared" si="5"/>
        <v>8.0074204687742266E-5</v>
      </c>
    </row>
    <row r="281" spans="1:10" ht="15" x14ac:dyDescent="0.25">
      <c r="A281" s="14">
        <v>287</v>
      </c>
      <c r="B281" s="15" t="s">
        <v>60</v>
      </c>
      <c r="C281" s="16" t="s">
        <v>61</v>
      </c>
      <c r="D281" s="17">
        <v>44251</v>
      </c>
      <c r="E281" s="18">
        <v>60.28</v>
      </c>
      <c r="F281" s="12">
        <f ca="1">IFERROR(__xludf.DUMMYFUNCTION("GOOGLEFINANCE(C281)"),28.67)</f>
        <v>28.67</v>
      </c>
      <c r="H281" s="12">
        <v>28.67</v>
      </c>
      <c r="I281" s="13">
        <f t="shared" si="0"/>
        <v>-0.52438619774386197</v>
      </c>
      <c r="J281" s="28">
        <f t="shared" si="5"/>
        <v>-3.0717786531304979E-4</v>
      </c>
    </row>
    <row r="282" spans="1:10" ht="15" x14ac:dyDescent="0.25">
      <c r="A282" s="14">
        <v>288</v>
      </c>
      <c r="B282" s="15" t="s">
        <v>84</v>
      </c>
      <c r="C282" s="16" t="s">
        <v>85</v>
      </c>
      <c r="D282" s="17">
        <v>44251</v>
      </c>
      <c r="E282" s="18">
        <v>340.7</v>
      </c>
      <c r="F282" s="12">
        <f ca="1">IFERROR(__xludf.DUMMYFUNCTION("GOOGLEFINANCE(C282)"),547.61)</f>
        <v>547.61</v>
      </c>
      <c r="H282" s="12">
        <v>547.61</v>
      </c>
      <c r="I282" s="13">
        <f t="shared" si="0"/>
        <v>0.60730848253595549</v>
      </c>
      <c r="J282" s="28">
        <f t="shared" si="5"/>
        <v>2.0106982635850409E-3</v>
      </c>
    </row>
    <row r="283" spans="1:10" ht="15" x14ac:dyDescent="0.25">
      <c r="A283" s="14">
        <v>289</v>
      </c>
      <c r="B283" s="15" t="s">
        <v>255</v>
      </c>
      <c r="C283" s="16" t="s">
        <v>256</v>
      </c>
      <c r="D283" s="17">
        <v>44251</v>
      </c>
      <c r="E283" s="18">
        <v>33.479999999999997</v>
      </c>
      <c r="F283" s="12">
        <f ca="1">IFERROR(__xludf.DUMMYFUNCTION("GOOGLEFINANCE(C283)"),4.7)</f>
        <v>4.7</v>
      </c>
      <c r="H283" s="12">
        <v>4.7</v>
      </c>
      <c r="I283" s="13">
        <f t="shared" si="0"/>
        <v>-0.85961768219832735</v>
      </c>
      <c r="J283" s="28">
        <f t="shared" si="5"/>
        <v>-2.7967665180985676E-4</v>
      </c>
    </row>
    <row r="284" spans="1:10" ht="15" x14ac:dyDescent="0.25">
      <c r="A284" s="14">
        <v>290</v>
      </c>
      <c r="B284" s="15" t="s">
        <v>301</v>
      </c>
      <c r="C284" s="16" t="s">
        <v>302</v>
      </c>
      <c r="D284" s="17">
        <v>44251</v>
      </c>
      <c r="E284" s="18">
        <v>86.94</v>
      </c>
      <c r="F284" s="12">
        <f ca="1">IFERROR(__xludf.DUMMYFUNCTION("GOOGLEFINANCE(C284)"),137.75)</f>
        <v>137.75</v>
      </c>
      <c r="H284" s="12">
        <v>137.75</v>
      </c>
      <c r="I284" s="13">
        <f t="shared" si="0"/>
        <v>0.58442604094778017</v>
      </c>
      <c r="J284" s="28">
        <f t="shared" si="5"/>
        <v>4.9375853643011903E-4</v>
      </c>
    </row>
    <row r="285" spans="1:10" ht="15" x14ac:dyDescent="0.25">
      <c r="A285" s="14">
        <v>291</v>
      </c>
      <c r="B285" s="15" t="s">
        <v>395</v>
      </c>
      <c r="C285" s="16" t="s">
        <v>396</v>
      </c>
      <c r="D285" s="17">
        <v>44251</v>
      </c>
      <c r="E285" s="18">
        <v>573.26</v>
      </c>
      <c r="F285" s="12">
        <f ca="1">IFERROR(__xludf.DUMMYFUNCTION("GOOGLEFINANCE(C285)"),609.06)</f>
        <v>609.05999999999995</v>
      </c>
      <c r="H285" s="12">
        <v>609.05999999999995</v>
      </c>
      <c r="I285" s="13">
        <f t="shared" si="0"/>
        <v>6.2449848236402254E-2</v>
      </c>
      <c r="J285" s="28">
        <f t="shared" si="5"/>
        <v>3.478952096870348E-4</v>
      </c>
    </row>
    <row r="286" spans="1:10" ht="15" x14ac:dyDescent="0.25">
      <c r="A286" s="14">
        <v>292</v>
      </c>
      <c r="B286" s="15" t="s">
        <v>213</v>
      </c>
      <c r="C286" s="16" t="s">
        <v>214</v>
      </c>
      <c r="D286" s="17">
        <v>44251</v>
      </c>
      <c r="E286" s="18">
        <v>122.38</v>
      </c>
      <c r="F286" s="12">
        <f ca="1">IFERROR(__xludf.DUMMYFUNCTION("GOOGLEFINANCE(C286)"),137.11)</f>
        <v>137.11000000000001</v>
      </c>
      <c r="H286" s="12">
        <v>137.11000000000001</v>
      </c>
      <c r="I286" s="13">
        <f t="shared" si="0"/>
        <v>0.12036280437980078</v>
      </c>
      <c r="J286" s="28">
        <f t="shared" si="5"/>
        <v>1.4314235862262668E-4</v>
      </c>
    </row>
    <row r="287" spans="1:10" ht="15" x14ac:dyDescent="0.25">
      <c r="A287" s="14">
        <v>293</v>
      </c>
      <c r="B287" s="15" t="s">
        <v>397</v>
      </c>
      <c r="C287" s="16" t="s">
        <v>398</v>
      </c>
      <c r="D287" s="17">
        <v>44250</v>
      </c>
      <c r="E287" s="18">
        <v>216.44</v>
      </c>
      <c r="F287" s="12">
        <f ca="1">IFERROR(__xludf.DUMMYFUNCTION("GOOGLEFINANCE(C287)"),214.54)</f>
        <v>214.54</v>
      </c>
      <c r="H287" s="12">
        <v>214.54</v>
      </c>
      <c r="I287" s="13">
        <f t="shared" si="0"/>
        <v>-8.7784143411569291E-3</v>
      </c>
      <c r="J287" s="28">
        <f t="shared" si="5"/>
        <v>-1.8463712245960021E-5</v>
      </c>
    </row>
    <row r="288" spans="1:10" ht="15" x14ac:dyDescent="0.25">
      <c r="A288" s="14">
        <v>294</v>
      </c>
      <c r="B288" s="15" t="s">
        <v>399</v>
      </c>
      <c r="C288" s="16" t="s">
        <v>400</v>
      </c>
      <c r="D288" s="17">
        <v>44250</v>
      </c>
      <c r="E288" s="18">
        <v>63.45</v>
      </c>
      <c r="F288" s="12">
        <f ca="1">IFERROR(__xludf.DUMMYFUNCTION("GOOGLEFINANCE(C288)"),35.25)</f>
        <v>35.25</v>
      </c>
      <c r="H288" s="12">
        <v>35.25</v>
      </c>
      <c r="I288" s="13">
        <f t="shared" si="0"/>
        <v>-0.44444444444444448</v>
      </c>
      <c r="J288" s="28">
        <f t="shared" si="5"/>
        <v>-2.7404036070319537E-4</v>
      </c>
    </row>
    <row r="289" spans="1:10" ht="15" x14ac:dyDescent="0.25">
      <c r="A289" s="14">
        <v>295</v>
      </c>
      <c r="B289" s="15" t="s">
        <v>401</v>
      </c>
      <c r="C289" s="16" t="s">
        <v>402</v>
      </c>
      <c r="D289" s="17">
        <v>44250</v>
      </c>
      <c r="E289" s="18">
        <v>282.98</v>
      </c>
      <c r="F289" s="12">
        <f ca="1">IFERROR(__xludf.DUMMYFUNCTION("GOOGLEFINANCE(C289)"),362.95)</f>
        <v>362.95</v>
      </c>
      <c r="H289" s="12">
        <v>362.95</v>
      </c>
      <c r="I289" s="13">
        <f t="shared" si="0"/>
        <v>0.2825994769948405</v>
      </c>
      <c r="J289" s="28">
        <f t="shared" si="5"/>
        <v>7.7712793068916751E-4</v>
      </c>
    </row>
    <row r="290" spans="1:10" ht="15" x14ac:dyDescent="0.25">
      <c r="A290" s="14">
        <v>296</v>
      </c>
      <c r="B290" s="15" t="s">
        <v>339</v>
      </c>
      <c r="C290" s="16" t="s">
        <v>340</v>
      </c>
      <c r="D290" s="17">
        <v>44250</v>
      </c>
      <c r="E290" s="18">
        <v>35.31</v>
      </c>
      <c r="F290" s="12">
        <f ca="1">IFERROR(__xludf.DUMMYFUNCTION("GOOGLEFINANCE(C290)"),9.59)</f>
        <v>9.59</v>
      </c>
      <c r="H290" s="12">
        <v>9.59</v>
      </c>
      <c r="I290" s="13">
        <f t="shared" si="0"/>
        <v>-0.72840555083545744</v>
      </c>
      <c r="J290" s="28">
        <f t="shared" si="5"/>
        <v>-2.4994035735057392E-4</v>
      </c>
    </row>
    <row r="291" spans="1:10" ht="15" x14ac:dyDescent="0.25">
      <c r="A291" s="14">
        <v>297</v>
      </c>
      <c r="B291" s="15" t="s">
        <v>162</v>
      </c>
      <c r="C291" s="16" t="s">
        <v>163</v>
      </c>
      <c r="D291" s="17">
        <v>44250</v>
      </c>
      <c r="E291" s="18">
        <v>34.97</v>
      </c>
      <c r="F291" s="12">
        <f ca="1">IFERROR(__xludf.DUMMYFUNCTION("GOOGLEFINANCE(C291)"),34.58)</f>
        <v>34.58</v>
      </c>
      <c r="H291" s="12">
        <v>34.58</v>
      </c>
      <c r="I291" s="13">
        <f t="shared" si="0"/>
        <v>-1.115241635687734E-2</v>
      </c>
      <c r="J291" s="28">
        <f t="shared" si="5"/>
        <v>-3.7899198820654729E-6</v>
      </c>
    </row>
    <row r="292" spans="1:10" ht="15" x14ac:dyDescent="0.25">
      <c r="A292" s="14">
        <v>298</v>
      </c>
      <c r="B292" s="15" t="s">
        <v>403</v>
      </c>
      <c r="C292" s="16" t="s">
        <v>404</v>
      </c>
      <c r="D292" s="17">
        <v>44250</v>
      </c>
      <c r="E292" s="18">
        <v>80.86</v>
      </c>
      <c r="F292" s="12">
        <f ca="1">IFERROR(__xludf.DUMMYFUNCTION("GOOGLEFINANCE(C292)"),64.53)</f>
        <v>64.53</v>
      </c>
      <c r="H292" s="12">
        <v>64.53</v>
      </c>
      <c r="I292" s="13">
        <f t="shared" si="0"/>
        <v>-0.20195399455849614</v>
      </c>
      <c r="J292" s="28">
        <f t="shared" si="5"/>
        <v>-1.5869074788238223E-4</v>
      </c>
    </row>
    <row r="293" spans="1:10" ht="15" x14ac:dyDescent="0.25">
      <c r="A293" s="14">
        <v>299</v>
      </c>
      <c r="B293" s="15" t="s">
        <v>405</v>
      </c>
      <c r="C293" s="16" t="s">
        <v>406</v>
      </c>
      <c r="D293" s="17">
        <v>44249</v>
      </c>
      <c r="E293" s="18">
        <v>116.55</v>
      </c>
      <c r="F293" s="12">
        <f ca="1">IFERROR(__xludf.DUMMYFUNCTION("GOOGLEFINANCE(C293)"),71.34)</f>
        <v>71.34</v>
      </c>
      <c r="H293" s="12">
        <v>71.34</v>
      </c>
      <c r="I293" s="13">
        <f t="shared" si="0"/>
        <v>-0.38790218790218783</v>
      </c>
      <c r="J293" s="28">
        <f t="shared" si="5"/>
        <v>-4.393391740209737E-4</v>
      </c>
    </row>
    <row r="294" spans="1:10" ht="15" x14ac:dyDescent="0.25">
      <c r="A294" s="14">
        <v>300</v>
      </c>
      <c r="B294" s="15" t="s">
        <v>88</v>
      </c>
      <c r="C294" s="16" t="s">
        <v>89</v>
      </c>
      <c r="D294" s="17">
        <v>44249</v>
      </c>
      <c r="E294" s="18">
        <v>126.75</v>
      </c>
      <c r="F294" s="12">
        <f ca="1">IFERROR(__xludf.DUMMYFUNCTION("GOOGLEFINANCE(C294)"),82.27)</f>
        <v>82.27</v>
      </c>
      <c r="H294" s="12">
        <v>82.27</v>
      </c>
      <c r="I294" s="13">
        <f t="shared" si="0"/>
        <v>-0.35092702169625251</v>
      </c>
      <c r="J294" s="28">
        <f t="shared" si="5"/>
        <v>-4.3224522142121024E-4</v>
      </c>
    </row>
    <row r="295" spans="1:10" ht="15" x14ac:dyDescent="0.25">
      <c r="A295" s="14">
        <v>301</v>
      </c>
      <c r="B295" s="15" t="s">
        <v>277</v>
      </c>
      <c r="C295" s="16" t="s">
        <v>278</v>
      </c>
      <c r="D295" s="17">
        <v>44249</v>
      </c>
      <c r="E295" s="18">
        <v>208.32</v>
      </c>
      <c r="F295" s="12">
        <f ca="1">IFERROR(__xludf.DUMMYFUNCTION("GOOGLEFINANCE(C295)"),211.88)</f>
        <v>211.88</v>
      </c>
      <c r="H295" s="12">
        <v>211.88</v>
      </c>
      <c r="I295" s="13">
        <f t="shared" si="0"/>
        <v>1.7089093701996939E-2</v>
      </c>
      <c r="J295" s="28">
        <f t="shared" si="5"/>
        <v>3.4595166102956595E-5</v>
      </c>
    </row>
    <row r="296" spans="1:10" ht="15" x14ac:dyDescent="0.25">
      <c r="A296" s="14">
        <v>302</v>
      </c>
      <c r="B296" s="15" t="s">
        <v>307</v>
      </c>
      <c r="C296" s="16" t="s">
        <v>308</v>
      </c>
      <c r="D296" s="17">
        <v>44249</v>
      </c>
      <c r="E296" s="18">
        <v>100.19</v>
      </c>
      <c r="F296" s="12">
        <f ca="1">IFERROR(__xludf.DUMMYFUNCTION("GOOGLEFINANCE(C296)"),128.61)</f>
        <v>128.61000000000001</v>
      </c>
      <c r="H296" s="12">
        <v>128.61000000000001</v>
      </c>
      <c r="I296" s="13">
        <f t="shared" si="0"/>
        <v>0.28366104401636905</v>
      </c>
      <c r="J296" s="28">
        <f t="shared" si="5"/>
        <v>2.7617826422641188E-4</v>
      </c>
    </row>
    <row r="297" spans="1:10" ht="15" x14ac:dyDescent="0.25">
      <c r="A297" s="14">
        <v>303</v>
      </c>
      <c r="B297" s="15" t="s">
        <v>407</v>
      </c>
      <c r="C297" s="16" t="s">
        <v>408</v>
      </c>
      <c r="D297" s="17">
        <v>44249</v>
      </c>
      <c r="E297" s="18">
        <v>112.77</v>
      </c>
      <c r="F297" s="12">
        <f ca="1">IFERROR(__xludf.DUMMYFUNCTION("GOOGLEFINANCE(C297)"),150.73)</f>
        <v>150.72999999999999</v>
      </c>
      <c r="H297" s="12">
        <v>150.72999999999999</v>
      </c>
      <c r="I297" s="13">
        <f t="shared" si="0"/>
        <v>0.33661434778753208</v>
      </c>
      <c r="J297" s="28">
        <f t="shared" si="5"/>
        <v>3.6888553518770535E-4</v>
      </c>
    </row>
    <row r="298" spans="1:10" ht="15" x14ac:dyDescent="0.25">
      <c r="A298" s="14">
        <v>304</v>
      </c>
      <c r="B298" s="15" t="s">
        <v>323</v>
      </c>
      <c r="C298" s="16" t="s">
        <v>324</v>
      </c>
      <c r="D298" s="17">
        <v>44249</v>
      </c>
      <c r="E298" s="18">
        <v>86.23</v>
      </c>
      <c r="F298" s="12">
        <f ca="1">IFERROR(__xludf.DUMMYFUNCTION("GOOGLEFINANCE(C298)"),72.41)</f>
        <v>72.41</v>
      </c>
      <c r="H298" s="12">
        <v>72.41</v>
      </c>
      <c r="I298" s="13">
        <f t="shared" si="0"/>
        <v>-0.16026904789516416</v>
      </c>
      <c r="J298" s="28">
        <f t="shared" si="5"/>
        <v>-1.3429921223114048E-4</v>
      </c>
    </row>
    <row r="299" spans="1:10" ht="15" x14ac:dyDescent="0.25">
      <c r="A299" s="14">
        <v>305</v>
      </c>
      <c r="B299" s="15" t="s">
        <v>345</v>
      </c>
      <c r="C299" s="16" t="s">
        <v>346</v>
      </c>
      <c r="D299" s="17">
        <v>44249</v>
      </c>
      <c r="E299" s="18">
        <v>117.82</v>
      </c>
      <c r="F299" s="12">
        <f ca="1">IFERROR(__xludf.DUMMYFUNCTION("GOOGLEFINANCE(C299)"),48.22)</f>
        <v>48.22</v>
      </c>
      <c r="H299" s="12">
        <v>48.22</v>
      </c>
      <c r="I299" s="13">
        <f t="shared" si="0"/>
        <v>-0.59073162451196737</v>
      </c>
      <c r="J299" s="28">
        <f t="shared" si="5"/>
        <v>-6.7635493279937571E-4</v>
      </c>
    </row>
    <row r="300" spans="1:10" ht="15" x14ac:dyDescent="0.25">
      <c r="A300" s="14">
        <v>306</v>
      </c>
      <c r="B300" s="15" t="s">
        <v>337</v>
      </c>
      <c r="C300" s="16" t="s">
        <v>338</v>
      </c>
      <c r="D300" s="17">
        <v>44249</v>
      </c>
      <c r="E300" s="18">
        <v>384.35</v>
      </c>
      <c r="F300" s="12">
        <f ca="1">IFERROR(__xludf.DUMMYFUNCTION("GOOGLEFINANCE(C300)"),530.14)</f>
        <v>530.14</v>
      </c>
      <c r="H300" s="12">
        <v>530.14</v>
      </c>
      <c r="I300" s="13">
        <f t="shared" si="0"/>
        <v>0.3793157278522179</v>
      </c>
      <c r="J300" s="28">
        <f t="shared" si="5"/>
        <v>1.4167497938623701E-3</v>
      </c>
    </row>
    <row r="301" spans="1:10" ht="15" x14ac:dyDescent="0.25">
      <c r="A301" s="14">
        <v>307</v>
      </c>
      <c r="B301" s="15" t="s">
        <v>409</v>
      </c>
      <c r="C301" s="16" t="s">
        <v>410</v>
      </c>
      <c r="D301" s="17">
        <v>44249</v>
      </c>
      <c r="E301" s="18">
        <v>40.44</v>
      </c>
      <c r="F301" s="12">
        <f ca="1">IFERROR(__xludf.DUMMYFUNCTION("GOOGLEFINANCE(C301)"),61.99)</f>
        <v>61.99</v>
      </c>
      <c r="H301" s="12">
        <v>61.99</v>
      </c>
      <c r="I301" s="13">
        <f t="shared" si="0"/>
        <v>0.53288822947576675</v>
      </c>
      <c r="J301" s="28">
        <f t="shared" si="5"/>
        <v>2.0941736784233549E-4</v>
      </c>
    </row>
    <row r="302" spans="1:10" ht="15" x14ac:dyDescent="0.25">
      <c r="A302" s="14">
        <v>308</v>
      </c>
      <c r="B302" s="15" t="s">
        <v>183</v>
      </c>
      <c r="C302" s="16" t="s">
        <v>184</v>
      </c>
      <c r="D302" s="17">
        <v>44249</v>
      </c>
      <c r="E302" s="18">
        <v>59.87</v>
      </c>
      <c r="F302" s="12">
        <f ca="1">IFERROR(__xludf.DUMMYFUNCTION("GOOGLEFINANCE(C302)"),118)</f>
        <v>118</v>
      </c>
      <c r="H302" s="12">
        <v>118</v>
      </c>
      <c r="I302" s="13">
        <f t="shared" si="0"/>
        <v>0.97093703023216982</v>
      </c>
      <c r="J302" s="28">
        <f t="shared" si="5"/>
        <v>5.6489241729350162E-4</v>
      </c>
    </row>
    <row r="303" spans="1:10" ht="15" x14ac:dyDescent="0.25">
      <c r="A303" s="14">
        <v>309</v>
      </c>
      <c r="B303" s="15" t="s">
        <v>411</v>
      </c>
      <c r="C303" s="16" t="s">
        <v>412</v>
      </c>
      <c r="D303" s="17">
        <v>44249</v>
      </c>
      <c r="E303" s="18">
        <v>142.56</v>
      </c>
      <c r="F303" s="12">
        <f ca="1">IFERROR(__xludf.DUMMYFUNCTION("GOOGLEFINANCE(C303)"),150.19)</f>
        <v>150.19</v>
      </c>
      <c r="H303" s="12">
        <v>150.19</v>
      </c>
      <c r="I303" s="13">
        <f t="shared" si="0"/>
        <v>5.3521324354657653E-2</v>
      </c>
      <c r="J303" s="28">
        <f t="shared" si="5"/>
        <v>7.4146381282460253E-5</v>
      </c>
    </row>
    <row r="304" spans="1:10" ht="15" x14ac:dyDescent="0.25">
      <c r="A304" s="14">
        <v>310</v>
      </c>
      <c r="B304" s="15" t="s">
        <v>289</v>
      </c>
      <c r="C304" s="16" t="s">
        <v>290</v>
      </c>
      <c r="D304" s="17">
        <v>44249</v>
      </c>
      <c r="E304" s="18">
        <v>340.66</v>
      </c>
      <c r="F304" s="12">
        <f ca="1">IFERROR(__xludf.DUMMYFUNCTION("GOOGLEFINANCE(C304)"),349.31)</f>
        <v>349.31</v>
      </c>
      <c r="H304" s="12">
        <v>349.31</v>
      </c>
      <c r="I304" s="13">
        <f t="shared" si="0"/>
        <v>2.5391886338284438E-2</v>
      </c>
      <c r="J304" s="28">
        <f t="shared" si="5"/>
        <v>8.4058479435554381E-5</v>
      </c>
    </row>
    <row r="305" spans="1:10" ht="15" x14ac:dyDescent="0.25">
      <c r="A305" s="14">
        <v>311</v>
      </c>
      <c r="B305" s="15" t="s">
        <v>227</v>
      </c>
      <c r="C305" s="16" t="s">
        <v>228</v>
      </c>
      <c r="D305" s="17">
        <v>44249</v>
      </c>
      <c r="E305" s="18">
        <v>54.79</v>
      </c>
      <c r="F305" s="12">
        <f ca="1">IFERROR(__xludf.DUMMYFUNCTION("GOOGLEFINANCE(C305)"),39.66)</f>
        <v>39.659999999999997</v>
      </c>
      <c r="H305" s="12">
        <v>39.659999999999997</v>
      </c>
      <c r="I305" s="13">
        <f t="shared" si="0"/>
        <v>-0.27614528198576388</v>
      </c>
      <c r="J305" s="28">
        <f t="shared" si="5"/>
        <v>-1.4702945593756544E-4</v>
      </c>
    </row>
    <row r="306" spans="1:10" ht="15" x14ac:dyDescent="0.25">
      <c r="A306" s="14">
        <v>312</v>
      </c>
      <c r="B306" s="15" t="s">
        <v>413</v>
      </c>
      <c r="C306" s="16" t="s">
        <v>414</v>
      </c>
      <c r="D306" s="17">
        <v>44249</v>
      </c>
      <c r="E306" s="18">
        <v>200.68</v>
      </c>
      <c r="F306" s="12">
        <f ca="1">IFERROR(__xludf.DUMMYFUNCTION("GOOGLEFINANCE(C306)"),267.42)</f>
        <v>267.42</v>
      </c>
      <c r="H306" s="12">
        <v>267.42</v>
      </c>
      <c r="I306" s="13">
        <f t="shared" si="0"/>
        <v>0.33256926450069768</v>
      </c>
      <c r="J306" s="28">
        <f t="shared" si="5"/>
        <v>6.485621869975625E-4</v>
      </c>
    </row>
    <row r="307" spans="1:10" ht="15" x14ac:dyDescent="0.25">
      <c r="A307" s="14">
        <v>313</v>
      </c>
      <c r="B307" s="15" t="s">
        <v>415</v>
      </c>
      <c r="C307" s="16" t="s">
        <v>416</v>
      </c>
      <c r="D307" s="17">
        <v>44249</v>
      </c>
      <c r="E307" s="18">
        <v>285.45</v>
      </c>
      <c r="F307" s="12">
        <f ca="1">IFERROR(__xludf.DUMMYFUNCTION("GOOGLEFINANCE(C307)"),345.96)</f>
        <v>345.96</v>
      </c>
      <c r="H307" s="12">
        <v>345.96</v>
      </c>
      <c r="I307" s="13">
        <f t="shared" si="0"/>
        <v>0.2119810825013137</v>
      </c>
      <c r="J307" s="28">
        <f t="shared" si="5"/>
        <v>5.8802064631738814E-4</v>
      </c>
    </row>
    <row r="308" spans="1:10" ht="15" x14ac:dyDescent="0.25">
      <c r="A308" s="14">
        <v>314</v>
      </c>
      <c r="B308" s="15" t="s">
        <v>203</v>
      </c>
      <c r="C308" s="16" t="s">
        <v>204</v>
      </c>
      <c r="D308" s="17">
        <v>44249</v>
      </c>
      <c r="E308" s="18">
        <v>191.76</v>
      </c>
      <c r="F308" s="12">
        <f ca="1">IFERROR(__xludf.DUMMYFUNCTION("GOOGLEFINANCE(C308)"),148.76)</f>
        <v>148.76</v>
      </c>
      <c r="H308" s="12">
        <v>148.76</v>
      </c>
      <c r="I308" s="13">
        <f t="shared" si="0"/>
        <v>-0.22423863162286192</v>
      </c>
      <c r="J308" s="28">
        <f t="shared" si="5"/>
        <v>-4.1786296135593612E-4</v>
      </c>
    </row>
    <row r="309" spans="1:10" ht="15" x14ac:dyDescent="0.25">
      <c r="A309" s="14">
        <v>315</v>
      </c>
      <c r="B309" s="15" t="s">
        <v>417</v>
      </c>
      <c r="C309" s="16" t="s">
        <v>418</v>
      </c>
      <c r="D309" s="17">
        <v>44249</v>
      </c>
      <c r="E309" s="18">
        <v>198.77</v>
      </c>
      <c r="F309" s="12">
        <f ca="1">IFERROR(__xludf.DUMMYFUNCTION("GOOGLEFINANCE(C309)"),222.5)</f>
        <v>222.5</v>
      </c>
      <c r="H309" s="12">
        <v>222.5</v>
      </c>
      <c r="I309" s="13">
        <f t="shared" si="0"/>
        <v>0.1193842129093927</v>
      </c>
      <c r="J309" s="28">
        <f t="shared" si="5"/>
        <v>2.3060204820875255E-4</v>
      </c>
    </row>
    <row r="310" spans="1:10" ht="15" x14ac:dyDescent="0.25">
      <c r="A310" s="14">
        <v>316</v>
      </c>
      <c r="B310" s="15" t="s">
        <v>98</v>
      </c>
      <c r="C310" s="16" t="s">
        <v>99</v>
      </c>
      <c r="D310" s="17">
        <v>44249</v>
      </c>
      <c r="E310" s="18">
        <v>218.06</v>
      </c>
      <c r="F310" s="12">
        <f ca="1">IFERROR(__xludf.DUMMYFUNCTION("GOOGLEFINANCE(C310)"),201.37)</f>
        <v>201.37</v>
      </c>
      <c r="H310" s="12">
        <v>201.37</v>
      </c>
      <c r="I310" s="13">
        <f t="shared" si="0"/>
        <v>-7.6538567366779775E-2</v>
      </c>
      <c r="J310" s="28">
        <f t="shared" si="5"/>
        <v>-1.6218913546582728E-4</v>
      </c>
    </row>
    <row r="311" spans="1:10" ht="15" x14ac:dyDescent="0.25">
      <c r="A311" s="14">
        <v>317</v>
      </c>
      <c r="B311" s="15" t="s">
        <v>419</v>
      </c>
      <c r="C311" s="16" t="s">
        <v>420</v>
      </c>
      <c r="D311" s="17">
        <v>44249</v>
      </c>
      <c r="E311" s="18">
        <v>52.06</v>
      </c>
      <c r="F311" s="12">
        <f ca="1">IFERROR(__xludf.DUMMYFUNCTION("GOOGLEFINANCE(C311)"),64.29)</f>
        <v>64.290000000000006</v>
      </c>
      <c r="H311" s="12">
        <v>64.290000000000006</v>
      </c>
      <c r="I311" s="13">
        <f t="shared" si="0"/>
        <v>0.23492124471763356</v>
      </c>
      <c r="J311" s="28">
        <f t="shared" si="5"/>
        <v>1.1884800040425817E-4</v>
      </c>
    </row>
    <row r="312" spans="1:10" ht="15" x14ac:dyDescent="0.25">
      <c r="A312" s="14">
        <v>318</v>
      </c>
      <c r="B312" s="15" t="s">
        <v>86</v>
      </c>
      <c r="C312" s="16" t="s">
        <v>87</v>
      </c>
      <c r="D312" s="17">
        <v>44249</v>
      </c>
      <c r="E312" s="18">
        <v>212.88</v>
      </c>
      <c r="F312" s="12">
        <f ca="1">IFERROR(__xludf.DUMMYFUNCTION("GOOGLEFINANCE(C312)"),192.63)</f>
        <v>192.63</v>
      </c>
      <c r="H312" s="12">
        <v>192.63</v>
      </c>
      <c r="I312" s="13">
        <f t="shared" si="0"/>
        <v>-9.5124013528748594E-2</v>
      </c>
      <c r="J312" s="28">
        <f t="shared" si="5"/>
        <v>-1.9678430156878387E-4</v>
      </c>
    </row>
    <row r="313" spans="1:10" ht="15" x14ac:dyDescent="0.25">
      <c r="A313" s="14">
        <v>319</v>
      </c>
      <c r="B313" s="15" t="s">
        <v>421</v>
      </c>
      <c r="C313" s="16" t="s">
        <v>422</v>
      </c>
      <c r="D313" s="17">
        <v>44249</v>
      </c>
      <c r="E313" s="18">
        <v>47</v>
      </c>
      <c r="F313" s="12">
        <f ca="1">IFERROR(__xludf.DUMMYFUNCTION("GOOGLEFINANCE(C313)"),42.85)</f>
        <v>42.85</v>
      </c>
      <c r="H313" s="12">
        <v>42.85</v>
      </c>
      <c r="I313" s="13">
        <f t="shared" si="0"/>
        <v>-8.8297872340425507E-2</v>
      </c>
      <c r="J313" s="28">
        <f t="shared" si="5"/>
        <v>-4.0328634642491504E-5</v>
      </c>
    </row>
    <row r="314" spans="1:10" ht="15" x14ac:dyDescent="0.25">
      <c r="A314" s="14">
        <v>320</v>
      </c>
      <c r="B314" s="15" t="s">
        <v>423</v>
      </c>
      <c r="C314" s="16" t="s">
        <v>424</v>
      </c>
      <c r="D314" s="17">
        <v>44249</v>
      </c>
      <c r="E314" s="18">
        <v>135.94999999999999</v>
      </c>
      <c r="F314" s="12">
        <f ca="1">IFERROR(__xludf.DUMMYFUNCTION("GOOGLEFINANCE(C314)"),160.01)</f>
        <v>160.01</v>
      </c>
      <c r="H314" s="12">
        <v>160.01</v>
      </c>
      <c r="I314" s="13">
        <f t="shared" si="0"/>
        <v>0.17697682971680767</v>
      </c>
      <c r="J314" s="28">
        <f t="shared" si="5"/>
        <v>2.3380890349357733E-4</v>
      </c>
    </row>
    <row r="315" spans="1:10" ht="15" x14ac:dyDescent="0.25">
      <c r="A315" s="14">
        <v>321</v>
      </c>
      <c r="B315" s="15" t="s">
        <v>425</v>
      </c>
      <c r="C315" s="16" t="s">
        <v>426</v>
      </c>
      <c r="D315" s="17">
        <v>44249</v>
      </c>
      <c r="E315" s="18">
        <v>121.41</v>
      </c>
      <c r="F315" s="12">
        <f ca="1">IFERROR(__xludf.DUMMYFUNCTION("GOOGLEFINANCE(C315)"),180.39)</f>
        <v>180.39</v>
      </c>
      <c r="H315" s="12">
        <v>180.39</v>
      </c>
      <c r="I315" s="13">
        <f t="shared" si="0"/>
        <v>0.48579194465035824</v>
      </c>
      <c r="J315" s="28">
        <f t="shared" si="5"/>
        <v>5.7315249908774667E-4</v>
      </c>
    </row>
    <row r="316" spans="1:10" ht="15" x14ac:dyDescent="0.25">
      <c r="A316" s="14">
        <v>322</v>
      </c>
      <c r="B316" s="15" t="s">
        <v>427</v>
      </c>
      <c r="C316" s="16" t="s">
        <v>428</v>
      </c>
      <c r="D316" s="17">
        <v>44239</v>
      </c>
      <c r="E316" s="18">
        <v>166.71</v>
      </c>
      <c r="F316" s="12">
        <f ca="1">IFERROR(__xludf.DUMMYFUNCTION("GOOGLEFINANCE(C316)"),234.31)</f>
        <v>234.31</v>
      </c>
      <c r="H316" s="12">
        <v>234.31</v>
      </c>
      <c r="I316" s="13">
        <f t="shared" si="0"/>
        <v>0.40549457141143297</v>
      </c>
      <c r="J316" s="28">
        <f t="shared" si="5"/>
        <v>6.5691944622468096E-4</v>
      </c>
    </row>
    <row r="317" spans="1:10" ht="15" x14ac:dyDescent="0.25">
      <c r="A317" s="14">
        <v>323</v>
      </c>
      <c r="B317" s="15" t="s">
        <v>353</v>
      </c>
      <c r="C317" s="16" t="s">
        <v>354</v>
      </c>
      <c r="D317" s="17">
        <v>44239</v>
      </c>
      <c r="E317" s="18">
        <v>433.11</v>
      </c>
      <c r="F317" s="12">
        <f ca="1">IFERROR(__xludf.DUMMYFUNCTION("GOOGLEFINANCE(C317)"),199.74)</f>
        <v>199.74</v>
      </c>
      <c r="H317" s="12">
        <v>199.74</v>
      </c>
      <c r="I317" s="13">
        <f t="shared" si="0"/>
        <v>-0.53882385537161459</v>
      </c>
      <c r="J317" s="28">
        <f t="shared" si="5"/>
        <v>-2.2678297509682518E-3</v>
      </c>
    </row>
    <row r="318" spans="1:10" ht="15" x14ac:dyDescent="0.25">
      <c r="A318" s="14">
        <v>324</v>
      </c>
      <c r="B318" s="15" t="s">
        <v>102</v>
      </c>
      <c r="C318" s="16" t="s">
        <v>103</v>
      </c>
      <c r="D318" s="17">
        <v>44239</v>
      </c>
      <c r="E318" s="18">
        <v>144.47</v>
      </c>
      <c r="F318" s="12">
        <f ca="1">IFERROR(__xludf.DUMMYFUNCTION("GOOGLEFINANCE(C318)"),138.75)</f>
        <v>138.75</v>
      </c>
      <c r="H318" s="12">
        <v>138.75</v>
      </c>
      <c r="I318" s="13">
        <f t="shared" si="0"/>
        <v>-3.9592995085484868E-2</v>
      </c>
      <c r="J318" s="28">
        <f t="shared" si="5"/>
        <v>-5.5585491603626843E-5</v>
      </c>
    </row>
    <row r="319" spans="1:10" ht="15" x14ac:dyDescent="0.25">
      <c r="A319" s="14">
        <v>325</v>
      </c>
      <c r="B319" s="15" t="s">
        <v>10</v>
      </c>
      <c r="C319" s="16" t="s">
        <v>11</v>
      </c>
      <c r="D319" s="17">
        <v>44239</v>
      </c>
      <c r="E319" s="18">
        <v>435.29</v>
      </c>
      <c r="F319" s="12">
        <f ca="1">IFERROR(__xludf.DUMMYFUNCTION("GOOGLEFINANCE(C319)"),273.63)</f>
        <v>273.63</v>
      </c>
      <c r="H319" s="12">
        <v>273.63</v>
      </c>
      <c r="I319" s="13">
        <f t="shared" si="0"/>
        <v>-0.3713845941785936</v>
      </c>
      <c r="J319" s="28">
        <f t="shared" si="5"/>
        <v>-1.570970379832573E-3</v>
      </c>
    </row>
    <row r="320" spans="1:10" ht="15" x14ac:dyDescent="0.25">
      <c r="A320" s="14">
        <v>326</v>
      </c>
      <c r="B320" s="15" t="s">
        <v>377</v>
      </c>
      <c r="C320" s="16" t="s">
        <v>378</v>
      </c>
      <c r="D320" s="17">
        <v>44239</v>
      </c>
      <c r="E320" s="18">
        <v>864</v>
      </c>
      <c r="F320" s="12">
        <f ca="1">IFERROR(__xludf.DUMMYFUNCTION("GOOGLEFINANCE(C320)"),89.99)</f>
        <v>89.99</v>
      </c>
      <c r="H320" s="12">
        <v>89.99</v>
      </c>
      <c r="I320" s="13">
        <f t="shared" si="0"/>
        <v>-0.89584490740740741</v>
      </c>
      <c r="J320" s="28">
        <f t="shared" si="5"/>
        <v>-7.5216304818397249E-3</v>
      </c>
    </row>
    <row r="321" spans="1:10" ht="15" x14ac:dyDescent="0.25">
      <c r="A321" s="14">
        <v>328</v>
      </c>
      <c r="B321" s="15" t="s">
        <v>429</v>
      </c>
      <c r="C321" s="16" t="s">
        <v>430</v>
      </c>
      <c r="D321" s="17">
        <v>44239</v>
      </c>
      <c r="E321" s="18">
        <v>468.67</v>
      </c>
      <c r="F321" s="12">
        <f ca="1">IFERROR(__xludf.DUMMYFUNCTION("GOOGLEFINANCE(C321)"),236.46)</f>
        <v>236.46</v>
      </c>
      <c r="H321" s="12">
        <v>236.46</v>
      </c>
      <c r="I321" s="13">
        <f t="shared" si="0"/>
        <v>-0.49546589284571235</v>
      </c>
      <c r="J321" s="28">
        <f t="shared" si="5"/>
        <v>-2.256557168754929E-3</v>
      </c>
    </row>
    <row r="322" spans="1:10" ht="15" x14ac:dyDescent="0.25">
      <c r="A322" s="14">
        <v>329</v>
      </c>
      <c r="B322" s="15" t="s">
        <v>74</v>
      </c>
      <c r="C322" s="16" t="s">
        <v>75</v>
      </c>
      <c r="D322" s="17">
        <v>44239</v>
      </c>
      <c r="E322" s="18">
        <v>598.45000000000005</v>
      </c>
      <c r="F322" s="12">
        <f ca="1">IFERROR(__xludf.DUMMYFUNCTION("GOOGLEFINANCE(C322)"),278.01)</f>
        <v>278.01</v>
      </c>
      <c r="H322" s="12">
        <v>278.01</v>
      </c>
      <c r="I322" s="13">
        <f t="shared" si="0"/>
        <v>-0.53544991227337291</v>
      </c>
      <c r="J322" s="28">
        <f t="shared" si="5"/>
        <v>-3.1139536589975857E-3</v>
      </c>
    </row>
    <row r="323" spans="1:10" ht="15" x14ac:dyDescent="0.25">
      <c r="A323" s="14">
        <v>330</v>
      </c>
      <c r="B323" s="15" t="s">
        <v>78</v>
      </c>
      <c r="C323" s="16" t="s">
        <v>79</v>
      </c>
      <c r="D323" s="17">
        <v>44239</v>
      </c>
      <c r="E323" s="18">
        <v>203.57</v>
      </c>
      <c r="F323" s="12">
        <f ca="1">IFERROR(__xludf.DUMMYFUNCTION("GOOGLEFINANCE(C323)"),205.17)</f>
        <v>205.17</v>
      </c>
      <c r="H323" s="12">
        <v>205.17</v>
      </c>
      <c r="I323" s="13">
        <f t="shared" si="0"/>
        <v>7.8597042786264885E-3</v>
      </c>
      <c r="J323" s="28">
        <f t="shared" ref="J323:J386" si="6">(E323/$E$609)*I323</f>
        <v>1.5548389259755706E-5</v>
      </c>
    </row>
    <row r="324" spans="1:10" ht="15" x14ac:dyDescent="0.25">
      <c r="A324" s="14">
        <v>331</v>
      </c>
      <c r="B324" s="15" t="s">
        <v>431</v>
      </c>
      <c r="C324" s="16" t="s">
        <v>432</v>
      </c>
      <c r="D324" s="17">
        <v>44239</v>
      </c>
      <c r="E324" s="18">
        <v>22.15</v>
      </c>
      <c r="F324" s="12">
        <f ca="1">IFERROR(__xludf.DUMMYFUNCTION("GOOGLEFINANCE(C324)"),18.39)</f>
        <v>18.39</v>
      </c>
      <c r="H324" s="12">
        <v>18.39</v>
      </c>
      <c r="I324" s="13">
        <f t="shared" si="0"/>
        <v>-0.16975169300225726</v>
      </c>
      <c r="J324" s="28">
        <f t="shared" si="6"/>
        <v>-3.6538714760426025E-5</v>
      </c>
    </row>
    <row r="325" spans="1:10" ht="15" x14ac:dyDescent="0.25">
      <c r="A325" s="14">
        <v>332</v>
      </c>
      <c r="B325" s="15" t="s">
        <v>152</v>
      </c>
      <c r="C325" s="16" t="s">
        <v>153</v>
      </c>
      <c r="D325" s="17">
        <v>44239</v>
      </c>
      <c r="E325" s="18">
        <v>102.06</v>
      </c>
      <c r="F325" s="12">
        <f ca="1">IFERROR(__xludf.DUMMYFUNCTION("GOOGLEFINANCE(C325)"),40.68)</f>
        <v>40.68</v>
      </c>
      <c r="H325" s="12">
        <v>40.68</v>
      </c>
      <c r="I325" s="13">
        <f t="shared" si="0"/>
        <v>-0.6014109347442681</v>
      </c>
      <c r="J325" s="28">
        <f t="shared" si="6"/>
        <v>-5.9647508297738046E-4</v>
      </c>
    </row>
    <row r="326" spans="1:10" ht="15" x14ac:dyDescent="0.25">
      <c r="A326" s="14">
        <v>333</v>
      </c>
      <c r="B326" s="15" t="s">
        <v>433</v>
      </c>
      <c r="C326" s="16" t="s">
        <v>434</v>
      </c>
      <c r="D326" s="17">
        <v>44239</v>
      </c>
      <c r="E326" s="18">
        <v>85.33</v>
      </c>
      <c r="F326" s="12">
        <f ca="1">IFERROR(__xludf.DUMMYFUNCTION("GOOGLEFINANCE(C326)"),90.69)</f>
        <v>90.69</v>
      </c>
      <c r="H326" s="12">
        <v>90.69</v>
      </c>
      <c r="I326" s="13">
        <f t="shared" si="0"/>
        <v>6.2814953709129262E-2</v>
      </c>
      <c r="J326" s="28">
        <f t="shared" si="6"/>
        <v>5.2087104020181809E-5</v>
      </c>
    </row>
    <row r="327" spans="1:10" ht="15" x14ac:dyDescent="0.25">
      <c r="A327" s="14">
        <v>334</v>
      </c>
      <c r="B327" s="15" t="s">
        <v>435</v>
      </c>
      <c r="C327" s="16" t="s">
        <v>436</v>
      </c>
      <c r="D327" s="17">
        <v>44239</v>
      </c>
      <c r="E327" s="18">
        <v>412.56</v>
      </c>
      <c r="F327" s="12">
        <f ca="1">IFERROR(__xludf.DUMMYFUNCTION("GOOGLEFINANCE(C327)"),555.34)</f>
        <v>555.34</v>
      </c>
      <c r="H327" s="12">
        <v>555.34</v>
      </c>
      <c r="I327" s="13">
        <f t="shared" si="0"/>
        <v>0.3460829939887532</v>
      </c>
      <c r="J327" s="28">
        <f t="shared" si="6"/>
        <v>1.3874993865674553E-3</v>
      </c>
    </row>
    <row r="328" spans="1:10" ht="15" x14ac:dyDescent="0.25">
      <c r="A328" s="14">
        <v>335</v>
      </c>
      <c r="B328" s="15" t="s">
        <v>437</v>
      </c>
      <c r="C328" s="16" t="s">
        <v>438</v>
      </c>
      <c r="D328" s="17">
        <v>44239</v>
      </c>
      <c r="E328" s="18">
        <v>71.47</v>
      </c>
      <c r="F328" s="12">
        <f ca="1">IFERROR(__xludf.DUMMYFUNCTION("GOOGLEFINANCE(C328)"),76.51)</f>
        <v>76.510000000000005</v>
      </c>
      <c r="H328" s="20">
        <v>76.510000000000005</v>
      </c>
      <c r="I328" s="13">
        <f t="shared" si="0"/>
        <v>7.0519098922624965E-2</v>
      </c>
      <c r="J328" s="28">
        <f t="shared" si="6"/>
        <v>4.8977426168230719E-5</v>
      </c>
    </row>
    <row r="329" spans="1:10" ht="15" x14ac:dyDescent="0.25">
      <c r="A329" s="14">
        <v>336</v>
      </c>
      <c r="B329" s="15" t="s">
        <v>439</v>
      </c>
      <c r="C329" s="16" t="s">
        <v>440</v>
      </c>
      <c r="D329" s="17">
        <v>44239</v>
      </c>
      <c r="E329" s="18">
        <v>74.209999999999994</v>
      </c>
      <c r="F329" s="12">
        <f ca="1">IFERROR(__xludf.DUMMYFUNCTION("GOOGLEFINANCE(C329)"),100.36)</f>
        <v>100.36</v>
      </c>
      <c r="H329" s="12">
        <v>100.36</v>
      </c>
      <c r="I329" s="13">
        <f t="shared" si="0"/>
        <v>0.35237838566230978</v>
      </c>
      <c r="J329" s="28">
        <f t="shared" si="6"/>
        <v>2.5411898696413331E-4</v>
      </c>
    </row>
    <row r="330" spans="1:10" ht="15" x14ac:dyDescent="0.25">
      <c r="A330" s="14">
        <v>337</v>
      </c>
      <c r="B330" s="15" t="s">
        <v>86</v>
      </c>
      <c r="C330" s="16" t="s">
        <v>87</v>
      </c>
      <c r="D330" s="17">
        <v>44239</v>
      </c>
      <c r="E330" s="18">
        <v>210.98</v>
      </c>
      <c r="F330" s="12">
        <f ca="1">IFERROR(__xludf.DUMMYFUNCTION("GOOGLEFINANCE(C330)"),192.63)</f>
        <v>192.63</v>
      </c>
      <c r="H330" s="12">
        <v>192.63</v>
      </c>
      <c r="I330" s="13">
        <f t="shared" si="0"/>
        <v>-8.697506872689352E-2</v>
      </c>
      <c r="J330" s="28">
        <f t="shared" si="6"/>
        <v>-1.7832058932282384E-4</v>
      </c>
    </row>
    <row r="331" spans="1:10" ht="15" x14ac:dyDescent="0.25">
      <c r="A331" s="14">
        <v>338</v>
      </c>
      <c r="B331" s="15" t="s">
        <v>421</v>
      </c>
      <c r="C331" s="16" t="s">
        <v>422</v>
      </c>
      <c r="D331" s="17">
        <v>44239</v>
      </c>
      <c r="E331" s="18">
        <v>47.19</v>
      </c>
      <c r="F331" s="12">
        <f ca="1">IFERROR(__xludf.DUMMYFUNCTION("GOOGLEFINANCE(C331)"),42.85)</f>
        <v>42.85</v>
      </c>
      <c r="H331" s="12">
        <v>42.85</v>
      </c>
      <c r="I331" s="13">
        <f t="shared" si="0"/>
        <v>-9.19686374231828E-2</v>
      </c>
      <c r="J331" s="28">
        <f t="shared" si="6"/>
        <v>-4.2175005867087471E-5</v>
      </c>
    </row>
    <row r="332" spans="1:10" ht="15" x14ac:dyDescent="0.25">
      <c r="A332" s="14">
        <v>339</v>
      </c>
      <c r="B332" s="15" t="s">
        <v>130</v>
      </c>
      <c r="C332" s="16" t="s">
        <v>131</v>
      </c>
      <c r="D332" s="17">
        <v>44239</v>
      </c>
      <c r="E332" s="18">
        <v>116.7</v>
      </c>
      <c r="F332" s="12">
        <f ca="1">IFERROR(__xludf.DUMMYFUNCTION("GOOGLEFINANCE(C332)"),146.15)</f>
        <v>146.15</v>
      </c>
      <c r="H332" s="12">
        <v>146.15</v>
      </c>
      <c r="I332" s="13">
        <f t="shared" si="0"/>
        <v>0.25235646958011998</v>
      </c>
      <c r="J332" s="28">
        <f t="shared" si="6"/>
        <v>2.8618753981237951E-4</v>
      </c>
    </row>
    <row r="333" spans="1:10" ht="15" x14ac:dyDescent="0.25">
      <c r="A333" s="14">
        <v>340</v>
      </c>
      <c r="B333" s="15" t="s">
        <v>441</v>
      </c>
      <c r="C333" s="16" t="s">
        <v>442</v>
      </c>
      <c r="D333" s="17">
        <v>44239</v>
      </c>
      <c r="E333" s="18">
        <v>125.89</v>
      </c>
      <c r="F333" s="12">
        <f ca="1">IFERROR(__xludf.DUMMYFUNCTION("GOOGLEFINANCE(C333)"),98.77)</f>
        <v>98.77</v>
      </c>
      <c r="H333" s="12">
        <v>98.77</v>
      </c>
      <c r="I333" s="13">
        <f t="shared" si="0"/>
        <v>-0.2154261657002145</v>
      </c>
      <c r="J333" s="28">
        <f t="shared" si="6"/>
        <v>-2.6354519795286022E-4</v>
      </c>
    </row>
    <row r="334" spans="1:10" ht="15" x14ac:dyDescent="0.25">
      <c r="A334" s="14">
        <v>341</v>
      </c>
      <c r="B334" s="15" t="s">
        <v>443</v>
      </c>
      <c r="C334" s="16" t="s">
        <v>444</v>
      </c>
      <c r="D334" s="17">
        <v>44239</v>
      </c>
      <c r="E334" s="18">
        <v>104.44</v>
      </c>
      <c r="F334" s="12">
        <f ca="1">IFERROR(__xludf.DUMMYFUNCTION("GOOGLEFINANCE(C334)"),129.53)</f>
        <v>129.53</v>
      </c>
      <c r="H334" s="12">
        <v>129.53</v>
      </c>
      <c r="I334" s="13">
        <f t="shared" si="0"/>
        <v>0.24023362696284953</v>
      </c>
      <c r="J334" s="28">
        <f t="shared" si="6"/>
        <v>2.4381817907954511E-4</v>
      </c>
    </row>
    <row r="335" spans="1:10" ht="15" x14ac:dyDescent="0.25">
      <c r="A335" s="14">
        <v>342</v>
      </c>
      <c r="B335" s="15" t="s">
        <v>329</v>
      </c>
      <c r="C335" s="16" t="s">
        <v>330</v>
      </c>
      <c r="D335" s="17">
        <v>44238</v>
      </c>
      <c r="E335" s="18">
        <v>200.6</v>
      </c>
      <c r="F335" s="12">
        <f ca="1">IFERROR(__xludf.DUMMYFUNCTION("GOOGLEFINANCE(C335)"),61.06)</f>
        <v>61.06</v>
      </c>
      <c r="H335" s="12">
        <v>61.06</v>
      </c>
      <c r="I335" s="13">
        <f t="shared" si="0"/>
        <v>-0.69561316051844468</v>
      </c>
      <c r="J335" s="28">
        <f t="shared" si="6"/>
        <v>-1.3560138983164495E-3</v>
      </c>
    </row>
    <row r="336" spans="1:10" ht="15" x14ac:dyDescent="0.25">
      <c r="A336" s="14">
        <v>343</v>
      </c>
      <c r="B336" s="15" t="s">
        <v>445</v>
      </c>
      <c r="C336" s="16" t="s">
        <v>446</v>
      </c>
      <c r="D336" s="17">
        <v>44238</v>
      </c>
      <c r="E336" s="18">
        <v>56.27</v>
      </c>
      <c r="F336" s="12">
        <f ca="1">IFERROR(__xludf.DUMMYFUNCTION("GOOGLEFINANCE(C336)"),57.19)</f>
        <v>57.19</v>
      </c>
      <c r="H336" s="12">
        <v>57.19</v>
      </c>
      <c r="I336" s="13">
        <f t="shared" si="0"/>
        <v>1.6349742313843868E-2</v>
      </c>
      <c r="J336" s="28">
        <f t="shared" si="6"/>
        <v>8.9403238243595111E-6</v>
      </c>
    </row>
    <row r="337" spans="1:10" ht="15" x14ac:dyDescent="0.25">
      <c r="A337" s="14">
        <v>344</v>
      </c>
      <c r="B337" s="15" t="s">
        <v>447</v>
      </c>
      <c r="C337" s="16" t="s">
        <v>448</v>
      </c>
      <c r="D337" s="17">
        <v>44238</v>
      </c>
      <c r="E337" s="18">
        <v>36.44</v>
      </c>
      <c r="F337" s="12">
        <f ca="1">IFERROR(__xludf.DUMMYFUNCTION("GOOGLEFINANCE(C337)"),29.71)</f>
        <v>29.71</v>
      </c>
      <c r="H337" s="12">
        <v>29.71</v>
      </c>
      <c r="I337" s="13">
        <f t="shared" si="0"/>
        <v>-0.18468715697036217</v>
      </c>
      <c r="J337" s="28">
        <f t="shared" si="6"/>
        <v>-6.5400412323847649E-5</v>
      </c>
    </row>
    <row r="338" spans="1:10" ht="15" x14ac:dyDescent="0.25">
      <c r="A338" s="14">
        <v>345</v>
      </c>
      <c r="B338" s="15" t="s">
        <v>285</v>
      </c>
      <c r="C338" s="16" t="s">
        <v>286</v>
      </c>
      <c r="D338" s="17">
        <v>44238</v>
      </c>
      <c r="E338" s="18">
        <v>285.02999999999997</v>
      </c>
      <c r="F338" s="12">
        <f ca="1">IFERROR(__xludf.DUMMYFUNCTION("GOOGLEFINANCE(C338)"),186.2)</f>
        <v>186.2</v>
      </c>
      <c r="H338" s="12">
        <v>186.2</v>
      </c>
      <c r="I338" s="13">
        <f t="shared" si="0"/>
        <v>-0.34673543135810264</v>
      </c>
      <c r="J338" s="28">
        <f t="shared" si="6"/>
        <v>-9.6040456908853865E-4</v>
      </c>
    </row>
    <row r="339" spans="1:10" ht="15" x14ac:dyDescent="0.25">
      <c r="A339" s="14">
        <v>346</v>
      </c>
      <c r="B339" s="15" t="s">
        <v>136</v>
      </c>
      <c r="C339" s="16" t="s">
        <v>137</v>
      </c>
      <c r="D339" s="17">
        <v>44238</v>
      </c>
      <c r="E339" s="18">
        <v>23.77</v>
      </c>
      <c r="F339" s="12">
        <f ca="1">IFERROR(__xludf.DUMMYFUNCTION("GOOGLEFINANCE(C339)"),20.33)</f>
        <v>20.329999999999998</v>
      </c>
      <c r="H339" s="12">
        <v>20.329999999999998</v>
      </c>
      <c r="I339" s="13">
        <f t="shared" si="0"/>
        <v>-0.14472023559108124</v>
      </c>
      <c r="J339" s="28">
        <f t="shared" si="6"/>
        <v>-3.3429036908474901E-5</v>
      </c>
    </row>
    <row r="340" spans="1:10" ht="15" x14ac:dyDescent="0.25">
      <c r="A340" s="14">
        <v>347</v>
      </c>
      <c r="B340" s="15" t="s">
        <v>449</v>
      </c>
      <c r="C340" s="16" t="s">
        <v>450</v>
      </c>
      <c r="D340" s="17">
        <v>44238</v>
      </c>
      <c r="E340" s="18">
        <v>172.13</v>
      </c>
      <c r="F340" s="12">
        <f ca="1">IFERROR(__xludf.DUMMYFUNCTION("GOOGLEFINANCE(C340)"),126.65)</f>
        <v>126.65</v>
      </c>
      <c r="H340" s="12">
        <v>126.65</v>
      </c>
      <c r="I340" s="13">
        <f t="shared" si="0"/>
        <v>-0.26421890431650491</v>
      </c>
      <c r="J340" s="28">
        <f t="shared" si="6"/>
        <v>-4.4196296470855751E-4</v>
      </c>
    </row>
    <row r="341" spans="1:10" ht="15" x14ac:dyDescent="0.25">
      <c r="A341" s="14">
        <v>348</v>
      </c>
      <c r="B341" s="15" t="s">
        <v>385</v>
      </c>
      <c r="C341" s="16" t="s">
        <v>386</v>
      </c>
      <c r="D341" s="17">
        <v>44238</v>
      </c>
      <c r="E341" s="18">
        <v>572.21</v>
      </c>
      <c r="F341" s="12">
        <f ca="1">IFERROR(__xludf.DUMMYFUNCTION("GOOGLEFINANCE(C341)"),669.17)</f>
        <v>669.17</v>
      </c>
      <c r="H341" s="12">
        <v>669.17</v>
      </c>
      <c r="I341" s="13">
        <f t="shared" si="0"/>
        <v>0.16944827947781393</v>
      </c>
      <c r="J341" s="28">
        <f t="shared" si="6"/>
        <v>9.4223238914119842E-4</v>
      </c>
    </row>
    <row r="342" spans="1:10" ht="15" x14ac:dyDescent="0.25">
      <c r="A342" s="14">
        <v>349</v>
      </c>
      <c r="B342" s="15" t="s">
        <v>451</v>
      </c>
      <c r="C342" s="16" t="s">
        <v>452</v>
      </c>
      <c r="D342" s="17">
        <v>44238</v>
      </c>
      <c r="E342" s="18">
        <v>324.48</v>
      </c>
      <c r="F342" s="12">
        <f ca="1">IFERROR(__xludf.DUMMYFUNCTION("GOOGLEFINANCE(C342)"),391.55)</f>
        <v>391.55</v>
      </c>
      <c r="H342" s="12">
        <v>391.55</v>
      </c>
      <c r="I342" s="13">
        <f t="shared" si="0"/>
        <v>0.20669995069033528</v>
      </c>
      <c r="J342" s="28">
        <f t="shared" si="6"/>
        <v>6.5176904228238686E-4</v>
      </c>
    </row>
    <row r="343" spans="1:10" ht="15" x14ac:dyDescent="0.25">
      <c r="A343" s="14">
        <v>350</v>
      </c>
      <c r="B343" s="15" t="s">
        <v>453</v>
      </c>
      <c r="C343" s="16" t="s">
        <v>454</v>
      </c>
      <c r="D343" s="17">
        <v>44238</v>
      </c>
      <c r="E343" s="18">
        <v>68.2</v>
      </c>
      <c r="F343" s="12">
        <f ca="1">IFERROR(__xludf.DUMMYFUNCTION("GOOGLEFINANCE(C343)"),70.07)</f>
        <v>70.069999999999993</v>
      </c>
      <c r="H343" s="12">
        <v>70.069999999999993</v>
      </c>
      <c r="I343" s="13">
        <f t="shared" si="0"/>
        <v>2.7419354838709536E-2</v>
      </c>
      <c r="J343" s="28">
        <f t="shared" si="6"/>
        <v>1.8172179947339454E-5</v>
      </c>
    </row>
    <row r="344" spans="1:10" ht="15" x14ac:dyDescent="0.25">
      <c r="A344" s="14">
        <v>351</v>
      </c>
      <c r="B344" s="15" t="s">
        <v>455</v>
      </c>
      <c r="C344" s="16" t="s">
        <v>456</v>
      </c>
      <c r="D344" s="17">
        <v>44238</v>
      </c>
      <c r="E344" s="18">
        <v>48.18</v>
      </c>
      <c r="F344" s="12">
        <f ca="1">IFERROR(__xludf.DUMMYFUNCTION("GOOGLEFINANCE(C344)"),48.17)</f>
        <v>48.17</v>
      </c>
      <c r="H344" s="12">
        <v>48.17</v>
      </c>
      <c r="I344" s="13">
        <f t="shared" si="0"/>
        <v>-2.0755500207550874E-4</v>
      </c>
      <c r="J344" s="28">
        <f t="shared" si="6"/>
        <v>-9.7177432873454197E-8</v>
      </c>
    </row>
    <row r="345" spans="1:10" ht="15" x14ac:dyDescent="0.25">
      <c r="A345" s="14">
        <v>352</v>
      </c>
      <c r="B345" s="15" t="s">
        <v>203</v>
      </c>
      <c r="C345" s="16" t="s">
        <v>204</v>
      </c>
      <c r="D345" s="17">
        <v>44238</v>
      </c>
      <c r="E345" s="18">
        <v>190.91</v>
      </c>
      <c r="F345" s="12">
        <f ca="1">IFERROR(__xludf.DUMMYFUNCTION("GOOGLEFINANCE(C345)"),148.76)</f>
        <v>148.76</v>
      </c>
      <c r="H345" s="12">
        <v>148.76</v>
      </c>
      <c r="I345" s="13">
        <f t="shared" si="0"/>
        <v>-0.22078466293017657</v>
      </c>
      <c r="J345" s="28">
        <f t="shared" si="6"/>
        <v>-4.0960287956169096E-4</v>
      </c>
    </row>
    <row r="346" spans="1:10" ht="15" x14ac:dyDescent="0.25">
      <c r="A346" s="14">
        <v>353</v>
      </c>
      <c r="B346" s="15" t="s">
        <v>64</v>
      </c>
      <c r="C346" s="16" t="s">
        <v>65</v>
      </c>
      <c r="D346" s="17">
        <v>44238</v>
      </c>
      <c r="E346" s="18">
        <v>70.31</v>
      </c>
      <c r="F346" s="12">
        <f ca="1">IFERROR(__xludf.DUMMYFUNCTION("GOOGLEFINANCE(C346)"),32.85)</f>
        <v>32.85</v>
      </c>
      <c r="H346" s="12">
        <v>32.85</v>
      </c>
      <c r="I346" s="13">
        <f t="shared" si="0"/>
        <v>-0.53278338785379031</v>
      </c>
      <c r="J346" s="28">
        <f t="shared" si="6"/>
        <v>-3.6402666354403183E-4</v>
      </c>
    </row>
    <row r="347" spans="1:10" ht="15" x14ac:dyDescent="0.25">
      <c r="A347" s="14">
        <v>354</v>
      </c>
      <c r="B347" s="15" t="s">
        <v>86</v>
      </c>
      <c r="C347" s="16" t="s">
        <v>87</v>
      </c>
      <c r="D347" s="17">
        <v>44238</v>
      </c>
      <c r="E347" s="18">
        <v>210.66</v>
      </c>
      <c r="F347" s="12">
        <f ca="1">IFERROR(__xludf.DUMMYFUNCTION("GOOGLEFINANCE(C347)"),192.63)</f>
        <v>192.63</v>
      </c>
      <c r="H347" s="12">
        <v>192.63</v>
      </c>
      <c r="I347" s="13">
        <f t="shared" si="0"/>
        <v>-8.5588151523782408E-2</v>
      </c>
      <c r="J347" s="28">
        <f t="shared" si="6"/>
        <v>-1.7521091147087276E-4</v>
      </c>
    </row>
    <row r="348" spans="1:10" ht="15" x14ac:dyDescent="0.25">
      <c r="A348" s="14">
        <v>355</v>
      </c>
      <c r="B348" s="15" t="s">
        <v>223</v>
      </c>
      <c r="C348" s="16" t="s">
        <v>224</v>
      </c>
      <c r="D348" s="17">
        <v>44238</v>
      </c>
      <c r="E348" s="18">
        <v>9.11</v>
      </c>
      <c r="F348" s="12">
        <f ca="1">IFERROR(__xludf.DUMMYFUNCTION("GOOGLEFINANCE(C348)"),2.39)</f>
        <v>2.39</v>
      </c>
      <c r="H348" s="12">
        <v>2.39</v>
      </c>
      <c r="I348" s="13">
        <f t="shared" si="0"/>
        <v>-0.73765093304061458</v>
      </c>
      <c r="J348" s="28">
        <f t="shared" si="6"/>
        <v>-6.5303234890974192E-5</v>
      </c>
    </row>
    <row r="349" spans="1:10" ht="15" x14ac:dyDescent="0.25">
      <c r="A349" s="14">
        <v>356</v>
      </c>
      <c r="B349" s="15" t="s">
        <v>130</v>
      </c>
      <c r="C349" s="16" t="s">
        <v>131</v>
      </c>
      <c r="D349" s="17">
        <v>44238</v>
      </c>
      <c r="E349" s="18">
        <v>113</v>
      </c>
      <c r="F349" s="12">
        <f ca="1">IFERROR(__xludf.DUMMYFUNCTION("GOOGLEFINANCE(C349)"),146.15)</f>
        <v>146.15</v>
      </c>
      <c r="H349" s="12">
        <v>146.15</v>
      </c>
      <c r="I349" s="13">
        <f t="shared" si="0"/>
        <v>0.29336283185840711</v>
      </c>
      <c r="J349" s="28">
        <f t="shared" si="6"/>
        <v>3.2214318997556479E-4</v>
      </c>
    </row>
    <row r="350" spans="1:10" ht="15" x14ac:dyDescent="0.25">
      <c r="A350" s="14">
        <v>357</v>
      </c>
      <c r="B350" s="15" t="s">
        <v>457</v>
      </c>
      <c r="C350" s="16" t="s">
        <v>458</v>
      </c>
      <c r="D350" s="17">
        <v>44237</v>
      </c>
      <c r="E350" s="18">
        <v>185.29</v>
      </c>
      <c r="F350" s="12">
        <f ca="1">IFERROR(__xludf.DUMMYFUNCTION("GOOGLEFINANCE(C350)"),151.7)</f>
        <v>151.69999999999999</v>
      </c>
      <c r="H350" s="12">
        <v>151.69999999999999</v>
      </c>
      <c r="I350" s="13">
        <f t="shared" si="0"/>
        <v>-0.18128339359922285</v>
      </c>
      <c r="J350" s="28">
        <f t="shared" si="6"/>
        <v>-3.264189970219976E-4</v>
      </c>
    </row>
    <row r="351" spans="1:10" ht="15" x14ac:dyDescent="0.25">
      <c r="A351" s="14">
        <v>358</v>
      </c>
      <c r="B351" s="15" t="s">
        <v>459</v>
      </c>
      <c r="C351" s="16" t="s">
        <v>460</v>
      </c>
      <c r="D351" s="17">
        <v>44237</v>
      </c>
      <c r="E351" s="18">
        <v>16.27</v>
      </c>
      <c r="F351" s="12">
        <f ca="1">IFERROR(__xludf.DUMMYFUNCTION("GOOGLEFINANCE(C351)"),16.5)</f>
        <v>16.5</v>
      </c>
      <c r="H351" s="12">
        <v>16.5</v>
      </c>
      <c r="I351" s="13">
        <f t="shared" si="0"/>
        <v>1.4136447449293205E-2</v>
      </c>
      <c r="J351" s="28">
        <f t="shared" si="6"/>
        <v>2.2350809560898951E-6</v>
      </c>
    </row>
    <row r="352" spans="1:10" ht="15" x14ac:dyDescent="0.25">
      <c r="A352" s="14">
        <v>359</v>
      </c>
      <c r="B352" s="15" t="s">
        <v>461</v>
      </c>
      <c r="C352" s="16" t="s">
        <v>462</v>
      </c>
      <c r="D352" s="17">
        <v>44237</v>
      </c>
      <c r="E352" s="18">
        <v>57.64</v>
      </c>
      <c r="F352" s="12">
        <f ca="1">IFERROR(__xludf.DUMMYFUNCTION("GOOGLEFINANCE(C352)"),18.32)</f>
        <v>18.32</v>
      </c>
      <c r="H352" s="12">
        <v>18.32</v>
      </c>
      <c r="I352" s="13">
        <f t="shared" si="0"/>
        <v>-0.68216516308119357</v>
      </c>
      <c r="J352" s="28">
        <f t="shared" si="6"/>
        <v>-3.8210166605849789E-4</v>
      </c>
    </row>
    <row r="353" spans="1:10" ht="15" x14ac:dyDescent="0.25">
      <c r="A353" s="14">
        <v>360</v>
      </c>
      <c r="B353" s="15" t="s">
        <v>463</v>
      </c>
      <c r="C353" s="16" t="s">
        <v>464</v>
      </c>
      <c r="D353" s="17">
        <v>44237</v>
      </c>
      <c r="E353" s="18">
        <v>18.47</v>
      </c>
      <c r="F353" s="12">
        <f ca="1">IFERROR(__xludf.DUMMYFUNCTION("GOOGLEFINANCE(C353)"),20.63)</f>
        <v>20.63</v>
      </c>
      <c r="H353" s="12">
        <v>20.63</v>
      </c>
      <c r="I353" s="13">
        <f t="shared" si="0"/>
        <v>0.1169463995668652</v>
      </c>
      <c r="J353" s="28">
        <f t="shared" si="6"/>
        <v>2.0990325500670282E-5</v>
      </c>
    </row>
    <row r="354" spans="1:10" ht="15" x14ac:dyDescent="0.25">
      <c r="A354" s="14">
        <v>361</v>
      </c>
      <c r="B354" s="15" t="s">
        <v>465</v>
      </c>
      <c r="C354" s="16" t="s">
        <v>466</v>
      </c>
      <c r="D354" s="17">
        <v>44237</v>
      </c>
      <c r="E354" s="18">
        <v>25.44</v>
      </c>
      <c r="F354" s="12">
        <f ca="1">IFERROR(__xludf.DUMMYFUNCTION("GOOGLEFINANCE(C354)"),33.64)</f>
        <v>33.64</v>
      </c>
      <c r="H354" s="12">
        <v>33.64</v>
      </c>
      <c r="I354" s="13">
        <f t="shared" si="0"/>
        <v>0.32232704402515716</v>
      </c>
      <c r="J354" s="28">
        <f t="shared" si="6"/>
        <v>7.9685494956248262E-5</v>
      </c>
    </row>
    <row r="355" spans="1:10" ht="15" x14ac:dyDescent="0.25">
      <c r="A355" s="14">
        <v>362</v>
      </c>
      <c r="B355" s="15" t="s">
        <v>467</v>
      </c>
      <c r="C355" s="16" t="s">
        <v>468</v>
      </c>
      <c r="D355" s="17">
        <v>44236</v>
      </c>
      <c r="E355" s="18">
        <v>200.31</v>
      </c>
      <c r="F355" s="12">
        <f ca="1">IFERROR(__xludf.DUMMYFUNCTION("GOOGLEFINANCE(C355)"),175.74)</f>
        <v>175.74</v>
      </c>
      <c r="H355" s="12">
        <v>175.74</v>
      </c>
      <c r="I355" s="13">
        <f t="shared" si="0"/>
        <v>-0.12265987719035491</v>
      </c>
      <c r="J355" s="28">
        <f t="shared" si="6"/>
        <v>-2.3876495257012438E-4</v>
      </c>
    </row>
    <row r="356" spans="1:10" ht="15" x14ac:dyDescent="0.25">
      <c r="A356" s="14">
        <v>363</v>
      </c>
      <c r="B356" s="15" t="s">
        <v>469</v>
      </c>
      <c r="C356" s="16" t="s">
        <v>470</v>
      </c>
      <c r="D356" s="17">
        <v>44236</v>
      </c>
      <c r="E356" s="18">
        <v>84.32</v>
      </c>
      <c r="F356" s="12">
        <f ca="1">IFERROR(__xludf.DUMMYFUNCTION("GOOGLEFINANCE(C356)"),18.71)</f>
        <v>18.71</v>
      </c>
      <c r="H356" s="12">
        <v>18.71</v>
      </c>
      <c r="I356" s="13">
        <f t="shared" si="0"/>
        <v>-0.77810721062618582</v>
      </c>
      <c r="J356" s="28">
        <f t="shared" si="6"/>
        <v>-6.3758113708285962E-4</v>
      </c>
    </row>
    <row r="357" spans="1:10" ht="15" x14ac:dyDescent="0.25">
      <c r="A357" s="14">
        <v>364</v>
      </c>
      <c r="B357" s="15" t="s">
        <v>235</v>
      </c>
      <c r="C357" s="16" t="s">
        <v>236</v>
      </c>
      <c r="D357" s="17">
        <v>44236</v>
      </c>
      <c r="E357" s="18">
        <v>244.98</v>
      </c>
      <c r="F357" s="12">
        <f ca="1">IFERROR(__xludf.DUMMYFUNCTION("GOOGLEFINANCE(C357)"),211.03)</f>
        <v>211.03</v>
      </c>
      <c r="H357" s="12">
        <v>211.03</v>
      </c>
      <c r="I357" s="13">
        <f t="shared" si="0"/>
        <v>-0.13858274144828145</v>
      </c>
      <c r="J357" s="28">
        <f t="shared" si="6"/>
        <v>-3.2991738460544248E-4</v>
      </c>
    </row>
    <row r="358" spans="1:10" ht="15" x14ac:dyDescent="0.25">
      <c r="A358" s="14">
        <v>365</v>
      </c>
      <c r="B358" s="15" t="s">
        <v>471</v>
      </c>
      <c r="C358" s="16" t="s">
        <v>472</v>
      </c>
      <c r="D358" s="17">
        <v>44236</v>
      </c>
      <c r="E358" s="18">
        <v>102.35</v>
      </c>
      <c r="F358" s="12">
        <f ca="1">IFERROR(__xludf.DUMMYFUNCTION("GOOGLEFINANCE(C358)"),29.46)</f>
        <v>29.46</v>
      </c>
      <c r="H358" s="12">
        <v>29.46</v>
      </c>
      <c r="I358" s="13">
        <f t="shared" si="0"/>
        <v>-0.71216414264777717</v>
      </c>
      <c r="J358" s="28">
        <f t="shared" si="6"/>
        <v>-7.0832630821474833E-4</v>
      </c>
    </row>
    <row r="359" spans="1:10" ht="15" x14ac:dyDescent="0.25">
      <c r="A359" s="14">
        <v>366</v>
      </c>
      <c r="B359" s="15" t="s">
        <v>128</v>
      </c>
      <c r="C359" s="16" t="s">
        <v>129</v>
      </c>
      <c r="D359" s="17">
        <v>44236</v>
      </c>
      <c r="E359" s="18">
        <v>173.75</v>
      </c>
      <c r="F359" s="12">
        <f ca="1">IFERROR(__xludf.DUMMYFUNCTION("GOOGLEFINANCE(C359)"),244.74)</f>
        <v>244.74</v>
      </c>
      <c r="H359" s="12">
        <v>244.74</v>
      </c>
      <c r="I359" s="13">
        <f t="shared" si="0"/>
        <v>0.40857553956834536</v>
      </c>
      <c r="J359" s="28">
        <f t="shared" si="6"/>
        <v>6.898625959687886E-4</v>
      </c>
    </row>
    <row r="360" spans="1:10" ht="15" x14ac:dyDescent="0.25">
      <c r="A360" s="14">
        <v>367</v>
      </c>
      <c r="B360" s="15" t="s">
        <v>473</v>
      </c>
      <c r="C360" s="16" t="s">
        <v>474</v>
      </c>
      <c r="D360" s="17">
        <v>44236</v>
      </c>
      <c r="E360" s="18">
        <v>25.28</v>
      </c>
      <c r="F360" s="12">
        <f ca="1">IFERROR(__xludf.DUMMYFUNCTION("GOOGLEFINANCE(C360)"),47.92)</f>
        <v>47.92</v>
      </c>
      <c r="H360" s="12">
        <v>47.92</v>
      </c>
      <c r="I360" s="13">
        <f t="shared" si="0"/>
        <v>0.89556962025316456</v>
      </c>
      <c r="J360" s="28">
        <f t="shared" si="6"/>
        <v>2.2000970802554405E-4</v>
      </c>
    </row>
    <row r="361" spans="1:10" ht="15" x14ac:dyDescent="0.25">
      <c r="A361" s="14">
        <v>368</v>
      </c>
      <c r="B361" s="15" t="s">
        <v>475</v>
      </c>
      <c r="C361" s="16" t="s">
        <v>476</v>
      </c>
      <c r="D361" s="17">
        <v>44235</v>
      </c>
      <c r="E361" s="18">
        <v>154.18</v>
      </c>
      <c r="F361" s="12">
        <f ca="1">IFERROR(__xludf.DUMMYFUNCTION("GOOGLEFINANCE(C361)"),204.74)</f>
        <v>204.74</v>
      </c>
      <c r="H361" s="12">
        <v>204.74</v>
      </c>
      <c r="I361" s="13">
        <f t="shared" si="0"/>
        <v>0.32792839538202101</v>
      </c>
      <c r="J361" s="28">
        <f t="shared" si="6"/>
        <v>4.9132910060828221E-4</v>
      </c>
    </row>
    <row r="362" spans="1:10" ht="15" x14ac:dyDescent="0.25">
      <c r="A362" s="14">
        <v>369</v>
      </c>
      <c r="B362" s="15" t="s">
        <v>477</v>
      </c>
      <c r="C362" s="16" t="s">
        <v>478</v>
      </c>
      <c r="D362" s="17">
        <v>44235</v>
      </c>
      <c r="E362" s="18">
        <v>13.92</v>
      </c>
      <c r="F362" s="12">
        <f ca="1">IFERROR(__xludf.DUMMYFUNCTION("GOOGLEFINANCE(C362)"),6.34)</f>
        <v>6.34</v>
      </c>
      <c r="H362" s="12">
        <v>6.34</v>
      </c>
      <c r="I362" s="13">
        <f t="shared" si="0"/>
        <v>-0.54454022988505746</v>
      </c>
      <c r="J362" s="28">
        <f t="shared" si="6"/>
        <v>-7.3660494118092928E-5</v>
      </c>
    </row>
    <row r="363" spans="1:10" ht="15" x14ac:dyDescent="0.25">
      <c r="A363" s="14">
        <v>370</v>
      </c>
      <c r="B363" s="15" t="s">
        <v>479</v>
      </c>
      <c r="C363" s="16" t="s">
        <v>480</v>
      </c>
      <c r="D363" s="17">
        <v>44235</v>
      </c>
      <c r="E363" s="18">
        <v>49.26</v>
      </c>
      <c r="F363" s="12">
        <f ca="1">IFERROR(__xludf.DUMMYFUNCTION("GOOGLEFINANCE(C363)"),52.98)</f>
        <v>52.98</v>
      </c>
      <c r="H363" s="12">
        <v>52.98</v>
      </c>
      <c r="I363" s="13">
        <f t="shared" si="0"/>
        <v>7.5517661388550525E-2</v>
      </c>
      <c r="J363" s="28">
        <f t="shared" si="6"/>
        <v>3.6150005028932136E-5</v>
      </c>
    </row>
    <row r="364" spans="1:10" ht="15" x14ac:dyDescent="0.25">
      <c r="A364" s="14">
        <v>371</v>
      </c>
      <c r="B364" s="15" t="s">
        <v>207</v>
      </c>
      <c r="C364" s="16" t="s">
        <v>208</v>
      </c>
      <c r="D364" s="17">
        <v>44235</v>
      </c>
      <c r="E364" s="18">
        <v>300.91000000000003</v>
      </c>
      <c r="F364" s="12">
        <f ca="1">IFERROR(__xludf.DUMMYFUNCTION("GOOGLEFINANCE(C364)"),436.35)</f>
        <v>436.35</v>
      </c>
      <c r="H364" s="12">
        <v>436.35</v>
      </c>
      <c r="I364" s="13">
        <f t="shared" si="0"/>
        <v>0.45010135921039507</v>
      </c>
      <c r="J364" s="28">
        <f t="shared" si="6"/>
        <v>1.3161711508383252E-3</v>
      </c>
    </row>
    <row r="365" spans="1:10" ht="15" x14ac:dyDescent="0.25">
      <c r="A365" s="14">
        <v>372</v>
      </c>
      <c r="B365" s="15" t="s">
        <v>253</v>
      </c>
      <c r="C365" s="16" t="s">
        <v>254</v>
      </c>
      <c r="D365" s="17">
        <v>44235</v>
      </c>
      <c r="E365" s="18">
        <v>257.33999999999997</v>
      </c>
      <c r="F365" s="12">
        <f ca="1">IFERROR(__xludf.DUMMYFUNCTION("GOOGLEFINANCE(C365)"),333.83)</f>
        <v>333.83</v>
      </c>
      <c r="H365" s="12">
        <v>333.83</v>
      </c>
      <c r="I365" s="13">
        <f t="shared" si="0"/>
        <v>0.2972332322996814</v>
      </c>
      <c r="J365" s="28">
        <f t="shared" si="6"/>
        <v>7.4331018404919912E-4</v>
      </c>
    </row>
    <row r="366" spans="1:10" ht="15" x14ac:dyDescent="0.25">
      <c r="A366" s="14">
        <v>373</v>
      </c>
      <c r="B366" s="15" t="s">
        <v>481</v>
      </c>
      <c r="C366" s="16" t="s">
        <v>482</v>
      </c>
      <c r="D366" s="17">
        <v>44235</v>
      </c>
      <c r="E366" s="18">
        <v>95.22</v>
      </c>
      <c r="F366" s="12">
        <f ca="1">IFERROR(__xludf.DUMMYFUNCTION("GOOGLEFINANCE(C366)"),105.84)</f>
        <v>105.84</v>
      </c>
      <c r="H366" s="12">
        <v>105.84</v>
      </c>
      <c r="I366" s="13">
        <f t="shared" si="0"/>
        <v>0.11153119092627604</v>
      </c>
      <c r="J366" s="28">
        <f t="shared" si="6"/>
        <v>1.0320243371162893E-4</v>
      </c>
    </row>
    <row r="367" spans="1:10" ht="15" x14ac:dyDescent="0.25">
      <c r="A367" s="14">
        <v>374</v>
      </c>
      <c r="B367" s="15" t="s">
        <v>483</v>
      </c>
      <c r="C367" s="16" t="s">
        <v>484</v>
      </c>
      <c r="D367" s="17">
        <v>44235</v>
      </c>
      <c r="E367" s="18">
        <v>91.86</v>
      </c>
      <c r="F367" s="12">
        <f ca="1">IFERROR(__xludf.DUMMYFUNCTION("GOOGLEFINANCE(C367)"),88.04)</f>
        <v>88.04</v>
      </c>
      <c r="H367" s="12">
        <v>88.04</v>
      </c>
      <c r="I367" s="13">
        <f t="shared" si="0"/>
        <v>-4.1585020683648957E-2</v>
      </c>
      <c r="J367" s="28">
        <f t="shared" si="6"/>
        <v>-3.7121779357666821E-5</v>
      </c>
    </row>
    <row r="368" spans="1:10" ht="15" x14ac:dyDescent="0.25">
      <c r="A368" s="14">
        <v>375</v>
      </c>
      <c r="B368" s="15" t="s">
        <v>203</v>
      </c>
      <c r="C368" s="16" t="s">
        <v>204</v>
      </c>
      <c r="D368" s="17">
        <v>44235</v>
      </c>
      <c r="E368" s="18">
        <v>190</v>
      </c>
      <c r="F368" s="12">
        <f ca="1">IFERROR(__xludf.DUMMYFUNCTION("GOOGLEFINANCE(C368)"),148.76)</f>
        <v>148.76</v>
      </c>
      <c r="H368" s="12">
        <v>148.76</v>
      </c>
      <c r="I368" s="13">
        <f t="shared" si="0"/>
        <v>-0.21705263157894741</v>
      </c>
      <c r="J368" s="28">
        <f t="shared" si="6"/>
        <v>-4.0075973317020488E-4</v>
      </c>
    </row>
    <row r="369" spans="1:10" ht="15" x14ac:dyDescent="0.25">
      <c r="A369" s="14">
        <v>376</v>
      </c>
      <c r="B369" s="15" t="s">
        <v>86</v>
      </c>
      <c r="C369" s="16" t="s">
        <v>87</v>
      </c>
      <c r="D369" s="17">
        <v>44235</v>
      </c>
      <c r="E369" s="18">
        <v>211.95</v>
      </c>
      <c r="F369" s="12">
        <f ca="1">IFERROR(__xludf.DUMMYFUNCTION("GOOGLEFINANCE(C369)"),192.63)</f>
        <v>192.63</v>
      </c>
      <c r="H369" s="12">
        <v>192.63</v>
      </c>
      <c r="I369" s="13">
        <f t="shared" si="0"/>
        <v>-9.1153573956121697E-2</v>
      </c>
      <c r="J369" s="28">
        <f t="shared" si="6"/>
        <v>-1.8774680031155078E-4</v>
      </c>
    </row>
    <row r="370" spans="1:10" ht="15" x14ac:dyDescent="0.25">
      <c r="A370" s="14">
        <v>377</v>
      </c>
      <c r="B370" s="15" t="s">
        <v>301</v>
      </c>
      <c r="C370" s="16" t="s">
        <v>302</v>
      </c>
      <c r="D370" s="17">
        <v>44235</v>
      </c>
      <c r="E370" s="18">
        <v>91.47</v>
      </c>
      <c r="F370" s="12">
        <f ca="1">IFERROR(__xludf.DUMMYFUNCTION("GOOGLEFINANCE(C370)"),137.75)</f>
        <v>137.75</v>
      </c>
      <c r="H370" s="12">
        <v>137.75</v>
      </c>
      <c r="I370" s="13">
        <f t="shared" si="0"/>
        <v>0.50595823767355419</v>
      </c>
      <c r="J370" s="28">
        <f t="shared" si="6"/>
        <v>4.4973715933843548E-4</v>
      </c>
    </row>
    <row r="371" spans="1:10" ht="15" x14ac:dyDescent="0.25">
      <c r="A371" s="14">
        <v>378</v>
      </c>
      <c r="B371" s="15" t="s">
        <v>367</v>
      </c>
      <c r="C371" s="16" t="s">
        <v>368</v>
      </c>
      <c r="D371" s="17">
        <v>44232</v>
      </c>
      <c r="E371" s="18">
        <v>56.78</v>
      </c>
      <c r="F371" s="12">
        <f ca="1">IFERROR(__xludf.DUMMYFUNCTION("GOOGLEFINANCE(C371)"),43.07)</f>
        <v>43.07</v>
      </c>
      <c r="H371" s="12">
        <v>43.07</v>
      </c>
      <c r="I371" s="13">
        <f t="shared" si="0"/>
        <v>-0.24145825995068687</v>
      </c>
      <c r="J371" s="28">
        <f t="shared" si="6"/>
        <v>-1.3323026046953222E-4</v>
      </c>
    </row>
    <row r="372" spans="1:10" ht="15" x14ac:dyDescent="0.25">
      <c r="A372" s="14">
        <v>379</v>
      </c>
      <c r="B372" s="15" t="s">
        <v>467</v>
      </c>
      <c r="C372" s="16" t="s">
        <v>468</v>
      </c>
      <c r="D372" s="17">
        <v>44232</v>
      </c>
      <c r="E372" s="18">
        <v>207.49</v>
      </c>
      <c r="F372" s="12">
        <f ca="1">IFERROR(__xludf.DUMMYFUNCTION("GOOGLEFINANCE(C372)"),175.74)</f>
        <v>175.74</v>
      </c>
      <c r="H372" s="12">
        <v>175.74</v>
      </c>
      <c r="I372" s="13">
        <f t="shared" si="0"/>
        <v>-0.15301942262277698</v>
      </c>
      <c r="J372" s="28">
        <f t="shared" si="6"/>
        <v>-3.0853834937327843E-4</v>
      </c>
    </row>
    <row r="373" spans="1:10" ht="15" x14ac:dyDescent="0.25">
      <c r="A373" s="14">
        <v>380</v>
      </c>
      <c r="B373" s="15" t="s">
        <v>485</v>
      </c>
      <c r="C373" s="16" t="s">
        <v>486</v>
      </c>
      <c r="D373" s="17">
        <v>44232</v>
      </c>
      <c r="E373" s="18">
        <v>48.21</v>
      </c>
      <c r="F373" s="12">
        <f ca="1">IFERROR(__xludf.DUMMYFUNCTION("GOOGLEFINANCE(C373)"),48.88)</f>
        <v>48.88</v>
      </c>
      <c r="H373" s="12">
        <v>48.88</v>
      </c>
      <c r="I373" s="13">
        <f t="shared" si="0"/>
        <v>1.3897531632441437E-2</v>
      </c>
      <c r="J373" s="28">
        <f t="shared" si="6"/>
        <v>6.5108880025227431E-6</v>
      </c>
    </row>
    <row r="374" spans="1:10" ht="15" x14ac:dyDescent="0.25">
      <c r="A374" s="14">
        <v>381</v>
      </c>
      <c r="B374" s="15" t="s">
        <v>487</v>
      </c>
      <c r="C374" s="16" t="s">
        <v>488</v>
      </c>
      <c r="D374" s="17">
        <v>44232</v>
      </c>
      <c r="E374" s="18">
        <v>63.64</v>
      </c>
      <c r="F374" s="12">
        <f ca="1">IFERROR(__xludf.DUMMYFUNCTION("GOOGLEFINANCE(C374)"),45.29)</f>
        <v>45.29</v>
      </c>
      <c r="H374" s="12">
        <v>45.29</v>
      </c>
      <c r="I374" s="13">
        <f t="shared" si="0"/>
        <v>-0.28834066624764298</v>
      </c>
      <c r="J374" s="28">
        <f t="shared" si="6"/>
        <v>-1.7832058932282393E-4</v>
      </c>
    </row>
    <row r="375" spans="1:10" ht="15" x14ac:dyDescent="0.25">
      <c r="A375" s="14">
        <v>382</v>
      </c>
      <c r="B375" s="15" t="s">
        <v>489</v>
      </c>
      <c r="C375" s="16" t="s">
        <v>490</v>
      </c>
      <c r="D375" s="17">
        <v>44232</v>
      </c>
      <c r="E375" s="18">
        <v>98.68</v>
      </c>
      <c r="F375" s="12">
        <f ca="1">IFERROR(__xludf.DUMMYFUNCTION("GOOGLEFINANCE(C375)"),44.26)</f>
        <v>44.26</v>
      </c>
      <c r="H375" s="12">
        <v>44.26</v>
      </c>
      <c r="I375" s="13">
        <f t="shared" si="0"/>
        <v>-0.55147952979327119</v>
      </c>
      <c r="J375" s="28">
        <f t="shared" si="6"/>
        <v>-5.2883958969744292E-4</v>
      </c>
    </row>
    <row r="376" spans="1:10" ht="15" x14ac:dyDescent="0.25">
      <c r="A376" s="14">
        <v>383</v>
      </c>
      <c r="B376" s="15" t="s">
        <v>285</v>
      </c>
      <c r="C376" s="16" t="s">
        <v>286</v>
      </c>
      <c r="D376" s="17">
        <v>44232</v>
      </c>
      <c r="E376" s="18">
        <v>269.44</v>
      </c>
      <c r="F376" s="12">
        <f ca="1">IFERROR(__xludf.DUMMYFUNCTION("GOOGLEFINANCE(C376)"),186.2)</f>
        <v>186.2</v>
      </c>
      <c r="H376" s="12">
        <v>186.2</v>
      </c>
      <c r="I376" s="13">
        <f t="shared" si="0"/>
        <v>-0.30893705463182902</v>
      </c>
      <c r="J376" s="28">
        <f t="shared" si="6"/>
        <v>-8.0890495123879373E-4</v>
      </c>
    </row>
    <row r="377" spans="1:10" ht="15" x14ac:dyDescent="0.25">
      <c r="A377" s="14">
        <v>384</v>
      </c>
      <c r="B377" s="15" t="s">
        <v>491</v>
      </c>
      <c r="C377" s="16" t="s">
        <v>492</v>
      </c>
      <c r="D377" s="17">
        <v>44232</v>
      </c>
      <c r="E377" s="18">
        <v>140.96</v>
      </c>
      <c r="F377" s="12">
        <f ca="1">IFERROR(__xludf.DUMMYFUNCTION("GOOGLEFINANCE(C377)"),168.3)</f>
        <v>168.3</v>
      </c>
      <c r="H377" s="12">
        <v>168.3</v>
      </c>
      <c r="I377" s="13">
        <f t="shared" si="0"/>
        <v>0.19395573212258799</v>
      </c>
      <c r="J377" s="28">
        <f t="shared" si="6"/>
        <v>2.6568310147607668E-4</v>
      </c>
    </row>
    <row r="378" spans="1:10" ht="15" x14ac:dyDescent="0.25">
      <c r="A378" s="14">
        <v>385</v>
      </c>
      <c r="B378" s="15" t="s">
        <v>493</v>
      </c>
      <c r="C378" s="16" t="s">
        <v>494</v>
      </c>
      <c r="D378" s="17">
        <v>44232</v>
      </c>
      <c r="E378" s="18">
        <v>26.13</v>
      </c>
      <c r="F378" s="12">
        <f ca="1">IFERROR(__xludf.DUMMYFUNCTION("GOOGLEFINANCE(C378)"),21.75)</f>
        <v>21.75</v>
      </c>
      <c r="H378" s="12">
        <v>21.75</v>
      </c>
      <c r="I378" s="13">
        <f t="shared" si="0"/>
        <v>-0.1676234213547646</v>
      </c>
      <c r="J378" s="28">
        <f t="shared" si="6"/>
        <v>-4.2563715598581394E-5</v>
      </c>
    </row>
    <row r="379" spans="1:10" ht="15" x14ac:dyDescent="0.25">
      <c r="A379" s="14">
        <v>386</v>
      </c>
      <c r="B379" s="15" t="s">
        <v>173</v>
      </c>
      <c r="C379" s="16" t="s">
        <v>174</v>
      </c>
      <c r="D379" s="17">
        <v>44232</v>
      </c>
      <c r="E379" s="18">
        <v>76.400000000000006</v>
      </c>
      <c r="F379" s="12">
        <f ca="1">IFERROR(__xludf.DUMMYFUNCTION("GOOGLEFINANCE(C379)"),57.36)</f>
        <v>57.36</v>
      </c>
      <c r="H379" s="12">
        <v>57.36</v>
      </c>
      <c r="I379" s="13">
        <f t="shared" si="0"/>
        <v>-0.24921465968586393</v>
      </c>
      <c r="J379" s="28">
        <f t="shared" si="6"/>
        <v>-1.8502583219109364E-4</v>
      </c>
    </row>
    <row r="380" spans="1:10" ht="15" x14ac:dyDescent="0.25">
      <c r="A380" s="14">
        <v>387</v>
      </c>
      <c r="B380" s="15" t="s">
        <v>140</v>
      </c>
      <c r="C380" s="16" t="s">
        <v>141</v>
      </c>
      <c r="D380" s="17">
        <v>44232</v>
      </c>
      <c r="E380" s="18">
        <v>54.41</v>
      </c>
      <c r="F380" s="12">
        <f ca="1">IFERROR(__xludf.DUMMYFUNCTION("GOOGLEFINANCE(C380)"),55.16)</f>
        <v>55.16</v>
      </c>
      <c r="H380" s="12">
        <v>55.16</v>
      </c>
      <c r="I380" s="13">
        <f t="shared" si="0"/>
        <v>1.3784230839919134E-2</v>
      </c>
      <c r="J380" s="28">
        <f t="shared" si="6"/>
        <v>7.288307465510514E-6</v>
      </c>
    </row>
    <row r="381" spans="1:10" ht="15" x14ac:dyDescent="0.25">
      <c r="A381" s="14">
        <v>388</v>
      </c>
      <c r="B381" s="15" t="s">
        <v>415</v>
      </c>
      <c r="C381" s="16" t="s">
        <v>416</v>
      </c>
      <c r="D381" s="17">
        <v>44232</v>
      </c>
      <c r="E381" s="18">
        <v>272.81</v>
      </c>
      <c r="F381" s="12">
        <f ca="1">IFERROR(__xludf.DUMMYFUNCTION("GOOGLEFINANCE(C381)"),345.96)</f>
        <v>345.96</v>
      </c>
      <c r="H381" s="12">
        <v>345.96</v>
      </c>
      <c r="I381" s="13">
        <f t="shared" si="0"/>
        <v>0.26813533228254088</v>
      </c>
      <c r="J381" s="28">
        <f t="shared" si="6"/>
        <v>7.1085292146945867E-4</v>
      </c>
    </row>
    <row r="382" spans="1:10" ht="15" x14ac:dyDescent="0.25">
      <c r="A382" s="14">
        <v>389</v>
      </c>
      <c r="B382" s="15" t="s">
        <v>203</v>
      </c>
      <c r="C382" s="16" t="s">
        <v>204</v>
      </c>
      <c r="D382" s="17">
        <v>44232</v>
      </c>
      <c r="E382" s="18">
        <v>181.16</v>
      </c>
      <c r="F382" s="12">
        <f ca="1">IFERROR(__xludf.DUMMYFUNCTION("GOOGLEFINANCE(C382)"),148.76)</f>
        <v>148.76</v>
      </c>
      <c r="H382" s="12">
        <v>148.76</v>
      </c>
      <c r="I382" s="13">
        <f t="shared" si="0"/>
        <v>-0.17884742768823142</v>
      </c>
      <c r="J382" s="28">
        <f t="shared" si="6"/>
        <v>-3.1485488251005423E-4</v>
      </c>
    </row>
    <row r="383" spans="1:10" ht="15" x14ac:dyDescent="0.25">
      <c r="A383" s="14">
        <v>390</v>
      </c>
      <c r="B383" s="15" t="s">
        <v>437</v>
      </c>
      <c r="C383" s="16" t="s">
        <v>438</v>
      </c>
      <c r="D383" s="17">
        <v>44232</v>
      </c>
      <c r="E383" s="18">
        <v>75.84</v>
      </c>
      <c r="F383" s="12">
        <f ca="1">IFERROR(__xludf.DUMMYFUNCTION("GOOGLEFINANCE(C383)"),76.51)</f>
        <v>76.510000000000005</v>
      </c>
      <c r="H383" s="20">
        <v>76.510000000000005</v>
      </c>
      <c r="I383" s="13">
        <f t="shared" si="0"/>
        <v>8.8343881856540307E-3</v>
      </c>
      <c r="J383" s="28">
        <f t="shared" si="6"/>
        <v>6.5108880025227431E-6</v>
      </c>
    </row>
    <row r="384" spans="1:10" ht="15" x14ac:dyDescent="0.25">
      <c r="A384" s="14">
        <v>391</v>
      </c>
      <c r="B384" s="15" t="s">
        <v>82</v>
      </c>
      <c r="C384" s="16" t="s">
        <v>83</v>
      </c>
      <c r="D384" s="17">
        <v>44232</v>
      </c>
      <c r="E384" s="18">
        <v>48.08</v>
      </c>
      <c r="F384" s="12">
        <f ca="1">IFERROR(__xludf.DUMMYFUNCTION("GOOGLEFINANCE(C384)"),60.46)</f>
        <v>60.46</v>
      </c>
      <c r="H384" s="12">
        <v>60.46</v>
      </c>
      <c r="I384" s="13">
        <f t="shared" si="0"/>
        <v>0.25748752079866893</v>
      </c>
      <c r="J384" s="28">
        <f t="shared" si="6"/>
        <v>1.2030566189736024E-4</v>
      </c>
    </row>
    <row r="385" spans="1:10" ht="15" x14ac:dyDescent="0.25">
      <c r="A385" s="14">
        <v>392</v>
      </c>
      <c r="B385" s="15" t="s">
        <v>339</v>
      </c>
      <c r="C385" s="16" t="s">
        <v>340</v>
      </c>
      <c r="D385" s="17">
        <v>44232</v>
      </c>
      <c r="E385" s="18">
        <v>42.93</v>
      </c>
      <c r="F385" s="12">
        <f ca="1">IFERROR(__xludf.DUMMYFUNCTION("GOOGLEFINANCE(C385)"),9.59)</f>
        <v>9.59</v>
      </c>
      <c r="H385" s="12">
        <v>9.59</v>
      </c>
      <c r="I385" s="13">
        <f t="shared" si="0"/>
        <v>-0.77661309107849996</v>
      </c>
      <c r="J385" s="28">
        <f t="shared" si="6"/>
        <v>-3.2398956120016073E-4</v>
      </c>
    </row>
    <row r="386" spans="1:10" ht="15" x14ac:dyDescent="0.25">
      <c r="A386" s="14">
        <v>393</v>
      </c>
      <c r="B386" s="15" t="s">
        <v>495</v>
      </c>
      <c r="C386" s="16" t="s">
        <v>496</v>
      </c>
      <c r="D386" s="17">
        <v>44232</v>
      </c>
      <c r="E386" s="18">
        <v>89.65</v>
      </c>
      <c r="F386" s="12">
        <f ca="1">IFERROR(__xludf.DUMMYFUNCTION("GOOGLEFINANCE(C386)"),94.11)</f>
        <v>94.11</v>
      </c>
      <c r="H386" s="12">
        <v>94.11</v>
      </c>
      <c r="I386" s="13">
        <f t="shared" si="0"/>
        <v>4.9749023982152744E-2</v>
      </c>
      <c r="J386" s="28">
        <f t="shared" si="6"/>
        <v>4.3341135061569131E-5</v>
      </c>
    </row>
    <row r="387" spans="1:10" ht="15" x14ac:dyDescent="0.25">
      <c r="A387" s="14">
        <v>394</v>
      </c>
      <c r="B387" s="15" t="s">
        <v>102</v>
      </c>
      <c r="C387" s="16" t="s">
        <v>103</v>
      </c>
      <c r="D387" s="17">
        <v>44231</v>
      </c>
      <c r="E387" s="18">
        <v>142.53</v>
      </c>
      <c r="F387" s="12">
        <f ca="1">IFERROR(__xludf.DUMMYFUNCTION("GOOGLEFINANCE(C387)"),138.75)</f>
        <v>138.75</v>
      </c>
      <c r="H387" s="12">
        <v>138.75</v>
      </c>
      <c r="I387" s="13">
        <f t="shared" si="0"/>
        <v>-2.6520732477373191E-2</v>
      </c>
      <c r="J387" s="28">
        <f t="shared" ref="J387:J450" si="7">(E387/$E$609)*I387</f>
        <v>-3.6733069626173E-5</v>
      </c>
    </row>
    <row r="388" spans="1:10" ht="15" x14ac:dyDescent="0.25">
      <c r="A388" s="14">
        <v>395</v>
      </c>
      <c r="B388" s="15" t="s">
        <v>375</v>
      </c>
      <c r="C388" s="16" t="s">
        <v>376</v>
      </c>
      <c r="D388" s="17">
        <v>44231</v>
      </c>
      <c r="E388" s="18">
        <v>49.35</v>
      </c>
      <c r="F388" s="12">
        <f ca="1">IFERROR(__xludf.DUMMYFUNCTION("GOOGLEFINANCE(C388)"),34.19)</f>
        <v>34.19</v>
      </c>
      <c r="H388" s="12">
        <v>34.19</v>
      </c>
      <c r="I388" s="13">
        <f t="shared" si="0"/>
        <v>-0.30719351570415404</v>
      </c>
      <c r="J388" s="28">
        <f t="shared" si="7"/>
        <v>-1.4732098823618588E-4</v>
      </c>
    </row>
    <row r="389" spans="1:10" ht="15" x14ac:dyDescent="0.25">
      <c r="A389" s="14">
        <v>396</v>
      </c>
      <c r="B389" s="15" t="s">
        <v>156</v>
      </c>
      <c r="C389" s="16" t="s">
        <v>157</v>
      </c>
      <c r="D389" s="17">
        <v>44231</v>
      </c>
      <c r="E389" s="18">
        <v>849.99</v>
      </c>
      <c r="F389" s="12">
        <f ca="1">IFERROR(__xludf.DUMMYFUNCTION("GOOGLEFINANCE(C389)"),932.57)</f>
        <v>932.57</v>
      </c>
      <c r="H389" s="12">
        <v>932.57</v>
      </c>
      <c r="I389" s="13">
        <f t="shared" si="0"/>
        <v>9.7154084165696111E-2</v>
      </c>
      <c r="J389" s="28">
        <f t="shared" si="7"/>
        <v>8.0249124066914467E-4</v>
      </c>
    </row>
    <row r="390" spans="1:10" ht="15" x14ac:dyDescent="0.25">
      <c r="A390" s="14">
        <v>397</v>
      </c>
      <c r="B390" s="15" t="s">
        <v>497</v>
      </c>
      <c r="C390" s="16" t="s">
        <v>498</v>
      </c>
      <c r="D390" s="17">
        <v>44231</v>
      </c>
      <c r="E390" s="18">
        <v>241.27</v>
      </c>
      <c r="F390" s="12">
        <f ca="1">IFERROR(__xludf.DUMMYFUNCTION("GOOGLEFINANCE(C390)"),341.76)</f>
        <v>341.76</v>
      </c>
      <c r="H390" s="12">
        <v>341.76</v>
      </c>
      <c r="I390" s="13">
        <f t="shared" si="0"/>
        <v>0.41650433124715042</v>
      </c>
      <c r="J390" s="28">
        <f t="shared" si="7"/>
        <v>9.765360229455353E-4</v>
      </c>
    </row>
    <row r="391" spans="1:10" ht="15" x14ac:dyDescent="0.25">
      <c r="A391" s="14">
        <v>398</v>
      </c>
      <c r="B391" s="15" t="s">
        <v>285</v>
      </c>
      <c r="C391" s="16" t="s">
        <v>286</v>
      </c>
      <c r="D391" s="17">
        <v>44231</v>
      </c>
      <c r="E391" s="18">
        <v>270.43</v>
      </c>
      <c r="F391" s="12">
        <f ca="1">IFERROR(__xludf.DUMMYFUNCTION("GOOGLEFINANCE(C391)"),186.2)</f>
        <v>186.2</v>
      </c>
      <c r="H391" s="12">
        <v>186.2</v>
      </c>
      <c r="I391" s="13">
        <f t="shared" si="0"/>
        <v>-0.31146692304847839</v>
      </c>
      <c r="J391" s="28">
        <f t="shared" si="7"/>
        <v>-8.1852551709326758E-4</v>
      </c>
    </row>
    <row r="392" spans="1:10" ht="15" x14ac:dyDescent="0.25">
      <c r="A392" s="14">
        <v>399</v>
      </c>
      <c r="B392" s="15" t="s">
        <v>249</v>
      </c>
      <c r="C392" s="16" t="s">
        <v>250</v>
      </c>
      <c r="D392" s="17">
        <v>44231</v>
      </c>
      <c r="E392" s="18">
        <v>67.67</v>
      </c>
      <c r="F392" s="12">
        <f ca="1">IFERROR(__xludf.DUMMYFUNCTION("GOOGLEFINANCE(C392)"),29.75)</f>
        <v>29.75</v>
      </c>
      <c r="H392" s="12">
        <v>29.75</v>
      </c>
      <c r="I392" s="13">
        <f t="shared" si="0"/>
        <v>-0.56036648440963499</v>
      </c>
      <c r="J392" s="28">
        <f t="shared" si="7"/>
        <v>-3.6849682545621158E-4</v>
      </c>
    </row>
    <row r="393" spans="1:10" ht="15" x14ac:dyDescent="0.25">
      <c r="A393" s="14">
        <v>400</v>
      </c>
      <c r="B393" s="15" t="s">
        <v>499</v>
      </c>
      <c r="C393" s="16" t="s">
        <v>500</v>
      </c>
      <c r="D393" s="17">
        <v>44231</v>
      </c>
      <c r="E393" s="18">
        <v>140.63</v>
      </c>
      <c r="F393" s="12">
        <f ca="1">IFERROR(__xludf.DUMMYFUNCTION("GOOGLEFINANCE(C393)"),161.36)</f>
        <v>161.36000000000001</v>
      </c>
      <c r="H393" s="12">
        <v>161.36000000000001</v>
      </c>
      <c r="I393" s="13">
        <f t="shared" si="0"/>
        <v>0.14740809215672346</v>
      </c>
      <c r="J393" s="28">
        <f t="shared" si="7"/>
        <v>2.014488183467108E-4</v>
      </c>
    </row>
    <row r="394" spans="1:10" ht="15" x14ac:dyDescent="0.25">
      <c r="A394" s="14">
        <v>401</v>
      </c>
      <c r="B394" s="15" t="s">
        <v>76</v>
      </c>
      <c r="C394" s="16" t="s">
        <v>77</v>
      </c>
      <c r="D394" s="17">
        <v>44231</v>
      </c>
      <c r="E394" s="18">
        <v>242.01</v>
      </c>
      <c r="F394" s="12">
        <f ca="1">IFERROR(__xludf.DUMMYFUNCTION("GOOGLEFINANCE(C394)"),323.8)</f>
        <v>323.8</v>
      </c>
      <c r="H394" s="12">
        <v>323.8</v>
      </c>
      <c r="I394" s="13">
        <f t="shared" si="0"/>
        <v>0.33796124127102195</v>
      </c>
      <c r="J394" s="28">
        <f t="shared" si="7"/>
        <v>7.9481422347214012E-4</v>
      </c>
    </row>
    <row r="395" spans="1:10" ht="15" x14ac:dyDescent="0.25">
      <c r="A395" s="14">
        <v>402</v>
      </c>
      <c r="B395" s="15" t="s">
        <v>78</v>
      </c>
      <c r="C395" s="16" t="s">
        <v>79</v>
      </c>
      <c r="D395" s="17">
        <v>44231</v>
      </c>
      <c r="E395" s="18">
        <v>200.59</v>
      </c>
      <c r="F395" s="12">
        <f ca="1">IFERROR(__xludf.DUMMYFUNCTION("GOOGLEFINANCE(C395)"),205.17)</f>
        <v>205.17</v>
      </c>
      <c r="H395" s="12">
        <v>205.17</v>
      </c>
      <c r="I395" s="13">
        <f t="shared" si="0"/>
        <v>2.2832643701081731E-2</v>
      </c>
      <c r="J395" s="28">
        <f t="shared" si="7"/>
        <v>4.4507264256050723E-5</v>
      </c>
    </row>
    <row r="396" spans="1:10" ht="15" x14ac:dyDescent="0.25">
      <c r="A396" s="14">
        <v>403</v>
      </c>
      <c r="B396" s="15" t="s">
        <v>118</v>
      </c>
      <c r="C396" s="16" t="s">
        <v>119</v>
      </c>
      <c r="D396" s="17">
        <v>44231</v>
      </c>
      <c r="E396" s="18">
        <v>278.82</v>
      </c>
      <c r="F396" s="12">
        <f ca="1">IFERROR(__xludf.DUMMYFUNCTION("GOOGLEFINANCE(C396)"),387.98)</f>
        <v>387.98</v>
      </c>
      <c r="H396" s="12">
        <v>387.98</v>
      </c>
      <c r="I396" s="13">
        <f t="shared" si="0"/>
        <v>0.39150706549028058</v>
      </c>
      <c r="J396" s="28">
        <f t="shared" si="7"/>
        <v>1.0607888572468371E-3</v>
      </c>
    </row>
    <row r="397" spans="1:10" ht="15" x14ac:dyDescent="0.25">
      <c r="A397" s="14">
        <v>404</v>
      </c>
      <c r="B397" s="15" t="s">
        <v>203</v>
      </c>
      <c r="C397" s="16" t="s">
        <v>204</v>
      </c>
      <c r="D397" s="17">
        <v>44231</v>
      </c>
      <c r="E397" s="18">
        <v>180.23</v>
      </c>
      <c r="F397" s="12">
        <f ca="1">IFERROR(__xludf.DUMMYFUNCTION("GOOGLEFINANCE(C397)"),148.76)</f>
        <v>148.76</v>
      </c>
      <c r="H397" s="12">
        <v>148.76</v>
      </c>
      <c r="I397" s="13">
        <f t="shared" si="0"/>
        <v>-0.17461022027409423</v>
      </c>
      <c r="J397" s="28">
        <f t="shared" si="7"/>
        <v>-3.058173812528212E-4</v>
      </c>
    </row>
    <row r="398" spans="1:10" ht="15" x14ac:dyDescent="0.25">
      <c r="A398" s="14">
        <v>405</v>
      </c>
      <c r="B398" s="15" t="s">
        <v>501</v>
      </c>
      <c r="C398" s="16" t="s">
        <v>502</v>
      </c>
      <c r="D398" s="17">
        <v>44231</v>
      </c>
      <c r="E398" s="18">
        <v>44.4</v>
      </c>
      <c r="F398" s="12">
        <f ca="1">IFERROR(__xludf.DUMMYFUNCTION("GOOGLEFINANCE(C398)"),21.83)</f>
        <v>21.83</v>
      </c>
      <c r="H398" s="12">
        <v>21.83</v>
      </c>
      <c r="I398" s="13">
        <f t="shared" si="0"/>
        <v>-0.5083333333333333</v>
      </c>
      <c r="J398" s="28">
        <f t="shared" si="7"/>
        <v>-2.1932946599542973E-4</v>
      </c>
    </row>
    <row r="399" spans="1:10" ht="15" x14ac:dyDescent="0.25">
      <c r="A399" s="14">
        <v>406</v>
      </c>
      <c r="B399" s="15" t="s">
        <v>84</v>
      </c>
      <c r="C399" s="16" t="s">
        <v>85</v>
      </c>
      <c r="D399" s="17">
        <v>44231</v>
      </c>
      <c r="E399" s="18">
        <v>355.85</v>
      </c>
      <c r="F399" s="12">
        <f ca="1">IFERROR(__xludf.DUMMYFUNCTION("GOOGLEFINANCE(C399)"),547.61)</f>
        <v>547.61</v>
      </c>
      <c r="H399" s="12">
        <v>547.61</v>
      </c>
      <c r="I399" s="13">
        <f t="shared" si="0"/>
        <v>0.53887874104257405</v>
      </c>
      <c r="J399" s="28">
        <f t="shared" si="7"/>
        <v>1.8634744527817283E-3</v>
      </c>
    </row>
    <row r="400" spans="1:10" ht="15" x14ac:dyDescent="0.25">
      <c r="A400" s="14">
        <v>407</v>
      </c>
      <c r="B400" s="15" t="s">
        <v>503</v>
      </c>
      <c r="C400" s="16" t="s">
        <v>504</v>
      </c>
      <c r="D400" s="17">
        <v>44231</v>
      </c>
      <c r="E400" s="18">
        <v>60.4</v>
      </c>
      <c r="F400" s="12">
        <f ca="1">IFERROR(__xludf.DUMMYFUNCTION("GOOGLEFINANCE(C400)"),83.02)</f>
        <v>83.02</v>
      </c>
      <c r="H400" s="12">
        <v>83.02</v>
      </c>
      <c r="I400" s="13">
        <f t="shared" si="0"/>
        <v>0.37450331125827813</v>
      </c>
      <c r="J400" s="28">
        <f t="shared" si="7"/>
        <v>2.1981535315979708E-4</v>
      </c>
    </row>
    <row r="401" spans="1:10" ht="15" x14ac:dyDescent="0.25">
      <c r="A401" s="14">
        <v>408</v>
      </c>
      <c r="B401" s="15" t="s">
        <v>505</v>
      </c>
      <c r="C401" s="16" t="s">
        <v>506</v>
      </c>
      <c r="D401" s="17">
        <v>44231</v>
      </c>
      <c r="E401" s="18">
        <v>191.65</v>
      </c>
      <c r="F401" s="12">
        <f ca="1">IFERROR(__xludf.DUMMYFUNCTION("GOOGLEFINANCE(C401)"),174.16)</f>
        <v>174.16</v>
      </c>
      <c r="H401" s="12">
        <v>174.16</v>
      </c>
      <c r="I401" s="13">
        <f t="shared" si="0"/>
        <v>-9.1260109574745674E-2</v>
      </c>
      <c r="J401" s="28">
        <f t="shared" si="7"/>
        <v>-1.6996333009570527E-4</v>
      </c>
    </row>
    <row r="402" spans="1:10" ht="15" x14ac:dyDescent="0.25">
      <c r="A402" s="14">
        <v>409</v>
      </c>
      <c r="B402" s="15" t="s">
        <v>52</v>
      </c>
      <c r="C402" s="16" t="s">
        <v>53</v>
      </c>
      <c r="D402" s="17">
        <v>44231</v>
      </c>
      <c r="E402" s="18">
        <v>137.38999999999999</v>
      </c>
      <c r="F402" s="12">
        <f ca="1">IFERROR(__xludf.DUMMYFUNCTION("GOOGLEFINANCE(C402)"),171.14)</f>
        <v>171.14</v>
      </c>
      <c r="H402" s="12">
        <v>171.14</v>
      </c>
      <c r="I402" s="13">
        <f t="shared" si="0"/>
        <v>0.24565106630759156</v>
      </c>
      <c r="J402" s="28">
        <f t="shared" si="7"/>
        <v>3.2797383594797318E-4</v>
      </c>
    </row>
    <row r="403" spans="1:10" ht="15" x14ac:dyDescent="0.25">
      <c r="A403" s="14">
        <v>410</v>
      </c>
      <c r="B403" s="15" t="s">
        <v>90</v>
      </c>
      <c r="C403" s="16" t="s">
        <v>91</v>
      </c>
      <c r="D403" s="17">
        <v>44230</v>
      </c>
      <c r="E403" s="18">
        <v>54.79</v>
      </c>
      <c r="F403" s="12">
        <f ca="1">IFERROR(__xludf.DUMMYFUNCTION("GOOGLEFINANCE(C403)"),53.17)</f>
        <v>53.17</v>
      </c>
      <c r="H403" s="12">
        <v>53.17</v>
      </c>
      <c r="I403" s="13">
        <f t="shared" si="0"/>
        <v>-2.9567439313743338E-2</v>
      </c>
      <c r="J403" s="28">
        <f t="shared" si="7"/>
        <v>-1.5742744125502684E-5</v>
      </c>
    </row>
    <row r="404" spans="1:10" ht="15" x14ac:dyDescent="0.25">
      <c r="A404" s="14">
        <v>411</v>
      </c>
      <c r="B404" s="15" t="s">
        <v>457</v>
      </c>
      <c r="C404" s="16" t="s">
        <v>458</v>
      </c>
      <c r="D404" s="17">
        <v>44230</v>
      </c>
      <c r="E404" s="18">
        <v>179.46</v>
      </c>
      <c r="F404" s="12">
        <f ca="1">IFERROR(__xludf.DUMMYFUNCTION("GOOGLEFINANCE(C404)"),151.7)</f>
        <v>151.69999999999999</v>
      </c>
      <c r="H404" s="12">
        <v>151.69999999999999</v>
      </c>
      <c r="I404" s="13">
        <f t="shared" si="0"/>
        <v>-0.15468628106541857</v>
      </c>
      <c r="J404" s="28">
        <f t="shared" si="7"/>
        <v>-2.6976455365676266E-4</v>
      </c>
    </row>
    <row r="405" spans="1:10" ht="15" x14ac:dyDescent="0.25">
      <c r="A405" s="14">
        <v>412</v>
      </c>
      <c r="B405" s="15" t="s">
        <v>76</v>
      </c>
      <c r="C405" s="16" t="s">
        <v>77</v>
      </c>
      <c r="D405" s="17">
        <v>44230</v>
      </c>
      <c r="E405" s="18">
        <v>243</v>
      </c>
      <c r="F405" s="12">
        <f ca="1">IFERROR(__xludf.DUMMYFUNCTION("GOOGLEFINANCE(C405)"),323.8)</f>
        <v>323.8</v>
      </c>
      <c r="H405" s="12">
        <v>323.8</v>
      </c>
      <c r="I405" s="13">
        <f t="shared" si="0"/>
        <v>0.33251028806584365</v>
      </c>
      <c r="J405" s="28">
        <f t="shared" si="7"/>
        <v>7.8519365761766616E-4</v>
      </c>
    </row>
    <row r="406" spans="1:10" ht="15" x14ac:dyDescent="0.25">
      <c r="A406" s="14">
        <v>413</v>
      </c>
      <c r="B406" s="15" t="s">
        <v>507</v>
      </c>
      <c r="C406" s="16" t="s">
        <v>508</v>
      </c>
      <c r="D406" s="17">
        <v>44230</v>
      </c>
      <c r="E406" s="18">
        <v>82.32</v>
      </c>
      <c r="F406" s="12">
        <f ca="1">IFERROR(__xludf.DUMMYFUNCTION("GOOGLEFINANCE(C406)"),77.71)</f>
        <v>77.709999999999994</v>
      </c>
      <c r="H406" s="12">
        <v>77.709999999999994</v>
      </c>
      <c r="I406" s="13">
        <f t="shared" si="0"/>
        <v>-5.6000971817298344E-2</v>
      </c>
      <c r="J406" s="28">
        <f t="shared" si="7"/>
        <v>-4.479879655467129E-5</v>
      </c>
    </row>
    <row r="407" spans="1:10" ht="15" x14ac:dyDescent="0.25">
      <c r="A407" s="14">
        <v>414</v>
      </c>
      <c r="B407" s="15" t="s">
        <v>509</v>
      </c>
      <c r="C407" s="16" t="s">
        <v>510</v>
      </c>
      <c r="D407" s="17">
        <v>44230</v>
      </c>
      <c r="E407" s="18">
        <v>118.63</v>
      </c>
      <c r="F407" s="12">
        <f ca="1">IFERROR(__xludf.DUMMYFUNCTION("GOOGLEFINANCE(C407)"),39.08)</f>
        <v>39.08</v>
      </c>
      <c r="H407" s="12">
        <v>39.08</v>
      </c>
      <c r="I407" s="13">
        <f t="shared" si="0"/>
        <v>-0.67057236786647556</v>
      </c>
      <c r="J407" s="28">
        <f t="shared" si="7"/>
        <v>-7.7304647850848175E-4</v>
      </c>
    </row>
    <row r="408" spans="1:10" ht="15" x14ac:dyDescent="0.25">
      <c r="A408" s="14">
        <v>415</v>
      </c>
      <c r="B408" s="15" t="s">
        <v>154</v>
      </c>
      <c r="C408" s="16" t="s">
        <v>155</v>
      </c>
      <c r="D408" s="17">
        <v>44230</v>
      </c>
      <c r="E408" s="18">
        <v>266.64999999999998</v>
      </c>
      <c r="F408" s="12">
        <f ca="1">IFERROR(__xludf.DUMMYFUNCTION("GOOGLEFINANCE(C408)"),333.79)</f>
        <v>333.79</v>
      </c>
      <c r="H408" s="12">
        <v>333.79</v>
      </c>
      <c r="I408" s="13">
        <f t="shared" si="0"/>
        <v>0.25179073692105775</v>
      </c>
      <c r="J408" s="28">
        <f t="shared" si="7"/>
        <v>6.5244928431250164E-4</v>
      </c>
    </row>
    <row r="409" spans="1:10" ht="15" x14ac:dyDescent="0.25">
      <c r="A409" s="14">
        <v>416</v>
      </c>
      <c r="B409" s="15" t="s">
        <v>511</v>
      </c>
      <c r="C409" s="16" t="s">
        <v>512</v>
      </c>
      <c r="D409" s="17">
        <v>44230</v>
      </c>
      <c r="E409" s="18">
        <v>22.94</v>
      </c>
      <c r="F409" s="12">
        <f ca="1">IFERROR(__xludf.DUMMYFUNCTION("GOOGLEFINANCE(C409)"),30.29)</f>
        <v>30.29</v>
      </c>
      <c r="H409" s="12">
        <v>30.29</v>
      </c>
      <c r="I409" s="13">
        <f t="shared" si="0"/>
        <v>0.32040104620749771</v>
      </c>
      <c r="J409" s="28">
        <f t="shared" si="7"/>
        <v>7.1425413162003025E-5</v>
      </c>
    </row>
    <row r="410" spans="1:10" ht="15" x14ac:dyDescent="0.25">
      <c r="A410" s="14">
        <v>417</v>
      </c>
      <c r="B410" s="15" t="s">
        <v>513</v>
      </c>
      <c r="C410" s="16" t="s">
        <v>514</v>
      </c>
      <c r="D410" s="17">
        <v>44230</v>
      </c>
      <c r="E410" s="18">
        <v>58.04</v>
      </c>
      <c r="F410" s="12">
        <f ca="1">IFERROR(__xludf.DUMMYFUNCTION("GOOGLEFINANCE(C410)"),64.03)</f>
        <v>64.03</v>
      </c>
      <c r="H410" s="12">
        <v>64.03</v>
      </c>
      <c r="I410" s="13">
        <f t="shared" si="0"/>
        <v>0.10320468642315649</v>
      </c>
      <c r="J410" s="28">
        <f t="shared" si="7"/>
        <v>5.8209282291210662E-5</v>
      </c>
    </row>
    <row r="411" spans="1:10" ht="15" x14ac:dyDescent="0.25">
      <c r="A411" s="14">
        <v>418</v>
      </c>
      <c r="B411" s="15" t="s">
        <v>52</v>
      </c>
      <c r="C411" s="16" t="s">
        <v>53</v>
      </c>
      <c r="D411" s="17">
        <v>44230</v>
      </c>
      <c r="E411" s="18">
        <v>133.94</v>
      </c>
      <c r="F411" s="12">
        <f ca="1">IFERROR(__xludf.DUMMYFUNCTION("GOOGLEFINANCE(C411)"),171.14)</f>
        <v>171.14</v>
      </c>
      <c r="H411" s="12">
        <v>171.14</v>
      </c>
      <c r="I411" s="13">
        <f t="shared" si="0"/>
        <v>0.27773629983574727</v>
      </c>
      <c r="J411" s="28">
        <f t="shared" si="7"/>
        <v>3.6150005028932138E-4</v>
      </c>
    </row>
    <row r="412" spans="1:10" ht="15" x14ac:dyDescent="0.25">
      <c r="A412" s="14">
        <v>419</v>
      </c>
      <c r="B412" s="15" t="s">
        <v>515</v>
      </c>
      <c r="C412" s="16" t="s">
        <v>516</v>
      </c>
      <c r="D412" s="17">
        <v>44229</v>
      </c>
      <c r="E412" s="18">
        <v>160.29</v>
      </c>
      <c r="F412" s="12">
        <f ca="1">IFERROR(__xludf.DUMMYFUNCTION("GOOGLEFINANCE(C412)"),206.59)</f>
        <v>206.59</v>
      </c>
      <c r="H412" s="12">
        <v>206.59</v>
      </c>
      <c r="I412" s="13">
        <f t="shared" si="0"/>
        <v>0.2888514567346685</v>
      </c>
      <c r="J412" s="28">
        <f t="shared" si="7"/>
        <v>4.4993151420418253E-4</v>
      </c>
    </row>
    <row r="413" spans="1:10" ht="15" x14ac:dyDescent="0.25">
      <c r="A413" s="14">
        <v>420</v>
      </c>
      <c r="B413" s="15" t="s">
        <v>517</v>
      </c>
      <c r="C413" s="16" t="s">
        <v>518</v>
      </c>
      <c r="D413" s="17">
        <v>44229</v>
      </c>
      <c r="E413" s="18">
        <v>246.35</v>
      </c>
      <c r="F413" s="12">
        <f ca="1">IFERROR(__xludf.DUMMYFUNCTION("GOOGLEFINANCE(C413)"),284.79)</f>
        <v>284.79000000000002</v>
      </c>
      <c r="H413" s="12">
        <v>284.79000000000002</v>
      </c>
      <c r="I413" s="13">
        <f t="shared" si="0"/>
        <v>0.15603815709356617</v>
      </c>
      <c r="J413" s="28">
        <f t="shared" si="7"/>
        <v>3.7355005196563248E-4</v>
      </c>
    </row>
    <row r="414" spans="1:10" ht="15" x14ac:dyDescent="0.25">
      <c r="A414" s="14">
        <v>421</v>
      </c>
      <c r="B414" s="15" t="s">
        <v>519</v>
      </c>
      <c r="C414" s="16" t="s">
        <v>520</v>
      </c>
      <c r="D414" s="17">
        <v>44229</v>
      </c>
      <c r="E414" s="18">
        <v>70.260000000000005</v>
      </c>
      <c r="F414" s="12">
        <f ca="1">IFERROR(__xludf.DUMMYFUNCTION("GOOGLEFINANCE(C414)"),83.82)</f>
        <v>83.82</v>
      </c>
      <c r="H414" s="12">
        <v>83.82</v>
      </c>
      <c r="I414" s="13">
        <f t="shared" si="0"/>
        <v>0.19299743808710484</v>
      </c>
      <c r="J414" s="28">
        <f t="shared" si="7"/>
        <v>1.3177259897642998E-4</v>
      </c>
    </row>
    <row r="415" spans="1:10" ht="15" x14ac:dyDescent="0.25">
      <c r="A415" s="14">
        <v>422</v>
      </c>
      <c r="B415" s="15" t="s">
        <v>203</v>
      </c>
      <c r="C415" s="16" t="s">
        <v>204</v>
      </c>
      <c r="D415" s="17">
        <v>44229</v>
      </c>
      <c r="E415" s="18">
        <v>176.96</v>
      </c>
      <c r="F415" s="12">
        <f ca="1">IFERROR(__xludf.DUMMYFUNCTION("GOOGLEFINANCE(C415)"),148.76)</f>
        <v>148.76</v>
      </c>
      <c r="H415" s="12">
        <v>148.76</v>
      </c>
      <c r="I415" s="13">
        <f t="shared" si="0"/>
        <v>-0.15935804701627496</v>
      </c>
      <c r="J415" s="28">
        <f t="shared" si="7"/>
        <v>-2.7404036070319553E-4</v>
      </c>
    </row>
    <row r="416" spans="1:10" ht="15" x14ac:dyDescent="0.25">
      <c r="A416" s="14">
        <v>423</v>
      </c>
      <c r="B416" s="15" t="s">
        <v>521</v>
      </c>
      <c r="C416" s="16" t="s">
        <v>522</v>
      </c>
      <c r="D416" s="17">
        <v>44229</v>
      </c>
      <c r="E416" s="18">
        <v>254.5</v>
      </c>
      <c r="F416" s="12">
        <f ca="1">IFERROR(__xludf.DUMMYFUNCTION("GOOGLEFINANCE(C416)"),122.1)</f>
        <v>122.1</v>
      </c>
      <c r="H416" s="12">
        <v>122.1</v>
      </c>
      <c r="I416" s="13">
        <f t="shared" si="0"/>
        <v>-0.5202357563850688</v>
      </c>
      <c r="J416" s="28">
        <f t="shared" si="7"/>
        <v>-1.2866292112447895E-3</v>
      </c>
    </row>
    <row r="417" spans="1:10" ht="15" x14ac:dyDescent="0.25">
      <c r="A417" s="14">
        <v>424</v>
      </c>
      <c r="B417" s="15" t="s">
        <v>86</v>
      </c>
      <c r="C417" s="16" t="s">
        <v>87</v>
      </c>
      <c r="D417" s="17">
        <v>44229</v>
      </c>
      <c r="E417" s="18">
        <v>200.94</v>
      </c>
      <c r="F417" s="12">
        <f ca="1">IFERROR(__xludf.DUMMYFUNCTION("GOOGLEFINANCE(C417)"),192.63)</f>
        <v>192.63</v>
      </c>
      <c r="H417" s="12">
        <v>192.63</v>
      </c>
      <c r="I417" s="13">
        <f t="shared" si="0"/>
        <v>-4.1355628545834591E-2</v>
      </c>
      <c r="J417" s="28">
        <f t="shared" si="7"/>
        <v>-8.0754446717856519E-5</v>
      </c>
    </row>
    <row r="418" spans="1:10" ht="15" x14ac:dyDescent="0.25">
      <c r="A418" s="14">
        <v>425</v>
      </c>
      <c r="B418" s="15" t="s">
        <v>28</v>
      </c>
      <c r="C418" s="16" t="s">
        <v>29</v>
      </c>
      <c r="D418" s="17">
        <v>44229</v>
      </c>
      <c r="E418" s="18">
        <v>82.11</v>
      </c>
      <c r="F418" s="12">
        <f ca="1">IFERROR(__xludf.DUMMYFUNCTION("GOOGLEFINANCE(C418)"),86.54)</f>
        <v>86.54</v>
      </c>
      <c r="H418" s="12">
        <v>86.54</v>
      </c>
      <c r="I418" s="13">
        <f t="shared" si="0"/>
        <v>5.395201558884432E-2</v>
      </c>
      <c r="J418" s="28">
        <f t="shared" si="7"/>
        <v>4.3049602762948841E-5</v>
      </c>
    </row>
    <row r="419" spans="1:10" ht="15" x14ac:dyDescent="0.25">
      <c r="A419" s="14">
        <v>426</v>
      </c>
      <c r="B419" s="15" t="s">
        <v>353</v>
      </c>
      <c r="C419" s="16" t="s">
        <v>354</v>
      </c>
      <c r="D419" s="17">
        <v>44228</v>
      </c>
      <c r="E419" s="18">
        <v>381.93</v>
      </c>
      <c r="F419" s="12">
        <f ca="1">IFERROR(__xludf.DUMMYFUNCTION("GOOGLEFINANCE(C419)"),199.74)</f>
        <v>199.74</v>
      </c>
      <c r="H419" s="12">
        <v>199.74</v>
      </c>
      <c r="I419" s="13">
        <f t="shared" si="0"/>
        <v>-0.47702458565705758</v>
      </c>
      <c r="J419" s="28">
        <f t="shared" si="7"/>
        <v>-1.7704756495218142E-3</v>
      </c>
    </row>
    <row r="420" spans="1:10" ht="15" x14ac:dyDescent="0.25">
      <c r="A420" s="14">
        <v>427</v>
      </c>
      <c r="B420" s="15" t="s">
        <v>166</v>
      </c>
      <c r="C420" s="16" t="s">
        <v>167</v>
      </c>
      <c r="D420" s="17">
        <v>44228</v>
      </c>
      <c r="E420" s="18">
        <v>137.05000000000001</v>
      </c>
      <c r="F420" s="12">
        <f ca="1">IFERROR(__xludf.DUMMYFUNCTION("GOOGLEFINANCE(C420)"),62.46)</f>
        <v>62.46</v>
      </c>
      <c r="H420" s="12">
        <v>62.46</v>
      </c>
      <c r="I420" s="13">
        <f t="shared" si="0"/>
        <v>-0.54425392192630428</v>
      </c>
      <c r="J420" s="28">
        <f t="shared" si="7"/>
        <v>-7.2484647180323907E-4</v>
      </c>
    </row>
    <row r="421" spans="1:10" ht="15" x14ac:dyDescent="0.25">
      <c r="A421" s="14">
        <v>428</v>
      </c>
      <c r="B421" s="15" t="s">
        <v>146</v>
      </c>
      <c r="C421" s="16" t="s">
        <v>147</v>
      </c>
      <c r="D421" s="17">
        <v>44228</v>
      </c>
      <c r="E421" s="18">
        <v>126.66</v>
      </c>
      <c r="F421" s="12">
        <f ca="1">IFERROR(__xludf.DUMMYFUNCTION("GOOGLEFINANCE(C421)"),116.32)</f>
        <v>116.32</v>
      </c>
      <c r="H421" s="12">
        <v>116.32</v>
      </c>
      <c r="I421" s="13">
        <f t="shared" si="0"/>
        <v>-8.163587557239857E-2</v>
      </c>
      <c r="J421" s="28">
        <f t="shared" si="7"/>
        <v>-1.0048146559117164E-4</v>
      </c>
    </row>
    <row r="422" spans="1:10" ht="15" x14ac:dyDescent="0.25">
      <c r="A422" s="14">
        <v>429</v>
      </c>
      <c r="B422" s="15" t="s">
        <v>156</v>
      </c>
      <c r="C422" s="16" t="s">
        <v>157</v>
      </c>
      <c r="D422" s="17">
        <v>44228</v>
      </c>
      <c r="E422" s="18">
        <v>839.81</v>
      </c>
      <c r="F422" s="12">
        <f ca="1">IFERROR(__xludf.DUMMYFUNCTION("GOOGLEFINANCE(C422)"),932.57)</f>
        <v>932.57</v>
      </c>
      <c r="H422" s="12">
        <v>932.57</v>
      </c>
      <c r="I422" s="13">
        <f t="shared" si="0"/>
        <v>0.11045355497076732</v>
      </c>
      <c r="J422" s="28">
        <f t="shared" si="7"/>
        <v>9.0141786733434134E-4</v>
      </c>
    </row>
    <row r="423" spans="1:10" ht="15" x14ac:dyDescent="0.25">
      <c r="A423" s="14">
        <v>430</v>
      </c>
      <c r="B423" s="15" t="s">
        <v>523</v>
      </c>
      <c r="C423" s="16" t="s">
        <v>524</v>
      </c>
      <c r="D423" s="17">
        <v>44228</v>
      </c>
      <c r="E423" s="18">
        <v>515.47</v>
      </c>
      <c r="F423" s="12">
        <f ca="1">IFERROR(__xludf.DUMMYFUNCTION("GOOGLEFINANCE(C423)"),651.07)</f>
        <v>651.07000000000005</v>
      </c>
      <c r="H423" s="12">
        <v>651.07000000000005</v>
      </c>
      <c r="I423" s="13">
        <f t="shared" si="0"/>
        <v>0.26306089588142861</v>
      </c>
      <c r="J423" s="28">
        <f t="shared" si="7"/>
        <v>1.317725989764301E-3</v>
      </c>
    </row>
    <row r="424" spans="1:10" ht="15" x14ac:dyDescent="0.25">
      <c r="A424" s="14">
        <v>431</v>
      </c>
      <c r="B424" s="15" t="s">
        <v>357</v>
      </c>
      <c r="C424" s="16" t="s">
        <v>358</v>
      </c>
      <c r="D424" s="17">
        <v>44228</v>
      </c>
      <c r="E424" s="18">
        <v>183.57</v>
      </c>
      <c r="F424" s="12">
        <f ca="1">IFERROR(__xludf.DUMMYFUNCTION("GOOGLEFINANCE(C424)"),223.31)</f>
        <v>223.31</v>
      </c>
      <c r="H424" s="12">
        <v>223.31</v>
      </c>
      <c r="I424" s="13">
        <f t="shared" si="0"/>
        <v>0.21648417497412437</v>
      </c>
      <c r="J424" s="28">
        <f t="shared" si="7"/>
        <v>3.8618311823918381E-4</v>
      </c>
    </row>
    <row r="425" spans="1:10" ht="15" x14ac:dyDescent="0.25">
      <c r="A425" s="14">
        <v>432</v>
      </c>
      <c r="B425" s="15" t="s">
        <v>457</v>
      </c>
      <c r="C425" s="16" t="s">
        <v>458</v>
      </c>
      <c r="D425" s="17">
        <v>44228</v>
      </c>
      <c r="E425" s="18">
        <v>185.79</v>
      </c>
      <c r="F425" s="12">
        <f ca="1">IFERROR(__xludf.DUMMYFUNCTION("GOOGLEFINANCE(C425)"),151.7)</f>
        <v>151.69999999999999</v>
      </c>
      <c r="H425" s="12">
        <v>151.69999999999999</v>
      </c>
      <c r="I425" s="13">
        <f t="shared" si="0"/>
        <v>-0.18348673233220306</v>
      </c>
      <c r="J425" s="28">
        <f t="shared" si="7"/>
        <v>-3.3127786866567129E-4</v>
      </c>
    </row>
    <row r="426" spans="1:10" ht="15" x14ac:dyDescent="0.25">
      <c r="A426" s="14">
        <v>433</v>
      </c>
      <c r="B426" s="15" t="s">
        <v>68</v>
      </c>
      <c r="C426" s="16" t="s">
        <v>69</v>
      </c>
      <c r="D426" s="17">
        <v>44228</v>
      </c>
      <c r="E426" s="18">
        <v>98.58</v>
      </c>
      <c r="F426" s="12">
        <f ca="1">IFERROR(__xludf.DUMMYFUNCTION("GOOGLEFINANCE(C426)"),108.63)</f>
        <v>108.63</v>
      </c>
      <c r="H426" s="12">
        <v>108.63</v>
      </c>
      <c r="I426" s="13">
        <f t="shared" si="0"/>
        <v>0.1019476567255021</v>
      </c>
      <c r="J426" s="28">
        <f t="shared" si="7"/>
        <v>9.7663320037840863E-5</v>
      </c>
    </row>
    <row r="427" spans="1:10" ht="15" x14ac:dyDescent="0.25">
      <c r="A427" s="14">
        <v>434</v>
      </c>
      <c r="B427" s="15" t="s">
        <v>249</v>
      </c>
      <c r="C427" s="16" t="s">
        <v>250</v>
      </c>
      <c r="D427" s="17">
        <v>44228</v>
      </c>
      <c r="E427" s="18">
        <v>63.85</v>
      </c>
      <c r="F427" s="12">
        <f ca="1">IFERROR(__xludf.DUMMYFUNCTION("GOOGLEFINANCE(C427)"),29.75)</f>
        <v>29.75</v>
      </c>
      <c r="H427" s="12">
        <v>29.75</v>
      </c>
      <c r="I427" s="13">
        <f t="shared" si="0"/>
        <v>-0.53406421299921691</v>
      </c>
      <c r="J427" s="28">
        <f t="shared" si="7"/>
        <v>-3.3137504609854476E-4</v>
      </c>
    </row>
    <row r="428" spans="1:10" ht="15" x14ac:dyDescent="0.25">
      <c r="A428" s="14">
        <v>435</v>
      </c>
      <c r="B428" s="15" t="s">
        <v>525</v>
      </c>
      <c r="C428" s="16" t="s">
        <v>526</v>
      </c>
      <c r="D428" s="17">
        <v>44228</v>
      </c>
      <c r="E428" s="18">
        <v>64.55</v>
      </c>
      <c r="F428" s="12">
        <f ca="1">IFERROR(__xludf.DUMMYFUNCTION("GOOGLEFINANCE(C428)"),84.16)</f>
        <v>84.16</v>
      </c>
      <c r="H428" s="12">
        <v>84.16</v>
      </c>
      <c r="I428" s="13">
        <f t="shared" si="0"/>
        <v>0.3037955073586367</v>
      </c>
      <c r="J428" s="28">
        <f t="shared" si="7"/>
        <v>1.9056494586488154E-4</v>
      </c>
    </row>
    <row r="429" spans="1:10" ht="15" x14ac:dyDescent="0.25">
      <c r="A429" s="14">
        <v>436</v>
      </c>
      <c r="B429" s="15" t="s">
        <v>527</v>
      </c>
      <c r="C429" s="16" t="s">
        <v>528</v>
      </c>
      <c r="D429" s="17">
        <v>44228</v>
      </c>
      <c r="E429" s="18">
        <v>26.25</v>
      </c>
      <c r="F429" s="12">
        <f ca="1">IFERROR(__xludf.DUMMYFUNCTION("GOOGLEFINANCE(C429)"),14.3)</f>
        <v>14.3</v>
      </c>
      <c r="H429" s="12">
        <v>14.3</v>
      </c>
      <c r="I429" s="13">
        <f t="shared" si="0"/>
        <v>-0.45523809523809522</v>
      </c>
      <c r="J429" s="28">
        <f t="shared" si="7"/>
        <v>-1.1612703228380087E-4</v>
      </c>
    </row>
    <row r="430" spans="1:10" ht="15" x14ac:dyDescent="0.25">
      <c r="A430" s="14">
        <v>437</v>
      </c>
      <c r="B430" s="15" t="s">
        <v>385</v>
      </c>
      <c r="C430" s="16" t="s">
        <v>386</v>
      </c>
      <c r="D430" s="17">
        <v>44228</v>
      </c>
      <c r="E430" s="18">
        <v>501.45</v>
      </c>
      <c r="F430" s="12">
        <f ca="1">IFERROR(__xludf.DUMMYFUNCTION("GOOGLEFINANCE(C430)"),669.17)</f>
        <v>669.17</v>
      </c>
      <c r="H430" s="12">
        <v>669.17</v>
      </c>
      <c r="I430" s="13">
        <f t="shared" si="0"/>
        <v>0.33447003689301019</v>
      </c>
      <c r="J430" s="28">
        <f t="shared" si="7"/>
        <v>1.6298599041538976E-3</v>
      </c>
    </row>
    <row r="431" spans="1:10" ht="15" x14ac:dyDescent="0.25">
      <c r="A431" s="14">
        <v>438</v>
      </c>
      <c r="B431" s="15" t="s">
        <v>481</v>
      </c>
      <c r="C431" s="16" t="s">
        <v>482</v>
      </c>
      <c r="D431" s="17">
        <v>44228</v>
      </c>
      <c r="E431" s="18">
        <v>84.21</v>
      </c>
      <c r="F431" s="12">
        <f ca="1">IFERROR(__xludf.DUMMYFUNCTION("GOOGLEFINANCE(C431)"),105.84)</f>
        <v>105.84</v>
      </c>
      <c r="H431" s="12">
        <v>105.84</v>
      </c>
      <c r="I431" s="13">
        <f t="shared" si="0"/>
        <v>0.25685785536159617</v>
      </c>
      <c r="J431" s="28">
        <f t="shared" si="7"/>
        <v>2.1019478730532334E-4</v>
      </c>
    </row>
    <row r="432" spans="1:10" ht="15" x14ac:dyDescent="0.25">
      <c r="A432" s="14">
        <v>439</v>
      </c>
      <c r="B432" s="15" t="s">
        <v>313</v>
      </c>
      <c r="C432" s="16" t="s">
        <v>314</v>
      </c>
      <c r="D432" s="17">
        <v>44228</v>
      </c>
      <c r="E432" s="18">
        <v>68.67</v>
      </c>
      <c r="F432" s="12">
        <f ca="1">IFERROR(__xludf.DUMMYFUNCTION("GOOGLEFINANCE(C432)"),103.98)</f>
        <v>103.98</v>
      </c>
      <c r="H432" s="12">
        <v>103.98</v>
      </c>
      <c r="I432" s="13">
        <f t="shared" si="0"/>
        <v>0.51419833988641328</v>
      </c>
      <c r="J432" s="28">
        <f t="shared" si="7"/>
        <v>3.4313351547623502E-4</v>
      </c>
    </row>
    <row r="433" spans="1:10" ht="15" x14ac:dyDescent="0.25">
      <c r="A433" s="14">
        <v>440</v>
      </c>
      <c r="B433" s="15" t="s">
        <v>203</v>
      </c>
      <c r="C433" s="16" t="s">
        <v>204</v>
      </c>
      <c r="D433" s="17">
        <v>44228</v>
      </c>
      <c r="E433" s="18">
        <v>170.97</v>
      </c>
      <c r="F433" s="12">
        <f ca="1">IFERROR(__xludf.DUMMYFUNCTION("GOOGLEFINANCE(C433)"),148.76)</f>
        <v>148.76</v>
      </c>
      <c r="H433" s="12">
        <v>148.76</v>
      </c>
      <c r="I433" s="13">
        <f t="shared" si="0"/>
        <v>-0.1299058314324151</v>
      </c>
      <c r="J433" s="28">
        <f t="shared" si="7"/>
        <v>-2.1583107841198479E-4</v>
      </c>
    </row>
    <row r="434" spans="1:10" ht="15" x14ac:dyDescent="0.25">
      <c r="A434" s="14">
        <v>441</v>
      </c>
      <c r="B434" s="15" t="s">
        <v>86</v>
      </c>
      <c r="C434" s="16" t="s">
        <v>87</v>
      </c>
      <c r="D434" s="17">
        <v>44228</v>
      </c>
      <c r="E434" s="18">
        <v>195.84</v>
      </c>
      <c r="F434" s="12">
        <f ca="1">IFERROR(__xludf.DUMMYFUNCTION("GOOGLEFINANCE(C434)"),192.63)</f>
        <v>192.63</v>
      </c>
      <c r="H434" s="12">
        <v>192.63</v>
      </c>
      <c r="I434" s="13">
        <f t="shared" si="0"/>
        <v>-1.6390931372549059E-2</v>
      </c>
      <c r="J434" s="28">
        <f t="shared" si="7"/>
        <v>-3.1193955952385079E-5</v>
      </c>
    </row>
    <row r="435" spans="1:10" ht="15" x14ac:dyDescent="0.25">
      <c r="A435" s="14">
        <v>442</v>
      </c>
      <c r="B435" s="15" t="s">
        <v>529</v>
      </c>
      <c r="C435" s="16" t="s">
        <v>530</v>
      </c>
      <c r="D435" s="17">
        <v>44228</v>
      </c>
      <c r="E435" s="18">
        <v>25.53</v>
      </c>
      <c r="F435" s="12">
        <f ca="1">IFERROR(__xludf.DUMMYFUNCTION("GOOGLEFINANCE(C435)"),11.16)</f>
        <v>11.16</v>
      </c>
      <c r="H435" s="12">
        <v>11.16</v>
      </c>
      <c r="I435" s="13">
        <f t="shared" si="0"/>
        <v>-0.56286721504112813</v>
      </c>
      <c r="J435" s="28">
        <f t="shared" si="7"/>
        <v>-1.3964397103918147E-4</v>
      </c>
    </row>
    <row r="436" spans="1:10" ht="15" x14ac:dyDescent="0.25">
      <c r="A436" s="14">
        <v>443</v>
      </c>
      <c r="B436" s="15" t="s">
        <v>130</v>
      </c>
      <c r="C436" s="16" t="s">
        <v>131</v>
      </c>
      <c r="D436" s="17">
        <v>44228</v>
      </c>
      <c r="E436" s="18">
        <v>101.21</v>
      </c>
      <c r="F436" s="12">
        <f ca="1">IFERROR(__xludf.DUMMYFUNCTION("GOOGLEFINANCE(C436)"),146.15)</f>
        <v>146.15</v>
      </c>
      <c r="H436" s="12">
        <v>146.15</v>
      </c>
      <c r="I436" s="13">
        <f t="shared" si="0"/>
        <v>0.44402727003260561</v>
      </c>
      <c r="J436" s="28">
        <f t="shared" si="7"/>
        <v>4.367153833333901E-4</v>
      </c>
    </row>
    <row r="437" spans="1:10" ht="15" x14ac:dyDescent="0.25">
      <c r="A437" s="14">
        <v>444</v>
      </c>
      <c r="B437" s="15" t="s">
        <v>52</v>
      </c>
      <c r="C437" s="16" t="s">
        <v>53</v>
      </c>
      <c r="D437" s="17">
        <v>44228</v>
      </c>
      <c r="E437" s="18">
        <v>134.13999999999999</v>
      </c>
      <c r="F437" s="12">
        <f ca="1">IFERROR(__xludf.DUMMYFUNCTION("GOOGLEFINANCE(C437)"),171.14)</f>
        <v>171.14</v>
      </c>
      <c r="H437" s="12">
        <v>171.14</v>
      </c>
      <c r="I437" s="13">
        <f t="shared" si="0"/>
        <v>0.27583122111227076</v>
      </c>
      <c r="J437" s="28">
        <f t="shared" si="7"/>
        <v>3.5955650163185202E-4</v>
      </c>
    </row>
    <row r="438" spans="1:10" ht="15" x14ac:dyDescent="0.25">
      <c r="A438" s="14">
        <v>445</v>
      </c>
      <c r="B438" s="15" t="s">
        <v>353</v>
      </c>
      <c r="C438" s="16" t="s">
        <v>354</v>
      </c>
      <c r="D438" s="17">
        <v>44221</v>
      </c>
      <c r="E438" s="18">
        <v>391.83</v>
      </c>
      <c r="F438" s="12">
        <f ca="1">IFERROR(__xludf.DUMMYFUNCTION("GOOGLEFINANCE(C438)"),199.74)</f>
        <v>199.74</v>
      </c>
      <c r="H438" s="12">
        <v>199.74</v>
      </c>
      <c r="I438" s="13">
        <f t="shared" si="0"/>
        <v>-0.49023811346757518</v>
      </c>
      <c r="J438" s="28">
        <f t="shared" si="7"/>
        <v>-1.8666813080665528E-3</v>
      </c>
    </row>
    <row r="439" spans="1:10" ht="15" x14ac:dyDescent="0.25">
      <c r="A439" s="14">
        <v>446</v>
      </c>
      <c r="B439" s="15" t="s">
        <v>531</v>
      </c>
      <c r="C439" s="16" t="s">
        <v>532</v>
      </c>
      <c r="D439" s="17">
        <v>44221</v>
      </c>
      <c r="E439" s="18">
        <v>24.18</v>
      </c>
      <c r="F439" s="12">
        <f ca="1">IFERROR(__xludf.DUMMYFUNCTION("GOOGLEFINANCE(C439)"),9.99)</f>
        <v>9.99</v>
      </c>
      <c r="H439" s="12">
        <v>9.99</v>
      </c>
      <c r="I439" s="13">
        <f t="shared" si="0"/>
        <v>-0.58684863523573194</v>
      </c>
      <c r="J439" s="28">
        <f t="shared" si="7"/>
        <v>-1.3789477724745892E-4</v>
      </c>
    </row>
    <row r="440" spans="1:10" ht="15" x14ac:dyDescent="0.25">
      <c r="A440" s="14">
        <v>447</v>
      </c>
      <c r="B440" s="15" t="s">
        <v>104</v>
      </c>
      <c r="C440" s="16" t="s">
        <v>105</v>
      </c>
      <c r="D440" s="17">
        <v>44221</v>
      </c>
      <c r="E440" s="18">
        <v>174.99</v>
      </c>
      <c r="F440" s="12">
        <f ca="1">IFERROR(__xludf.DUMMYFUNCTION("GOOGLEFINANCE(C440)"),183.7)</f>
        <v>183.7</v>
      </c>
      <c r="H440" s="12">
        <v>183.7</v>
      </c>
      <c r="I440" s="13">
        <f t="shared" si="0"/>
        <v>4.977427281558934E-2</v>
      </c>
      <c r="J440" s="28">
        <f t="shared" si="7"/>
        <v>8.4641544032795232E-5</v>
      </c>
    </row>
    <row r="441" spans="1:10" ht="15" x14ac:dyDescent="0.25">
      <c r="A441" s="14">
        <v>448</v>
      </c>
      <c r="B441" s="15" t="s">
        <v>148</v>
      </c>
      <c r="C441" s="16" t="s">
        <v>149</v>
      </c>
      <c r="D441" s="17">
        <v>44221</v>
      </c>
      <c r="E441" s="18">
        <v>556.78</v>
      </c>
      <c r="F441" s="12">
        <f ca="1">IFERROR(__xludf.DUMMYFUNCTION("GOOGLEFINANCE(C441)"),586.73)</f>
        <v>586.73</v>
      </c>
      <c r="H441" s="12">
        <v>586.73</v>
      </c>
      <c r="I441" s="13">
        <f t="shared" si="0"/>
        <v>5.3791443658177458E-2</v>
      </c>
      <c r="J441" s="28">
        <f t="shared" si="7"/>
        <v>2.9104641145605363E-4</v>
      </c>
    </row>
    <row r="442" spans="1:10" ht="15" x14ac:dyDescent="0.25">
      <c r="A442" s="14">
        <v>449</v>
      </c>
      <c r="B442" s="15" t="s">
        <v>533</v>
      </c>
      <c r="C442" s="16" t="s">
        <v>534</v>
      </c>
      <c r="D442" s="17">
        <v>44221</v>
      </c>
      <c r="E442" s="18">
        <v>136.51</v>
      </c>
      <c r="F442" s="12">
        <f ca="1">IFERROR(__xludf.DUMMYFUNCTION("GOOGLEFINANCE(C442)"),139.37)</f>
        <v>139.37</v>
      </c>
      <c r="H442" s="12">
        <v>139.37</v>
      </c>
      <c r="I442" s="13">
        <f t="shared" si="0"/>
        <v>2.0950846091861503E-2</v>
      </c>
      <c r="J442" s="28">
        <f t="shared" si="7"/>
        <v>2.779274580181356E-5</v>
      </c>
    </row>
    <row r="443" spans="1:10" ht="15" x14ac:dyDescent="0.25">
      <c r="A443" s="14">
        <v>450</v>
      </c>
      <c r="B443" s="15" t="s">
        <v>118</v>
      </c>
      <c r="C443" s="16" t="s">
        <v>119</v>
      </c>
      <c r="D443" s="17">
        <v>44221</v>
      </c>
      <c r="E443" s="18">
        <v>285.08</v>
      </c>
      <c r="F443" s="12">
        <f ca="1">IFERROR(__xludf.DUMMYFUNCTION("GOOGLEFINANCE(C443)"),387.98)</f>
        <v>387.98</v>
      </c>
      <c r="H443" s="12">
        <v>387.98</v>
      </c>
      <c r="I443" s="13">
        <f t="shared" si="0"/>
        <v>0.36095131191244578</v>
      </c>
      <c r="J443" s="28">
        <f t="shared" si="7"/>
        <v>9.9995578426804294E-4</v>
      </c>
    </row>
    <row r="444" spans="1:10" ht="15" x14ac:dyDescent="0.25">
      <c r="A444" s="14">
        <v>452</v>
      </c>
      <c r="B444" s="15" t="s">
        <v>535</v>
      </c>
      <c r="C444" s="16" t="s">
        <v>536</v>
      </c>
      <c r="D444" s="17">
        <v>44221</v>
      </c>
      <c r="E444" s="18">
        <v>59.82</v>
      </c>
      <c r="F444" s="12">
        <f ca="1">IFERROR(__xludf.DUMMYFUNCTION("GOOGLEFINANCE(C444)"),112.3)</f>
        <v>112.3</v>
      </c>
      <c r="H444" s="12">
        <v>112.3</v>
      </c>
      <c r="I444" s="13">
        <f t="shared" si="0"/>
        <v>0.87729856235372783</v>
      </c>
      <c r="J444" s="28">
        <f t="shared" si="7"/>
        <v>5.099871677199891E-4</v>
      </c>
    </row>
    <row r="445" spans="1:10" ht="15" x14ac:dyDescent="0.25">
      <c r="A445" s="14">
        <v>453</v>
      </c>
      <c r="B445" s="15" t="s">
        <v>156</v>
      </c>
      <c r="C445" s="16" t="s">
        <v>157</v>
      </c>
      <c r="D445" s="17">
        <v>44218</v>
      </c>
      <c r="E445" s="18">
        <v>846.64</v>
      </c>
      <c r="F445" s="12">
        <f ca="1">IFERROR(__xludf.DUMMYFUNCTION("GOOGLEFINANCE(C445)"),932.57)</f>
        <v>932.57</v>
      </c>
      <c r="H445" s="12">
        <v>932.57</v>
      </c>
      <c r="I445" s="13">
        <f t="shared" si="0"/>
        <v>0.10149532268732882</v>
      </c>
      <c r="J445" s="28">
        <f t="shared" si="7"/>
        <v>8.3504568068175854E-4</v>
      </c>
    </row>
    <row r="446" spans="1:10" ht="15" x14ac:dyDescent="0.25">
      <c r="A446" s="14">
        <v>454</v>
      </c>
      <c r="B446" s="15" t="s">
        <v>457</v>
      </c>
      <c r="C446" s="16" t="s">
        <v>458</v>
      </c>
      <c r="D446" s="17">
        <v>44218</v>
      </c>
      <c r="E446" s="18">
        <v>161.27000000000001</v>
      </c>
      <c r="F446" s="12">
        <f ca="1">IFERROR(__xludf.DUMMYFUNCTION("GOOGLEFINANCE(C446)"),151.7)</f>
        <v>151.69999999999999</v>
      </c>
      <c r="H446" s="12">
        <v>151.69999999999999</v>
      </c>
      <c r="I446" s="13">
        <f t="shared" si="0"/>
        <v>-5.934147702610542E-2</v>
      </c>
      <c r="J446" s="28">
        <f t="shared" si="7"/>
        <v>-9.2998803259914374E-5</v>
      </c>
    </row>
    <row r="447" spans="1:10" ht="15" x14ac:dyDescent="0.25">
      <c r="A447" s="14">
        <v>455</v>
      </c>
      <c r="B447" s="15" t="s">
        <v>68</v>
      </c>
      <c r="C447" s="16" t="s">
        <v>69</v>
      </c>
      <c r="D447" s="17">
        <v>44218</v>
      </c>
      <c r="E447" s="18">
        <v>103.91</v>
      </c>
      <c r="F447" s="12">
        <f ca="1">IFERROR(__xludf.DUMMYFUNCTION("GOOGLEFINANCE(C447)"),108.63)</f>
        <v>108.63</v>
      </c>
      <c r="H447" s="12">
        <v>108.63</v>
      </c>
      <c r="I447" s="13">
        <f t="shared" si="0"/>
        <v>4.5423924550091414E-2</v>
      </c>
      <c r="J447" s="28">
        <f t="shared" si="7"/>
        <v>4.5867748316279493E-5</v>
      </c>
    </row>
    <row r="448" spans="1:10" ht="15" x14ac:dyDescent="0.25">
      <c r="A448" s="14">
        <v>456</v>
      </c>
      <c r="B448" s="15" t="s">
        <v>285</v>
      </c>
      <c r="C448" s="16" t="s">
        <v>286</v>
      </c>
      <c r="D448" s="17">
        <v>44218</v>
      </c>
      <c r="E448" s="18">
        <v>252</v>
      </c>
      <c r="F448" s="12">
        <f ca="1">IFERROR(__xludf.DUMMYFUNCTION("GOOGLEFINANCE(C448)"),186.2)</f>
        <v>186.2</v>
      </c>
      <c r="H448" s="12">
        <v>186.2</v>
      </c>
      <c r="I448" s="13">
        <f t="shared" si="0"/>
        <v>-0.26111111111111118</v>
      </c>
      <c r="J448" s="28">
        <f t="shared" si="7"/>
        <v>-6.3942750830745594E-4</v>
      </c>
    </row>
    <row r="449" spans="1:10" ht="15" x14ac:dyDescent="0.25">
      <c r="A449" s="14">
        <v>457</v>
      </c>
      <c r="B449" s="15" t="s">
        <v>74</v>
      </c>
      <c r="C449" s="16" t="s">
        <v>75</v>
      </c>
      <c r="D449" s="17">
        <v>44218</v>
      </c>
      <c r="E449" s="18">
        <v>548.5</v>
      </c>
      <c r="F449" s="12">
        <f ca="1">IFERROR(__xludf.DUMMYFUNCTION("GOOGLEFINANCE(C449)"),278.01)</f>
        <v>278.01</v>
      </c>
      <c r="H449" s="12">
        <v>278.01</v>
      </c>
      <c r="I449" s="13">
        <f t="shared" si="0"/>
        <v>-0.49314494074749315</v>
      </c>
      <c r="J449" s="28">
        <f t="shared" si="7"/>
        <v>-2.6285523817945852E-3</v>
      </c>
    </row>
    <row r="450" spans="1:10" ht="15" x14ac:dyDescent="0.25">
      <c r="A450" s="14">
        <v>458</v>
      </c>
      <c r="B450" s="15" t="s">
        <v>76</v>
      </c>
      <c r="C450" s="16" t="s">
        <v>77</v>
      </c>
      <c r="D450" s="17">
        <v>44218</v>
      </c>
      <c r="E450" s="18">
        <v>225.95</v>
      </c>
      <c r="F450" s="12">
        <f ca="1">IFERROR(__xludf.DUMMYFUNCTION("GOOGLEFINANCE(C450)"),323.8)</f>
        <v>323.8</v>
      </c>
      <c r="H450" s="12">
        <v>323.8</v>
      </c>
      <c r="I450" s="13">
        <f t="shared" si="0"/>
        <v>0.43306041159548586</v>
      </c>
      <c r="J450" s="28">
        <f t="shared" si="7"/>
        <v>9.5088118066693865E-4</v>
      </c>
    </row>
    <row r="451" spans="1:10" ht="15" x14ac:dyDescent="0.25">
      <c r="A451" s="14">
        <v>459</v>
      </c>
      <c r="B451" s="15" t="s">
        <v>42</v>
      </c>
      <c r="C451" s="16" t="s">
        <v>43</v>
      </c>
      <c r="D451" s="17">
        <v>44218</v>
      </c>
      <c r="E451" s="18">
        <v>153.49</v>
      </c>
      <c r="F451" s="12">
        <f ca="1">IFERROR(__xludf.DUMMYFUNCTION("GOOGLEFINANCE(C451)"),46.28)</f>
        <v>46.28</v>
      </c>
      <c r="H451" s="12">
        <v>46.28</v>
      </c>
      <c r="I451" s="13">
        <f t="shared" si="0"/>
        <v>-0.6984819857971204</v>
      </c>
      <c r="J451" s="28">
        <f t="shared" ref="J451:J514" si="8">(E451/$E$609)*I451</f>
        <v>-1.0418392578365097E-3</v>
      </c>
    </row>
    <row r="452" spans="1:10" ht="15" x14ac:dyDescent="0.25">
      <c r="A452" s="14">
        <v>460</v>
      </c>
      <c r="B452" s="15" t="s">
        <v>413</v>
      </c>
      <c r="C452" s="16" t="s">
        <v>414</v>
      </c>
      <c r="D452" s="17">
        <v>44218</v>
      </c>
      <c r="E452" s="18">
        <v>206.14</v>
      </c>
      <c r="F452" s="12">
        <f ca="1">IFERROR(__xludf.DUMMYFUNCTION("GOOGLEFINANCE(C452)"),267.42)</f>
        <v>267.42</v>
      </c>
      <c r="H452" s="12">
        <v>267.42</v>
      </c>
      <c r="I452" s="13">
        <f t="shared" si="0"/>
        <v>0.29727369748714483</v>
      </c>
      <c r="J452" s="28">
        <f t="shared" si="8"/>
        <v>5.9550330864864597E-4</v>
      </c>
    </row>
    <row r="453" spans="1:10" ht="15" x14ac:dyDescent="0.25">
      <c r="A453" s="14">
        <v>461</v>
      </c>
      <c r="B453" s="15" t="s">
        <v>291</v>
      </c>
      <c r="C453" s="16" t="s">
        <v>292</v>
      </c>
      <c r="D453" s="17">
        <v>44218</v>
      </c>
      <c r="E453" s="18">
        <v>163.55000000000001</v>
      </c>
      <c r="F453" s="12">
        <f ca="1">IFERROR(__xludf.DUMMYFUNCTION("GOOGLEFINANCE(C453)"),168.23)</f>
        <v>168.23</v>
      </c>
      <c r="H453" s="12">
        <v>168.23</v>
      </c>
      <c r="I453" s="13">
        <f t="shared" si="0"/>
        <v>2.8615102415163424E-2</v>
      </c>
      <c r="J453" s="28">
        <f t="shared" si="8"/>
        <v>4.5479038584785401E-5</v>
      </c>
    </row>
    <row r="454" spans="1:10" ht="15" x14ac:dyDescent="0.25">
      <c r="A454" s="14">
        <v>462</v>
      </c>
      <c r="B454" s="15" t="s">
        <v>78</v>
      </c>
      <c r="C454" s="16" t="s">
        <v>79</v>
      </c>
      <c r="D454" s="17">
        <v>44218</v>
      </c>
      <c r="E454" s="18">
        <v>202.25</v>
      </c>
      <c r="F454" s="12">
        <f ca="1">IFERROR(__xludf.DUMMYFUNCTION("GOOGLEFINANCE(C454)"),205.17)</f>
        <v>205.17</v>
      </c>
      <c r="H454" s="12">
        <v>205.17</v>
      </c>
      <c r="I454" s="13">
        <f t="shared" si="0"/>
        <v>1.4437577255871385E-2</v>
      </c>
      <c r="J454" s="28">
        <f t="shared" si="8"/>
        <v>2.837581039905415E-5</v>
      </c>
    </row>
    <row r="455" spans="1:10" ht="15" x14ac:dyDescent="0.25">
      <c r="A455" s="14">
        <v>463</v>
      </c>
      <c r="B455" s="15" t="s">
        <v>140</v>
      </c>
      <c r="C455" s="16" t="s">
        <v>141</v>
      </c>
      <c r="D455" s="17">
        <v>44218</v>
      </c>
      <c r="E455" s="18">
        <v>55.4</v>
      </c>
      <c r="F455" s="12">
        <f ca="1">IFERROR(__xludf.DUMMYFUNCTION("GOOGLEFINANCE(C455)"),55.16)</f>
        <v>55.16</v>
      </c>
      <c r="H455" s="12">
        <v>55.16</v>
      </c>
      <c r="I455" s="13">
        <f t="shared" si="0"/>
        <v>-4.3321299638989534E-3</v>
      </c>
      <c r="J455" s="28">
        <f t="shared" si="8"/>
        <v>-2.3322583889633839E-6</v>
      </c>
    </row>
    <row r="456" spans="1:10" ht="15" x14ac:dyDescent="0.25">
      <c r="A456" s="14">
        <v>464</v>
      </c>
      <c r="B456" s="15" t="s">
        <v>537</v>
      </c>
      <c r="C456" s="16" t="s">
        <v>538</v>
      </c>
      <c r="D456" s="17">
        <v>44218</v>
      </c>
      <c r="E456" s="18">
        <v>14.56</v>
      </c>
      <c r="F456" s="12">
        <f ca="1">IFERROR(__xludf.DUMMYFUNCTION("GOOGLEFINANCE(C456)"),15.78)</f>
        <v>15.78</v>
      </c>
      <c r="H456" s="12">
        <v>15.78</v>
      </c>
      <c r="I456" s="13">
        <f t="shared" si="0"/>
        <v>8.3791208791208716E-2</v>
      </c>
      <c r="J456" s="28">
        <f t="shared" si="8"/>
        <v>1.185564681056376E-5</v>
      </c>
    </row>
    <row r="457" spans="1:10" ht="15" x14ac:dyDescent="0.25">
      <c r="A457" s="14">
        <v>465</v>
      </c>
      <c r="B457" s="15" t="s">
        <v>154</v>
      </c>
      <c r="C457" s="16" t="s">
        <v>155</v>
      </c>
      <c r="D457" s="17">
        <v>44218</v>
      </c>
      <c r="E457" s="18">
        <v>274.5</v>
      </c>
      <c r="F457" s="12">
        <f ca="1">IFERROR(__xludf.DUMMYFUNCTION("GOOGLEFINANCE(C457)"),333.79)</f>
        <v>333.79</v>
      </c>
      <c r="H457" s="12">
        <v>333.79</v>
      </c>
      <c r="I457" s="13">
        <f t="shared" si="0"/>
        <v>0.21599271402550099</v>
      </c>
      <c r="J457" s="28">
        <f t="shared" si="8"/>
        <v>5.7616499950682474E-4</v>
      </c>
    </row>
    <row r="458" spans="1:10" ht="15" x14ac:dyDescent="0.25">
      <c r="A458" s="14">
        <v>466</v>
      </c>
      <c r="B458" s="15" t="s">
        <v>539</v>
      </c>
      <c r="C458" s="16" t="s">
        <v>540</v>
      </c>
      <c r="D458" s="17">
        <v>44218</v>
      </c>
      <c r="E458" s="18">
        <v>91.73</v>
      </c>
      <c r="F458" s="12">
        <f ca="1">IFERROR(__xludf.DUMMYFUNCTION("GOOGLEFINANCE(C458)"),113.6)</f>
        <v>113.6</v>
      </c>
      <c r="H458" s="12">
        <v>113.6</v>
      </c>
      <c r="I458" s="13">
        <f t="shared" si="0"/>
        <v>0.23841709364439104</v>
      </c>
      <c r="J458" s="28">
        <f t="shared" si="8"/>
        <v>2.125270456942865E-4</v>
      </c>
    </row>
    <row r="459" spans="1:10" ht="15" x14ac:dyDescent="0.25">
      <c r="A459" s="14">
        <v>467</v>
      </c>
      <c r="B459" s="15" t="s">
        <v>301</v>
      </c>
      <c r="C459" s="16" t="s">
        <v>302</v>
      </c>
      <c r="D459" s="17">
        <v>44218</v>
      </c>
      <c r="E459" s="18">
        <v>92.79</v>
      </c>
      <c r="F459" s="12">
        <f ca="1">IFERROR(__xludf.DUMMYFUNCTION("GOOGLEFINANCE(C459)"),137.75)</f>
        <v>137.75</v>
      </c>
      <c r="H459" s="12">
        <v>137.75</v>
      </c>
      <c r="I459" s="13">
        <f t="shared" si="0"/>
        <v>0.48453497144088792</v>
      </c>
      <c r="J459" s="28">
        <f t="shared" si="8"/>
        <v>4.3690973819913688E-4</v>
      </c>
    </row>
    <row r="460" spans="1:10" ht="15" x14ac:dyDescent="0.25">
      <c r="A460" s="14">
        <v>468</v>
      </c>
      <c r="B460" s="15" t="s">
        <v>52</v>
      </c>
      <c r="C460" s="16" t="s">
        <v>53</v>
      </c>
      <c r="D460" s="17">
        <v>44218</v>
      </c>
      <c r="E460" s="18">
        <v>139.07</v>
      </c>
      <c r="F460" s="12">
        <f ca="1">IFERROR(__xludf.DUMMYFUNCTION("GOOGLEFINANCE(C460)"),171.14)</f>
        <v>171.14</v>
      </c>
      <c r="H460" s="12">
        <v>171.14</v>
      </c>
      <c r="I460" s="13">
        <f t="shared" si="0"/>
        <v>0.23060329330552956</v>
      </c>
      <c r="J460" s="28">
        <f t="shared" si="8"/>
        <v>3.1164802722522954E-4</v>
      </c>
    </row>
    <row r="461" spans="1:10" ht="15" x14ac:dyDescent="0.25">
      <c r="A461" s="14">
        <v>469</v>
      </c>
      <c r="B461" s="15" t="s">
        <v>102</v>
      </c>
      <c r="C461" s="16" t="s">
        <v>103</v>
      </c>
      <c r="D461" s="17">
        <v>44217</v>
      </c>
      <c r="E461" s="18">
        <v>144.85</v>
      </c>
      <c r="F461" s="12">
        <f ca="1">IFERROR(__xludf.DUMMYFUNCTION("GOOGLEFINANCE(C461)"),138.75)</f>
        <v>138.75</v>
      </c>
      <c r="H461" s="12">
        <v>138.75</v>
      </c>
      <c r="I461" s="13">
        <f t="shared" si="0"/>
        <v>-4.2112530203658918E-2</v>
      </c>
      <c r="J461" s="28">
        <f t="shared" si="8"/>
        <v>-5.927823405281879E-5</v>
      </c>
    </row>
    <row r="462" spans="1:10" ht="15" x14ac:dyDescent="0.25">
      <c r="A462" s="14">
        <v>470</v>
      </c>
      <c r="B462" s="15" t="s">
        <v>156</v>
      </c>
      <c r="C462" s="16" t="s">
        <v>157</v>
      </c>
      <c r="D462" s="17">
        <v>44217</v>
      </c>
      <c r="E462" s="18">
        <v>844.99</v>
      </c>
      <c r="F462" s="12">
        <f ca="1">IFERROR(__xludf.DUMMYFUNCTION("GOOGLEFINANCE(C462)"),932.57)</f>
        <v>932.57</v>
      </c>
      <c r="H462" s="12">
        <v>932.57</v>
      </c>
      <c r="I462" s="13">
        <f t="shared" si="0"/>
        <v>0.10364619699641421</v>
      </c>
      <c r="J462" s="28">
        <f t="shared" si="8"/>
        <v>8.5107995710588145E-4</v>
      </c>
    </row>
    <row r="463" spans="1:10" ht="15" x14ac:dyDescent="0.25">
      <c r="A463" s="14">
        <v>471</v>
      </c>
      <c r="B463" s="15" t="s">
        <v>307</v>
      </c>
      <c r="C463" s="16" t="s">
        <v>308</v>
      </c>
      <c r="D463" s="17">
        <v>44217</v>
      </c>
      <c r="E463" s="18">
        <v>95.19</v>
      </c>
      <c r="F463" s="12">
        <f ca="1">IFERROR(__xludf.DUMMYFUNCTION("GOOGLEFINANCE(C463)"),128.61)</f>
        <v>128.61000000000001</v>
      </c>
      <c r="H463" s="12">
        <v>128.61000000000001</v>
      </c>
      <c r="I463" s="13">
        <f t="shared" si="0"/>
        <v>0.35108729908603864</v>
      </c>
      <c r="J463" s="28">
        <f t="shared" si="8"/>
        <v>3.2476698066314866E-4</v>
      </c>
    </row>
    <row r="464" spans="1:10" ht="15" x14ac:dyDescent="0.25">
      <c r="A464" s="14">
        <v>472</v>
      </c>
      <c r="B464" s="15" t="s">
        <v>357</v>
      </c>
      <c r="C464" s="16" t="s">
        <v>358</v>
      </c>
      <c r="D464" s="17">
        <v>44217</v>
      </c>
      <c r="E464" s="18">
        <v>191.27</v>
      </c>
      <c r="F464" s="12">
        <f ca="1">IFERROR(__xludf.DUMMYFUNCTION("GOOGLEFINANCE(C464)"),223.31)</f>
        <v>223.31</v>
      </c>
      <c r="H464" s="12">
        <v>223.31</v>
      </c>
      <c r="I464" s="13">
        <f t="shared" si="0"/>
        <v>0.16751189418100063</v>
      </c>
      <c r="J464" s="28">
        <f t="shared" si="8"/>
        <v>3.1135649492660907E-4</v>
      </c>
    </row>
    <row r="465" spans="1:10" ht="15" x14ac:dyDescent="0.25">
      <c r="A465" s="14">
        <v>474</v>
      </c>
      <c r="B465" s="15" t="s">
        <v>68</v>
      </c>
      <c r="C465" s="16" t="s">
        <v>69</v>
      </c>
      <c r="D465" s="17">
        <v>44217</v>
      </c>
      <c r="E465" s="18">
        <v>104.58</v>
      </c>
      <c r="F465" s="12">
        <f ca="1">IFERROR(__xludf.DUMMYFUNCTION("GOOGLEFINANCE(C465)"),108.63)</f>
        <v>108.63</v>
      </c>
      <c r="H465" s="12">
        <v>108.63</v>
      </c>
      <c r="I465" s="13">
        <f t="shared" si="0"/>
        <v>3.8726333907056772E-2</v>
      </c>
      <c r="J465" s="28">
        <f t="shared" si="8"/>
        <v>3.9356860313756745E-5</v>
      </c>
    </row>
    <row r="466" spans="1:10" ht="15" x14ac:dyDescent="0.25">
      <c r="A466" s="14">
        <v>475</v>
      </c>
      <c r="B466" s="15" t="s">
        <v>541</v>
      </c>
      <c r="C466" s="16" t="s">
        <v>542</v>
      </c>
      <c r="D466" s="17">
        <v>44217</v>
      </c>
      <c r="E466" s="18">
        <v>143.53</v>
      </c>
      <c r="F466" s="12">
        <f ca="1">IFERROR(__xludf.DUMMYFUNCTION("GOOGLEFINANCE(C466)"),164.59)</f>
        <v>164.59</v>
      </c>
      <c r="H466" s="12">
        <v>164.59</v>
      </c>
      <c r="I466" s="13">
        <f t="shared" si="0"/>
        <v>0.14672890684874243</v>
      </c>
      <c r="J466" s="28">
        <f t="shared" si="8"/>
        <v>2.0465567363153525E-4</v>
      </c>
    </row>
    <row r="467" spans="1:10" ht="15" x14ac:dyDescent="0.25">
      <c r="A467" s="14">
        <v>476</v>
      </c>
      <c r="B467" s="15" t="s">
        <v>114</v>
      </c>
      <c r="C467" s="16" t="s">
        <v>115</v>
      </c>
      <c r="D467" s="17">
        <v>44217</v>
      </c>
      <c r="E467" s="18">
        <v>172.34</v>
      </c>
      <c r="F467" s="12">
        <f ca="1">IFERROR(__xludf.DUMMYFUNCTION("GOOGLEFINANCE(C467)"),248.09)</f>
        <v>248.09</v>
      </c>
      <c r="H467" s="12">
        <v>248.09</v>
      </c>
      <c r="I467" s="13">
        <f t="shared" si="0"/>
        <v>0.43953812231635137</v>
      </c>
      <c r="J467" s="28">
        <f t="shared" si="8"/>
        <v>7.3611905401656198E-4</v>
      </c>
    </row>
    <row r="468" spans="1:10" ht="15" x14ac:dyDescent="0.25">
      <c r="A468" s="14">
        <v>477</v>
      </c>
      <c r="B468" s="15" t="s">
        <v>193</v>
      </c>
      <c r="C468" s="16" t="s">
        <v>194</v>
      </c>
      <c r="D468" s="17">
        <v>44217</v>
      </c>
      <c r="E468" s="18">
        <v>120.29</v>
      </c>
      <c r="F468" s="12">
        <f ca="1">IFERROR(__xludf.DUMMYFUNCTION("GOOGLEFINANCE(C468)"),137.54)</f>
        <v>137.54</v>
      </c>
      <c r="H468" s="12">
        <v>137.54</v>
      </c>
      <c r="I468" s="13">
        <f t="shared" si="0"/>
        <v>0.14340344168260025</v>
      </c>
      <c r="J468" s="28">
        <f t="shared" si="8"/>
        <v>1.6763107170674165E-4</v>
      </c>
    </row>
    <row r="469" spans="1:10" ht="15" x14ac:dyDescent="0.25">
      <c r="A469" s="14">
        <v>478</v>
      </c>
      <c r="B469" s="15" t="s">
        <v>543</v>
      </c>
      <c r="C469" s="16" t="s">
        <v>544</v>
      </c>
      <c r="D469" s="17">
        <v>44217</v>
      </c>
      <c r="E469" s="18">
        <v>25.36</v>
      </c>
      <c r="F469" s="12">
        <f ca="1">IFERROR(__xludf.DUMMYFUNCTION("GOOGLEFINANCE(C469)"),36.57)</f>
        <v>36.57</v>
      </c>
      <c r="H469" s="12">
        <v>36.57</v>
      </c>
      <c r="I469" s="13">
        <f t="shared" si="0"/>
        <v>0.44203470031545744</v>
      </c>
      <c r="J469" s="28">
        <f t="shared" si="8"/>
        <v>1.0893590225116384E-4</v>
      </c>
    </row>
    <row r="470" spans="1:10" ht="15" x14ac:dyDescent="0.25">
      <c r="A470" s="14">
        <v>479</v>
      </c>
      <c r="B470" s="15" t="s">
        <v>118</v>
      </c>
      <c r="C470" s="16" t="s">
        <v>119</v>
      </c>
      <c r="D470" s="17">
        <v>44217</v>
      </c>
      <c r="E470" s="18">
        <v>279.05</v>
      </c>
      <c r="F470" s="12">
        <f ca="1">IFERROR(__xludf.DUMMYFUNCTION("GOOGLEFINANCE(C470)"),387.98)</f>
        <v>387.98</v>
      </c>
      <c r="H470" s="12">
        <v>387.98</v>
      </c>
      <c r="I470" s="13">
        <f t="shared" si="0"/>
        <v>0.3903601505106612</v>
      </c>
      <c r="J470" s="28">
        <f t="shared" si="8"/>
        <v>1.0585537762907472E-3</v>
      </c>
    </row>
    <row r="471" spans="1:10" ht="15" x14ac:dyDescent="0.25">
      <c r="A471" s="14">
        <v>480</v>
      </c>
      <c r="B471" s="15" t="s">
        <v>46</v>
      </c>
      <c r="C471" s="16" t="s">
        <v>47</v>
      </c>
      <c r="D471" s="17">
        <v>44217</v>
      </c>
      <c r="E471" s="18">
        <v>42.72</v>
      </c>
      <c r="F471" s="12">
        <f ca="1">IFERROR(__xludf.DUMMYFUNCTION("GOOGLEFINANCE(C471)"),33.69)</f>
        <v>33.69</v>
      </c>
      <c r="H471" s="12">
        <v>33.69</v>
      </c>
      <c r="I471" s="13">
        <f t="shared" si="0"/>
        <v>-0.21137640449438205</v>
      </c>
      <c r="J471" s="28">
        <f t="shared" si="8"/>
        <v>-8.77512218847466E-5</v>
      </c>
    </row>
    <row r="472" spans="1:10" ht="15" x14ac:dyDescent="0.25">
      <c r="A472" s="14">
        <v>481</v>
      </c>
      <c r="B472" s="15" t="s">
        <v>142</v>
      </c>
      <c r="C472" s="16" t="s">
        <v>143</v>
      </c>
      <c r="D472" s="17">
        <v>44217</v>
      </c>
      <c r="E472" s="18">
        <v>11.53</v>
      </c>
      <c r="F472" s="12">
        <f ca="1">IFERROR(__xludf.DUMMYFUNCTION("GOOGLEFINANCE(C472)"),19.77)</f>
        <v>19.77</v>
      </c>
      <c r="H472" s="12">
        <v>19.77</v>
      </c>
      <c r="I472" s="13">
        <f t="shared" si="0"/>
        <v>0.71465741543798789</v>
      </c>
      <c r="J472" s="28">
        <f t="shared" si="8"/>
        <v>8.0074204687742172E-5</v>
      </c>
    </row>
    <row r="473" spans="1:10" ht="15" x14ac:dyDescent="0.25">
      <c r="A473" s="14">
        <v>482</v>
      </c>
      <c r="B473" s="15" t="s">
        <v>80</v>
      </c>
      <c r="C473" s="16" t="s">
        <v>81</v>
      </c>
      <c r="D473" s="17">
        <v>44217</v>
      </c>
      <c r="E473" s="18">
        <v>124.96</v>
      </c>
      <c r="F473" s="12">
        <f ca="1">IFERROR(__xludf.DUMMYFUNCTION("GOOGLEFINANCE(C473)"),139.83)</f>
        <v>139.83000000000001</v>
      </c>
      <c r="H473" s="12">
        <v>139.83000000000001</v>
      </c>
      <c r="I473" s="13">
        <f t="shared" si="0"/>
        <v>0.11899807938540348</v>
      </c>
      <c r="J473" s="28">
        <f t="shared" si="8"/>
        <v>1.4450284268285529E-4</v>
      </c>
    </row>
    <row r="474" spans="1:10" ht="15" x14ac:dyDescent="0.25">
      <c r="A474" s="14">
        <v>483</v>
      </c>
      <c r="B474" s="15" t="s">
        <v>84</v>
      </c>
      <c r="C474" s="16" t="s">
        <v>85</v>
      </c>
      <c r="D474" s="17">
        <v>44217</v>
      </c>
      <c r="E474" s="18">
        <v>362.8</v>
      </c>
      <c r="F474" s="12">
        <f ca="1">IFERROR(__xludf.DUMMYFUNCTION("GOOGLEFINANCE(C474)"),547.61)</f>
        <v>547.61</v>
      </c>
      <c r="H474" s="12">
        <v>547.61</v>
      </c>
      <c r="I474" s="13">
        <f t="shared" si="0"/>
        <v>0.50939911797133408</v>
      </c>
      <c r="J474" s="28">
        <f t="shared" si="8"/>
        <v>1.7959361369346643E-3</v>
      </c>
    </row>
    <row r="475" spans="1:10" ht="15" x14ac:dyDescent="0.25">
      <c r="A475" s="14">
        <v>484</v>
      </c>
      <c r="B475" s="15" t="s">
        <v>503</v>
      </c>
      <c r="C475" s="16" t="s">
        <v>504</v>
      </c>
      <c r="D475" s="17">
        <v>44217</v>
      </c>
      <c r="E475" s="18">
        <v>62.75</v>
      </c>
      <c r="F475" s="12">
        <f ca="1">IFERROR(__xludf.DUMMYFUNCTION("GOOGLEFINANCE(C475)"),83.02)</f>
        <v>83.02</v>
      </c>
      <c r="H475" s="12">
        <v>83.02</v>
      </c>
      <c r="I475" s="13">
        <f t="shared" si="0"/>
        <v>0.32302788844621505</v>
      </c>
      <c r="J475" s="28">
        <f t="shared" si="8"/>
        <v>1.9697865643453075E-4</v>
      </c>
    </row>
    <row r="476" spans="1:10" ht="15" x14ac:dyDescent="0.25">
      <c r="A476" s="14">
        <v>485</v>
      </c>
      <c r="B476" s="15" t="s">
        <v>52</v>
      </c>
      <c r="C476" s="16" t="s">
        <v>53</v>
      </c>
      <c r="D476" s="17">
        <v>44217</v>
      </c>
      <c r="E476" s="18">
        <v>136.87</v>
      </c>
      <c r="F476" s="12">
        <f ca="1">IFERROR(__xludf.DUMMYFUNCTION("GOOGLEFINANCE(C476)"),171.14)</f>
        <v>171.14</v>
      </c>
      <c r="H476" s="12">
        <v>171.14</v>
      </c>
      <c r="I476" s="13">
        <f t="shared" si="0"/>
        <v>0.25038357565573155</v>
      </c>
      <c r="J476" s="28">
        <f t="shared" si="8"/>
        <v>3.3302706245739354E-4</v>
      </c>
    </row>
    <row r="477" spans="1:10" ht="15" x14ac:dyDescent="0.25">
      <c r="A477" s="14">
        <v>486</v>
      </c>
      <c r="B477" s="15" t="s">
        <v>353</v>
      </c>
      <c r="C477" s="16" t="s">
        <v>354</v>
      </c>
      <c r="D477" s="17">
        <v>44216</v>
      </c>
      <c r="E477" s="18">
        <v>382.8</v>
      </c>
      <c r="F477" s="12">
        <f ca="1">IFERROR(__xludf.DUMMYFUNCTION("GOOGLEFINANCE(C477)"),199.74)</f>
        <v>199.74</v>
      </c>
      <c r="H477" s="12">
        <v>199.74</v>
      </c>
      <c r="I477" s="13">
        <f t="shared" si="0"/>
        <v>-0.47821316614420062</v>
      </c>
      <c r="J477" s="28">
        <f t="shared" si="8"/>
        <v>-1.7789300861818064E-3</v>
      </c>
    </row>
    <row r="478" spans="1:10" ht="15" x14ac:dyDescent="0.25">
      <c r="A478" s="14">
        <v>487</v>
      </c>
      <c r="B478" s="15" t="s">
        <v>377</v>
      </c>
      <c r="C478" s="16" t="s">
        <v>378</v>
      </c>
      <c r="D478" s="17">
        <v>44216</v>
      </c>
      <c r="E478" s="18">
        <v>810.99</v>
      </c>
      <c r="F478" s="12">
        <f ca="1">IFERROR(__xludf.DUMMYFUNCTION("GOOGLEFINANCE(C478)"),89.99)</f>
        <v>89.99</v>
      </c>
      <c r="H478" s="12">
        <v>89.99</v>
      </c>
      <c r="I478" s="13">
        <f t="shared" si="0"/>
        <v>-0.88903685618811579</v>
      </c>
      <c r="J478" s="28">
        <f t="shared" si="8"/>
        <v>-7.0064929101774408E-3</v>
      </c>
    </row>
    <row r="479" spans="1:10" ht="15" x14ac:dyDescent="0.25">
      <c r="A479" s="14">
        <v>488</v>
      </c>
      <c r="B479" s="15" t="s">
        <v>156</v>
      </c>
      <c r="C479" s="16" t="s">
        <v>157</v>
      </c>
      <c r="D479" s="17">
        <v>44216</v>
      </c>
      <c r="E479" s="18">
        <v>850.45</v>
      </c>
      <c r="F479" s="12">
        <f ca="1">IFERROR(__xludf.DUMMYFUNCTION("GOOGLEFINANCE(C479)"),932.57)</f>
        <v>932.57</v>
      </c>
      <c r="H479" s="12">
        <v>932.57</v>
      </c>
      <c r="I479" s="13">
        <f t="shared" si="0"/>
        <v>9.656064436474808E-2</v>
      </c>
      <c r="J479" s="28">
        <f t="shared" si="8"/>
        <v>7.980210787569647E-4</v>
      </c>
    </row>
    <row r="480" spans="1:10" ht="15" x14ac:dyDescent="0.25">
      <c r="A480" s="14">
        <v>489</v>
      </c>
      <c r="B480" s="15" t="s">
        <v>489</v>
      </c>
      <c r="C480" s="16" t="s">
        <v>490</v>
      </c>
      <c r="D480" s="17">
        <v>44216</v>
      </c>
      <c r="E480" s="18">
        <v>91.26</v>
      </c>
      <c r="F480" s="12">
        <f ca="1">IFERROR(__xludf.DUMMYFUNCTION("GOOGLEFINANCE(C480)"),44.26)</f>
        <v>44.26</v>
      </c>
      <c r="H480" s="12">
        <v>44.26</v>
      </c>
      <c r="I480" s="13">
        <f t="shared" si="0"/>
        <v>-0.51501205347359202</v>
      </c>
      <c r="J480" s="28">
        <f t="shared" si="8"/>
        <v>-4.5673393450532568E-4</v>
      </c>
    </row>
    <row r="481" spans="1:10" ht="15" x14ac:dyDescent="0.25">
      <c r="A481" s="14">
        <v>490</v>
      </c>
      <c r="B481" s="15" t="s">
        <v>545</v>
      </c>
      <c r="C481" s="16" t="s">
        <v>546</v>
      </c>
      <c r="D481" s="17">
        <v>44216</v>
      </c>
      <c r="E481" s="18">
        <v>26.34</v>
      </c>
      <c r="F481" s="12">
        <f ca="1">IFERROR(__xludf.DUMMYFUNCTION("GOOGLEFINANCE(C481)"),19.06)</f>
        <v>19.059999999999999</v>
      </c>
      <c r="H481" s="12">
        <v>19.059999999999999</v>
      </c>
      <c r="I481" s="13">
        <f t="shared" si="0"/>
        <v>-0.27638572513287779</v>
      </c>
      <c r="J481" s="28">
        <f t="shared" si="8"/>
        <v>-7.0745171131888731E-5</v>
      </c>
    </row>
    <row r="482" spans="1:10" ht="15" x14ac:dyDescent="0.25">
      <c r="A482" s="14">
        <v>491</v>
      </c>
      <c r="B482" s="15" t="s">
        <v>337</v>
      </c>
      <c r="C482" s="16" t="s">
        <v>338</v>
      </c>
      <c r="D482" s="17">
        <v>44216</v>
      </c>
      <c r="E482" s="18">
        <v>370.55</v>
      </c>
      <c r="F482" s="12">
        <f ca="1">IFERROR(__xludf.DUMMYFUNCTION("GOOGLEFINANCE(C482)"),530.14)</f>
        <v>530.14</v>
      </c>
      <c r="H482" s="12">
        <v>530.14</v>
      </c>
      <c r="I482" s="13">
        <f t="shared" si="0"/>
        <v>0.43068411820267161</v>
      </c>
      <c r="J482" s="28">
        <f t="shared" si="8"/>
        <v>1.5508546512277635E-3</v>
      </c>
    </row>
    <row r="483" spans="1:10" ht="15" x14ac:dyDescent="0.25">
      <c r="A483" s="14">
        <v>492</v>
      </c>
      <c r="B483" s="15" t="s">
        <v>148</v>
      </c>
      <c r="C483" s="16" t="s">
        <v>149</v>
      </c>
      <c r="D483" s="17">
        <v>44216</v>
      </c>
      <c r="E483" s="18">
        <v>586.34</v>
      </c>
      <c r="F483" s="12">
        <f ca="1">IFERROR(__xludf.DUMMYFUNCTION("GOOGLEFINANCE(C483)"),586.73)</f>
        <v>586.73</v>
      </c>
      <c r="H483" s="12">
        <v>586.73</v>
      </c>
      <c r="I483" s="13">
        <f t="shared" si="0"/>
        <v>6.6514309103930542E-4</v>
      </c>
      <c r="J483" s="28">
        <f t="shared" si="8"/>
        <v>3.7899198820653349E-6</v>
      </c>
    </row>
    <row r="484" spans="1:10" ht="15" x14ac:dyDescent="0.25">
      <c r="A484" s="14">
        <v>493</v>
      </c>
      <c r="B484" s="15" t="s">
        <v>547</v>
      </c>
      <c r="C484" s="16" t="s">
        <v>548</v>
      </c>
      <c r="D484" s="17">
        <v>44216</v>
      </c>
      <c r="E484" s="18">
        <v>74.84</v>
      </c>
      <c r="F484" s="12">
        <f ca="1">IFERROR(__xludf.DUMMYFUNCTION("GOOGLEFINANCE(C484)"),97.13)</f>
        <v>97.13</v>
      </c>
      <c r="H484" s="12">
        <v>97.13</v>
      </c>
      <c r="I484" s="13">
        <f t="shared" si="0"/>
        <v>0.29783538214858352</v>
      </c>
      <c r="J484" s="28">
        <f t="shared" si="8"/>
        <v>2.1660849787497239E-4</v>
      </c>
    </row>
    <row r="485" spans="1:10" ht="15" x14ac:dyDescent="0.25">
      <c r="A485" s="14">
        <v>494</v>
      </c>
      <c r="B485" s="15" t="s">
        <v>549</v>
      </c>
      <c r="C485" s="16" t="s">
        <v>550</v>
      </c>
      <c r="D485" s="17">
        <v>44216</v>
      </c>
      <c r="E485" s="18">
        <v>25.49</v>
      </c>
      <c r="F485" s="12">
        <f ca="1">IFERROR(__xludf.DUMMYFUNCTION("GOOGLEFINANCE(C485)"),13.71)</f>
        <v>13.71</v>
      </c>
      <c r="H485" s="12">
        <v>13.71</v>
      </c>
      <c r="I485" s="13">
        <f t="shared" si="0"/>
        <v>-0.46214201647704978</v>
      </c>
      <c r="J485" s="28">
        <f t="shared" si="8"/>
        <v>-1.1447501592495179E-4</v>
      </c>
    </row>
    <row r="486" spans="1:10" ht="15" x14ac:dyDescent="0.25">
      <c r="A486" s="14">
        <v>495</v>
      </c>
      <c r="B486" s="15" t="s">
        <v>203</v>
      </c>
      <c r="C486" s="16" t="s">
        <v>204</v>
      </c>
      <c r="D486" s="17">
        <v>44216</v>
      </c>
      <c r="E486" s="18">
        <v>173.64</v>
      </c>
      <c r="F486" s="12">
        <f ca="1">IFERROR(__xludf.DUMMYFUNCTION("GOOGLEFINANCE(C486)"),148.76)</f>
        <v>148.76</v>
      </c>
      <c r="H486" s="12">
        <v>148.76</v>
      </c>
      <c r="I486" s="13">
        <f t="shared" si="0"/>
        <v>-0.14328495738309144</v>
      </c>
      <c r="J486" s="28">
        <f t="shared" si="8"/>
        <v>-2.4177745298920207E-4</v>
      </c>
    </row>
    <row r="487" spans="1:10" ht="15" x14ac:dyDescent="0.25">
      <c r="A487" s="14">
        <v>496</v>
      </c>
      <c r="B487" s="15" t="s">
        <v>439</v>
      </c>
      <c r="C487" s="16" t="s">
        <v>440</v>
      </c>
      <c r="D487" s="17">
        <v>44216</v>
      </c>
      <c r="E487" s="18">
        <v>75.25</v>
      </c>
      <c r="F487" s="12">
        <f ca="1">IFERROR(__xludf.DUMMYFUNCTION("GOOGLEFINANCE(C487)"),100.36)</f>
        <v>100.36</v>
      </c>
      <c r="H487" s="12">
        <v>100.36</v>
      </c>
      <c r="I487" s="13">
        <f t="shared" si="0"/>
        <v>0.33368770764119599</v>
      </c>
      <c r="J487" s="28">
        <f t="shared" si="8"/>
        <v>2.44012533945292E-4</v>
      </c>
    </row>
    <row r="488" spans="1:10" ht="15" x14ac:dyDescent="0.25">
      <c r="A488" s="14">
        <v>497</v>
      </c>
      <c r="B488" s="15" t="s">
        <v>503</v>
      </c>
      <c r="C488" s="16" t="s">
        <v>504</v>
      </c>
      <c r="D488" s="17">
        <v>44216</v>
      </c>
      <c r="E488" s="18">
        <v>62.42</v>
      </c>
      <c r="F488" s="12">
        <f ca="1">IFERROR(__xludf.DUMMYFUNCTION("GOOGLEFINANCE(C488)"),83.02)</f>
        <v>83.02</v>
      </c>
      <c r="H488" s="12">
        <v>83.02</v>
      </c>
      <c r="I488" s="13">
        <f t="shared" si="0"/>
        <v>0.3300224287087471</v>
      </c>
      <c r="J488" s="28">
        <f t="shared" si="8"/>
        <v>2.0018551171935539E-4</v>
      </c>
    </row>
    <row r="489" spans="1:10" ht="15" x14ac:dyDescent="0.25">
      <c r="A489" s="14">
        <v>498</v>
      </c>
      <c r="B489" s="15" t="s">
        <v>52</v>
      </c>
      <c r="C489" s="16" t="s">
        <v>53</v>
      </c>
      <c r="D489" s="17">
        <v>44216</v>
      </c>
      <c r="E489" s="18">
        <v>132.03</v>
      </c>
      <c r="F489" s="12">
        <f ca="1">IFERROR(__xludf.DUMMYFUNCTION("GOOGLEFINANCE(C489)"),171.14)</f>
        <v>171.14</v>
      </c>
      <c r="H489" s="12">
        <v>171.14</v>
      </c>
      <c r="I489" s="13">
        <f t="shared" si="0"/>
        <v>0.29622055593425722</v>
      </c>
      <c r="J489" s="28">
        <f t="shared" si="8"/>
        <v>3.8006093996815479E-4</v>
      </c>
    </row>
    <row r="490" spans="1:10" ht="15" x14ac:dyDescent="0.25">
      <c r="A490" s="14">
        <v>499</v>
      </c>
      <c r="B490" s="15" t="s">
        <v>343</v>
      </c>
      <c r="C490" s="16" t="s">
        <v>344</v>
      </c>
      <c r="D490" s="17">
        <v>44215</v>
      </c>
      <c r="E490" s="18">
        <v>107.25</v>
      </c>
      <c r="F490" s="12">
        <f ca="1">IFERROR(__xludf.DUMMYFUNCTION("GOOGLEFINANCE(C490)"),115.05)</f>
        <v>115.05</v>
      </c>
      <c r="H490" s="12">
        <v>115.05</v>
      </c>
      <c r="I490" s="13">
        <f t="shared" si="0"/>
        <v>7.2727272727272696E-2</v>
      </c>
      <c r="J490" s="28">
        <f t="shared" si="8"/>
        <v>7.579839764130932E-5</v>
      </c>
    </row>
    <row r="491" spans="1:10" ht="15" x14ac:dyDescent="0.25">
      <c r="A491" s="14">
        <v>500</v>
      </c>
      <c r="B491" s="15" t="s">
        <v>551</v>
      </c>
      <c r="C491" s="16" t="s">
        <v>552</v>
      </c>
      <c r="D491" s="17">
        <v>44215</v>
      </c>
      <c r="E491" s="18">
        <v>97.32</v>
      </c>
      <c r="F491" s="12">
        <f ca="1">IFERROR(__xludf.DUMMYFUNCTION("GOOGLEFINANCE(C491)"),97.74)</f>
        <v>97.74</v>
      </c>
      <c r="H491" s="12">
        <v>97.74</v>
      </c>
      <c r="I491" s="13">
        <f t="shared" si="0"/>
        <v>4.3156596794081559E-3</v>
      </c>
      <c r="J491" s="28">
        <f t="shared" si="8"/>
        <v>4.0814521806859048E-6</v>
      </c>
    </row>
    <row r="492" spans="1:10" ht="15" x14ac:dyDescent="0.25">
      <c r="A492" s="14">
        <v>501</v>
      </c>
      <c r="B492" s="15" t="s">
        <v>541</v>
      </c>
      <c r="C492" s="16" t="s">
        <v>542</v>
      </c>
      <c r="D492" s="17">
        <v>44215</v>
      </c>
      <c r="E492" s="18">
        <v>145.04</v>
      </c>
      <c r="F492" s="12">
        <f ca="1">IFERROR(__xludf.DUMMYFUNCTION("GOOGLEFINANCE(C492)"),164.59)</f>
        <v>164.59</v>
      </c>
      <c r="H492" s="12">
        <v>164.59</v>
      </c>
      <c r="I492" s="13">
        <f t="shared" si="0"/>
        <v>0.1347904026475456</v>
      </c>
      <c r="J492" s="28">
        <f t="shared" si="8"/>
        <v>1.8998188126764088E-4</v>
      </c>
    </row>
    <row r="493" spans="1:10" ht="15" x14ac:dyDescent="0.25">
      <c r="A493" s="14">
        <v>502</v>
      </c>
      <c r="B493" s="15" t="s">
        <v>345</v>
      </c>
      <c r="C493" s="16" t="s">
        <v>346</v>
      </c>
      <c r="D493" s="17">
        <v>44215</v>
      </c>
      <c r="E493" s="18">
        <v>100.42</v>
      </c>
      <c r="F493" s="12">
        <f ca="1">IFERROR(__xludf.DUMMYFUNCTION("GOOGLEFINANCE(C493)"),48.22)</f>
        <v>48.22</v>
      </c>
      <c r="H493" s="12">
        <v>48.22</v>
      </c>
      <c r="I493" s="13">
        <f t="shared" si="0"/>
        <v>-0.5198167695678152</v>
      </c>
      <c r="J493" s="28">
        <f t="shared" si="8"/>
        <v>-5.0726619959953181E-4</v>
      </c>
    </row>
    <row r="494" spans="1:10" ht="15" x14ac:dyDescent="0.25">
      <c r="A494" s="14">
        <v>503</v>
      </c>
      <c r="B494" s="15" t="s">
        <v>499</v>
      </c>
      <c r="C494" s="16" t="s">
        <v>500</v>
      </c>
      <c r="D494" s="17">
        <v>44215</v>
      </c>
      <c r="E494" s="18">
        <v>139.27000000000001</v>
      </c>
      <c r="F494" s="12">
        <f ca="1">IFERROR(__xludf.DUMMYFUNCTION("GOOGLEFINANCE(C494)"),161.36)</f>
        <v>161.36000000000001</v>
      </c>
      <c r="H494" s="12">
        <v>161.36000000000001</v>
      </c>
      <c r="I494" s="13">
        <f t="shared" si="0"/>
        <v>0.15861276656853596</v>
      </c>
      <c r="J494" s="28">
        <f t="shared" si="8"/>
        <v>2.1466494921750304E-4</v>
      </c>
    </row>
    <row r="495" spans="1:10" ht="15" x14ac:dyDescent="0.25">
      <c r="A495" s="14">
        <v>504</v>
      </c>
      <c r="B495" s="15" t="s">
        <v>148</v>
      </c>
      <c r="C495" s="16" t="s">
        <v>149</v>
      </c>
      <c r="D495" s="17">
        <v>44215</v>
      </c>
      <c r="E495" s="18">
        <v>501.77</v>
      </c>
      <c r="F495" s="12">
        <f ca="1">IFERROR(__xludf.DUMMYFUNCTION("GOOGLEFINANCE(C495)"),586.73)</f>
        <v>586.73</v>
      </c>
      <c r="H495" s="12">
        <v>586.73</v>
      </c>
      <c r="I495" s="13">
        <f t="shared" si="0"/>
        <v>0.16932060505809443</v>
      </c>
      <c r="J495" s="28">
        <f t="shared" si="8"/>
        <v>8.2561946969303141E-4</v>
      </c>
    </row>
    <row r="496" spans="1:10" ht="15" x14ac:dyDescent="0.25">
      <c r="A496" s="14">
        <v>505</v>
      </c>
      <c r="B496" s="15" t="s">
        <v>58</v>
      </c>
      <c r="C496" s="16" t="s">
        <v>59</v>
      </c>
      <c r="D496" s="17">
        <v>44215</v>
      </c>
      <c r="E496" s="18">
        <v>97.73</v>
      </c>
      <c r="F496" s="12">
        <f ca="1">IFERROR(__xludf.DUMMYFUNCTION("GOOGLEFINANCE(C496)"),83.3)</f>
        <v>83.3</v>
      </c>
      <c r="H496" s="12">
        <v>83.3</v>
      </c>
      <c r="I496" s="13">
        <f t="shared" si="0"/>
        <v>-0.14765169344111334</v>
      </c>
      <c r="J496" s="28">
        <f t="shared" si="8"/>
        <v>-1.4022703563642237E-4</v>
      </c>
    </row>
    <row r="497" spans="1:10" ht="15" x14ac:dyDescent="0.25">
      <c r="A497" s="14">
        <v>506</v>
      </c>
      <c r="B497" s="15" t="s">
        <v>18</v>
      </c>
      <c r="C497" s="16" t="s">
        <v>19</v>
      </c>
      <c r="D497" s="17">
        <v>44215</v>
      </c>
      <c r="E497" s="18">
        <v>138.04</v>
      </c>
      <c r="F497" s="12">
        <f ca="1">IFERROR(__xludf.DUMMYFUNCTION("GOOGLEFINANCE(C497)"),156.76)</f>
        <v>156.76</v>
      </c>
      <c r="H497" s="12">
        <v>156.76</v>
      </c>
      <c r="I497" s="13">
        <f t="shared" si="0"/>
        <v>0.13561286583598955</v>
      </c>
      <c r="J497" s="28">
        <f t="shared" si="8"/>
        <v>1.8191615433914242E-4</v>
      </c>
    </row>
    <row r="498" spans="1:10" ht="15" x14ac:dyDescent="0.25">
      <c r="A498" s="14">
        <v>507</v>
      </c>
      <c r="B498" s="15" t="s">
        <v>22</v>
      </c>
      <c r="C498" s="16" t="s">
        <v>23</v>
      </c>
      <c r="D498" s="17">
        <v>44215</v>
      </c>
      <c r="E498" s="18">
        <v>294.2</v>
      </c>
      <c r="F498" s="12">
        <f ca="1">IFERROR(__xludf.DUMMYFUNCTION("GOOGLEFINANCE(C498)"),381.8)</f>
        <v>381.8</v>
      </c>
      <c r="H498" s="12">
        <v>381.8</v>
      </c>
      <c r="I498" s="13">
        <f t="shared" si="0"/>
        <v>0.29775662814411974</v>
      </c>
      <c r="J498" s="28">
        <f t="shared" si="8"/>
        <v>8.5127431197162828E-4</v>
      </c>
    </row>
    <row r="499" spans="1:10" ht="15" x14ac:dyDescent="0.25">
      <c r="A499" s="14">
        <v>508</v>
      </c>
      <c r="B499" s="15" t="s">
        <v>60</v>
      </c>
      <c r="C499" s="16" t="s">
        <v>61</v>
      </c>
      <c r="D499" s="17">
        <v>44215</v>
      </c>
      <c r="E499" s="18">
        <v>51.29</v>
      </c>
      <c r="F499" s="12">
        <f ca="1">IFERROR(__xludf.DUMMYFUNCTION("GOOGLEFINANCE(C499)"),28.67)</f>
        <v>28.67</v>
      </c>
      <c r="H499" s="12">
        <v>28.67</v>
      </c>
      <c r="I499" s="13">
        <f t="shared" si="0"/>
        <v>-0.44102164164554492</v>
      </c>
      <c r="J499" s="28">
        <f t="shared" si="8"/>
        <v>-2.1981535315979711E-4</v>
      </c>
    </row>
    <row r="500" spans="1:10" ht="15" x14ac:dyDescent="0.25">
      <c r="A500" s="14">
        <v>509</v>
      </c>
      <c r="B500" s="15" t="s">
        <v>203</v>
      </c>
      <c r="C500" s="16" t="s">
        <v>204</v>
      </c>
      <c r="D500" s="17">
        <v>44215</v>
      </c>
      <c r="E500" s="18">
        <v>172.26</v>
      </c>
      <c r="F500" s="12">
        <f ca="1">IFERROR(__xludf.DUMMYFUNCTION("GOOGLEFINANCE(C500)"),148.76)</f>
        <v>148.76</v>
      </c>
      <c r="H500" s="12">
        <v>148.76</v>
      </c>
      <c r="I500" s="13">
        <f t="shared" si="0"/>
        <v>-0.13642168814582609</v>
      </c>
      <c r="J500" s="28">
        <f t="shared" si="8"/>
        <v>-2.2836696725266279E-4</v>
      </c>
    </row>
    <row r="501" spans="1:10" ht="15" x14ac:dyDescent="0.25">
      <c r="A501" s="14">
        <v>510</v>
      </c>
      <c r="B501" s="15" t="s">
        <v>437</v>
      </c>
      <c r="C501" s="16" t="s">
        <v>438</v>
      </c>
      <c r="D501" s="17">
        <v>44215</v>
      </c>
      <c r="E501" s="18">
        <v>84.46</v>
      </c>
      <c r="F501" s="12">
        <f ca="1">IFERROR(__xludf.DUMMYFUNCTION("GOOGLEFINANCE(C501)"),76.51)</f>
        <v>76.510000000000005</v>
      </c>
      <c r="H501" s="20">
        <v>76.510000000000005</v>
      </c>
      <c r="I501" s="13">
        <f t="shared" si="0"/>
        <v>-9.4127397584655326E-2</v>
      </c>
      <c r="J501" s="28">
        <f t="shared" si="8"/>
        <v>-7.7256059134411337E-5</v>
      </c>
    </row>
    <row r="502" spans="1:10" ht="15" x14ac:dyDescent="0.25">
      <c r="A502" s="14">
        <v>511</v>
      </c>
      <c r="B502" s="15" t="s">
        <v>339</v>
      </c>
      <c r="C502" s="16" t="s">
        <v>340</v>
      </c>
      <c r="D502" s="17">
        <v>44215</v>
      </c>
      <c r="E502" s="18">
        <v>33.56</v>
      </c>
      <c r="F502" s="12">
        <f ca="1">IFERROR(__xludf.DUMMYFUNCTION("GOOGLEFINANCE(C502)"),9.59)</f>
        <v>9.59</v>
      </c>
      <c r="H502" s="12">
        <v>9.59</v>
      </c>
      <c r="I502" s="13">
        <f t="shared" si="0"/>
        <v>-0.71424314660309896</v>
      </c>
      <c r="J502" s="28">
        <f t="shared" si="8"/>
        <v>-2.3293430659771606E-4</v>
      </c>
    </row>
    <row r="503" spans="1:10" ht="15" x14ac:dyDescent="0.25">
      <c r="A503" s="14">
        <v>512</v>
      </c>
      <c r="B503" s="15" t="s">
        <v>26</v>
      </c>
      <c r="C503" s="16" t="s">
        <v>27</v>
      </c>
      <c r="D503" s="17">
        <v>44215</v>
      </c>
      <c r="E503" s="18">
        <v>32.770000000000003</v>
      </c>
      <c r="F503" s="12">
        <f ca="1">IFERROR(__xludf.DUMMYFUNCTION("GOOGLEFINANCE(C503)"),43.88)</f>
        <v>43.88</v>
      </c>
      <c r="H503" s="12">
        <v>43.88</v>
      </c>
      <c r="I503" s="13">
        <f t="shared" si="0"/>
        <v>0.33902960024412565</v>
      </c>
      <c r="J503" s="28">
        <f t="shared" si="8"/>
        <v>1.0796412792242906E-4</v>
      </c>
    </row>
    <row r="504" spans="1:10" ht="15" x14ac:dyDescent="0.25">
      <c r="A504" s="14">
        <v>513</v>
      </c>
      <c r="B504" s="15" t="s">
        <v>52</v>
      </c>
      <c r="C504" s="16" t="s">
        <v>53</v>
      </c>
      <c r="D504" s="17">
        <v>44215</v>
      </c>
      <c r="E504" s="18">
        <v>127.83</v>
      </c>
      <c r="F504" s="12">
        <f ca="1">IFERROR(__xludf.DUMMYFUNCTION("GOOGLEFINANCE(C504)"),171.14)</f>
        <v>171.14</v>
      </c>
      <c r="H504" s="12">
        <v>171.14</v>
      </c>
      <c r="I504" s="13">
        <f t="shared" si="0"/>
        <v>0.33880935617617136</v>
      </c>
      <c r="J504" s="28">
        <f t="shared" si="8"/>
        <v>4.2087546177501371E-4</v>
      </c>
    </row>
    <row r="505" spans="1:10" ht="15" x14ac:dyDescent="0.25">
      <c r="A505" s="14">
        <v>514</v>
      </c>
      <c r="B505" s="15" t="s">
        <v>243</v>
      </c>
      <c r="C505" s="16" t="s">
        <v>244</v>
      </c>
      <c r="D505" s="17">
        <v>44211</v>
      </c>
      <c r="E505" s="18">
        <v>56</v>
      </c>
      <c r="F505" s="12">
        <f ca="1">IFERROR(__xludf.DUMMYFUNCTION("GOOGLEFINANCE(C505)"),139.18)</f>
        <v>139.18</v>
      </c>
      <c r="H505" s="12">
        <v>139.18</v>
      </c>
      <c r="I505" s="13">
        <f t="shared" si="0"/>
        <v>1.485357142857143</v>
      </c>
      <c r="J505" s="28">
        <f t="shared" si="8"/>
        <v>8.083218866415528E-4</v>
      </c>
    </row>
    <row r="506" spans="1:10" ht="15" x14ac:dyDescent="0.25">
      <c r="A506" s="14">
        <v>515</v>
      </c>
      <c r="B506" s="15" t="s">
        <v>8</v>
      </c>
      <c r="C506" s="16" t="s">
        <v>9</v>
      </c>
      <c r="D506" s="17">
        <v>44211</v>
      </c>
      <c r="E506" s="18">
        <v>351.3</v>
      </c>
      <c r="F506" s="12">
        <f ca="1">IFERROR(__xludf.DUMMYFUNCTION("GOOGLEFINANCE(C506)"),487.12)</f>
        <v>487.12</v>
      </c>
      <c r="H506" s="12">
        <v>487.12</v>
      </c>
      <c r="I506" s="13">
        <f t="shared" si="0"/>
        <v>0.38662112154853401</v>
      </c>
      <c r="J506" s="28">
        <f t="shared" si="8"/>
        <v>1.3198638932875174E-3</v>
      </c>
    </row>
    <row r="507" spans="1:10" ht="15" x14ac:dyDescent="0.25">
      <c r="A507" s="14">
        <v>516</v>
      </c>
      <c r="B507" s="15" t="s">
        <v>146</v>
      </c>
      <c r="C507" s="16" t="s">
        <v>147</v>
      </c>
      <c r="D507" s="17">
        <v>44211</v>
      </c>
      <c r="E507" s="18">
        <v>125.23</v>
      </c>
      <c r="F507" s="12">
        <f ca="1">IFERROR(__xludf.DUMMYFUNCTION("GOOGLEFINANCE(C507)"),116.32)</f>
        <v>116.32</v>
      </c>
      <c r="H507" s="12">
        <v>116.32</v>
      </c>
      <c r="I507" s="13">
        <f t="shared" si="0"/>
        <v>-7.1149085682344571E-2</v>
      </c>
      <c r="J507" s="28">
        <f t="shared" si="8"/>
        <v>-8.6585092690265021E-5</v>
      </c>
    </row>
    <row r="508" spans="1:10" ht="15" x14ac:dyDescent="0.25">
      <c r="A508" s="14">
        <v>517</v>
      </c>
      <c r="B508" s="15" t="s">
        <v>156</v>
      </c>
      <c r="C508" s="16" t="s">
        <v>157</v>
      </c>
      <c r="D508" s="17">
        <v>44211</v>
      </c>
      <c r="E508" s="18">
        <v>826.16</v>
      </c>
      <c r="F508" s="12">
        <f ca="1">IFERROR(__xludf.DUMMYFUNCTION("GOOGLEFINANCE(C508)"),932.57)</f>
        <v>932.57</v>
      </c>
      <c r="H508" s="12">
        <v>932.57</v>
      </c>
      <c r="I508" s="13">
        <f t="shared" si="0"/>
        <v>0.12880071656821934</v>
      </c>
      <c r="J508" s="28">
        <f t="shared" si="8"/>
        <v>1.0340650632066327E-3</v>
      </c>
    </row>
    <row r="509" spans="1:10" ht="15" x14ac:dyDescent="0.25">
      <c r="A509" s="14">
        <v>518</v>
      </c>
      <c r="B509" s="15" t="s">
        <v>553</v>
      </c>
      <c r="C509" s="16" t="s">
        <v>554</v>
      </c>
      <c r="D509" s="17">
        <v>44211</v>
      </c>
      <c r="E509" s="18">
        <v>127.28</v>
      </c>
      <c r="F509" s="12">
        <f ca="1">IFERROR(__xludf.DUMMYFUNCTION("GOOGLEFINANCE(C509)"),119.81)</f>
        <v>119.81</v>
      </c>
      <c r="H509" s="12">
        <v>119.81</v>
      </c>
      <c r="I509" s="13">
        <f t="shared" si="0"/>
        <v>-5.8689503456945305E-2</v>
      </c>
      <c r="J509" s="28">
        <f t="shared" si="8"/>
        <v>-7.2591542356484711E-5</v>
      </c>
    </row>
    <row r="510" spans="1:10" ht="15" x14ac:dyDescent="0.25">
      <c r="A510" s="14">
        <v>519</v>
      </c>
      <c r="B510" s="15" t="s">
        <v>457</v>
      </c>
      <c r="C510" s="16" t="s">
        <v>458</v>
      </c>
      <c r="D510" s="17">
        <v>44211</v>
      </c>
      <c r="E510" s="18">
        <v>152</v>
      </c>
      <c r="F510" s="12">
        <f ca="1">IFERROR(__xludf.DUMMYFUNCTION("GOOGLEFINANCE(C510)"),151.7)</f>
        <v>151.69999999999999</v>
      </c>
      <c r="H510" s="12">
        <v>151.69999999999999</v>
      </c>
      <c r="I510" s="13">
        <f t="shared" si="0"/>
        <v>-1.9736842105263904E-3</v>
      </c>
      <c r="J510" s="28">
        <f t="shared" si="8"/>
        <v>-2.9153229862043162E-6</v>
      </c>
    </row>
    <row r="511" spans="1:10" ht="15" x14ac:dyDescent="0.25">
      <c r="A511" s="14">
        <v>520</v>
      </c>
      <c r="B511" s="15" t="s">
        <v>555</v>
      </c>
      <c r="C511" s="16" t="s">
        <v>556</v>
      </c>
      <c r="D511" s="17">
        <v>44211</v>
      </c>
      <c r="E511" s="18">
        <v>12.3</v>
      </c>
      <c r="F511" s="12">
        <f ca="1">IFERROR(__xludf.DUMMYFUNCTION("GOOGLEFINANCE(C511)"),5.29)</f>
        <v>5.29</v>
      </c>
      <c r="H511" s="12">
        <v>5.29</v>
      </c>
      <c r="I511" s="13">
        <f t="shared" si="0"/>
        <v>-0.5699186991869919</v>
      </c>
      <c r="J511" s="28">
        <f t="shared" si="8"/>
        <v>-6.8121380444304946E-5</v>
      </c>
    </row>
    <row r="512" spans="1:10" ht="15" x14ac:dyDescent="0.25">
      <c r="A512" s="14">
        <v>521</v>
      </c>
      <c r="B512" s="15" t="s">
        <v>557</v>
      </c>
      <c r="C512" s="16" t="s">
        <v>558</v>
      </c>
      <c r="D512" s="17">
        <v>44211</v>
      </c>
      <c r="E512" s="18">
        <v>305.95</v>
      </c>
      <c r="F512" s="12">
        <f ca="1">IFERROR(__xludf.DUMMYFUNCTION("GOOGLEFINANCE(C512)"),467.64)</f>
        <v>467.64</v>
      </c>
      <c r="H512" s="12">
        <v>467.64</v>
      </c>
      <c r="I512" s="13">
        <f t="shared" si="0"/>
        <v>0.52848504657623796</v>
      </c>
      <c r="J512" s="28">
        <f t="shared" si="8"/>
        <v>1.5712619121311935E-3</v>
      </c>
    </row>
    <row r="513" spans="1:10" ht="15" x14ac:dyDescent="0.25">
      <c r="A513" s="14">
        <v>522</v>
      </c>
      <c r="B513" s="15" t="s">
        <v>429</v>
      </c>
      <c r="C513" s="16" t="s">
        <v>430</v>
      </c>
      <c r="D513" s="17">
        <v>44211</v>
      </c>
      <c r="E513" s="18">
        <v>408.3</v>
      </c>
      <c r="F513" s="12">
        <f ca="1">IFERROR(__xludf.DUMMYFUNCTION("GOOGLEFINANCE(C513)"),236.46)</f>
        <v>236.46</v>
      </c>
      <c r="H513" s="12">
        <v>236.46</v>
      </c>
      <c r="I513" s="13">
        <f t="shared" si="0"/>
        <v>-0.42086700955180012</v>
      </c>
      <c r="J513" s="28">
        <f t="shared" si="8"/>
        <v>-1.669897006497769E-3</v>
      </c>
    </row>
    <row r="514" spans="1:10" ht="15" x14ac:dyDescent="0.25">
      <c r="A514" s="14">
        <v>523</v>
      </c>
      <c r="B514" s="15" t="s">
        <v>559</v>
      </c>
      <c r="C514" s="16" t="s">
        <v>560</v>
      </c>
      <c r="D514" s="17">
        <v>44211</v>
      </c>
      <c r="E514" s="18">
        <v>157.09</v>
      </c>
      <c r="F514" s="12">
        <f ca="1">IFERROR(__xludf.DUMMYFUNCTION("GOOGLEFINANCE(C514)"),176.8)</f>
        <v>176.8</v>
      </c>
      <c r="H514" s="12">
        <v>176.8</v>
      </c>
      <c r="I514" s="13">
        <f t="shared" si="0"/>
        <v>0.12546947609650524</v>
      </c>
      <c r="J514" s="28">
        <f t="shared" si="8"/>
        <v>1.915367201936164E-4</v>
      </c>
    </row>
    <row r="515" spans="1:10" ht="15" x14ac:dyDescent="0.25">
      <c r="A515" s="14">
        <v>524</v>
      </c>
      <c r="B515" s="15" t="s">
        <v>561</v>
      </c>
      <c r="C515" s="16" t="s">
        <v>562</v>
      </c>
      <c r="D515" s="17">
        <v>44211</v>
      </c>
      <c r="E515" s="18">
        <v>134.78</v>
      </c>
      <c r="F515" s="12">
        <f ca="1">IFERROR(__xludf.DUMMYFUNCTION("GOOGLEFINANCE(C515)"),157.46)</f>
        <v>157.46</v>
      </c>
      <c r="H515" s="12">
        <v>157.46</v>
      </c>
      <c r="I515" s="13">
        <f t="shared" si="0"/>
        <v>0.16827422466241287</v>
      </c>
      <c r="J515" s="28">
        <f t="shared" ref="J515:J578" si="9">(E515/$E$609)*I515</f>
        <v>2.2039841775703801E-4</v>
      </c>
    </row>
    <row r="516" spans="1:10" ht="15" x14ac:dyDescent="0.25">
      <c r="A516" s="14">
        <v>525</v>
      </c>
      <c r="B516" s="15" t="s">
        <v>547</v>
      </c>
      <c r="C516" s="16" t="s">
        <v>548</v>
      </c>
      <c r="D516" s="17">
        <v>44211</v>
      </c>
      <c r="E516" s="18">
        <v>75.239999999999995</v>
      </c>
      <c r="F516" s="12">
        <f ca="1">IFERROR(__xludf.DUMMYFUNCTION("GOOGLEFINANCE(C516)"),97.13)</f>
        <v>97.13</v>
      </c>
      <c r="H516" s="12">
        <v>97.13</v>
      </c>
      <c r="I516" s="13">
        <f t="shared" si="0"/>
        <v>0.29093567251461994</v>
      </c>
      <c r="J516" s="28">
        <f t="shared" si="9"/>
        <v>2.1272140056003355E-4</v>
      </c>
    </row>
    <row r="517" spans="1:10" ht="15" x14ac:dyDescent="0.25">
      <c r="A517" s="14">
        <v>526</v>
      </c>
      <c r="B517" s="15" t="s">
        <v>225</v>
      </c>
      <c r="C517" s="16" t="s">
        <v>226</v>
      </c>
      <c r="D517" s="17">
        <v>44211</v>
      </c>
      <c r="E517" s="18">
        <v>50.77</v>
      </c>
      <c r="F517" s="12">
        <f ca="1">IFERROR(__xludf.DUMMYFUNCTION("GOOGLEFINANCE(C517)"),84.03)</f>
        <v>84.03</v>
      </c>
      <c r="H517" s="12">
        <v>84.03</v>
      </c>
      <c r="I517" s="13">
        <f t="shared" si="0"/>
        <v>0.65511128619263337</v>
      </c>
      <c r="J517" s="28">
        <f t="shared" si="9"/>
        <v>3.2321214173717296E-4</v>
      </c>
    </row>
    <row r="518" spans="1:10" ht="15" x14ac:dyDescent="0.25">
      <c r="A518" s="14">
        <v>527</v>
      </c>
      <c r="B518" s="15" t="s">
        <v>201</v>
      </c>
      <c r="C518" s="16" t="s">
        <v>202</v>
      </c>
      <c r="D518" s="17">
        <v>44211</v>
      </c>
      <c r="E518" s="18">
        <v>14.12</v>
      </c>
      <c r="F518" s="12">
        <f ca="1">IFERROR(__xludf.DUMMYFUNCTION("GOOGLEFINANCE(C518)"),6.25)</f>
        <v>6.25</v>
      </c>
      <c r="H518" s="12">
        <v>6.25</v>
      </c>
      <c r="I518" s="13">
        <f t="shared" si="0"/>
        <v>-0.55736543909348435</v>
      </c>
      <c r="J518" s="28">
        <f t="shared" si="9"/>
        <v>-7.647863967142364E-5</v>
      </c>
    </row>
    <row r="519" spans="1:10" ht="15" x14ac:dyDescent="0.25">
      <c r="A519" s="14">
        <v>528</v>
      </c>
      <c r="B519" s="15" t="s">
        <v>22</v>
      </c>
      <c r="C519" s="16" t="s">
        <v>23</v>
      </c>
      <c r="D519" s="17">
        <v>44211</v>
      </c>
      <c r="E519" s="18">
        <v>301.01</v>
      </c>
      <c r="F519" s="12">
        <f ca="1">IFERROR(__xludf.DUMMYFUNCTION("GOOGLEFINANCE(C519)"),381.8)</f>
        <v>381.8</v>
      </c>
      <c r="H519" s="12">
        <v>381.8</v>
      </c>
      <c r="I519" s="13">
        <f t="shared" si="0"/>
        <v>0.2683963987907379</v>
      </c>
      <c r="J519" s="28">
        <f t="shared" si="9"/>
        <v>7.8509648018479275E-4</v>
      </c>
    </row>
    <row r="520" spans="1:10" ht="15" x14ac:dyDescent="0.25">
      <c r="A520" s="14">
        <v>529</v>
      </c>
      <c r="B520" s="15" t="s">
        <v>140</v>
      </c>
      <c r="C520" s="16" t="s">
        <v>141</v>
      </c>
      <c r="D520" s="17">
        <v>44211</v>
      </c>
      <c r="E520" s="18">
        <v>49.97</v>
      </c>
      <c r="F520" s="12">
        <f ca="1">IFERROR(__xludf.DUMMYFUNCTION("GOOGLEFINANCE(C520)"),55.16)</f>
        <v>55.16</v>
      </c>
      <c r="H520" s="12">
        <v>55.16</v>
      </c>
      <c r="I520" s="13">
        <f t="shared" si="0"/>
        <v>0.10386231739043422</v>
      </c>
      <c r="J520" s="28">
        <f t="shared" si="9"/>
        <v>5.0435087661332736E-5</v>
      </c>
    </row>
    <row r="521" spans="1:10" ht="15" x14ac:dyDescent="0.25">
      <c r="A521" s="14">
        <v>530</v>
      </c>
      <c r="B521" s="15" t="s">
        <v>142</v>
      </c>
      <c r="C521" s="16" t="s">
        <v>143</v>
      </c>
      <c r="D521" s="17">
        <v>44211</v>
      </c>
      <c r="E521" s="18">
        <v>9.83</v>
      </c>
      <c r="F521" s="12">
        <f ca="1">IFERROR(__xludf.DUMMYFUNCTION("GOOGLEFINANCE(C521)"),19.77)</f>
        <v>19.77</v>
      </c>
      <c r="H521" s="12">
        <v>19.77</v>
      </c>
      <c r="I521" s="13">
        <f t="shared" si="0"/>
        <v>1.0111902339776195</v>
      </c>
      <c r="J521" s="28">
        <f t="shared" si="9"/>
        <v>9.6594368276232674E-5</v>
      </c>
    </row>
    <row r="522" spans="1:10" ht="15" x14ac:dyDescent="0.25">
      <c r="A522" s="14">
        <v>531</v>
      </c>
      <c r="B522" s="15" t="s">
        <v>231</v>
      </c>
      <c r="C522" s="16" t="s">
        <v>232</v>
      </c>
      <c r="D522" s="17">
        <v>44211</v>
      </c>
      <c r="E522" s="18">
        <v>93.42</v>
      </c>
      <c r="F522" s="12">
        <f ca="1">IFERROR(__xludf.DUMMYFUNCTION("GOOGLEFINANCE(C522)"),35.72)</f>
        <v>35.72</v>
      </c>
      <c r="H522" s="12">
        <v>35.72</v>
      </c>
      <c r="I522" s="13">
        <f t="shared" si="0"/>
        <v>-0.61764076214943264</v>
      </c>
      <c r="J522" s="28">
        <f t="shared" si="9"/>
        <v>-5.6071378767994222E-4</v>
      </c>
    </row>
    <row r="523" spans="1:10" ht="15" x14ac:dyDescent="0.25">
      <c r="A523" s="14">
        <v>532</v>
      </c>
      <c r="B523" s="15" t="s">
        <v>144</v>
      </c>
      <c r="C523" s="16" t="s">
        <v>145</v>
      </c>
      <c r="D523" s="17">
        <v>44211</v>
      </c>
      <c r="E523" s="18">
        <v>157.25</v>
      </c>
      <c r="F523" s="12">
        <f ca="1">IFERROR(__xludf.DUMMYFUNCTION("GOOGLEFINANCE(C523)"),201.34)</f>
        <v>201.34</v>
      </c>
      <c r="H523" s="12">
        <v>201.34</v>
      </c>
      <c r="I523" s="13">
        <f t="shared" si="0"/>
        <v>0.28038155802861686</v>
      </c>
      <c r="J523" s="28">
        <f t="shared" si="9"/>
        <v>4.2845530153914473E-4</v>
      </c>
    </row>
    <row r="524" spans="1:10" ht="15" x14ac:dyDescent="0.25">
      <c r="A524" s="14">
        <v>533</v>
      </c>
      <c r="B524" s="15" t="s">
        <v>86</v>
      </c>
      <c r="C524" s="16" t="s">
        <v>87</v>
      </c>
      <c r="D524" s="17">
        <v>44211</v>
      </c>
      <c r="E524" s="18">
        <v>204.32</v>
      </c>
      <c r="F524" s="12">
        <f ca="1">IFERROR(__xludf.DUMMYFUNCTION("GOOGLEFINANCE(C524)"),192.63)</f>
        <v>192.63</v>
      </c>
      <c r="H524" s="12">
        <v>192.63</v>
      </c>
      <c r="I524" s="13">
        <f t="shared" si="0"/>
        <v>-5.721417384494909E-2</v>
      </c>
      <c r="J524" s="28">
        <f t="shared" si="9"/>
        <v>-1.1360041902909052E-4</v>
      </c>
    </row>
    <row r="525" spans="1:10" ht="15" x14ac:dyDescent="0.25">
      <c r="A525" s="14">
        <v>534</v>
      </c>
      <c r="B525" s="15" t="s">
        <v>52</v>
      </c>
      <c r="C525" s="16" t="s">
        <v>53</v>
      </c>
      <c r="D525" s="17">
        <v>44211</v>
      </c>
      <c r="E525" s="18">
        <v>127.14</v>
      </c>
      <c r="F525" s="12">
        <f ca="1">IFERROR(__xludf.DUMMYFUNCTION("GOOGLEFINANCE(C525)"),171.14)</f>
        <v>171.14</v>
      </c>
      <c r="H525" s="12">
        <v>171.14</v>
      </c>
      <c r="I525" s="13">
        <f t="shared" si="0"/>
        <v>0.34607519270095943</v>
      </c>
      <c r="J525" s="28">
        <f t="shared" si="9"/>
        <v>4.2758070464328333E-4</v>
      </c>
    </row>
    <row r="526" spans="1:10" ht="15" x14ac:dyDescent="0.25">
      <c r="A526" s="14">
        <v>535</v>
      </c>
      <c r="B526" s="15" t="s">
        <v>245</v>
      </c>
      <c r="C526" s="16" t="s">
        <v>246</v>
      </c>
      <c r="D526" s="17">
        <v>44210</v>
      </c>
      <c r="E526" s="18">
        <v>41.39</v>
      </c>
      <c r="F526" s="12">
        <f ca="1">IFERROR(__xludf.DUMMYFUNCTION("GOOGLEFINANCE(C526)"),83.7)</f>
        <v>83.7</v>
      </c>
      <c r="H526" s="12">
        <v>83.7</v>
      </c>
      <c r="I526" s="13">
        <f t="shared" si="0"/>
        <v>1.0222275912056054</v>
      </c>
      <c r="J526" s="28">
        <f t="shared" si="9"/>
        <v>4.1115771848766655E-4</v>
      </c>
    </row>
    <row r="527" spans="1:10" ht="15" x14ac:dyDescent="0.25">
      <c r="A527" s="14">
        <v>536</v>
      </c>
      <c r="B527" s="15" t="s">
        <v>563</v>
      </c>
      <c r="C527" s="16" t="s">
        <v>564</v>
      </c>
      <c r="D527" s="17">
        <v>44210</v>
      </c>
      <c r="E527" s="18">
        <v>22</v>
      </c>
      <c r="F527" s="12">
        <f ca="1">IFERROR(__xludf.DUMMYFUNCTION("GOOGLEFINANCE(C527)"),4.01)</f>
        <v>4.01</v>
      </c>
      <c r="H527" s="12">
        <v>4.01</v>
      </c>
      <c r="I527" s="13">
        <f t="shared" si="0"/>
        <v>-0.81772727272727286</v>
      </c>
      <c r="J527" s="28">
        <f t="shared" si="9"/>
        <v>-1.7482220173937891E-4</v>
      </c>
    </row>
    <row r="528" spans="1:10" ht="15" x14ac:dyDescent="0.25">
      <c r="A528" s="14">
        <v>537</v>
      </c>
      <c r="B528" s="15" t="s">
        <v>249</v>
      </c>
      <c r="C528" s="16" t="s">
        <v>250</v>
      </c>
      <c r="D528" s="17">
        <v>44210</v>
      </c>
      <c r="E528" s="18">
        <v>66.540000000000006</v>
      </c>
      <c r="F528" s="12">
        <f ca="1">IFERROR(__xludf.DUMMYFUNCTION("GOOGLEFINANCE(C528)"),29.75)</f>
        <v>29.75</v>
      </c>
      <c r="H528" s="12">
        <v>29.75</v>
      </c>
      <c r="I528" s="13">
        <f t="shared" si="0"/>
        <v>-0.55290051097084469</v>
      </c>
      <c r="J528" s="28">
        <f t="shared" si="9"/>
        <v>-3.5751577554150919E-4</v>
      </c>
    </row>
    <row r="529" spans="1:10" ht="15" x14ac:dyDescent="0.25">
      <c r="A529" s="14">
        <v>538</v>
      </c>
      <c r="B529" s="15" t="s">
        <v>491</v>
      </c>
      <c r="C529" s="16" t="s">
        <v>492</v>
      </c>
      <c r="D529" s="17">
        <v>44210</v>
      </c>
      <c r="E529" s="18">
        <v>141.76</v>
      </c>
      <c r="F529" s="12">
        <f ca="1">IFERROR(__xludf.DUMMYFUNCTION("GOOGLEFINANCE(C529)"),168.3)</f>
        <v>168.3</v>
      </c>
      <c r="H529" s="12">
        <v>168.3</v>
      </c>
      <c r="I529" s="13">
        <f t="shared" si="0"/>
        <v>0.18721783295711075</v>
      </c>
      <c r="J529" s="28">
        <f t="shared" si="9"/>
        <v>2.5790890684619888E-4</v>
      </c>
    </row>
    <row r="530" spans="1:10" ht="15" x14ac:dyDescent="0.25">
      <c r="A530" s="14">
        <v>540</v>
      </c>
      <c r="B530" s="15" t="s">
        <v>78</v>
      </c>
      <c r="C530" s="16" t="s">
        <v>79</v>
      </c>
      <c r="D530" s="17">
        <v>44210</v>
      </c>
      <c r="E530" s="18">
        <v>208.61</v>
      </c>
      <c r="F530" s="12">
        <f ca="1">IFERROR(__xludf.DUMMYFUNCTION("GOOGLEFINANCE(C530)"),205.17)</f>
        <v>205.17</v>
      </c>
      <c r="H530" s="12">
        <v>205.17</v>
      </c>
      <c r="I530" s="13">
        <f t="shared" si="0"/>
        <v>-1.6490101145678664E-2</v>
      </c>
      <c r="J530" s="28">
        <f t="shared" si="9"/>
        <v>-3.3429036908475145E-5</v>
      </c>
    </row>
    <row r="531" spans="1:10" ht="15" x14ac:dyDescent="0.25">
      <c r="A531" s="14">
        <v>541</v>
      </c>
      <c r="B531" s="15" t="s">
        <v>82</v>
      </c>
      <c r="C531" s="16" t="s">
        <v>83</v>
      </c>
      <c r="D531" s="17">
        <v>44210</v>
      </c>
      <c r="E531" s="18">
        <v>45.15</v>
      </c>
      <c r="F531" s="12">
        <f ca="1">IFERROR(__xludf.DUMMYFUNCTION("GOOGLEFINANCE(C531)"),60.46)</f>
        <v>60.46</v>
      </c>
      <c r="H531" s="12">
        <v>60.46</v>
      </c>
      <c r="I531" s="13">
        <f t="shared" si="0"/>
        <v>0.33909191583610193</v>
      </c>
      <c r="J531" s="28">
        <f t="shared" si="9"/>
        <v>1.4877864972928797E-4</v>
      </c>
    </row>
    <row r="532" spans="1:10" ht="15" x14ac:dyDescent="0.25">
      <c r="A532" s="14">
        <v>542</v>
      </c>
      <c r="B532" s="15" t="s">
        <v>351</v>
      </c>
      <c r="C532" s="16" t="s">
        <v>352</v>
      </c>
      <c r="D532" s="17">
        <v>44210</v>
      </c>
      <c r="E532" s="18">
        <v>215.6</v>
      </c>
      <c r="F532" s="12">
        <f ca="1">IFERROR(__xludf.DUMMYFUNCTION("GOOGLEFINANCE(C532)"),252.93)</f>
        <v>252.93</v>
      </c>
      <c r="H532" s="12">
        <v>252.93</v>
      </c>
      <c r="I532" s="13">
        <f t="shared" si="0"/>
        <v>0.17314471243042678</v>
      </c>
      <c r="J532" s="28">
        <f t="shared" si="9"/>
        <v>3.6276335691667677E-4</v>
      </c>
    </row>
    <row r="533" spans="1:10" ht="15" x14ac:dyDescent="0.25">
      <c r="A533" s="14">
        <v>543</v>
      </c>
      <c r="B533" s="15" t="s">
        <v>427</v>
      </c>
      <c r="C533" s="16" t="s">
        <v>428</v>
      </c>
      <c r="D533" s="17">
        <v>44209</v>
      </c>
      <c r="E533" s="18">
        <v>161.94999999999999</v>
      </c>
      <c r="F533" s="12">
        <f ca="1">IFERROR(__xludf.DUMMYFUNCTION("GOOGLEFINANCE(C533)"),234.31)</f>
        <v>234.31</v>
      </c>
      <c r="H533" s="12">
        <v>234.31</v>
      </c>
      <c r="I533" s="13">
        <f t="shared" si="0"/>
        <v>0.44680456931151602</v>
      </c>
      <c r="J533" s="28">
        <f t="shared" si="9"/>
        <v>7.0317590427245455E-4</v>
      </c>
    </row>
    <row r="534" spans="1:10" ht="15" x14ac:dyDescent="0.25">
      <c r="A534" s="14">
        <v>544</v>
      </c>
      <c r="B534" s="15" t="s">
        <v>565</v>
      </c>
      <c r="C534" s="16" t="s">
        <v>566</v>
      </c>
      <c r="D534" s="17">
        <v>44209</v>
      </c>
      <c r="E534" s="18">
        <v>53.09</v>
      </c>
      <c r="F534" s="12">
        <f ca="1">IFERROR(__xludf.DUMMYFUNCTION("GOOGLEFINANCE(C534)"),18.24)</f>
        <v>18.239999999999998</v>
      </c>
      <c r="H534" s="12">
        <v>18.239999999999998</v>
      </c>
      <c r="I534" s="13">
        <f t="shared" si="0"/>
        <v>-0.65643247315878706</v>
      </c>
      <c r="J534" s="28">
        <f t="shared" si="9"/>
        <v>-3.3866335356405532E-4</v>
      </c>
    </row>
    <row r="535" spans="1:10" ht="15" x14ac:dyDescent="0.25">
      <c r="A535" s="14">
        <v>545</v>
      </c>
      <c r="B535" s="15" t="s">
        <v>249</v>
      </c>
      <c r="C535" s="16" t="s">
        <v>250</v>
      </c>
      <c r="D535" s="17">
        <v>44209</v>
      </c>
      <c r="E535" s="18">
        <v>69.5</v>
      </c>
      <c r="F535" s="12">
        <f ca="1">IFERROR(__xludf.DUMMYFUNCTION("GOOGLEFINANCE(C535)"),29.75)</f>
        <v>29.75</v>
      </c>
      <c r="H535" s="12">
        <v>29.75</v>
      </c>
      <c r="I535" s="13">
        <f t="shared" si="0"/>
        <v>-0.57194244604316546</v>
      </c>
      <c r="J535" s="28">
        <f t="shared" si="9"/>
        <v>-3.8628029567205728E-4</v>
      </c>
    </row>
    <row r="536" spans="1:10" ht="15" x14ac:dyDescent="0.25">
      <c r="A536" s="14">
        <v>546</v>
      </c>
      <c r="B536" s="15" t="s">
        <v>287</v>
      </c>
      <c r="C536" s="16" t="s">
        <v>288</v>
      </c>
      <c r="D536" s="17">
        <v>44209</v>
      </c>
      <c r="E536" s="18">
        <v>124.06</v>
      </c>
      <c r="F536" s="12">
        <f ca="1">IFERROR(__xludf.DUMMYFUNCTION("GOOGLEFINANCE(C536)"),294.8)</f>
        <v>294.8</v>
      </c>
      <c r="H536" s="12">
        <v>294.8</v>
      </c>
      <c r="I536" s="13">
        <f t="shared" si="0"/>
        <v>1.3762695469933903</v>
      </c>
      <c r="J536" s="28">
        <f t="shared" si="9"/>
        <v>1.6592074888816871E-3</v>
      </c>
    </row>
    <row r="537" spans="1:10" ht="15" x14ac:dyDescent="0.25">
      <c r="A537" s="14">
        <v>547</v>
      </c>
      <c r="B537" s="15" t="s">
        <v>567</v>
      </c>
      <c r="C537" s="16" t="s">
        <v>568</v>
      </c>
      <c r="D537" s="17">
        <v>44209</v>
      </c>
      <c r="E537" s="18">
        <v>15.31</v>
      </c>
      <c r="F537" s="12">
        <f ca="1">IFERROR(__xludf.DUMMYFUNCTION("GOOGLEFINANCE(C537)"),15.6)</f>
        <v>15.6</v>
      </c>
      <c r="H537" s="12">
        <v>15.6</v>
      </c>
      <c r="I537" s="13">
        <f t="shared" si="0"/>
        <v>1.8941868060091387E-2</v>
      </c>
      <c r="J537" s="28">
        <f t="shared" si="9"/>
        <v>2.8181455533307237E-6</v>
      </c>
    </row>
    <row r="538" spans="1:10" ht="15" x14ac:dyDescent="0.25">
      <c r="A538" s="14">
        <v>548</v>
      </c>
      <c r="B538" s="15" t="s">
        <v>82</v>
      </c>
      <c r="C538" s="16" t="s">
        <v>83</v>
      </c>
      <c r="D538" s="17">
        <v>44209</v>
      </c>
      <c r="E538" s="18">
        <v>45.36</v>
      </c>
      <c r="F538" s="12">
        <f ca="1">IFERROR(__xludf.DUMMYFUNCTION("GOOGLEFINANCE(C538)"),60.46)</f>
        <v>60.46</v>
      </c>
      <c r="H538" s="12">
        <v>60.46</v>
      </c>
      <c r="I538" s="13">
        <f t="shared" si="0"/>
        <v>0.33289241622574961</v>
      </c>
      <c r="J538" s="28">
        <f t="shared" si="9"/>
        <v>1.4673792363894503E-4</v>
      </c>
    </row>
    <row r="539" spans="1:10" ht="15" x14ac:dyDescent="0.25">
      <c r="A539" s="14">
        <v>550</v>
      </c>
      <c r="B539" s="15" t="s">
        <v>301</v>
      </c>
      <c r="C539" s="16" t="s">
        <v>302</v>
      </c>
      <c r="D539" s="17">
        <v>44209</v>
      </c>
      <c r="E539" s="18">
        <v>91.78</v>
      </c>
      <c r="F539" s="12">
        <f ca="1">IFERROR(__xludf.DUMMYFUNCTION("GOOGLEFINANCE(C539)"),137.75)</f>
        <v>137.75</v>
      </c>
      <c r="H539" s="12">
        <v>137.75</v>
      </c>
      <c r="I539" s="13">
        <f t="shared" si="0"/>
        <v>0.50087164959686203</v>
      </c>
      <c r="J539" s="28">
        <f t="shared" si="9"/>
        <v>4.4672465891935778E-4</v>
      </c>
    </row>
    <row r="540" spans="1:10" ht="15" x14ac:dyDescent="0.25">
      <c r="A540" s="14">
        <v>551</v>
      </c>
      <c r="B540" s="15" t="s">
        <v>569</v>
      </c>
      <c r="C540" s="16" t="s">
        <v>570</v>
      </c>
      <c r="D540" s="17">
        <v>44208</v>
      </c>
      <c r="E540" s="18">
        <v>33.24</v>
      </c>
      <c r="F540" s="12">
        <f ca="1">IFERROR(__xludf.DUMMYFUNCTION("GOOGLEFINANCE(C540)"),21.04)</f>
        <v>21.04</v>
      </c>
      <c r="H540" s="12">
        <v>21.04</v>
      </c>
      <c r="I540" s="13">
        <f t="shared" si="0"/>
        <v>-0.36702767749699167</v>
      </c>
      <c r="J540" s="28">
        <f t="shared" si="9"/>
        <v>-1.1855646810563774E-4</v>
      </c>
    </row>
    <row r="541" spans="1:10" ht="15" x14ac:dyDescent="0.25">
      <c r="A541" s="14">
        <v>552</v>
      </c>
      <c r="B541" s="15" t="s">
        <v>571</v>
      </c>
      <c r="C541" s="16" t="s">
        <v>572</v>
      </c>
      <c r="D541" s="17">
        <v>44208</v>
      </c>
      <c r="E541" s="18">
        <v>514.24</v>
      </c>
      <c r="F541" s="12">
        <f ca="1">IFERROR(__xludf.DUMMYFUNCTION("GOOGLEFINANCE(C541)"),571.58)</f>
        <v>571.58000000000004</v>
      </c>
      <c r="H541" s="12">
        <v>571.58000000000004</v>
      </c>
      <c r="I541" s="13">
        <f t="shared" si="0"/>
        <v>0.11150435594275053</v>
      </c>
      <c r="J541" s="28">
        <f t="shared" si="9"/>
        <v>5.572154000964975E-4</v>
      </c>
    </row>
    <row r="542" spans="1:10" ht="15" x14ac:dyDescent="0.25">
      <c r="A542" s="14">
        <v>553</v>
      </c>
      <c r="B542" s="15" t="s">
        <v>573</v>
      </c>
      <c r="C542" s="16" t="s">
        <v>574</v>
      </c>
      <c r="D542" s="17">
        <v>44208</v>
      </c>
      <c r="E542" s="18">
        <v>117.29</v>
      </c>
      <c r="F542" s="12">
        <f ca="1">IFERROR(__xludf.DUMMYFUNCTION("GOOGLEFINANCE(C542)"),100.63)</f>
        <v>100.63</v>
      </c>
      <c r="H542" s="12">
        <v>100.63</v>
      </c>
      <c r="I542" s="13">
        <f t="shared" si="0"/>
        <v>-0.14204109472248283</v>
      </c>
      <c r="J542" s="28">
        <f t="shared" si="9"/>
        <v>-1.61897603167207E-4</v>
      </c>
    </row>
    <row r="543" spans="1:10" ht="15" x14ac:dyDescent="0.25">
      <c r="A543" s="14">
        <v>554</v>
      </c>
      <c r="B543" s="15" t="s">
        <v>413</v>
      </c>
      <c r="C543" s="16" t="s">
        <v>414</v>
      </c>
      <c r="D543" s="17">
        <v>44208</v>
      </c>
      <c r="E543" s="18">
        <v>178.8</v>
      </c>
      <c r="F543" s="12">
        <f ca="1">IFERROR(__xludf.DUMMYFUNCTION("GOOGLEFINANCE(C543)"),267.42)</f>
        <v>267.42</v>
      </c>
      <c r="H543" s="12">
        <v>267.42</v>
      </c>
      <c r="I543" s="13">
        <f t="shared" si="0"/>
        <v>0.49563758389261742</v>
      </c>
      <c r="J543" s="28">
        <f t="shared" si="9"/>
        <v>8.6118641012472227E-4</v>
      </c>
    </row>
    <row r="544" spans="1:10" ht="15" x14ac:dyDescent="0.25">
      <c r="A544" s="14">
        <v>555</v>
      </c>
      <c r="B544" s="15" t="s">
        <v>575</v>
      </c>
      <c r="C544" s="16" t="s">
        <v>576</v>
      </c>
      <c r="D544" s="17">
        <v>44208</v>
      </c>
      <c r="E544" s="18">
        <v>20.75</v>
      </c>
      <c r="F544" s="12">
        <f ca="1">IFERROR(__xludf.DUMMYFUNCTION("GOOGLEFINANCE(C544)"),15.35)</f>
        <v>15.35</v>
      </c>
      <c r="H544" s="12">
        <v>15.35</v>
      </c>
      <c r="I544" s="13">
        <f t="shared" si="0"/>
        <v>-0.26024096385542173</v>
      </c>
      <c r="J544" s="28">
        <f t="shared" si="9"/>
        <v>-5.2475813751675712E-5</v>
      </c>
    </row>
    <row r="545" spans="1:10" ht="15" x14ac:dyDescent="0.25">
      <c r="A545" s="14">
        <v>556</v>
      </c>
      <c r="B545" s="15" t="s">
        <v>140</v>
      </c>
      <c r="C545" s="16" t="s">
        <v>141</v>
      </c>
      <c r="D545" s="17">
        <v>44208</v>
      </c>
      <c r="E545" s="18">
        <v>47.82</v>
      </c>
      <c r="F545" s="12">
        <f ca="1">IFERROR(__xludf.DUMMYFUNCTION("GOOGLEFINANCE(C545)"),55.16)</f>
        <v>55.16</v>
      </c>
      <c r="H545" s="12">
        <v>55.16</v>
      </c>
      <c r="I545" s="13">
        <f t="shared" si="0"/>
        <v>0.15349226265161012</v>
      </c>
      <c r="J545" s="28">
        <f t="shared" si="9"/>
        <v>7.1328235729129527E-5</v>
      </c>
    </row>
    <row r="546" spans="1:10" ht="15" x14ac:dyDescent="0.25">
      <c r="A546" s="14">
        <v>557</v>
      </c>
      <c r="B546" s="15" t="s">
        <v>142</v>
      </c>
      <c r="C546" s="16" t="s">
        <v>143</v>
      </c>
      <c r="D546" s="17">
        <v>44208</v>
      </c>
      <c r="E546" s="18">
        <v>9.7799999999999994</v>
      </c>
      <c r="F546" s="12">
        <f ca="1">IFERROR(__xludf.DUMMYFUNCTION("GOOGLEFINANCE(C546)"),19.77)</f>
        <v>19.77</v>
      </c>
      <c r="H546" s="12">
        <v>19.77</v>
      </c>
      <c r="I546" s="13">
        <f t="shared" si="0"/>
        <v>1.0214723926380369</v>
      </c>
      <c r="J546" s="28">
        <f t="shared" si="9"/>
        <v>9.708025544060004E-5</v>
      </c>
    </row>
    <row r="547" spans="1:10" ht="15" x14ac:dyDescent="0.25">
      <c r="A547" s="14">
        <v>558</v>
      </c>
      <c r="B547" s="15" t="s">
        <v>52</v>
      </c>
      <c r="C547" s="16" t="s">
        <v>53</v>
      </c>
      <c r="D547" s="17">
        <v>44208</v>
      </c>
      <c r="E547" s="18">
        <v>128.80000000000001</v>
      </c>
      <c r="F547" s="12">
        <f ca="1">IFERROR(__xludf.DUMMYFUNCTION("GOOGLEFINANCE(C547)"),171.14)</f>
        <v>171.14</v>
      </c>
      <c r="H547" s="12">
        <v>171.14</v>
      </c>
      <c r="I547" s="13">
        <f t="shared" si="0"/>
        <v>0.32872670807453391</v>
      </c>
      <c r="J547" s="28">
        <f t="shared" si="9"/>
        <v>4.1144925078628663E-4</v>
      </c>
    </row>
    <row r="548" spans="1:10" ht="15" x14ac:dyDescent="0.25">
      <c r="A548" s="14">
        <v>559</v>
      </c>
      <c r="B548" s="15" t="s">
        <v>577</v>
      </c>
      <c r="C548" s="16" t="s">
        <v>578</v>
      </c>
      <c r="D548" s="17">
        <v>44207</v>
      </c>
      <c r="E548" s="18">
        <v>54.59</v>
      </c>
      <c r="F548" s="12">
        <f ca="1">IFERROR(__xludf.DUMMYFUNCTION("GOOGLEFINANCE(C548)"),39.68)</f>
        <v>39.68</v>
      </c>
      <c r="H548" s="12">
        <v>39.68</v>
      </c>
      <c r="I548" s="13">
        <f t="shared" si="0"/>
        <v>-0.27312694632716622</v>
      </c>
      <c r="J548" s="28">
        <f t="shared" si="9"/>
        <v>-1.4489155241434907E-4</v>
      </c>
    </row>
    <row r="549" spans="1:10" ht="15" x14ac:dyDescent="0.25">
      <c r="A549" s="14">
        <v>560</v>
      </c>
      <c r="B549" s="15" t="s">
        <v>156</v>
      </c>
      <c r="C549" s="16" t="s">
        <v>157</v>
      </c>
      <c r="D549" s="17">
        <v>44207</v>
      </c>
      <c r="E549" s="18">
        <v>811.19</v>
      </c>
      <c r="F549" s="12">
        <f ca="1">IFERROR(__xludf.DUMMYFUNCTION("GOOGLEFINANCE(C549)"),932.57)</f>
        <v>932.57</v>
      </c>
      <c r="H549" s="12">
        <v>932.57</v>
      </c>
      <c r="I549" s="13">
        <f t="shared" si="0"/>
        <v>0.1496320220910021</v>
      </c>
      <c r="J549" s="28">
        <f t="shared" si="9"/>
        <v>1.1795396802182217E-3</v>
      </c>
    </row>
    <row r="550" spans="1:10" ht="15" x14ac:dyDescent="0.25">
      <c r="A550" s="14">
        <v>561</v>
      </c>
      <c r="B550" s="15" t="s">
        <v>68</v>
      </c>
      <c r="C550" s="16" t="s">
        <v>69</v>
      </c>
      <c r="D550" s="17">
        <v>44207</v>
      </c>
      <c r="E550" s="18">
        <v>104.6</v>
      </c>
      <c r="F550" s="12">
        <f ca="1">IFERROR(__xludf.DUMMYFUNCTION("GOOGLEFINANCE(C550)"),108.63)</f>
        <v>108.63</v>
      </c>
      <c r="H550" s="12">
        <v>108.63</v>
      </c>
      <c r="I550" s="13">
        <f t="shared" si="0"/>
        <v>3.8527724665391984E-2</v>
      </c>
      <c r="J550" s="28">
        <f t="shared" si="9"/>
        <v>3.9162505448009844E-5</v>
      </c>
    </row>
    <row r="551" spans="1:10" ht="15" x14ac:dyDescent="0.25">
      <c r="A551" s="14">
        <v>562</v>
      </c>
      <c r="B551" s="15" t="s">
        <v>573</v>
      </c>
      <c r="C551" s="16" t="s">
        <v>574</v>
      </c>
      <c r="D551" s="17">
        <v>44207</v>
      </c>
      <c r="E551" s="18">
        <v>118.5</v>
      </c>
      <c r="F551" s="12">
        <f ca="1">IFERROR(__xludf.DUMMYFUNCTION("GOOGLEFINANCE(C551)"),100.63)</f>
        <v>100.63</v>
      </c>
      <c r="H551" s="12">
        <v>100.63</v>
      </c>
      <c r="I551" s="13">
        <f t="shared" si="0"/>
        <v>-0.15080168776371311</v>
      </c>
      <c r="J551" s="28">
        <f t="shared" si="9"/>
        <v>-1.7365607254489723E-4</v>
      </c>
    </row>
    <row r="552" spans="1:10" ht="15" x14ac:dyDescent="0.25">
      <c r="A552" s="14">
        <v>563</v>
      </c>
      <c r="B552" s="15" t="s">
        <v>114</v>
      </c>
      <c r="C552" s="16" t="s">
        <v>115</v>
      </c>
      <c r="D552" s="17">
        <v>44207</v>
      </c>
      <c r="E552" s="18">
        <v>166.32</v>
      </c>
      <c r="F552" s="12">
        <f ca="1">IFERROR(__xludf.DUMMYFUNCTION("GOOGLEFINANCE(C552)"),248.09)</f>
        <v>248.09</v>
      </c>
      <c r="H552" s="12">
        <v>248.09</v>
      </c>
      <c r="I552" s="13">
        <f t="shared" si="0"/>
        <v>0.49164261664261671</v>
      </c>
      <c r="J552" s="28">
        <f t="shared" si="9"/>
        <v>7.9461986860639307E-4</v>
      </c>
    </row>
    <row r="553" spans="1:10" ht="15" x14ac:dyDescent="0.25">
      <c r="A553" s="14">
        <v>564</v>
      </c>
      <c r="B553" s="15" t="s">
        <v>118</v>
      </c>
      <c r="C553" s="16" t="s">
        <v>119</v>
      </c>
      <c r="D553" s="17">
        <v>44207</v>
      </c>
      <c r="E553" s="18">
        <v>271.23</v>
      </c>
      <c r="F553" s="12">
        <f ca="1">IFERROR(__xludf.DUMMYFUNCTION("GOOGLEFINANCE(C553)"),387.98)</f>
        <v>387.98</v>
      </c>
      <c r="H553" s="12">
        <v>387.98</v>
      </c>
      <c r="I553" s="13">
        <f t="shared" si="0"/>
        <v>0.43044648453342177</v>
      </c>
      <c r="J553" s="28">
        <f t="shared" si="9"/>
        <v>1.1345465287978032E-3</v>
      </c>
    </row>
    <row r="554" spans="1:10" ht="15" x14ac:dyDescent="0.25">
      <c r="A554" s="14">
        <v>565</v>
      </c>
      <c r="B554" s="15" t="s">
        <v>579</v>
      </c>
      <c r="C554" s="16" t="s">
        <v>580</v>
      </c>
      <c r="D554" s="17">
        <v>44207</v>
      </c>
      <c r="E554" s="18">
        <v>11.45</v>
      </c>
      <c r="F554" s="12">
        <f ca="1">IFERROR(__xludf.DUMMYFUNCTION("GOOGLEFINANCE(C554)"),91.45)</f>
        <v>91.45</v>
      </c>
      <c r="H554" s="12">
        <v>91.45</v>
      </c>
      <c r="I554" s="13">
        <f t="shared" si="0"/>
        <v>6.9868995633187776</v>
      </c>
      <c r="J554" s="28">
        <f t="shared" si="9"/>
        <v>7.7741946298778809E-4</v>
      </c>
    </row>
    <row r="555" spans="1:10" ht="15" x14ac:dyDescent="0.25">
      <c r="A555" s="14">
        <v>566</v>
      </c>
      <c r="B555" s="15" t="s">
        <v>142</v>
      </c>
      <c r="C555" s="16" t="s">
        <v>143</v>
      </c>
      <c r="D555" s="17">
        <v>44207</v>
      </c>
      <c r="E555" s="18">
        <v>9.3000000000000007</v>
      </c>
      <c r="F555" s="12">
        <f ca="1">IFERROR(__xludf.DUMMYFUNCTION("GOOGLEFINANCE(C555)"),19.77)</f>
        <v>19.77</v>
      </c>
      <c r="H555" s="12">
        <v>19.77</v>
      </c>
      <c r="I555" s="13">
        <f t="shared" si="0"/>
        <v>1.1258064516129029</v>
      </c>
      <c r="J555" s="28">
        <f t="shared" si="9"/>
        <v>1.0174477221852676E-4</v>
      </c>
    </row>
    <row r="556" spans="1:10" ht="15" x14ac:dyDescent="0.25">
      <c r="A556" s="14">
        <v>567</v>
      </c>
      <c r="B556" s="15" t="s">
        <v>327</v>
      </c>
      <c r="C556" s="16" t="s">
        <v>328</v>
      </c>
      <c r="D556" s="17">
        <v>44207</v>
      </c>
      <c r="E556" s="18">
        <v>98.89</v>
      </c>
      <c r="F556" s="12">
        <f ca="1">IFERROR(__xludf.DUMMYFUNCTION("GOOGLEFINANCE(C556)"),45.04)</f>
        <v>45.04</v>
      </c>
      <c r="H556" s="12">
        <v>45.04</v>
      </c>
      <c r="I556" s="13">
        <f t="shared" si="0"/>
        <v>-0.5445444433208616</v>
      </c>
      <c r="J556" s="28">
        <f t="shared" si="9"/>
        <v>-5.2330047602365494E-4</v>
      </c>
    </row>
    <row r="557" spans="1:10" ht="15" x14ac:dyDescent="0.25">
      <c r="A557" s="14">
        <v>568</v>
      </c>
      <c r="B557" s="15" t="s">
        <v>581</v>
      </c>
      <c r="C557" s="16" t="s">
        <v>582</v>
      </c>
      <c r="D557" s="17">
        <v>44207</v>
      </c>
      <c r="E557" s="18">
        <v>64.97</v>
      </c>
      <c r="F557" s="12">
        <f ca="1">IFERROR(__xludf.DUMMYFUNCTION("GOOGLEFINANCE(C557)"),61.56)</f>
        <v>61.56</v>
      </c>
      <c r="H557" s="12">
        <v>61.56</v>
      </c>
      <c r="I557" s="13">
        <f t="shared" si="0"/>
        <v>-5.2485762659689038E-2</v>
      </c>
      <c r="J557" s="28">
        <f t="shared" si="9"/>
        <v>-3.3137504609854442E-5</v>
      </c>
    </row>
    <row r="558" spans="1:10" ht="15" x14ac:dyDescent="0.25">
      <c r="A558" s="14">
        <v>569</v>
      </c>
      <c r="B558" s="15" t="s">
        <v>583</v>
      </c>
      <c r="C558" s="16" t="s">
        <v>584</v>
      </c>
      <c r="D558" s="17">
        <v>44207</v>
      </c>
      <c r="E558" s="18">
        <v>50.4</v>
      </c>
      <c r="F558" s="12">
        <f ca="1">IFERROR(__xludf.DUMMYFUNCTION("GOOGLEFINANCE(C558)"),10.62)</f>
        <v>10.62</v>
      </c>
      <c r="H558" s="12">
        <v>10.62</v>
      </c>
      <c r="I558" s="13">
        <f t="shared" si="0"/>
        <v>-0.78928571428571437</v>
      </c>
      <c r="J558" s="28">
        <f t="shared" si="9"/>
        <v>-3.8657182797067775E-4</v>
      </c>
    </row>
    <row r="559" spans="1:10" ht="15" x14ac:dyDescent="0.25">
      <c r="A559" s="14">
        <v>570</v>
      </c>
      <c r="B559" s="15" t="s">
        <v>585</v>
      </c>
      <c r="C559" s="16" t="s">
        <v>586</v>
      </c>
      <c r="D559" s="17">
        <v>44207</v>
      </c>
      <c r="E559" s="18">
        <v>110.78</v>
      </c>
      <c r="F559" s="12">
        <f ca="1">IFERROR(__xludf.DUMMYFUNCTION("GOOGLEFINANCE(C559)"),100.03)</f>
        <v>100.03</v>
      </c>
      <c r="H559" s="12">
        <v>100.03</v>
      </c>
      <c r="I559" s="13">
        <f t="shared" si="0"/>
        <v>-9.7039176746705175E-2</v>
      </c>
      <c r="J559" s="28">
        <f t="shared" si="9"/>
        <v>-1.0446574033898403E-4</v>
      </c>
    </row>
    <row r="560" spans="1:10" ht="15" x14ac:dyDescent="0.25">
      <c r="A560" s="14">
        <v>571</v>
      </c>
      <c r="B560" s="15" t="s">
        <v>86</v>
      </c>
      <c r="C560" s="16" t="s">
        <v>87</v>
      </c>
      <c r="D560" s="17">
        <v>44207</v>
      </c>
      <c r="E560" s="18">
        <v>206.79</v>
      </c>
      <c r="F560" s="12">
        <f ca="1">IFERROR(__xludf.DUMMYFUNCTION("GOOGLEFINANCE(C560)"),192.63)</f>
        <v>192.63</v>
      </c>
      <c r="H560" s="12">
        <v>192.63</v>
      </c>
      <c r="I560" s="13">
        <f t="shared" si="0"/>
        <v>-6.8475264761352087E-2</v>
      </c>
      <c r="J560" s="28">
        <f t="shared" si="9"/>
        <v>-1.3760324494883851E-4</v>
      </c>
    </row>
    <row r="561" spans="1:10" ht="15" x14ac:dyDescent="0.25">
      <c r="A561" s="14">
        <v>572</v>
      </c>
      <c r="B561" s="15" t="s">
        <v>587</v>
      </c>
      <c r="C561" s="16" t="s">
        <v>588</v>
      </c>
      <c r="D561" s="17">
        <v>44204</v>
      </c>
      <c r="E561" s="18">
        <v>45.21</v>
      </c>
      <c r="F561" s="12">
        <f ca="1">IFERROR(__xludf.DUMMYFUNCTION("GOOGLEFINANCE(C561)"),48.85)</f>
        <v>48.85</v>
      </c>
      <c r="H561" s="12">
        <v>48.85</v>
      </c>
      <c r="I561" s="13">
        <f t="shared" si="0"/>
        <v>8.0513160805131614E-2</v>
      </c>
      <c r="J561" s="28">
        <f t="shared" si="9"/>
        <v>3.5372585565944365E-5</v>
      </c>
    </row>
    <row r="562" spans="1:10" ht="15" x14ac:dyDescent="0.25">
      <c r="A562" s="14">
        <v>573</v>
      </c>
      <c r="B562" s="15" t="s">
        <v>279</v>
      </c>
      <c r="C562" s="16" t="s">
        <v>280</v>
      </c>
      <c r="D562" s="17">
        <v>44204</v>
      </c>
      <c r="E562" s="18">
        <v>227.78</v>
      </c>
      <c r="F562" s="12">
        <f ca="1">IFERROR(__xludf.DUMMYFUNCTION("GOOGLEFINANCE(C562)"),97.77)</f>
        <v>97.77</v>
      </c>
      <c r="H562" s="12">
        <v>97.77</v>
      </c>
      <c r="I562" s="13">
        <f t="shared" si="0"/>
        <v>-0.57077004126788999</v>
      </c>
      <c r="J562" s="28">
        <f t="shared" si="9"/>
        <v>-1.2634038047880292E-3</v>
      </c>
    </row>
    <row r="563" spans="1:10" ht="15" x14ac:dyDescent="0.25">
      <c r="A563" s="14">
        <v>574</v>
      </c>
      <c r="B563" s="15" t="s">
        <v>34</v>
      </c>
      <c r="C563" s="16" t="s">
        <v>35</v>
      </c>
      <c r="D563" s="17">
        <v>44204</v>
      </c>
      <c r="E563" s="18">
        <v>498.73</v>
      </c>
      <c r="F563" s="12">
        <f ca="1">IFERROR(__xludf.DUMMYFUNCTION("GOOGLEFINANCE(C563)"),619.28)</f>
        <v>619.28</v>
      </c>
      <c r="H563" s="12">
        <v>619.28</v>
      </c>
      <c r="I563" s="13">
        <f t="shared" si="0"/>
        <v>0.24171395344174193</v>
      </c>
      <c r="J563" s="28">
        <f t="shared" si="9"/>
        <v>1.1714739532897229E-3</v>
      </c>
    </row>
    <row r="564" spans="1:10" ht="15" x14ac:dyDescent="0.25">
      <c r="A564" s="14">
        <v>575</v>
      </c>
      <c r="B564" s="15" t="s">
        <v>249</v>
      </c>
      <c r="C564" s="16" t="s">
        <v>250</v>
      </c>
      <c r="D564" s="17">
        <v>44204</v>
      </c>
      <c r="E564" s="18">
        <v>53.78</v>
      </c>
      <c r="F564" s="12">
        <f ca="1">IFERROR(__xludf.DUMMYFUNCTION("GOOGLEFINANCE(C564)"),29.75)</f>
        <v>29.75</v>
      </c>
      <c r="H564" s="12">
        <v>29.75</v>
      </c>
      <c r="I564" s="13">
        <f t="shared" si="0"/>
        <v>-0.44682037932316848</v>
      </c>
      <c r="J564" s="28">
        <f t="shared" si="9"/>
        <v>-2.3351737119495689E-4</v>
      </c>
    </row>
    <row r="565" spans="1:10" ht="15" x14ac:dyDescent="0.25">
      <c r="A565" s="14">
        <v>576</v>
      </c>
      <c r="B565" s="15" t="s">
        <v>333</v>
      </c>
      <c r="C565" s="16" t="s">
        <v>334</v>
      </c>
      <c r="D565" s="17">
        <v>44204</v>
      </c>
      <c r="E565" s="18">
        <v>37.130000000000003</v>
      </c>
      <c r="F565" s="12">
        <f ca="1">IFERROR(__xludf.DUMMYFUNCTION("GOOGLEFINANCE(C565)"),59.48)</f>
        <v>59.48</v>
      </c>
      <c r="H565" s="12">
        <v>59.48</v>
      </c>
      <c r="I565" s="13">
        <f t="shared" si="0"/>
        <v>0.60193913277673017</v>
      </c>
      <c r="J565" s="28">
        <f t="shared" si="9"/>
        <v>2.1719156247221324E-4</v>
      </c>
    </row>
    <row r="566" spans="1:10" ht="15" x14ac:dyDescent="0.25">
      <c r="A566" s="14">
        <v>577</v>
      </c>
      <c r="B566" s="15" t="s">
        <v>160</v>
      </c>
      <c r="C566" s="16" t="s">
        <v>161</v>
      </c>
      <c r="D566" s="17">
        <v>44204</v>
      </c>
      <c r="E566" s="18">
        <v>77.42</v>
      </c>
      <c r="F566" s="12">
        <f ca="1">IFERROR(__xludf.DUMMYFUNCTION("GOOGLEFINANCE(C566)"),83)</f>
        <v>83</v>
      </c>
      <c r="H566" s="12">
        <v>83</v>
      </c>
      <c r="I566" s="13">
        <f t="shared" si="0"/>
        <v>7.207439938000515E-2</v>
      </c>
      <c r="J566" s="28">
        <f t="shared" si="9"/>
        <v>5.4225007543398215E-5</v>
      </c>
    </row>
    <row r="567" spans="1:10" ht="15" x14ac:dyDescent="0.25">
      <c r="A567" s="14">
        <v>578</v>
      </c>
      <c r="B567" s="15" t="s">
        <v>76</v>
      </c>
      <c r="C567" s="16" t="s">
        <v>77</v>
      </c>
      <c r="D567" s="17">
        <v>44204</v>
      </c>
      <c r="E567" s="18">
        <v>219.62</v>
      </c>
      <c r="F567" s="12">
        <f ca="1">IFERROR(__xludf.DUMMYFUNCTION("GOOGLEFINANCE(C567)"),323.8)</f>
        <v>323.8</v>
      </c>
      <c r="H567" s="12">
        <v>323.8</v>
      </c>
      <c r="I567" s="13">
        <f t="shared" si="0"/>
        <v>0.47436481194791003</v>
      </c>
      <c r="J567" s="28">
        <f t="shared" si="9"/>
        <v>1.0123944956758472E-3</v>
      </c>
    </row>
    <row r="568" spans="1:10" ht="15" x14ac:dyDescent="0.25">
      <c r="A568" s="14">
        <v>579</v>
      </c>
      <c r="B568" s="15" t="s">
        <v>287</v>
      </c>
      <c r="C568" s="16" t="s">
        <v>288</v>
      </c>
      <c r="D568" s="17">
        <v>44204</v>
      </c>
      <c r="E568" s="18">
        <v>112.75</v>
      </c>
      <c r="F568" s="12">
        <f ca="1">IFERROR(__xludf.DUMMYFUNCTION("GOOGLEFINANCE(C568)"),294.8)</f>
        <v>294.8</v>
      </c>
      <c r="H568" s="12">
        <v>294.8</v>
      </c>
      <c r="I568" s="13">
        <f t="shared" si="0"/>
        <v>1.6146341463414635</v>
      </c>
      <c r="J568" s="28">
        <f t="shared" si="9"/>
        <v>1.7691151654615855E-3</v>
      </c>
    </row>
    <row r="569" spans="1:10" ht="15" x14ac:dyDescent="0.25">
      <c r="A569" s="14">
        <v>580</v>
      </c>
      <c r="B569" s="15" t="s">
        <v>589</v>
      </c>
      <c r="C569" s="16" t="s">
        <v>590</v>
      </c>
      <c r="D569" s="17">
        <v>44204</v>
      </c>
      <c r="E569" s="18">
        <v>33.04</v>
      </c>
      <c r="F569" s="12">
        <f ca="1">IFERROR(__xludf.DUMMYFUNCTION("GOOGLEFINANCE(C569)"),41.97)</f>
        <v>41.97</v>
      </c>
      <c r="H569" s="12">
        <v>41.97</v>
      </c>
      <c r="I569" s="13">
        <f t="shared" si="0"/>
        <v>0.27027845036319614</v>
      </c>
      <c r="J569" s="28">
        <f t="shared" si="9"/>
        <v>8.6779447556011854E-5</v>
      </c>
    </row>
    <row r="570" spans="1:10" ht="15" x14ac:dyDescent="0.25">
      <c r="A570" s="14">
        <v>581</v>
      </c>
      <c r="B570" s="15" t="s">
        <v>18</v>
      </c>
      <c r="C570" s="16" t="s">
        <v>19</v>
      </c>
      <c r="D570" s="17">
        <v>44204</v>
      </c>
      <c r="E570" s="18">
        <v>136.02000000000001</v>
      </c>
      <c r="F570" s="12">
        <f ca="1">IFERROR(__xludf.DUMMYFUNCTION("GOOGLEFINANCE(C570)"),156.76)</f>
        <v>156.76</v>
      </c>
      <c r="H570" s="12">
        <v>156.76</v>
      </c>
      <c r="I570" s="13">
        <f t="shared" si="0"/>
        <v>0.15247757682693705</v>
      </c>
      <c r="J570" s="28">
        <f t="shared" si="9"/>
        <v>2.0154599577958389E-4</v>
      </c>
    </row>
    <row r="571" spans="1:10" ht="15" x14ac:dyDescent="0.25">
      <c r="A571" s="14">
        <v>582</v>
      </c>
      <c r="B571" s="15" t="s">
        <v>291</v>
      </c>
      <c r="C571" s="16" t="s">
        <v>292</v>
      </c>
      <c r="D571" s="17">
        <v>44204</v>
      </c>
      <c r="E571" s="18">
        <v>160.04</v>
      </c>
      <c r="F571" s="12">
        <f ca="1">IFERROR(__xludf.DUMMYFUNCTION("GOOGLEFINANCE(C571)"),168.23)</f>
        <v>168.23</v>
      </c>
      <c r="H571" s="12">
        <v>168.23</v>
      </c>
      <c r="I571" s="13">
        <f t="shared" si="0"/>
        <v>5.1174706323419132E-2</v>
      </c>
      <c r="J571" s="28">
        <f t="shared" si="9"/>
        <v>7.9588317523374792E-5</v>
      </c>
    </row>
    <row r="572" spans="1:10" ht="15" x14ac:dyDescent="0.25">
      <c r="A572" s="14">
        <v>583</v>
      </c>
      <c r="B572" s="15" t="s">
        <v>327</v>
      </c>
      <c r="C572" s="16" t="s">
        <v>328</v>
      </c>
      <c r="D572" s="17">
        <v>44204</v>
      </c>
      <c r="E572" s="18">
        <v>97.23</v>
      </c>
      <c r="F572" s="12">
        <f ca="1">IFERROR(__xludf.DUMMYFUNCTION("GOOGLEFINANCE(C572)"),45.04)</f>
        <v>45.04</v>
      </c>
      <c r="H572" s="12">
        <v>45.04</v>
      </c>
      <c r="I572" s="13">
        <f t="shared" si="0"/>
        <v>-0.53676848709246117</v>
      </c>
      <c r="J572" s="28">
        <f t="shared" si="9"/>
        <v>-5.0716902216665829E-4</v>
      </c>
    </row>
    <row r="573" spans="1:10" ht="15" x14ac:dyDescent="0.25">
      <c r="A573" s="14">
        <v>584</v>
      </c>
      <c r="B573" s="15" t="s">
        <v>439</v>
      </c>
      <c r="C573" s="16" t="s">
        <v>440</v>
      </c>
      <c r="D573" s="17">
        <v>44204</v>
      </c>
      <c r="E573" s="18">
        <v>74.86</v>
      </c>
      <c r="F573" s="12">
        <f ca="1">IFERROR(__xludf.DUMMYFUNCTION("GOOGLEFINANCE(C573)"),100.36)</f>
        <v>100.36</v>
      </c>
      <c r="H573" s="12">
        <v>100.36</v>
      </c>
      <c r="I573" s="13">
        <f t="shared" si="0"/>
        <v>0.34063585359337428</v>
      </c>
      <c r="J573" s="28">
        <f t="shared" si="9"/>
        <v>2.4780245382735746E-4</v>
      </c>
    </row>
    <row r="574" spans="1:10" ht="15" x14ac:dyDescent="0.25">
      <c r="A574" s="14">
        <v>585</v>
      </c>
      <c r="B574" s="15" t="s">
        <v>581</v>
      </c>
      <c r="C574" s="16" t="s">
        <v>582</v>
      </c>
      <c r="D574" s="17">
        <v>44204</v>
      </c>
      <c r="E574" s="18">
        <v>62.49</v>
      </c>
      <c r="F574" s="12">
        <f ca="1">IFERROR(__xludf.DUMMYFUNCTION("GOOGLEFINANCE(C574)"),61.56)</f>
        <v>61.56</v>
      </c>
      <c r="H574" s="12">
        <v>61.56</v>
      </c>
      <c r="I574" s="13">
        <f t="shared" si="0"/>
        <v>-1.4882381180988953E-2</v>
      </c>
      <c r="J574" s="28">
        <f t="shared" si="9"/>
        <v>-9.0375012572330341E-6</v>
      </c>
    </row>
    <row r="575" spans="1:10" ht="15" x14ac:dyDescent="0.25">
      <c r="A575" s="14">
        <v>586</v>
      </c>
      <c r="B575" s="15" t="s">
        <v>521</v>
      </c>
      <c r="C575" s="16" t="s">
        <v>522</v>
      </c>
      <c r="D575" s="17">
        <v>44204</v>
      </c>
      <c r="E575" s="18">
        <v>236.19</v>
      </c>
      <c r="F575" s="12">
        <f ca="1">IFERROR(__xludf.DUMMYFUNCTION("GOOGLEFINANCE(C575)"),122.1)</f>
        <v>122.1</v>
      </c>
      <c r="H575" s="12">
        <v>122.1</v>
      </c>
      <c r="I575" s="13">
        <f t="shared" si="0"/>
        <v>-0.4830433125873238</v>
      </c>
      <c r="J575" s="28">
        <f t="shared" si="9"/>
        <v>-1.1086973316534595E-3</v>
      </c>
    </row>
    <row r="576" spans="1:10" ht="15" x14ac:dyDescent="0.25">
      <c r="A576" s="14">
        <v>587</v>
      </c>
      <c r="B576" s="15" t="s">
        <v>301</v>
      </c>
      <c r="C576" s="16" t="s">
        <v>302</v>
      </c>
      <c r="D576" s="17">
        <v>44204</v>
      </c>
      <c r="E576" s="18">
        <v>94.58</v>
      </c>
      <c r="F576" s="12">
        <f ca="1">IFERROR(__xludf.DUMMYFUNCTION("GOOGLEFINANCE(C576)"),137.75)</f>
        <v>137.75</v>
      </c>
      <c r="H576" s="12">
        <v>137.75</v>
      </c>
      <c r="I576" s="13">
        <f t="shared" si="0"/>
        <v>0.4564389934447029</v>
      </c>
      <c r="J576" s="28">
        <f t="shared" si="9"/>
        <v>4.1951497771478517E-4</v>
      </c>
    </row>
    <row r="577" spans="1:10" ht="15" x14ac:dyDescent="0.25">
      <c r="A577" s="14">
        <v>588</v>
      </c>
      <c r="B577" s="15" t="s">
        <v>443</v>
      </c>
      <c r="C577" s="16" t="s">
        <v>444</v>
      </c>
      <c r="D577" s="17">
        <v>44204</v>
      </c>
      <c r="E577" s="18">
        <v>107.27</v>
      </c>
      <c r="F577" s="12">
        <f ca="1">IFERROR(__xludf.DUMMYFUNCTION("GOOGLEFINANCE(C577)"),129.53)</f>
        <v>129.53</v>
      </c>
      <c r="H577" s="12">
        <v>129.53</v>
      </c>
      <c r="I577" s="13">
        <f t="shared" si="0"/>
        <v>0.20751375034958522</v>
      </c>
      <c r="J577" s="28">
        <f t="shared" si="9"/>
        <v>2.1631696557635209E-4</v>
      </c>
    </row>
    <row r="578" spans="1:10" ht="15" x14ac:dyDescent="0.25">
      <c r="A578" s="14">
        <v>589</v>
      </c>
      <c r="B578" s="15" t="s">
        <v>156</v>
      </c>
      <c r="C578" s="16" t="s">
        <v>157</v>
      </c>
      <c r="D578" s="17">
        <v>44203</v>
      </c>
      <c r="E578" s="18">
        <v>816.04</v>
      </c>
      <c r="F578" s="12">
        <f ca="1">IFERROR(__xludf.DUMMYFUNCTION("GOOGLEFINANCE(C578)"),932.57)</f>
        <v>932.57</v>
      </c>
      <c r="H578" s="12">
        <v>932.57</v>
      </c>
      <c r="I578" s="13">
        <f t="shared" si="0"/>
        <v>0.14279937257977562</v>
      </c>
      <c r="J578" s="28">
        <f t="shared" si="9"/>
        <v>1.1324086252745879E-3</v>
      </c>
    </row>
    <row r="579" spans="1:10" ht="15" x14ac:dyDescent="0.25">
      <c r="A579" s="14">
        <v>590</v>
      </c>
      <c r="B579" s="15" t="s">
        <v>92</v>
      </c>
      <c r="C579" s="16" t="s">
        <v>93</v>
      </c>
      <c r="D579" s="17">
        <v>44203</v>
      </c>
      <c r="E579" s="18">
        <v>228.87</v>
      </c>
      <c r="F579" s="12">
        <f ca="1">IFERROR(__xludf.DUMMYFUNCTION("GOOGLEFINANCE(C579)"),242.25)</f>
        <v>242.25</v>
      </c>
      <c r="H579" s="12">
        <v>242.25</v>
      </c>
      <c r="I579" s="13">
        <f t="shared" si="0"/>
        <v>5.8461135142220455E-2</v>
      </c>
      <c r="J579" s="28">
        <f t="shared" ref="J579:J607" si="10">(E579/$E$609)*I579</f>
        <v>1.3002340518470753E-4</v>
      </c>
    </row>
    <row r="580" spans="1:10" ht="15" x14ac:dyDescent="0.25">
      <c r="A580" s="14">
        <v>591</v>
      </c>
      <c r="B580" s="15" t="s">
        <v>158</v>
      </c>
      <c r="C580" s="16" t="s">
        <v>159</v>
      </c>
      <c r="D580" s="17">
        <v>44203</v>
      </c>
      <c r="E580" s="18">
        <v>62</v>
      </c>
      <c r="F580" s="12">
        <f ca="1">IFERROR(__xludf.DUMMYFUNCTION("GOOGLEFINANCE(C580)"),23.78)</f>
        <v>23.78</v>
      </c>
      <c r="H580" s="12">
        <v>23.78</v>
      </c>
      <c r="I580" s="13">
        <f t="shared" si="0"/>
        <v>-0.61645161290322581</v>
      </c>
      <c r="J580" s="28">
        <f t="shared" si="10"/>
        <v>-3.714121484424158E-4</v>
      </c>
    </row>
    <row r="581" spans="1:10" ht="15" x14ac:dyDescent="0.25">
      <c r="A581" s="14">
        <v>592</v>
      </c>
      <c r="B581" s="15" t="s">
        <v>108</v>
      </c>
      <c r="C581" s="16" t="s">
        <v>109</v>
      </c>
      <c r="D581" s="17">
        <v>44203</v>
      </c>
      <c r="E581" s="18">
        <v>131.99</v>
      </c>
      <c r="F581" s="12">
        <f ca="1">IFERROR(__xludf.DUMMYFUNCTION("GOOGLEFINANCE(C581)"),173.69)</f>
        <v>173.69</v>
      </c>
      <c r="H581" s="12">
        <v>173.69</v>
      </c>
      <c r="I581" s="13">
        <f t="shared" si="0"/>
        <v>0.31593302522918393</v>
      </c>
      <c r="J581" s="28">
        <f t="shared" si="10"/>
        <v>4.0522989508238446E-4</v>
      </c>
    </row>
    <row r="582" spans="1:10" ht="15" x14ac:dyDescent="0.25">
      <c r="A582" s="14">
        <v>593</v>
      </c>
      <c r="B582" s="15" t="s">
        <v>249</v>
      </c>
      <c r="C582" s="16" t="s">
        <v>250</v>
      </c>
      <c r="D582" s="17">
        <v>44203</v>
      </c>
      <c r="E582" s="18">
        <v>47.29</v>
      </c>
      <c r="F582" s="12">
        <f ca="1">IFERROR(__xludf.DUMMYFUNCTION("GOOGLEFINANCE(C582)"),29.75)</f>
        <v>29.75</v>
      </c>
      <c r="H582" s="12">
        <v>29.75</v>
      </c>
      <c r="I582" s="13">
        <f t="shared" si="0"/>
        <v>-0.3709029393106365</v>
      </c>
      <c r="J582" s="28">
        <f t="shared" si="10"/>
        <v>-1.7044921726007254E-4</v>
      </c>
    </row>
    <row r="583" spans="1:10" ht="15" x14ac:dyDescent="0.25">
      <c r="A583" s="14">
        <v>594</v>
      </c>
      <c r="B583" s="15" t="s">
        <v>567</v>
      </c>
      <c r="C583" s="16" t="s">
        <v>568</v>
      </c>
      <c r="D583" s="17">
        <v>44203</v>
      </c>
      <c r="E583" s="18">
        <v>14.6</v>
      </c>
      <c r="F583" s="12">
        <f ca="1">IFERROR(__xludf.DUMMYFUNCTION("GOOGLEFINANCE(C583)"),15.6)</f>
        <v>15.6</v>
      </c>
      <c r="H583" s="12">
        <v>15.6</v>
      </c>
      <c r="I583" s="13">
        <f t="shared" si="0"/>
        <v>6.8493150684931503E-2</v>
      </c>
      <c r="J583" s="28">
        <f t="shared" si="10"/>
        <v>9.7177432873473514E-6</v>
      </c>
    </row>
    <row r="584" spans="1:10" ht="15" x14ac:dyDescent="0.25">
      <c r="A584" s="14">
        <v>595</v>
      </c>
      <c r="B584" s="15" t="s">
        <v>201</v>
      </c>
      <c r="C584" s="16" t="s">
        <v>202</v>
      </c>
      <c r="D584" s="17">
        <v>44203</v>
      </c>
      <c r="E584" s="18">
        <v>13.97</v>
      </c>
      <c r="F584" s="12">
        <f ca="1">IFERROR(__xludf.DUMMYFUNCTION("GOOGLEFINANCE(C584)"),6.25)</f>
        <v>6.25</v>
      </c>
      <c r="H584" s="12">
        <v>6.25</v>
      </c>
      <c r="I584" s="13">
        <f t="shared" si="0"/>
        <v>-0.55261274158911955</v>
      </c>
      <c r="J584" s="28">
        <f t="shared" si="10"/>
        <v>-7.5020978178321556E-5</v>
      </c>
    </row>
    <row r="585" spans="1:10" ht="15" x14ac:dyDescent="0.25">
      <c r="A585" s="14">
        <v>596</v>
      </c>
      <c r="B585" s="15" t="s">
        <v>60</v>
      </c>
      <c r="C585" s="16" t="s">
        <v>61</v>
      </c>
      <c r="D585" s="17">
        <v>44203</v>
      </c>
      <c r="E585" s="18">
        <v>49.77</v>
      </c>
      <c r="F585" s="12">
        <f ca="1">IFERROR(__xludf.DUMMYFUNCTION("GOOGLEFINANCE(C585)"),28.67)</f>
        <v>28.67</v>
      </c>
      <c r="H585" s="12">
        <v>28.67</v>
      </c>
      <c r="I585" s="13">
        <f t="shared" si="0"/>
        <v>-0.42395017078561381</v>
      </c>
      <c r="J585" s="28">
        <f t="shared" si="10"/>
        <v>-2.0504438336302916E-4</v>
      </c>
    </row>
    <row r="586" spans="1:10" ht="15" x14ac:dyDescent="0.25">
      <c r="A586" s="14">
        <v>597</v>
      </c>
      <c r="B586" s="15" t="s">
        <v>539</v>
      </c>
      <c r="C586" s="16" t="s">
        <v>540</v>
      </c>
      <c r="D586" s="17">
        <v>44203</v>
      </c>
      <c r="E586" s="18">
        <v>90.22</v>
      </c>
      <c r="F586" s="12">
        <f ca="1">IFERROR(__xludf.DUMMYFUNCTION("GOOGLEFINANCE(C586)"),113.6)</f>
        <v>113.6</v>
      </c>
      <c r="H586" s="12">
        <v>113.6</v>
      </c>
      <c r="I586" s="13">
        <f t="shared" si="0"/>
        <v>0.2591443138993571</v>
      </c>
      <c r="J586" s="28">
        <f t="shared" si="10"/>
        <v>2.2720083805818106E-4</v>
      </c>
    </row>
    <row r="587" spans="1:10" ht="15" x14ac:dyDescent="0.25">
      <c r="A587" s="14">
        <v>598</v>
      </c>
      <c r="B587" s="15" t="s">
        <v>144</v>
      </c>
      <c r="C587" s="16" t="s">
        <v>145</v>
      </c>
      <c r="D587" s="17">
        <v>44203</v>
      </c>
      <c r="E587" s="18">
        <v>152.44999999999999</v>
      </c>
      <c r="F587" s="12">
        <f ca="1">IFERROR(__xludf.DUMMYFUNCTION("GOOGLEFINANCE(C587)"),201.34)</f>
        <v>201.34</v>
      </c>
      <c r="H587" s="12">
        <v>201.34</v>
      </c>
      <c r="I587" s="13">
        <f t="shared" si="0"/>
        <v>0.32069530993768458</v>
      </c>
      <c r="J587" s="28">
        <f t="shared" si="10"/>
        <v>4.7510046931841215E-4</v>
      </c>
    </row>
    <row r="588" spans="1:10" ht="15" x14ac:dyDescent="0.25">
      <c r="A588" s="14">
        <v>599</v>
      </c>
      <c r="B588" s="15" t="s">
        <v>237</v>
      </c>
      <c r="C588" s="16" t="s">
        <v>238</v>
      </c>
      <c r="D588" s="17">
        <v>44203</v>
      </c>
      <c r="E588" s="18">
        <v>86.27</v>
      </c>
      <c r="F588" s="12">
        <f ca="1">IFERROR(__xludf.DUMMYFUNCTION("GOOGLEFINANCE(C588)"),124.88)</f>
        <v>124.88</v>
      </c>
      <c r="H588" s="12">
        <v>124.88</v>
      </c>
      <c r="I588" s="13">
        <f t="shared" si="0"/>
        <v>0.44754839457517098</v>
      </c>
      <c r="J588" s="28">
        <f t="shared" si="10"/>
        <v>3.7520206832448126E-4</v>
      </c>
    </row>
    <row r="589" spans="1:10" ht="15" x14ac:dyDescent="0.25">
      <c r="A589" s="14">
        <v>600</v>
      </c>
      <c r="B589" s="15" t="s">
        <v>591</v>
      </c>
      <c r="C589" s="16" t="s">
        <v>592</v>
      </c>
      <c r="D589" s="17">
        <v>44203</v>
      </c>
      <c r="E589" s="18">
        <v>18.73</v>
      </c>
      <c r="F589" s="12">
        <f ca="1">IFERROR(__xludf.DUMMYFUNCTION("GOOGLEFINANCE(C589)"),15.98)</f>
        <v>15.98</v>
      </c>
      <c r="H589" s="12">
        <v>15.98</v>
      </c>
      <c r="I589" s="13">
        <f t="shared" si="0"/>
        <v>-0.14682327816337426</v>
      </c>
      <c r="J589" s="28">
        <f t="shared" si="10"/>
        <v>-2.6723794040205219E-5</v>
      </c>
    </row>
    <row r="590" spans="1:10" ht="15" x14ac:dyDescent="0.25">
      <c r="A590" s="14">
        <v>601</v>
      </c>
      <c r="B590" s="15" t="s">
        <v>593</v>
      </c>
      <c r="C590" s="16" t="s">
        <v>594</v>
      </c>
      <c r="D590" s="17">
        <v>44203</v>
      </c>
      <c r="E590" s="18">
        <v>315.2</v>
      </c>
      <c r="F590" s="12">
        <f ca="1">IFERROR(__xludf.DUMMYFUNCTION("GOOGLEFINANCE(C590)"),277.65)</f>
        <v>277.64999999999998</v>
      </c>
      <c r="H590" s="12">
        <v>277.64999999999998</v>
      </c>
      <c r="I590" s="13">
        <f t="shared" si="0"/>
        <v>-0.11913071065989851</v>
      </c>
      <c r="J590" s="28">
        <f t="shared" si="10"/>
        <v>-3.6490126043989317E-4</v>
      </c>
    </row>
    <row r="591" spans="1:10" ht="15" x14ac:dyDescent="0.25">
      <c r="A591" s="14">
        <v>602</v>
      </c>
      <c r="B591" s="15" t="s">
        <v>595</v>
      </c>
      <c r="C591" s="16" t="s">
        <v>596</v>
      </c>
      <c r="D591" s="17">
        <v>44203</v>
      </c>
      <c r="E591" s="18">
        <v>477.74</v>
      </c>
      <c r="F591" s="12">
        <f ca="1">IFERROR(__xludf.DUMMYFUNCTION("GOOGLEFINANCE(C591)"),556.64)</f>
        <v>556.64</v>
      </c>
      <c r="H591" s="12">
        <v>556.64</v>
      </c>
      <c r="I591" s="13">
        <f t="shared" si="0"/>
        <v>0.16515259346087824</v>
      </c>
      <c r="J591" s="28">
        <f t="shared" si="10"/>
        <v>7.6672994537170579E-4</v>
      </c>
    </row>
    <row r="592" spans="1:10" ht="15" x14ac:dyDescent="0.25">
      <c r="A592" s="14">
        <v>603</v>
      </c>
      <c r="B592" s="15" t="s">
        <v>90</v>
      </c>
      <c r="C592" s="16" t="s">
        <v>91</v>
      </c>
      <c r="D592" s="17">
        <v>44201</v>
      </c>
      <c r="E592" s="18">
        <v>58.58</v>
      </c>
      <c r="F592" s="12">
        <f ca="1">IFERROR(__xludf.DUMMYFUNCTION("GOOGLEFINANCE(C592)"),53.17)</f>
        <v>53.17</v>
      </c>
      <c r="H592" s="12">
        <v>53.17</v>
      </c>
      <c r="I592" s="13">
        <f t="shared" si="0"/>
        <v>-9.2352338682144028E-2</v>
      </c>
      <c r="J592" s="28">
        <f t="shared" si="10"/>
        <v>-5.2572991184549141E-5</v>
      </c>
    </row>
    <row r="593" spans="1:10" ht="15" x14ac:dyDescent="0.25">
      <c r="A593" s="14">
        <v>604</v>
      </c>
      <c r="B593" s="15" t="s">
        <v>597</v>
      </c>
      <c r="C593" s="16" t="s">
        <v>598</v>
      </c>
      <c r="D593" s="17">
        <v>44201</v>
      </c>
      <c r="E593" s="18">
        <v>23.6</v>
      </c>
      <c r="F593" s="12">
        <f ca="1">IFERROR(__xludf.DUMMYFUNCTION("GOOGLEFINANCE(C593)"),16.79)</f>
        <v>16.79</v>
      </c>
      <c r="H593" s="12">
        <v>16.79</v>
      </c>
      <c r="I593" s="13">
        <f t="shared" si="0"/>
        <v>-0.28855932203389839</v>
      </c>
      <c r="J593" s="28">
        <f t="shared" si="10"/>
        <v>-6.6177831786835495E-5</v>
      </c>
    </row>
    <row r="594" spans="1:10" ht="15" x14ac:dyDescent="0.25">
      <c r="A594" s="14">
        <v>605</v>
      </c>
      <c r="B594" s="15" t="s">
        <v>285</v>
      </c>
      <c r="C594" s="16" t="s">
        <v>286</v>
      </c>
      <c r="D594" s="17">
        <v>44201</v>
      </c>
      <c r="E594" s="18">
        <v>234.91</v>
      </c>
      <c r="F594" s="12">
        <f ca="1">IFERROR(__xludf.DUMMYFUNCTION("GOOGLEFINANCE(C594)"),186.2)</f>
        <v>186.2</v>
      </c>
      <c r="H594" s="12">
        <v>186.2</v>
      </c>
      <c r="I594" s="13">
        <f t="shared" si="0"/>
        <v>-0.20735600868417695</v>
      </c>
      <c r="J594" s="28">
        <f t="shared" si="10"/>
        <v>-4.7335127552668963E-4</v>
      </c>
    </row>
    <row r="595" spans="1:10" ht="15" x14ac:dyDescent="0.25">
      <c r="A595" s="14">
        <v>606</v>
      </c>
      <c r="B595" s="15" t="s">
        <v>72</v>
      </c>
      <c r="C595" s="16" t="s">
        <v>73</v>
      </c>
      <c r="D595" s="17">
        <v>44201</v>
      </c>
      <c r="E595" s="18">
        <v>74.77</v>
      </c>
      <c r="F595" s="12">
        <f ca="1">IFERROR(__xludf.DUMMYFUNCTION("GOOGLEFINANCE(C595)"),82.13)</f>
        <v>82.13</v>
      </c>
      <c r="H595" s="12">
        <v>82.13</v>
      </c>
      <c r="I595" s="13">
        <f t="shared" si="0"/>
        <v>9.8435201283937401E-2</v>
      </c>
      <c r="J595" s="28">
        <f t="shared" si="10"/>
        <v>7.1522590594876495E-5</v>
      </c>
    </row>
    <row r="596" spans="1:10" ht="15" x14ac:dyDescent="0.25">
      <c r="A596" s="14">
        <v>607</v>
      </c>
      <c r="B596" s="15" t="s">
        <v>527</v>
      </c>
      <c r="C596" s="16" t="s">
        <v>528</v>
      </c>
      <c r="D596" s="17">
        <v>44201</v>
      </c>
      <c r="E596" s="18">
        <v>25.6</v>
      </c>
      <c r="F596" s="12">
        <f ca="1">IFERROR(__xludf.DUMMYFUNCTION("GOOGLEFINANCE(C596)"),14.3)</f>
        <v>14.3</v>
      </c>
      <c r="H596" s="12">
        <v>14.3</v>
      </c>
      <c r="I596" s="13">
        <f t="shared" si="0"/>
        <v>-0.44140625</v>
      </c>
      <c r="J596" s="28">
        <f t="shared" si="10"/>
        <v>-1.0981049914702508E-4</v>
      </c>
    </row>
    <row r="597" spans="1:10" ht="15" x14ac:dyDescent="0.25">
      <c r="A597" s="14">
        <v>608</v>
      </c>
      <c r="B597" s="15" t="s">
        <v>567</v>
      </c>
      <c r="C597" s="16" t="s">
        <v>568</v>
      </c>
      <c r="D597" s="17">
        <v>44201</v>
      </c>
      <c r="E597" s="18">
        <v>13.9</v>
      </c>
      <c r="F597" s="12">
        <f ca="1">IFERROR(__xludf.DUMMYFUNCTION("GOOGLEFINANCE(C597)"),15.6)</f>
        <v>15.6</v>
      </c>
      <c r="H597" s="12">
        <v>15.6</v>
      </c>
      <c r="I597" s="13">
        <f t="shared" si="0"/>
        <v>0.12230215827338124</v>
      </c>
      <c r="J597" s="28">
        <f t="shared" si="10"/>
        <v>1.6520163588490493E-5</v>
      </c>
    </row>
    <row r="598" spans="1:10" ht="15" x14ac:dyDescent="0.25">
      <c r="A598" s="14">
        <v>609</v>
      </c>
      <c r="B598" s="15" t="s">
        <v>599</v>
      </c>
      <c r="C598" s="16" t="s">
        <v>600</v>
      </c>
      <c r="D598" s="17">
        <v>44201</v>
      </c>
      <c r="E598" s="18">
        <v>126.14</v>
      </c>
      <c r="F598" s="12">
        <f ca="1">IFERROR(__xludf.DUMMYFUNCTION("GOOGLEFINANCE(C598)"),127.4)</f>
        <v>127.4</v>
      </c>
      <c r="H598" s="12">
        <v>127.4</v>
      </c>
      <c r="I598" s="13">
        <f t="shared" si="0"/>
        <v>9.9889012208657455E-3</v>
      </c>
      <c r="J598" s="28">
        <f t="shared" si="10"/>
        <v>1.2244356542057714E-5</v>
      </c>
    </row>
    <row r="599" spans="1:10" ht="15" x14ac:dyDescent="0.25">
      <c r="A599" s="14">
        <v>610</v>
      </c>
      <c r="B599" s="15" t="s">
        <v>601</v>
      </c>
      <c r="C599" s="16" t="s">
        <v>602</v>
      </c>
      <c r="D599" s="17">
        <v>44201</v>
      </c>
      <c r="E599" s="18">
        <v>96.7</v>
      </c>
      <c r="F599" s="12">
        <f ca="1">IFERROR(__xludf.DUMMYFUNCTION("GOOGLEFINANCE(C599)"),109.52)</f>
        <v>109.52</v>
      </c>
      <c r="H599" s="12">
        <v>109.52</v>
      </c>
      <c r="I599" s="13">
        <f t="shared" si="0"/>
        <v>0.13257497414684585</v>
      </c>
      <c r="J599" s="28">
        <f t="shared" si="10"/>
        <v>1.24581468943793E-4</v>
      </c>
    </row>
    <row r="600" spans="1:10" ht="15" x14ac:dyDescent="0.25">
      <c r="A600" s="14">
        <v>611</v>
      </c>
      <c r="B600" s="15" t="s">
        <v>271</v>
      </c>
      <c r="C600" s="16" t="s">
        <v>272</v>
      </c>
      <c r="D600" s="17">
        <v>44201</v>
      </c>
      <c r="E600" s="18">
        <v>55.8</v>
      </c>
      <c r="F600" s="12">
        <f ca="1">IFERROR(__xludf.DUMMYFUNCTION("GOOGLEFINANCE(C600)"),54.1)</f>
        <v>54.1</v>
      </c>
      <c r="H600" s="12">
        <v>54.1</v>
      </c>
      <c r="I600" s="13">
        <f t="shared" si="0"/>
        <v>-3.0465949820788457E-2</v>
      </c>
      <c r="J600" s="28">
        <f t="shared" si="10"/>
        <v>-1.6520163588490455E-5</v>
      </c>
    </row>
    <row r="601" spans="1:10" ht="15" x14ac:dyDescent="0.25">
      <c r="A601" s="14">
        <v>612</v>
      </c>
      <c r="B601" s="15" t="s">
        <v>603</v>
      </c>
      <c r="C601" s="16" t="s">
        <v>604</v>
      </c>
      <c r="D601" s="17">
        <v>44201</v>
      </c>
      <c r="E601" s="18">
        <v>228.5</v>
      </c>
      <c r="F601" s="12">
        <f ca="1">IFERROR(__xludf.DUMMYFUNCTION("GOOGLEFINANCE(C601)"),155.37)</f>
        <v>155.37</v>
      </c>
      <c r="H601" s="12">
        <v>155.37</v>
      </c>
      <c r="I601" s="13">
        <f t="shared" si="0"/>
        <v>-0.32004376367614878</v>
      </c>
      <c r="J601" s="28">
        <f t="shared" si="10"/>
        <v>-7.1065856660371184E-4</v>
      </c>
    </row>
    <row r="602" spans="1:10" ht="15" x14ac:dyDescent="0.25">
      <c r="A602" s="14">
        <v>613</v>
      </c>
      <c r="B602" s="15" t="s">
        <v>605</v>
      </c>
      <c r="C602" s="16" t="s">
        <v>606</v>
      </c>
      <c r="D602" s="17">
        <v>44201</v>
      </c>
      <c r="E602" s="18">
        <v>73</v>
      </c>
      <c r="F602" s="12">
        <f ca="1">IFERROR(__xludf.DUMMYFUNCTION("GOOGLEFINANCE(C602)"),76.63)</f>
        <v>76.63</v>
      </c>
      <c r="H602" s="12">
        <v>76.63</v>
      </c>
      <c r="I602" s="13">
        <f t="shared" si="0"/>
        <v>4.972602739726021E-2</v>
      </c>
      <c r="J602" s="28">
        <f t="shared" si="10"/>
        <v>3.5275408133070841E-5</v>
      </c>
    </row>
    <row r="603" spans="1:10" ht="15" x14ac:dyDescent="0.25">
      <c r="A603" s="14">
        <v>614</v>
      </c>
      <c r="B603" s="15" t="s">
        <v>539</v>
      </c>
      <c r="C603" s="16" t="s">
        <v>540</v>
      </c>
      <c r="D603" s="17">
        <v>44201</v>
      </c>
      <c r="E603" s="18">
        <v>87</v>
      </c>
      <c r="F603" s="12">
        <f ca="1">IFERROR(__xludf.DUMMYFUNCTION("GOOGLEFINANCE(C603)"),113.6)</f>
        <v>113.6</v>
      </c>
      <c r="H603" s="12">
        <v>113.6</v>
      </c>
      <c r="I603" s="13">
        <f t="shared" si="0"/>
        <v>0.30574712643678154</v>
      </c>
      <c r="J603" s="28">
        <f t="shared" si="10"/>
        <v>2.5849197144343949E-4</v>
      </c>
    </row>
    <row r="604" spans="1:10" ht="15" x14ac:dyDescent="0.25">
      <c r="A604" s="14">
        <v>615</v>
      </c>
      <c r="B604" s="15" t="s">
        <v>607</v>
      </c>
      <c r="C604" s="16" t="s">
        <v>608</v>
      </c>
      <c r="D604" s="17">
        <v>44201</v>
      </c>
      <c r="E604" s="18">
        <v>26.72</v>
      </c>
      <c r="F604" s="12">
        <f ca="1">IFERROR(__xludf.DUMMYFUNCTION("GOOGLEFINANCE(C604)"),31.2)</f>
        <v>31.2</v>
      </c>
      <c r="H604" s="12">
        <v>31.2</v>
      </c>
      <c r="I604" s="13">
        <f t="shared" si="0"/>
        <v>0.16766467065868265</v>
      </c>
      <c r="J604" s="28">
        <f t="shared" si="10"/>
        <v>4.353548992731614E-5</v>
      </c>
    </row>
    <row r="605" spans="1:10" ht="15" x14ac:dyDescent="0.25">
      <c r="A605" s="14">
        <v>616</v>
      </c>
      <c r="B605" s="15" t="s">
        <v>28</v>
      </c>
      <c r="C605" s="16" t="s">
        <v>29</v>
      </c>
      <c r="D605" s="17">
        <v>44201</v>
      </c>
      <c r="E605" s="18">
        <v>81.430000000000007</v>
      </c>
      <c r="F605" s="12">
        <f ca="1">IFERROR(__xludf.DUMMYFUNCTION("GOOGLEFINANCE(C605)"),86.54)</f>
        <v>86.54</v>
      </c>
      <c r="H605" s="12">
        <v>86.54</v>
      </c>
      <c r="I605" s="13">
        <f t="shared" si="0"/>
        <v>6.2753285030087175E-2</v>
      </c>
      <c r="J605" s="28">
        <f t="shared" si="10"/>
        <v>4.9657668198344958E-5</v>
      </c>
    </row>
    <row r="606" spans="1:10" ht="15" x14ac:dyDescent="0.25">
      <c r="A606" s="14">
        <v>617</v>
      </c>
      <c r="B606" s="15" t="s">
        <v>443</v>
      </c>
      <c r="C606" s="16" t="s">
        <v>444</v>
      </c>
      <c r="D606" s="17">
        <v>44201</v>
      </c>
      <c r="E606" s="18">
        <v>106.5</v>
      </c>
      <c r="F606" s="12">
        <f ca="1">IFERROR(__xludf.DUMMYFUNCTION("GOOGLEFINANCE(C606)"),129.53)</f>
        <v>129.53</v>
      </c>
      <c r="H606" s="12">
        <v>129.53</v>
      </c>
      <c r="I606" s="13">
        <f t="shared" si="0"/>
        <v>0.21624413145539906</v>
      </c>
      <c r="J606" s="28">
        <f t="shared" si="10"/>
        <v>2.2379962790760951E-4</v>
      </c>
    </row>
    <row r="607" spans="1:10" ht="15" x14ac:dyDescent="0.25">
      <c r="A607" s="14">
        <v>618</v>
      </c>
      <c r="B607" s="15" t="s">
        <v>353</v>
      </c>
      <c r="C607" s="16" t="s">
        <v>354</v>
      </c>
      <c r="D607" s="17">
        <v>44200</v>
      </c>
      <c r="E607" s="18">
        <v>359.98</v>
      </c>
      <c r="F607" s="12">
        <f ca="1">IFERROR(__xludf.DUMMYFUNCTION("GOOGLEFINANCE(C607)"),199.74)</f>
        <v>199.74</v>
      </c>
      <c r="H607" s="12">
        <v>199.74</v>
      </c>
      <c r="I607" s="13">
        <f t="shared" si="0"/>
        <v>-0.44513584088004887</v>
      </c>
      <c r="J607" s="28">
        <f t="shared" si="10"/>
        <v>-1.5571711843645397E-3</v>
      </c>
    </row>
    <row r="608" spans="1:10" ht="12.75" x14ac:dyDescent="0.2">
      <c r="I608" s="13"/>
    </row>
    <row r="609" spans="5:10" ht="13.5" thickBot="1" x14ac:dyDescent="0.25">
      <c r="E609" s="29">
        <f t="shared" ref="E609:F609" si="11">SUM(E2:E607)</f>
        <v>102904.55</v>
      </c>
      <c r="F609" s="23">
        <f t="shared" ca="1" si="11"/>
        <v>103343.33010000005</v>
      </c>
      <c r="G609" s="31">
        <f>(H609-E609)/H609</f>
        <v>4.2458482765695884E-3</v>
      </c>
      <c r="H609" s="30">
        <f>SUM(H1:H607)</f>
        <v>103343.33010000005</v>
      </c>
      <c r="I609" s="25">
        <f t="shared" ref="I609:J609" si="12">SUM(I2:I607)</f>
        <v>7.4599530364652384</v>
      </c>
      <c r="J609" s="24">
        <f t="shared" si="12"/>
        <v>4.2639523713965876E-3</v>
      </c>
    </row>
    <row r="610" spans="5:10" ht="13.5" thickTop="1" x14ac:dyDescent="0.2">
      <c r="I610" s="13"/>
    </row>
    <row r="611" spans="5:10" ht="12.75" x14ac:dyDescent="0.2">
      <c r="I611" s="13"/>
    </row>
    <row r="612" spans="5:10" ht="12.75" x14ac:dyDescent="0.2">
      <c r="I612" s="13"/>
    </row>
    <row r="613" spans="5:10" ht="12.75" x14ac:dyDescent="0.2">
      <c r="I613" s="13"/>
    </row>
    <row r="614" spans="5:10" ht="12.75" x14ac:dyDescent="0.2">
      <c r="I614" s="13"/>
    </row>
    <row r="615" spans="5:10" ht="12.75" x14ac:dyDescent="0.2">
      <c r="I615" s="13"/>
    </row>
    <row r="616" spans="5:10" ht="12.75" x14ac:dyDescent="0.2">
      <c r="I616" s="13"/>
    </row>
    <row r="617" spans="5:10" ht="12.75" x14ac:dyDescent="0.2">
      <c r="I617" s="13"/>
    </row>
    <row r="618" spans="5:10" ht="12.75" x14ac:dyDescent="0.2">
      <c r="I618" s="13"/>
    </row>
    <row r="619" spans="5:10" ht="12.75" x14ac:dyDescent="0.2">
      <c r="I619" s="13"/>
    </row>
    <row r="620" spans="5:10" ht="12.75" x14ac:dyDescent="0.2">
      <c r="I620" s="13"/>
    </row>
    <row r="621" spans="5:10" ht="12.75" x14ac:dyDescent="0.2">
      <c r="I621" s="13"/>
    </row>
    <row r="622" spans="5:10" ht="12.75" x14ac:dyDescent="0.2">
      <c r="I622" s="13"/>
    </row>
    <row r="623" spans="5:10" ht="12.75" x14ac:dyDescent="0.2">
      <c r="I623" s="13"/>
    </row>
    <row r="624" spans="5:10" ht="12.75" x14ac:dyDescent="0.2">
      <c r="I624" s="13"/>
    </row>
    <row r="625" spans="9:9" ht="12.75" x14ac:dyDescent="0.2">
      <c r="I625" s="13"/>
    </row>
    <row r="626" spans="9:9" ht="12.75" x14ac:dyDescent="0.2">
      <c r="I626" s="13"/>
    </row>
    <row r="627" spans="9:9" ht="12.75" x14ac:dyDescent="0.2">
      <c r="I627" s="13"/>
    </row>
    <row r="628" spans="9:9" ht="12.75" x14ac:dyDescent="0.2">
      <c r="I628" s="13"/>
    </row>
    <row r="629" spans="9:9" ht="12.75" x14ac:dyDescent="0.2">
      <c r="I629" s="13"/>
    </row>
    <row r="630" spans="9:9" ht="12.75" x14ac:dyDescent="0.2">
      <c r="I630" s="13"/>
    </row>
    <row r="631" spans="9:9" ht="12.75" x14ac:dyDescent="0.2">
      <c r="I631" s="13"/>
    </row>
    <row r="632" spans="9:9" ht="12.75" x14ac:dyDescent="0.2">
      <c r="I632" s="13"/>
    </row>
    <row r="633" spans="9:9" ht="12.75" x14ac:dyDescent="0.2">
      <c r="I633" s="13"/>
    </row>
    <row r="634" spans="9:9" ht="12.75" x14ac:dyDescent="0.2">
      <c r="I634" s="13"/>
    </row>
    <row r="635" spans="9:9" ht="12.75" x14ac:dyDescent="0.2">
      <c r="I635" s="13"/>
    </row>
    <row r="636" spans="9:9" ht="12.75" x14ac:dyDescent="0.2">
      <c r="I636" s="13"/>
    </row>
    <row r="637" spans="9:9" ht="12.75" x14ac:dyDescent="0.2">
      <c r="I637" s="13"/>
    </row>
    <row r="638" spans="9:9" ht="12.75" x14ac:dyDescent="0.2">
      <c r="I638" s="13"/>
    </row>
    <row r="639" spans="9:9" ht="12.75" x14ac:dyDescent="0.2">
      <c r="I639" s="13"/>
    </row>
    <row r="640" spans="9:9" ht="12.75" x14ac:dyDescent="0.2">
      <c r="I640" s="13"/>
    </row>
    <row r="641" spans="9:9" ht="12.75" x14ac:dyDescent="0.2">
      <c r="I641" s="13"/>
    </row>
    <row r="642" spans="9:9" ht="12.75" x14ac:dyDescent="0.2">
      <c r="I642" s="13"/>
    </row>
    <row r="643" spans="9:9" ht="12.75" x14ac:dyDescent="0.2">
      <c r="I643" s="13"/>
    </row>
    <row r="644" spans="9:9" ht="12.75" x14ac:dyDescent="0.2">
      <c r="I644" s="13"/>
    </row>
    <row r="645" spans="9:9" ht="12.75" x14ac:dyDescent="0.2">
      <c r="I645" s="13"/>
    </row>
    <row r="646" spans="9:9" ht="12.75" x14ac:dyDescent="0.2">
      <c r="I646" s="13"/>
    </row>
    <row r="647" spans="9:9" ht="12.75" x14ac:dyDescent="0.2">
      <c r="I647" s="13"/>
    </row>
    <row r="648" spans="9:9" ht="12.75" x14ac:dyDescent="0.2">
      <c r="I648" s="13"/>
    </row>
    <row r="649" spans="9:9" ht="12.75" x14ac:dyDescent="0.2">
      <c r="I649" s="13"/>
    </row>
    <row r="650" spans="9:9" ht="12.75" x14ac:dyDescent="0.2">
      <c r="I650" s="13"/>
    </row>
    <row r="651" spans="9:9" ht="12.75" x14ac:dyDescent="0.2">
      <c r="I651" s="13"/>
    </row>
    <row r="652" spans="9:9" ht="12.75" x14ac:dyDescent="0.2">
      <c r="I652" s="13"/>
    </row>
    <row r="653" spans="9:9" ht="12.75" x14ac:dyDescent="0.2">
      <c r="I653" s="13"/>
    </row>
    <row r="654" spans="9:9" ht="12.75" x14ac:dyDescent="0.2">
      <c r="I654" s="13"/>
    </row>
    <row r="655" spans="9:9" ht="12.75" x14ac:dyDescent="0.2">
      <c r="I655" s="13"/>
    </row>
    <row r="656" spans="9:9" ht="12.75" x14ac:dyDescent="0.2">
      <c r="I656" s="13"/>
    </row>
    <row r="657" spans="9:9" ht="12.75" x14ac:dyDescent="0.2">
      <c r="I657" s="13"/>
    </row>
    <row r="658" spans="9:9" ht="12.75" x14ac:dyDescent="0.2">
      <c r="I658" s="13"/>
    </row>
    <row r="659" spans="9:9" ht="12.75" x14ac:dyDescent="0.2">
      <c r="I659" s="13"/>
    </row>
    <row r="660" spans="9:9" ht="12.75" x14ac:dyDescent="0.2">
      <c r="I660" s="13"/>
    </row>
    <row r="661" spans="9:9" ht="12.75" x14ac:dyDescent="0.2">
      <c r="I661" s="13"/>
    </row>
    <row r="662" spans="9:9" ht="12.75" x14ac:dyDescent="0.2">
      <c r="I662" s="13"/>
    </row>
    <row r="663" spans="9:9" ht="12.75" x14ac:dyDescent="0.2">
      <c r="I663" s="13"/>
    </row>
    <row r="664" spans="9:9" ht="12.75" x14ac:dyDescent="0.2">
      <c r="I664" s="13"/>
    </row>
    <row r="665" spans="9:9" ht="12.75" x14ac:dyDescent="0.2">
      <c r="I665" s="13"/>
    </row>
    <row r="666" spans="9:9" ht="12.75" x14ac:dyDescent="0.2">
      <c r="I666" s="13"/>
    </row>
    <row r="667" spans="9:9" ht="12.75" x14ac:dyDescent="0.2">
      <c r="I667" s="13"/>
    </row>
    <row r="668" spans="9:9" ht="12.75" x14ac:dyDescent="0.2">
      <c r="I668" s="13"/>
    </row>
    <row r="669" spans="9:9" ht="12.75" x14ac:dyDescent="0.2">
      <c r="I669" s="13"/>
    </row>
    <row r="670" spans="9:9" ht="12.75" x14ac:dyDescent="0.2">
      <c r="I670" s="13"/>
    </row>
    <row r="671" spans="9:9" ht="12.75" x14ac:dyDescent="0.2">
      <c r="I671" s="13"/>
    </row>
    <row r="672" spans="9:9" ht="12.75" x14ac:dyDescent="0.2">
      <c r="I672" s="13"/>
    </row>
    <row r="673" spans="9:9" ht="12.75" x14ac:dyDescent="0.2">
      <c r="I673" s="13"/>
    </row>
    <row r="674" spans="9:9" ht="12.75" x14ac:dyDescent="0.2">
      <c r="I674" s="13"/>
    </row>
    <row r="675" spans="9:9" ht="12.75" x14ac:dyDescent="0.2">
      <c r="I675" s="13"/>
    </row>
    <row r="676" spans="9:9" ht="12.75" x14ac:dyDescent="0.2">
      <c r="I676" s="13"/>
    </row>
    <row r="677" spans="9:9" ht="12.75" x14ac:dyDescent="0.2">
      <c r="I677" s="13"/>
    </row>
    <row r="678" spans="9:9" ht="12.75" x14ac:dyDescent="0.2">
      <c r="I678" s="13"/>
    </row>
    <row r="679" spans="9:9" ht="12.75" x14ac:dyDescent="0.2">
      <c r="I679" s="13"/>
    </row>
    <row r="680" spans="9:9" ht="12.75" x14ac:dyDescent="0.2">
      <c r="I680" s="13"/>
    </row>
    <row r="681" spans="9:9" ht="12.75" x14ac:dyDescent="0.2">
      <c r="I681" s="13"/>
    </row>
    <row r="682" spans="9:9" ht="12.75" x14ac:dyDescent="0.2">
      <c r="I682" s="13"/>
    </row>
    <row r="683" spans="9:9" ht="12.75" x14ac:dyDescent="0.2">
      <c r="I683" s="13"/>
    </row>
    <row r="684" spans="9:9" ht="12.75" x14ac:dyDescent="0.2">
      <c r="I684" s="13"/>
    </row>
    <row r="685" spans="9:9" ht="12.75" x14ac:dyDescent="0.2">
      <c r="I685" s="13"/>
    </row>
    <row r="686" spans="9:9" ht="12.75" x14ac:dyDescent="0.2">
      <c r="I686" s="13"/>
    </row>
    <row r="687" spans="9:9" ht="12.75" x14ac:dyDescent="0.2">
      <c r="I687" s="13"/>
    </row>
    <row r="688" spans="9:9" ht="12.75" x14ac:dyDescent="0.2">
      <c r="I688" s="13"/>
    </row>
    <row r="689" spans="9:9" ht="12.75" x14ac:dyDescent="0.2">
      <c r="I689" s="13"/>
    </row>
    <row r="690" spans="9:9" ht="12.75" x14ac:dyDescent="0.2">
      <c r="I690" s="13"/>
    </row>
    <row r="691" spans="9:9" ht="12.75" x14ac:dyDescent="0.2">
      <c r="I691" s="13"/>
    </row>
    <row r="692" spans="9:9" ht="12.75" x14ac:dyDescent="0.2">
      <c r="I692" s="13"/>
    </row>
    <row r="693" spans="9:9" ht="12.75" x14ac:dyDescent="0.2">
      <c r="I693" s="13"/>
    </row>
    <row r="694" spans="9:9" ht="12.75" x14ac:dyDescent="0.2">
      <c r="I694" s="13"/>
    </row>
    <row r="695" spans="9:9" ht="12.75" x14ac:dyDescent="0.2">
      <c r="I695" s="13"/>
    </row>
    <row r="696" spans="9:9" ht="12.75" x14ac:dyDescent="0.2">
      <c r="I696" s="13"/>
    </row>
    <row r="697" spans="9:9" ht="12.75" x14ac:dyDescent="0.2">
      <c r="I697" s="13"/>
    </row>
    <row r="698" spans="9:9" ht="12.75" x14ac:dyDescent="0.2">
      <c r="I698" s="13"/>
    </row>
    <row r="699" spans="9:9" ht="12.75" x14ac:dyDescent="0.2">
      <c r="I699" s="13"/>
    </row>
    <row r="700" spans="9:9" ht="12.75" x14ac:dyDescent="0.2">
      <c r="I700" s="13"/>
    </row>
    <row r="701" spans="9:9" ht="12.75" x14ac:dyDescent="0.2">
      <c r="I701" s="13"/>
    </row>
    <row r="702" spans="9:9" ht="12.75" x14ac:dyDescent="0.2">
      <c r="I702" s="13"/>
    </row>
    <row r="703" spans="9:9" ht="12.75" x14ac:dyDescent="0.2">
      <c r="I703" s="13"/>
    </row>
    <row r="704" spans="9:9" ht="12.75" x14ac:dyDescent="0.2">
      <c r="I704" s="13"/>
    </row>
    <row r="705" spans="9:9" ht="12.75" x14ac:dyDescent="0.2">
      <c r="I705" s="13"/>
    </row>
    <row r="706" spans="9:9" ht="12.75" x14ac:dyDescent="0.2">
      <c r="I706" s="13"/>
    </row>
    <row r="707" spans="9:9" ht="12.75" x14ac:dyDescent="0.2">
      <c r="I707" s="13"/>
    </row>
    <row r="708" spans="9:9" ht="12.75" x14ac:dyDescent="0.2">
      <c r="I708" s="13"/>
    </row>
    <row r="709" spans="9:9" ht="12.75" x14ac:dyDescent="0.2">
      <c r="I709" s="13"/>
    </row>
    <row r="710" spans="9:9" ht="12.75" x14ac:dyDescent="0.2">
      <c r="I710" s="13"/>
    </row>
    <row r="711" spans="9:9" ht="12.75" x14ac:dyDescent="0.2">
      <c r="I711" s="13"/>
    </row>
    <row r="712" spans="9:9" ht="12.75" x14ac:dyDescent="0.2">
      <c r="I712" s="13"/>
    </row>
    <row r="713" spans="9:9" ht="12.75" x14ac:dyDescent="0.2">
      <c r="I713" s="13"/>
    </row>
    <row r="714" spans="9:9" ht="12.75" x14ac:dyDescent="0.2">
      <c r="I714" s="13"/>
    </row>
    <row r="715" spans="9:9" ht="12.75" x14ac:dyDescent="0.2">
      <c r="I715" s="13"/>
    </row>
    <row r="716" spans="9:9" ht="12.75" x14ac:dyDescent="0.2">
      <c r="I716" s="13"/>
    </row>
    <row r="717" spans="9:9" ht="12.75" x14ac:dyDescent="0.2">
      <c r="I717" s="13"/>
    </row>
    <row r="718" spans="9:9" ht="12.75" x14ac:dyDescent="0.2">
      <c r="I718" s="13"/>
    </row>
    <row r="719" spans="9:9" ht="12.75" x14ac:dyDescent="0.2">
      <c r="I719" s="13"/>
    </row>
    <row r="720" spans="9:9" ht="12.75" x14ac:dyDescent="0.2">
      <c r="I720" s="13"/>
    </row>
    <row r="721" spans="9:9" ht="12.75" x14ac:dyDescent="0.2">
      <c r="I721" s="13"/>
    </row>
    <row r="722" spans="9:9" ht="12.75" x14ac:dyDescent="0.2">
      <c r="I722" s="13"/>
    </row>
    <row r="723" spans="9:9" ht="12.75" x14ac:dyDescent="0.2">
      <c r="I723" s="13"/>
    </row>
    <row r="724" spans="9:9" ht="12.75" x14ac:dyDescent="0.2">
      <c r="I724" s="13"/>
    </row>
    <row r="725" spans="9:9" ht="12.75" x14ac:dyDescent="0.2">
      <c r="I725" s="13"/>
    </row>
    <row r="726" spans="9:9" ht="12.75" x14ac:dyDescent="0.2">
      <c r="I726" s="13"/>
    </row>
    <row r="727" spans="9:9" ht="12.75" x14ac:dyDescent="0.2">
      <c r="I727" s="13"/>
    </row>
    <row r="728" spans="9:9" ht="12.75" x14ac:dyDescent="0.2">
      <c r="I728" s="13"/>
    </row>
    <row r="729" spans="9:9" ht="12.75" x14ac:dyDescent="0.2">
      <c r="I729" s="13"/>
    </row>
    <row r="730" spans="9:9" ht="12.75" x14ac:dyDescent="0.2">
      <c r="I730" s="13"/>
    </row>
    <row r="731" spans="9:9" ht="12.75" x14ac:dyDescent="0.2">
      <c r="I731" s="13"/>
    </row>
    <row r="732" spans="9:9" ht="12.75" x14ac:dyDescent="0.2">
      <c r="I732" s="13"/>
    </row>
    <row r="733" spans="9:9" ht="12.75" x14ac:dyDescent="0.2">
      <c r="I733" s="13"/>
    </row>
    <row r="734" spans="9:9" ht="12.75" x14ac:dyDescent="0.2">
      <c r="I734" s="13"/>
    </row>
    <row r="735" spans="9:9" ht="12.75" x14ac:dyDescent="0.2">
      <c r="I735" s="13"/>
    </row>
    <row r="736" spans="9:9" ht="12.75" x14ac:dyDescent="0.2">
      <c r="I736" s="13"/>
    </row>
    <row r="737" spans="9:9" ht="12.75" x14ac:dyDescent="0.2">
      <c r="I737" s="13"/>
    </row>
    <row r="738" spans="9:9" ht="12.75" x14ac:dyDescent="0.2">
      <c r="I738" s="13"/>
    </row>
    <row r="739" spans="9:9" ht="12.75" x14ac:dyDescent="0.2">
      <c r="I739" s="13"/>
    </row>
    <row r="740" spans="9:9" ht="12.75" x14ac:dyDescent="0.2">
      <c r="I740" s="13"/>
    </row>
    <row r="741" spans="9:9" ht="12.75" x14ac:dyDescent="0.2">
      <c r="I741" s="13"/>
    </row>
    <row r="742" spans="9:9" ht="12.75" x14ac:dyDescent="0.2">
      <c r="I742" s="13"/>
    </row>
    <row r="743" spans="9:9" ht="12.75" x14ac:dyDescent="0.2">
      <c r="I743" s="13"/>
    </row>
    <row r="744" spans="9:9" ht="12.75" x14ac:dyDescent="0.2">
      <c r="I744" s="13"/>
    </row>
    <row r="745" spans="9:9" ht="12.75" x14ac:dyDescent="0.2">
      <c r="I745" s="13"/>
    </row>
    <row r="746" spans="9:9" ht="12.75" x14ac:dyDescent="0.2">
      <c r="I746" s="13"/>
    </row>
    <row r="747" spans="9:9" ht="12.75" x14ac:dyDescent="0.2">
      <c r="I747" s="13"/>
    </row>
    <row r="748" spans="9:9" ht="12.75" x14ac:dyDescent="0.2">
      <c r="I748" s="13"/>
    </row>
    <row r="749" spans="9:9" ht="12.75" x14ac:dyDescent="0.2">
      <c r="I749" s="13"/>
    </row>
    <row r="750" spans="9:9" ht="12.75" x14ac:dyDescent="0.2">
      <c r="I750" s="13"/>
    </row>
    <row r="751" spans="9:9" ht="12.75" x14ac:dyDescent="0.2">
      <c r="I751" s="13"/>
    </row>
    <row r="752" spans="9:9" ht="12.75" x14ac:dyDescent="0.2">
      <c r="I752" s="13"/>
    </row>
    <row r="753" spans="9:9" ht="12.75" x14ac:dyDescent="0.2">
      <c r="I753" s="13"/>
    </row>
    <row r="754" spans="9:9" ht="12.75" x14ac:dyDescent="0.2">
      <c r="I754" s="13"/>
    </row>
    <row r="755" spans="9:9" ht="12.75" x14ac:dyDescent="0.2">
      <c r="I755" s="13"/>
    </row>
    <row r="756" spans="9:9" ht="12.75" x14ac:dyDescent="0.2">
      <c r="I756" s="13"/>
    </row>
    <row r="757" spans="9:9" ht="12.75" x14ac:dyDescent="0.2">
      <c r="I757" s="13"/>
    </row>
    <row r="758" spans="9:9" ht="12.75" x14ac:dyDescent="0.2">
      <c r="I758" s="13"/>
    </row>
    <row r="759" spans="9:9" ht="12.75" x14ac:dyDescent="0.2">
      <c r="I759" s="13"/>
    </row>
    <row r="760" spans="9:9" ht="12.75" x14ac:dyDescent="0.2">
      <c r="I760" s="13"/>
    </row>
    <row r="761" spans="9:9" ht="12.75" x14ac:dyDescent="0.2">
      <c r="I761" s="13"/>
    </row>
    <row r="762" spans="9:9" ht="12.75" x14ac:dyDescent="0.2">
      <c r="I762" s="13"/>
    </row>
    <row r="763" spans="9:9" ht="12.75" x14ac:dyDescent="0.2">
      <c r="I763" s="13"/>
    </row>
    <row r="764" spans="9:9" ht="12.75" x14ac:dyDescent="0.2">
      <c r="I764" s="13"/>
    </row>
    <row r="765" spans="9:9" ht="12.75" x14ac:dyDescent="0.2">
      <c r="I765" s="13"/>
    </row>
    <row r="766" spans="9:9" ht="12.75" x14ac:dyDescent="0.2">
      <c r="I766" s="13"/>
    </row>
    <row r="767" spans="9:9" ht="12.75" x14ac:dyDescent="0.2">
      <c r="I767" s="13"/>
    </row>
    <row r="768" spans="9:9" ht="12.75" x14ac:dyDescent="0.2">
      <c r="I768" s="13"/>
    </row>
    <row r="769" spans="9:9" ht="12.75" x14ac:dyDescent="0.2">
      <c r="I769" s="13"/>
    </row>
    <row r="770" spans="9:9" ht="12.75" x14ac:dyDescent="0.2">
      <c r="I770" s="13"/>
    </row>
    <row r="771" spans="9:9" ht="12.75" x14ac:dyDescent="0.2">
      <c r="I771" s="13"/>
    </row>
    <row r="772" spans="9:9" ht="12.75" x14ac:dyDescent="0.2">
      <c r="I772" s="13"/>
    </row>
    <row r="773" spans="9:9" ht="12.75" x14ac:dyDescent="0.2">
      <c r="I773" s="13"/>
    </row>
    <row r="774" spans="9:9" ht="12.75" x14ac:dyDescent="0.2">
      <c r="I774" s="13"/>
    </row>
    <row r="775" spans="9:9" ht="12.75" x14ac:dyDescent="0.2">
      <c r="I775" s="13"/>
    </row>
    <row r="776" spans="9:9" ht="12.75" x14ac:dyDescent="0.2">
      <c r="I776" s="13"/>
    </row>
    <row r="777" spans="9:9" ht="12.75" x14ac:dyDescent="0.2">
      <c r="I777" s="13"/>
    </row>
    <row r="778" spans="9:9" ht="12.75" x14ac:dyDescent="0.2">
      <c r="I778" s="13"/>
    </row>
    <row r="779" spans="9:9" ht="12.75" x14ac:dyDescent="0.2">
      <c r="I779" s="13"/>
    </row>
    <row r="780" spans="9:9" ht="12.75" x14ac:dyDescent="0.2">
      <c r="I780" s="13"/>
    </row>
    <row r="781" spans="9:9" ht="12.75" x14ac:dyDescent="0.2">
      <c r="I781" s="13"/>
    </row>
    <row r="782" spans="9:9" ht="12.75" x14ac:dyDescent="0.2">
      <c r="I782" s="13"/>
    </row>
    <row r="783" spans="9:9" ht="12.75" x14ac:dyDescent="0.2">
      <c r="I783" s="13"/>
    </row>
    <row r="784" spans="9:9" ht="12.75" x14ac:dyDescent="0.2">
      <c r="I784" s="13"/>
    </row>
    <row r="785" spans="9:9" ht="12.75" x14ac:dyDescent="0.2">
      <c r="I785" s="13"/>
    </row>
    <row r="786" spans="9:9" ht="12.75" x14ac:dyDescent="0.2">
      <c r="I786" s="13"/>
    </row>
    <row r="787" spans="9:9" ht="12.75" x14ac:dyDescent="0.2">
      <c r="I787" s="13"/>
    </row>
    <row r="788" spans="9:9" ht="12.75" x14ac:dyDescent="0.2">
      <c r="I788" s="13"/>
    </row>
    <row r="789" spans="9:9" ht="12.75" x14ac:dyDescent="0.2">
      <c r="I789" s="13"/>
    </row>
    <row r="790" spans="9:9" ht="12.75" x14ac:dyDescent="0.2">
      <c r="I790" s="13"/>
    </row>
    <row r="791" spans="9:9" ht="12.75" x14ac:dyDescent="0.2">
      <c r="I791" s="13"/>
    </row>
    <row r="792" spans="9:9" ht="12.75" x14ac:dyDescent="0.2">
      <c r="I792" s="13"/>
    </row>
    <row r="793" spans="9:9" ht="12.75" x14ac:dyDescent="0.2">
      <c r="I793" s="13"/>
    </row>
    <row r="794" spans="9:9" ht="12.75" x14ac:dyDescent="0.2">
      <c r="I794" s="13"/>
    </row>
    <row r="795" spans="9:9" ht="12.75" x14ac:dyDescent="0.2">
      <c r="I795" s="13"/>
    </row>
    <row r="796" spans="9:9" ht="12.75" x14ac:dyDescent="0.2">
      <c r="I796" s="13"/>
    </row>
    <row r="797" spans="9:9" ht="12.75" x14ac:dyDescent="0.2">
      <c r="I797" s="13"/>
    </row>
    <row r="798" spans="9:9" ht="12.75" x14ac:dyDescent="0.2">
      <c r="I798" s="13"/>
    </row>
    <row r="799" spans="9:9" ht="12.75" x14ac:dyDescent="0.2">
      <c r="I799" s="13"/>
    </row>
    <row r="800" spans="9:9" ht="12.75" x14ac:dyDescent="0.2">
      <c r="I800" s="13"/>
    </row>
    <row r="801" spans="9:9" ht="12.75" x14ac:dyDescent="0.2">
      <c r="I801" s="13"/>
    </row>
    <row r="802" spans="9:9" ht="12.75" x14ac:dyDescent="0.2">
      <c r="I802" s="13"/>
    </row>
    <row r="803" spans="9:9" ht="12.75" x14ac:dyDescent="0.2">
      <c r="I803" s="13"/>
    </row>
    <row r="804" spans="9:9" ht="12.75" x14ac:dyDescent="0.2">
      <c r="I804" s="13"/>
    </row>
    <row r="805" spans="9:9" ht="12.75" x14ac:dyDescent="0.2">
      <c r="I805" s="13"/>
    </row>
    <row r="806" spans="9:9" ht="12.75" x14ac:dyDescent="0.2">
      <c r="I806" s="13"/>
    </row>
    <row r="807" spans="9:9" ht="12.75" x14ac:dyDescent="0.2">
      <c r="I807" s="13"/>
    </row>
    <row r="808" spans="9:9" ht="12.75" x14ac:dyDescent="0.2">
      <c r="I808" s="13"/>
    </row>
    <row r="809" spans="9:9" ht="12.75" x14ac:dyDescent="0.2">
      <c r="I809" s="13"/>
    </row>
    <row r="810" spans="9:9" ht="12.75" x14ac:dyDescent="0.2">
      <c r="I810" s="13"/>
    </row>
    <row r="811" spans="9:9" ht="12.75" x14ac:dyDescent="0.2">
      <c r="I811" s="13"/>
    </row>
    <row r="812" spans="9:9" ht="12.75" x14ac:dyDescent="0.2">
      <c r="I812" s="13"/>
    </row>
    <row r="813" spans="9:9" ht="12.75" x14ac:dyDescent="0.2">
      <c r="I813" s="13"/>
    </row>
    <row r="814" spans="9:9" ht="12.75" x14ac:dyDescent="0.2">
      <c r="I814" s="13"/>
    </row>
    <row r="815" spans="9:9" ht="12.75" x14ac:dyDescent="0.2">
      <c r="I815" s="13"/>
    </row>
    <row r="816" spans="9:9" ht="12.75" x14ac:dyDescent="0.2">
      <c r="I816" s="13"/>
    </row>
    <row r="817" spans="9:9" ht="12.75" x14ac:dyDescent="0.2">
      <c r="I817" s="13"/>
    </row>
    <row r="818" spans="9:9" ht="12.75" x14ac:dyDescent="0.2">
      <c r="I818" s="13"/>
    </row>
    <row r="819" spans="9:9" ht="12.75" x14ac:dyDescent="0.2">
      <c r="I819" s="13"/>
    </row>
    <row r="820" spans="9:9" ht="12.75" x14ac:dyDescent="0.2">
      <c r="I820" s="13"/>
    </row>
    <row r="821" spans="9:9" ht="12.75" x14ac:dyDescent="0.2">
      <c r="I821" s="13"/>
    </row>
    <row r="822" spans="9:9" ht="12.75" x14ac:dyDescent="0.2">
      <c r="I822" s="13"/>
    </row>
    <row r="823" spans="9:9" ht="12.75" x14ac:dyDescent="0.2">
      <c r="I823" s="13"/>
    </row>
    <row r="824" spans="9:9" ht="12.75" x14ac:dyDescent="0.2">
      <c r="I824" s="13"/>
    </row>
    <row r="825" spans="9:9" ht="12.75" x14ac:dyDescent="0.2">
      <c r="I825" s="13"/>
    </row>
    <row r="826" spans="9:9" ht="12.75" x14ac:dyDescent="0.2">
      <c r="I826" s="13"/>
    </row>
    <row r="827" spans="9:9" ht="12.75" x14ac:dyDescent="0.2">
      <c r="I827" s="13"/>
    </row>
    <row r="828" spans="9:9" ht="12.75" x14ac:dyDescent="0.2">
      <c r="I828" s="13"/>
    </row>
    <row r="829" spans="9:9" ht="12.75" x14ac:dyDescent="0.2">
      <c r="I829" s="13"/>
    </row>
    <row r="830" spans="9:9" ht="12.75" x14ac:dyDescent="0.2">
      <c r="I830" s="13"/>
    </row>
    <row r="831" spans="9:9" ht="12.75" x14ac:dyDescent="0.2">
      <c r="I831" s="13"/>
    </row>
    <row r="832" spans="9:9" ht="12.75" x14ac:dyDescent="0.2">
      <c r="I832" s="13"/>
    </row>
    <row r="833" spans="9:9" ht="12.75" x14ac:dyDescent="0.2">
      <c r="I833" s="13"/>
    </row>
    <row r="834" spans="9:9" ht="12.75" x14ac:dyDescent="0.2">
      <c r="I834" s="13"/>
    </row>
    <row r="835" spans="9:9" ht="12.75" x14ac:dyDescent="0.2">
      <c r="I835" s="13"/>
    </row>
    <row r="836" spans="9:9" ht="12.75" x14ac:dyDescent="0.2">
      <c r="I836" s="13"/>
    </row>
    <row r="837" spans="9:9" ht="12.75" x14ac:dyDescent="0.2">
      <c r="I837" s="13"/>
    </row>
    <row r="838" spans="9:9" ht="12.75" x14ac:dyDescent="0.2">
      <c r="I838" s="13"/>
    </row>
    <row r="839" spans="9:9" ht="12.75" x14ac:dyDescent="0.2">
      <c r="I839" s="13"/>
    </row>
    <row r="840" spans="9:9" ht="12.75" x14ac:dyDescent="0.2">
      <c r="I840" s="13"/>
    </row>
    <row r="841" spans="9:9" ht="12.75" x14ac:dyDescent="0.2">
      <c r="I841" s="13"/>
    </row>
    <row r="842" spans="9:9" ht="12.75" x14ac:dyDescent="0.2">
      <c r="I842" s="13"/>
    </row>
    <row r="843" spans="9:9" ht="12.75" x14ac:dyDescent="0.2">
      <c r="I843" s="13"/>
    </row>
    <row r="844" spans="9:9" ht="12.75" x14ac:dyDescent="0.2">
      <c r="I844" s="13"/>
    </row>
    <row r="845" spans="9:9" ht="12.75" x14ac:dyDescent="0.2">
      <c r="I845" s="13"/>
    </row>
    <row r="846" spans="9:9" ht="12.75" x14ac:dyDescent="0.2">
      <c r="I846" s="13"/>
    </row>
    <row r="847" spans="9:9" ht="12.75" x14ac:dyDescent="0.2">
      <c r="I847" s="13"/>
    </row>
    <row r="848" spans="9:9" ht="12.75" x14ac:dyDescent="0.2">
      <c r="I848" s="13"/>
    </row>
    <row r="849" spans="9:9" ht="12.75" x14ac:dyDescent="0.2">
      <c r="I849" s="13"/>
    </row>
    <row r="850" spans="9:9" ht="12.75" x14ac:dyDescent="0.2">
      <c r="I850" s="13"/>
    </row>
    <row r="851" spans="9:9" ht="12.75" x14ac:dyDescent="0.2">
      <c r="I851" s="13"/>
    </row>
    <row r="852" spans="9:9" ht="12.75" x14ac:dyDescent="0.2">
      <c r="I852" s="13"/>
    </row>
    <row r="853" spans="9:9" ht="12.75" x14ac:dyDescent="0.2">
      <c r="I853" s="13"/>
    </row>
    <row r="854" spans="9:9" ht="12.75" x14ac:dyDescent="0.2">
      <c r="I854" s="13"/>
    </row>
    <row r="855" spans="9:9" ht="12.75" x14ac:dyDescent="0.2">
      <c r="I855" s="13"/>
    </row>
    <row r="856" spans="9:9" ht="12.75" x14ac:dyDescent="0.2">
      <c r="I856" s="13"/>
    </row>
    <row r="857" spans="9:9" ht="12.75" x14ac:dyDescent="0.2">
      <c r="I857" s="13"/>
    </row>
    <row r="858" spans="9:9" ht="12.75" x14ac:dyDescent="0.2">
      <c r="I858" s="13"/>
    </row>
    <row r="859" spans="9:9" ht="12.75" x14ac:dyDescent="0.2">
      <c r="I859" s="13"/>
    </row>
    <row r="860" spans="9:9" ht="12.75" x14ac:dyDescent="0.2">
      <c r="I860" s="13"/>
    </row>
    <row r="861" spans="9:9" ht="12.75" x14ac:dyDescent="0.2">
      <c r="I861" s="13"/>
    </row>
    <row r="862" spans="9:9" ht="12.75" x14ac:dyDescent="0.2">
      <c r="I862" s="13"/>
    </row>
    <row r="863" spans="9:9" ht="12.75" x14ac:dyDescent="0.2">
      <c r="I863" s="13"/>
    </row>
    <row r="864" spans="9:9" ht="12.75" x14ac:dyDescent="0.2">
      <c r="I864" s="13"/>
    </row>
    <row r="865" spans="9:9" ht="12.75" x14ac:dyDescent="0.2">
      <c r="I865" s="13"/>
    </row>
    <row r="866" spans="9:9" ht="12.75" x14ac:dyDescent="0.2">
      <c r="I866" s="13"/>
    </row>
    <row r="867" spans="9:9" ht="12.75" x14ac:dyDescent="0.2">
      <c r="I867" s="13"/>
    </row>
    <row r="868" spans="9:9" ht="12.75" x14ac:dyDescent="0.2">
      <c r="I868" s="13"/>
    </row>
    <row r="869" spans="9:9" ht="12.75" x14ac:dyDescent="0.2">
      <c r="I869" s="13"/>
    </row>
    <row r="870" spans="9:9" ht="12.75" x14ac:dyDescent="0.2">
      <c r="I870" s="13"/>
    </row>
    <row r="871" spans="9:9" ht="12.75" x14ac:dyDescent="0.2">
      <c r="I871" s="13"/>
    </row>
    <row r="872" spans="9:9" ht="12.75" x14ac:dyDescent="0.2">
      <c r="I872" s="13"/>
    </row>
    <row r="873" spans="9:9" ht="12.75" x14ac:dyDescent="0.2">
      <c r="I873" s="13"/>
    </row>
    <row r="874" spans="9:9" ht="12.75" x14ac:dyDescent="0.2">
      <c r="I874" s="13"/>
    </row>
    <row r="875" spans="9:9" ht="12.75" x14ac:dyDescent="0.2">
      <c r="I875" s="13"/>
    </row>
    <row r="876" spans="9:9" ht="12.75" x14ac:dyDescent="0.2">
      <c r="I876" s="13"/>
    </row>
    <row r="877" spans="9:9" ht="12.75" x14ac:dyDescent="0.2">
      <c r="I877" s="13"/>
    </row>
    <row r="878" spans="9:9" ht="12.75" x14ac:dyDescent="0.2">
      <c r="I878" s="13"/>
    </row>
    <row r="879" spans="9:9" ht="12.75" x14ac:dyDescent="0.2">
      <c r="I879" s="13"/>
    </row>
    <row r="880" spans="9:9" ht="12.75" x14ac:dyDescent="0.2">
      <c r="I880" s="13"/>
    </row>
    <row r="881" spans="9:9" ht="12.75" x14ac:dyDescent="0.2">
      <c r="I881" s="13"/>
    </row>
    <row r="882" spans="9:9" ht="12.75" x14ac:dyDescent="0.2">
      <c r="I882" s="13"/>
    </row>
    <row r="883" spans="9:9" ht="12.75" x14ac:dyDescent="0.2">
      <c r="I883" s="13"/>
    </row>
    <row r="884" spans="9:9" ht="12.75" x14ac:dyDescent="0.2">
      <c r="I884" s="13"/>
    </row>
    <row r="885" spans="9:9" ht="12.75" x14ac:dyDescent="0.2">
      <c r="I885" s="13"/>
    </row>
    <row r="886" spans="9:9" ht="12.75" x14ac:dyDescent="0.2">
      <c r="I886" s="13"/>
    </row>
    <row r="887" spans="9:9" ht="12.75" x14ac:dyDescent="0.2">
      <c r="I887" s="13"/>
    </row>
    <row r="888" spans="9:9" ht="12.75" x14ac:dyDescent="0.2">
      <c r="I888" s="13"/>
    </row>
    <row r="889" spans="9:9" ht="12.75" x14ac:dyDescent="0.2">
      <c r="I889" s="13"/>
    </row>
    <row r="890" spans="9:9" ht="12.75" x14ac:dyDescent="0.2">
      <c r="I890" s="13"/>
    </row>
    <row r="891" spans="9:9" ht="12.75" x14ac:dyDescent="0.2">
      <c r="I891" s="13"/>
    </row>
    <row r="892" spans="9:9" ht="12.75" x14ac:dyDescent="0.2">
      <c r="I892" s="13"/>
    </row>
    <row r="893" spans="9:9" ht="12.75" x14ac:dyDescent="0.2">
      <c r="I893" s="13"/>
    </row>
    <row r="894" spans="9:9" ht="12.75" x14ac:dyDescent="0.2">
      <c r="I894" s="13"/>
    </row>
    <row r="895" spans="9:9" ht="12.75" x14ac:dyDescent="0.2">
      <c r="I895" s="13"/>
    </row>
    <row r="896" spans="9:9" ht="12.75" x14ac:dyDescent="0.2">
      <c r="I896" s="13"/>
    </row>
    <row r="897" spans="9:9" ht="12.75" x14ac:dyDescent="0.2">
      <c r="I897" s="13"/>
    </row>
    <row r="898" spans="9:9" ht="12.75" x14ac:dyDescent="0.2">
      <c r="I898" s="13"/>
    </row>
    <row r="899" spans="9:9" ht="12.75" x14ac:dyDescent="0.2">
      <c r="I899" s="13"/>
    </row>
    <row r="900" spans="9:9" ht="12.75" x14ac:dyDescent="0.2">
      <c r="I900" s="13"/>
    </row>
    <row r="901" spans="9:9" ht="12.75" x14ac:dyDescent="0.2">
      <c r="I901" s="13"/>
    </row>
    <row r="902" spans="9:9" ht="12.75" x14ac:dyDescent="0.2">
      <c r="I902" s="13"/>
    </row>
    <row r="903" spans="9:9" ht="12.75" x14ac:dyDescent="0.2">
      <c r="I903" s="13"/>
    </row>
    <row r="904" spans="9:9" ht="12.75" x14ac:dyDescent="0.2">
      <c r="I904" s="13"/>
    </row>
    <row r="905" spans="9:9" ht="12.75" x14ac:dyDescent="0.2">
      <c r="I905" s="13"/>
    </row>
    <row r="906" spans="9:9" ht="12.75" x14ac:dyDescent="0.2">
      <c r="I906" s="13"/>
    </row>
    <row r="907" spans="9:9" ht="12.75" x14ac:dyDescent="0.2">
      <c r="I907" s="13"/>
    </row>
    <row r="908" spans="9:9" ht="12.75" x14ac:dyDescent="0.2">
      <c r="I908" s="13"/>
    </row>
    <row r="909" spans="9:9" ht="12.75" x14ac:dyDescent="0.2">
      <c r="I909" s="13"/>
    </row>
    <row r="910" spans="9:9" ht="12.75" x14ac:dyDescent="0.2">
      <c r="I910" s="13"/>
    </row>
    <row r="911" spans="9:9" ht="12.75" x14ac:dyDescent="0.2">
      <c r="I911" s="13"/>
    </row>
    <row r="912" spans="9:9" ht="12.75" x14ac:dyDescent="0.2">
      <c r="I912" s="13"/>
    </row>
    <row r="913" spans="9:9" ht="12.75" x14ac:dyDescent="0.2">
      <c r="I913" s="13"/>
    </row>
    <row r="914" spans="9:9" ht="12.75" x14ac:dyDescent="0.2">
      <c r="I914" s="13"/>
    </row>
    <row r="915" spans="9:9" ht="12.75" x14ac:dyDescent="0.2">
      <c r="I915" s="13"/>
    </row>
    <row r="916" spans="9:9" ht="12.75" x14ac:dyDescent="0.2">
      <c r="I916" s="13"/>
    </row>
    <row r="917" spans="9:9" ht="12.75" x14ac:dyDescent="0.2">
      <c r="I917" s="13"/>
    </row>
    <row r="918" spans="9:9" ht="12.75" x14ac:dyDescent="0.2">
      <c r="I918" s="13"/>
    </row>
    <row r="919" spans="9:9" ht="12.75" x14ac:dyDescent="0.2">
      <c r="I919" s="13"/>
    </row>
    <row r="920" spans="9:9" ht="12.75" x14ac:dyDescent="0.2">
      <c r="I920" s="13"/>
    </row>
    <row r="921" spans="9:9" ht="12.75" x14ac:dyDescent="0.2">
      <c r="I921" s="13"/>
    </row>
    <row r="922" spans="9:9" ht="12.75" x14ac:dyDescent="0.2">
      <c r="I922" s="13"/>
    </row>
    <row r="923" spans="9:9" ht="12.75" x14ac:dyDescent="0.2">
      <c r="I923" s="13"/>
    </row>
    <row r="924" spans="9:9" ht="12.75" x14ac:dyDescent="0.2">
      <c r="I924" s="13"/>
    </row>
    <row r="925" spans="9:9" ht="12.75" x14ac:dyDescent="0.2">
      <c r="I925" s="13"/>
    </row>
    <row r="926" spans="9:9" ht="12.75" x14ac:dyDescent="0.2">
      <c r="I926" s="13"/>
    </row>
    <row r="927" spans="9:9" ht="12.75" x14ac:dyDescent="0.2">
      <c r="I927" s="13"/>
    </row>
    <row r="928" spans="9:9" ht="12.75" x14ac:dyDescent="0.2">
      <c r="I928" s="13"/>
    </row>
    <row r="929" spans="9:9" ht="12.75" x14ac:dyDescent="0.2">
      <c r="I929" s="13"/>
    </row>
    <row r="930" spans="9:9" ht="12.75" x14ac:dyDescent="0.2">
      <c r="I930" s="13"/>
    </row>
    <row r="931" spans="9:9" ht="12.75" x14ac:dyDescent="0.2">
      <c r="I931" s="13"/>
    </row>
    <row r="932" spans="9:9" ht="12.75" x14ac:dyDescent="0.2">
      <c r="I932" s="13"/>
    </row>
    <row r="933" spans="9:9" ht="12.75" x14ac:dyDescent="0.2">
      <c r="I933" s="13"/>
    </row>
    <row r="934" spans="9:9" ht="12.75" x14ac:dyDescent="0.2">
      <c r="I934" s="13"/>
    </row>
    <row r="935" spans="9:9" ht="12.75" x14ac:dyDescent="0.2">
      <c r="I935" s="13"/>
    </row>
    <row r="936" spans="9:9" ht="12.75" x14ac:dyDescent="0.2">
      <c r="I936" s="13"/>
    </row>
    <row r="937" spans="9:9" ht="12.75" x14ac:dyDescent="0.2">
      <c r="I937" s="13"/>
    </row>
    <row r="938" spans="9:9" ht="12.75" x14ac:dyDescent="0.2">
      <c r="I938" s="13"/>
    </row>
    <row r="939" spans="9:9" ht="12.75" x14ac:dyDescent="0.2">
      <c r="I939" s="13"/>
    </row>
    <row r="940" spans="9:9" ht="12.75" x14ac:dyDescent="0.2">
      <c r="I940" s="13"/>
    </row>
    <row r="941" spans="9:9" ht="12.75" x14ac:dyDescent="0.2">
      <c r="I941" s="13"/>
    </row>
    <row r="942" spans="9:9" ht="12.75" x14ac:dyDescent="0.2">
      <c r="I942" s="13"/>
    </row>
    <row r="943" spans="9:9" ht="12.75" x14ac:dyDescent="0.2">
      <c r="I943" s="13"/>
    </row>
    <row r="944" spans="9:9" ht="12.75" x14ac:dyDescent="0.2">
      <c r="I944" s="13"/>
    </row>
    <row r="945" spans="9:9" ht="12.75" x14ac:dyDescent="0.2">
      <c r="I945" s="13"/>
    </row>
    <row r="946" spans="9:9" ht="12.75" x14ac:dyDescent="0.2">
      <c r="I946" s="13"/>
    </row>
    <row r="947" spans="9:9" ht="12.75" x14ac:dyDescent="0.2">
      <c r="I947" s="13"/>
    </row>
    <row r="948" spans="9:9" ht="12.75" x14ac:dyDescent="0.2">
      <c r="I948" s="13"/>
    </row>
    <row r="949" spans="9:9" ht="12.75" x14ac:dyDescent="0.2">
      <c r="I949" s="13"/>
    </row>
    <row r="950" spans="9:9" ht="12.75" x14ac:dyDescent="0.2">
      <c r="I950" s="13"/>
    </row>
    <row r="951" spans="9:9" ht="12.75" x14ac:dyDescent="0.2">
      <c r="I951" s="13"/>
    </row>
    <row r="952" spans="9:9" ht="12.75" x14ac:dyDescent="0.2">
      <c r="I952" s="13"/>
    </row>
    <row r="953" spans="9:9" ht="12.75" x14ac:dyDescent="0.2">
      <c r="I953" s="13"/>
    </row>
    <row r="954" spans="9:9" ht="12.75" x14ac:dyDescent="0.2">
      <c r="I954" s="13"/>
    </row>
    <row r="955" spans="9:9" ht="12.75" x14ac:dyDescent="0.2">
      <c r="I955" s="13"/>
    </row>
    <row r="956" spans="9:9" ht="12.75" x14ac:dyDescent="0.2">
      <c r="I956" s="13"/>
    </row>
    <row r="957" spans="9:9" ht="12.75" x14ac:dyDescent="0.2">
      <c r="I957" s="13"/>
    </row>
    <row r="958" spans="9:9" ht="12.75" x14ac:dyDescent="0.2">
      <c r="I958" s="13"/>
    </row>
    <row r="959" spans="9:9" ht="12.75" x14ac:dyDescent="0.2">
      <c r="I959" s="13"/>
    </row>
    <row r="960" spans="9:9" ht="12.75" x14ac:dyDescent="0.2">
      <c r="I960" s="13"/>
    </row>
    <row r="961" spans="9:9" ht="12.75" x14ac:dyDescent="0.2">
      <c r="I961" s="13"/>
    </row>
    <row r="962" spans="9:9" ht="12.75" x14ac:dyDescent="0.2">
      <c r="I962" s="13"/>
    </row>
    <row r="963" spans="9:9" ht="12.75" x14ac:dyDescent="0.2">
      <c r="I963" s="13"/>
    </row>
    <row r="964" spans="9:9" ht="12.75" x14ac:dyDescent="0.2">
      <c r="I964" s="13"/>
    </row>
    <row r="965" spans="9:9" ht="12.75" x14ac:dyDescent="0.2">
      <c r="I965" s="13"/>
    </row>
    <row r="966" spans="9:9" ht="12.75" x14ac:dyDescent="0.2">
      <c r="I966" s="13"/>
    </row>
    <row r="967" spans="9:9" ht="12.75" x14ac:dyDescent="0.2">
      <c r="I967" s="13"/>
    </row>
    <row r="968" spans="9:9" ht="12.75" x14ac:dyDescent="0.2">
      <c r="I968" s="13"/>
    </row>
    <row r="969" spans="9:9" ht="12.75" x14ac:dyDescent="0.2">
      <c r="I969" s="13"/>
    </row>
    <row r="970" spans="9:9" ht="12.75" x14ac:dyDescent="0.2">
      <c r="I970" s="13"/>
    </row>
    <row r="971" spans="9:9" ht="12.75" x14ac:dyDescent="0.2">
      <c r="I971" s="13"/>
    </row>
    <row r="972" spans="9:9" ht="12.75" x14ac:dyDescent="0.2">
      <c r="I972" s="13"/>
    </row>
    <row r="973" spans="9:9" ht="12.75" x14ac:dyDescent="0.2">
      <c r="I973" s="13"/>
    </row>
    <row r="974" spans="9:9" ht="12.75" x14ac:dyDescent="0.2">
      <c r="I974" s="13"/>
    </row>
    <row r="975" spans="9:9" ht="12.75" x14ac:dyDescent="0.2">
      <c r="I975" s="13"/>
    </row>
    <row r="976" spans="9:9" ht="12.75" x14ac:dyDescent="0.2">
      <c r="I976" s="13"/>
    </row>
    <row r="977" spans="9:9" ht="12.75" x14ac:dyDescent="0.2">
      <c r="I977" s="13"/>
    </row>
    <row r="978" spans="9:9" ht="12.75" x14ac:dyDescent="0.2">
      <c r="I978" s="13"/>
    </row>
    <row r="979" spans="9:9" ht="12.75" x14ac:dyDescent="0.2">
      <c r="I979" s="13"/>
    </row>
    <row r="980" spans="9:9" ht="12.75" x14ac:dyDescent="0.2">
      <c r="I980" s="13"/>
    </row>
    <row r="981" spans="9:9" ht="12.75" x14ac:dyDescent="0.2">
      <c r="I981" s="13"/>
    </row>
    <row r="982" spans="9:9" ht="12.75" x14ac:dyDescent="0.2">
      <c r="I982" s="13"/>
    </row>
    <row r="983" spans="9:9" ht="12.75" x14ac:dyDescent="0.2">
      <c r="I983" s="13"/>
    </row>
    <row r="984" spans="9:9" ht="12.75" x14ac:dyDescent="0.2">
      <c r="I984" s="13"/>
    </row>
    <row r="985" spans="9:9" ht="12.75" x14ac:dyDescent="0.2">
      <c r="I985" s="13"/>
    </row>
    <row r="986" spans="9:9" ht="12.75" x14ac:dyDescent="0.2">
      <c r="I986" s="13"/>
    </row>
    <row r="987" spans="9:9" ht="12.75" x14ac:dyDescent="0.2">
      <c r="I987" s="13"/>
    </row>
    <row r="988" spans="9:9" ht="12.75" x14ac:dyDescent="0.2">
      <c r="I988" s="13"/>
    </row>
    <row r="989" spans="9:9" ht="12.75" x14ac:dyDescent="0.2">
      <c r="I989" s="13"/>
    </row>
    <row r="990" spans="9:9" ht="12.75" x14ac:dyDescent="0.2">
      <c r="I990" s="13"/>
    </row>
  </sheetData>
  <pageMargins left="0.7" right="0.7" top="0.75" bottom="0.75" header="0.3" footer="0.3"/>
  <pageSetup orientation="portrait" horizontalDpi="0" verticalDpi="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K619"/>
  <sheetViews>
    <sheetView tabSelected="1" workbookViewId="0"/>
  </sheetViews>
  <sheetFormatPr defaultColWidth="14.42578125" defaultRowHeight="15.75" customHeight="1" x14ac:dyDescent="0.2"/>
  <cols>
    <col min="2" max="2" width="47.85546875" customWidth="1"/>
    <col min="7" max="7" width="47.7109375" customWidth="1"/>
  </cols>
  <sheetData>
    <row r="1" spans="1:6" ht="15.75" customHeight="1" x14ac:dyDescent="0.25">
      <c r="A1" s="7">
        <v>1</v>
      </c>
      <c r="B1" s="8" t="s">
        <v>8</v>
      </c>
      <c r="C1" s="9" t="s">
        <v>9</v>
      </c>
      <c r="D1" s="10">
        <v>44301</v>
      </c>
      <c r="E1" s="11">
        <v>390.01</v>
      </c>
      <c r="F1" s="12">
        <f ca="1">IFERROR(__xludf.DUMMYFUNCTION("GOOGLEFINANCE(C1)"),487.12)</f>
        <v>487.12</v>
      </c>
    </row>
    <row r="2" spans="1:6" ht="15.75" customHeight="1" x14ac:dyDescent="0.25">
      <c r="A2" s="14">
        <v>2</v>
      </c>
      <c r="B2" s="15" t="s">
        <v>10</v>
      </c>
      <c r="C2" s="16" t="s">
        <v>11</v>
      </c>
      <c r="D2" s="17">
        <v>44301</v>
      </c>
      <c r="E2" s="18">
        <v>389.89</v>
      </c>
      <c r="F2" s="12">
        <f ca="1">IFERROR(__xludf.DUMMYFUNCTION("GOOGLEFINANCE(C2)"),273.63)</f>
        <v>273.63</v>
      </c>
    </row>
    <row r="3" spans="1:6" ht="15.75" customHeight="1" x14ac:dyDescent="0.25">
      <c r="A3" s="14">
        <v>3</v>
      </c>
      <c r="B3" s="15" t="s">
        <v>12</v>
      </c>
      <c r="C3" s="16" t="s">
        <v>13</v>
      </c>
      <c r="D3" s="17">
        <v>44301</v>
      </c>
      <c r="E3" s="18">
        <v>23.52</v>
      </c>
      <c r="F3" s="12">
        <f ca="1">IFERROR(__xludf.DUMMYFUNCTION("GOOGLEFINANCE(C3)"),24.11)</f>
        <v>24.11</v>
      </c>
    </row>
    <row r="4" spans="1:6" ht="15.75" customHeight="1" x14ac:dyDescent="0.25">
      <c r="A4" s="14">
        <v>4</v>
      </c>
      <c r="B4" s="15" t="s">
        <v>14</v>
      </c>
      <c r="C4" s="16" t="s">
        <v>15</v>
      </c>
      <c r="D4" s="17">
        <v>44301</v>
      </c>
      <c r="E4" s="18">
        <v>274.25</v>
      </c>
      <c r="F4" s="12">
        <f ca="1">IFERROR(__xludf.DUMMYFUNCTION("GOOGLEFINANCE(C4)"),217.91)</f>
        <v>217.91</v>
      </c>
    </row>
    <row r="5" spans="1:6" ht="15.75" customHeight="1" x14ac:dyDescent="0.25">
      <c r="A5" s="14">
        <v>5</v>
      </c>
      <c r="B5" s="15" t="s">
        <v>16</v>
      </c>
      <c r="C5" s="16" t="s">
        <v>17</v>
      </c>
      <c r="D5" s="17">
        <v>44301</v>
      </c>
      <c r="E5" s="18">
        <v>49.54</v>
      </c>
      <c r="F5" s="12">
        <f ca="1">IFERROR(__xludf.DUMMYFUNCTION("GOOGLEFINANCE(C5)"),34.11)</f>
        <v>34.11</v>
      </c>
    </row>
    <row r="6" spans="1:6" ht="15.75" customHeight="1" x14ac:dyDescent="0.25">
      <c r="A6" s="14">
        <v>6</v>
      </c>
      <c r="B6" s="15" t="s">
        <v>18</v>
      </c>
      <c r="C6" s="16" t="s">
        <v>19</v>
      </c>
      <c r="D6" s="17">
        <v>44301</v>
      </c>
      <c r="E6" s="18">
        <v>152.16999999999999</v>
      </c>
      <c r="F6" s="12">
        <f ca="1">IFERROR(__xludf.DUMMYFUNCTION("GOOGLEFINANCE(C6)"),156.76)</f>
        <v>156.76</v>
      </c>
    </row>
    <row r="7" spans="1:6" ht="15.75" customHeight="1" x14ac:dyDescent="0.25">
      <c r="A7" s="14">
        <v>7</v>
      </c>
      <c r="B7" s="15" t="s">
        <v>20</v>
      </c>
      <c r="C7" s="16" t="s">
        <v>21</v>
      </c>
      <c r="D7" s="17">
        <v>44301</v>
      </c>
      <c r="E7" s="18">
        <v>20.69</v>
      </c>
      <c r="F7" s="12">
        <f ca="1">IFERROR(__xludf.DUMMYFUNCTION("GOOGLEFINANCE(C7)"),13.91)</f>
        <v>13.91</v>
      </c>
    </row>
    <row r="8" spans="1:6" ht="15.75" customHeight="1" x14ac:dyDescent="0.25">
      <c r="A8" s="14">
        <v>8</v>
      </c>
      <c r="B8" s="15" t="s">
        <v>22</v>
      </c>
      <c r="C8" s="16" t="s">
        <v>23</v>
      </c>
      <c r="D8" s="17">
        <v>44301</v>
      </c>
      <c r="E8" s="18">
        <v>338.55</v>
      </c>
      <c r="F8" s="12">
        <f ca="1">IFERROR(__xludf.DUMMYFUNCTION("GOOGLEFINANCE(C8)"),381.8)</f>
        <v>381.8</v>
      </c>
    </row>
    <row r="9" spans="1:6" ht="15.75" customHeight="1" x14ac:dyDescent="0.25">
      <c r="A9" s="14">
        <v>9</v>
      </c>
      <c r="B9" s="15" t="s">
        <v>24</v>
      </c>
      <c r="C9" s="16" t="s">
        <v>25</v>
      </c>
      <c r="D9" s="17">
        <v>44301</v>
      </c>
      <c r="E9" s="18">
        <v>67.39</v>
      </c>
      <c r="F9" s="12">
        <f ca="1">IFERROR(__xludf.DUMMYFUNCTION("GOOGLEFINANCE(C9)"),42.55)</f>
        <v>42.55</v>
      </c>
    </row>
    <row r="10" spans="1:6" ht="15.75" customHeight="1" x14ac:dyDescent="0.25">
      <c r="A10" s="14">
        <v>10</v>
      </c>
      <c r="B10" s="15" t="s">
        <v>26</v>
      </c>
      <c r="C10" s="16" t="s">
        <v>27</v>
      </c>
      <c r="D10" s="17">
        <v>44301</v>
      </c>
      <c r="E10" s="18">
        <v>38.74</v>
      </c>
      <c r="F10" s="12">
        <f ca="1">IFERROR(__xludf.DUMMYFUNCTION("GOOGLEFINANCE(C10)"),43.88)</f>
        <v>43.88</v>
      </c>
    </row>
    <row r="11" spans="1:6" ht="15.75" customHeight="1" x14ac:dyDescent="0.25">
      <c r="A11" s="14">
        <v>11</v>
      </c>
      <c r="B11" s="15" t="s">
        <v>28</v>
      </c>
      <c r="C11" s="16" t="s">
        <v>29</v>
      </c>
      <c r="D11" s="17">
        <v>44301</v>
      </c>
      <c r="E11" s="18">
        <v>87.81</v>
      </c>
      <c r="F11" s="12">
        <f ca="1">IFERROR(__xludf.DUMMYFUNCTION("GOOGLEFINANCE(C11)"),86.54)</f>
        <v>86.54</v>
      </c>
    </row>
    <row r="12" spans="1:6" ht="15.75" customHeight="1" x14ac:dyDescent="0.25">
      <c r="A12" s="14">
        <v>12</v>
      </c>
      <c r="B12" s="15" t="s">
        <v>30</v>
      </c>
      <c r="C12" s="16" t="s">
        <v>31</v>
      </c>
      <c r="D12" s="17">
        <v>44301</v>
      </c>
      <c r="E12" s="18">
        <v>34.33</v>
      </c>
      <c r="F12" s="12">
        <f ca="1">IFERROR(__xludf.DUMMYFUNCTION("GOOGLEFINANCE(C12)"),23.05)</f>
        <v>23.05</v>
      </c>
    </row>
    <row r="13" spans="1:6" ht="15.75" customHeight="1" x14ac:dyDescent="0.25">
      <c r="A13" s="14">
        <v>13</v>
      </c>
      <c r="B13" s="15" t="s">
        <v>32</v>
      </c>
      <c r="C13" s="16" t="s">
        <v>33</v>
      </c>
      <c r="D13" s="17">
        <v>44300</v>
      </c>
      <c r="E13" s="18">
        <v>123.61</v>
      </c>
      <c r="F13" s="12">
        <f ca="1">IFERROR(__xludf.DUMMYFUNCTION("GOOGLEFINANCE(C13)"),200.14)</f>
        <v>200.14</v>
      </c>
    </row>
    <row r="14" spans="1:6" ht="15.75" customHeight="1" x14ac:dyDescent="0.25">
      <c r="A14" s="14">
        <v>14</v>
      </c>
      <c r="B14" s="15" t="s">
        <v>34</v>
      </c>
      <c r="C14" s="16" t="s">
        <v>35</v>
      </c>
      <c r="D14" s="17">
        <v>44300</v>
      </c>
      <c r="E14" s="18">
        <v>481.16</v>
      </c>
      <c r="F14" s="12">
        <f ca="1">IFERROR(__xludf.DUMMYFUNCTION("GOOGLEFINANCE(C14)"),619.28)</f>
        <v>619.28</v>
      </c>
    </row>
    <row r="15" spans="1:6" ht="15.75" customHeight="1" x14ac:dyDescent="0.25">
      <c r="A15" s="14">
        <v>15</v>
      </c>
      <c r="B15" s="15" t="s">
        <v>36</v>
      </c>
      <c r="C15" s="16" t="s">
        <v>37</v>
      </c>
      <c r="D15" s="17">
        <v>44300</v>
      </c>
      <c r="E15" s="18">
        <v>75.349999999999994</v>
      </c>
      <c r="F15" s="12">
        <f ca="1">IFERROR(__xludf.DUMMYFUNCTION("GOOGLEFINANCE(C15)"),102.4)</f>
        <v>102.4</v>
      </c>
    </row>
    <row r="16" spans="1:6" ht="15.75" customHeight="1" x14ac:dyDescent="0.25">
      <c r="A16" s="14">
        <v>16</v>
      </c>
      <c r="B16" s="15" t="s">
        <v>38</v>
      </c>
      <c r="C16" s="16" t="s">
        <v>39</v>
      </c>
      <c r="D16" s="17">
        <v>44300</v>
      </c>
      <c r="E16" s="18">
        <v>13.73</v>
      </c>
      <c r="F16" s="12">
        <f ca="1">IFERROR(__xludf.DUMMYFUNCTION("GOOGLEFINANCE(C16)"),3.89)</f>
        <v>3.89</v>
      </c>
    </row>
    <row r="17" spans="1:6" ht="15.75" customHeight="1" x14ac:dyDescent="0.25">
      <c r="A17" s="14">
        <v>17</v>
      </c>
      <c r="B17" s="15" t="s">
        <v>40</v>
      </c>
      <c r="C17" s="16" t="s">
        <v>41</v>
      </c>
      <c r="D17" s="17">
        <v>44300</v>
      </c>
      <c r="E17" s="18">
        <v>77.75</v>
      </c>
      <c r="F17" s="12">
        <f ca="1">IFERROR(__xludf.DUMMYFUNCTION("GOOGLEFINANCE(C17)"),49.94)</f>
        <v>49.94</v>
      </c>
    </row>
    <row r="18" spans="1:6" ht="15.75" customHeight="1" x14ac:dyDescent="0.25">
      <c r="A18" s="14">
        <v>18</v>
      </c>
      <c r="B18" s="15" t="s">
        <v>42</v>
      </c>
      <c r="C18" s="16" t="s">
        <v>43</v>
      </c>
      <c r="D18" s="17">
        <v>44300</v>
      </c>
      <c r="E18" s="18">
        <v>88.6</v>
      </c>
      <c r="F18" s="12">
        <f ca="1">IFERROR(__xludf.DUMMYFUNCTION("GOOGLEFINANCE(C18)"),46.28)</f>
        <v>46.28</v>
      </c>
    </row>
    <row r="19" spans="1:6" ht="15.75" customHeight="1" x14ac:dyDescent="0.25">
      <c r="A19" s="14">
        <v>19</v>
      </c>
      <c r="B19" s="15" t="s">
        <v>44</v>
      </c>
      <c r="C19" s="16" t="s">
        <v>45</v>
      </c>
      <c r="D19" s="17">
        <v>44300</v>
      </c>
      <c r="E19" s="18">
        <v>143.41999999999999</v>
      </c>
      <c r="F19" s="12">
        <f ca="1">IFERROR(__xludf.DUMMYFUNCTION("GOOGLEFINANCE(C19)"),197.2)</f>
        <v>197.2</v>
      </c>
    </row>
    <row r="20" spans="1:6" ht="15.75" customHeight="1" x14ac:dyDescent="0.25">
      <c r="A20" s="14">
        <v>20</v>
      </c>
      <c r="B20" s="15" t="s">
        <v>46</v>
      </c>
      <c r="C20" s="16" t="s">
        <v>47</v>
      </c>
      <c r="D20" s="17">
        <v>44300</v>
      </c>
      <c r="E20" s="18">
        <v>37.67</v>
      </c>
      <c r="F20" s="12">
        <f ca="1">IFERROR(__xludf.DUMMYFUNCTION("GOOGLEFINANCE(C20)"),33.69)</f>
        <v>33.69</v>
      </c>
    </row>
    <row r="21" spans="1:6" ht="15.75" customHeight="1" x14ac:dyDescent="0.25">
      <c r="A21" s="14">
        <v>21</v>
      </c>
      <c r="B21" s="15" t="s">
        <v>48</v>
      </c>
      <c r="C21" s="16" t="s">
        <v>49</v>
      </c>
      <c r="D21" s="17">
        <v>44300</v>
      </c>
      <c r="E21" s="18">
        <v>328.28</v>
      </c>
      <c r="F21" s="12">
        <f ca="1">IFERROR(__xludf.DUMMYFUNCTION("GOOGLEFINANCE(C21)"),243.35)</f>
        <v>243.35</v>
      </c>
    </row>
    <row r="22" spans="1:6" ht="15.75" customHeight="1" x14ac:dyDescent="0.25">
      <c r="A22" s="14">
        <v>22</v>
      </c>
      <c r="B22" s="15" t="s">
        <v>50</v>
      </c>
      <c r="C22" s="16" t="s">
        <v>51</v>
      </c>
      <c r="D22" s="17">
        <v>44300</v>
      </c>
      <c r="E22" s="18">
        <v>176.43</v>
      </c>
      <c r="F22" s="12">
        <f ca="1">IFERROR(__xludf.DUMMYFUNCTION("GOOGLEFINANCE(C22)"),157.91)</f>
        <v>157.91</v>
      </c>
    </row>
    <row r="23" spans="1:6" ht="15.75" customHeight="1" x14ac:dyDescent="0.25">
      <c r="A23" s="14">
        <v>23</v>
      </c>
      <c r="B23" s="15" t="s">
        <v>52</v>
      </c>
      <c r="C23" s="16" t="s">
        <v>53</v>
      </c>
      <c r="D23" s="17">
        <v>44300</v>
      </c>
      <c r="E23" s="18">
        <v>132.03</v>
      </c>
      <c r="F23" s="12">
        <f ca="1">IFERROR(__xludf.DUMMYFUNCTION("GOOGLEFINANCE(C23)"),171.14)</f>
        <v>171.14</v>
      </c>
    </row>
    <row r="24" spans="1:6" ht="15.75" customHeight="1" x14ac:dyDescent="0.25">
      <c r="A24" s="14">
        <v>24</v>
      </c>
      <c r="B24" s="15" t="s">
        <v>54</v>
      </c>
      <c r="C24" s="16" t="s">
        <v>55</v>
      </c>
      <c r="D24" s="17">
        <v>44299</v>
      </c>
      <c r="E24" s="18">
        <v>37.42</v>
      </c>
      <c r="F24" s="12">
        <f ca="1">IFERROR(__xludf.DUMMYFUNCTION("GOOGLEFINANCE(C24)"),39.64)</f>
        <v>39.64</v>
      </c>
    </row>
    <row r="25" spans="1:6" ht="15.75" customHeight="1" x14ac:dyDescent="0.25">
      <c r="A25" s="14">
        <v>25</v>
      </c>
      <c r="B25" s="15" t="s">
        <v>56</v>
      </c>
      <c r="C25" s="16" t="s">
        <v>57</v>
      </c>
      <c r="D25" s="17">
        <v>44299</v>
      </c>
      <c r="E25" s="18">
        <v>197.33</v>
      </c>
      <c r="F25" s="12">
        <f ca="1">IFERROR(__xludf.DUMMYFUNCTION("GOOGLEFINANCE(C25)"),84.03)</f>
        <v>84.03</v>
      </c>
    </row>
    <row r="26" spans="1:6" ht="15.75" customHeight="1" x14ac:dyDescent="0.25">
      <c r="A26" s="14">
        <v>26</v>
      </c>
      <c r="B26" s="15" t="s">
        <v>58</v>
      </c>
      <c r="C26" s="16" t="s">
        <v>59</v>
      </c>
      <c r="D26" s="17">
        <v>44299</v>
      </c>
      <c r="E26" s="18">
        <v>109.49</v>
      </c>
      <c r="F26" s="12">
        <f ca="1">IFERROR(__xludf.DUMMYFUNCTION("GOOGLEFINANCE(C26)"),83.3)</f>
        <v>83.3</v>
      </c>
    </row>
    <row r="27" spans="1:6" ht="15.75" customHeight="1" x14ac:dyDescent="0.25">
      <c r="A27" s="14">
        <v>27</v>
      </c>
      <c r="B27" s="15" t="s">
        <v>60</v>
      </c>
      <c r="C27" s="16" t="s">
        <v>61</v>
      </c>
      <c r="D27" s="17">
        <v>44299</v>
      </c>
      <c r="E27" s="18">
        <v>59.24</v>
      </c>
      <c r="F27" s="12">
        <f ca="1">IFERROR(__xludf.DUMMYFUNCTION("GOOGLEFINANCE(C27)"),28.67)</f>
        <v>28.67</v>
      </c>
    </row>
    <row r="28" spans="1:6" ht="15.75" customHeight="1" x14ac:dyDescent="0.25">
      <c r="A28" s="14">
        <v>28</v>
      </c>
      <c r="B28" s="15" t="s">
        <v>62</v>
      </c>
      <c r="C28" s="16" t="s">
        <v>63</v>
      </c>
      <c r="D28" s="17">
        <v>44299</v>
      </c>
      <c r="E28" s="18">
        <v>205.86</v>
      </c>
      <c r="F28" s="12">
        <f ca="1">IFERROR(__xludf.DUMMYFUNCTION("GOOGLEFINANCE(C28)"),224.78)</f>
        <v>224.78</v>
      </c>
    </row>
    <row r="29" spans="1:6" ht="15.75" customHeight="1" x14ac:dyDescent="0.25">
      <c r="A29" s="14">
        <v>29</v>
      </c>
      <c r="B29" s="15" t="s">
        <v>64</v>
      </c>
      <c r="C29" s="16" t="s">
        <v>65</v>
      </c>
      <c r="D29" s="17">
        <v>44299</v>
      </c>
      <c r="E29" s="18">
        <v>59.52</v>
      </c>
      <c r="F29" s="12">
        <f ca="1">IFERROR(__xludf.DUMMYFUNCTION("GOOGLEFINANCE(C29)"),32.85)</f>
        <v>32.85</v>
      </c>
    </row>
    <row r="30" spans="1:6" ht="15.75" customHeight="1" x14ac:dyDescent="0.25">
      <c r="A30" s="14">
        <v>30</v>
      </c>
      <c r="B30" s="15" t="s">
        <v>66</v>
      </c>
      <c r="C30" s="16" t="s">
        <v>67</v>
      </c>
      <c r="D30" s="17">
        <v>44298</v>
      </c>
      <c r="E30" s="18">
        <v>116.42</v>
      </c>
      <c r="F30" s="12">
        <f ca="1">IFERROR(__xludf.DUMMYFUNCTION("GOOGLEFINANCE(C30)"),131.93)</f>
        <v>131.93</v>
      </c>
    </row>
    <row r="31" spans="1:6" ht="15.75" customHeight="1" x14ac:dyDescent="0.25">
      <c r="A31" s="14">
        <v>31</v>
      </c>
      <c r="B31" s="15" t="s">
        <v>68</v>
      </c>
      <c r="C31" s="16" t="s">
        <v>69</v>
      </c>
      <c r="D31" s="17">
        <v>44298</v>
      </c>
      <c r="E31" s="18">
        <v>113.81</v>
      </c>
      <c r="F31" s="12">
        <f ca="1">IFERROR(__xludf.DUMMYFUNCTION("GOOGLEFINANCE(C31)"),108.63)</f>
        <v>108.63</v>
      </c>
    </row>
    <row r="32" spans="1:6" ht="15.75" customHeight="1" x14ac:dyDescent="0.25">
      <c r="A32" s="14">
        <v>32</v>
      </c>
      <c r="B32" s="15" t="s">
        <v>70</v>
      </c>
      <c r="C32" s="16" t="s">
        <v>71</v>
      </c>
      <c r="D32" s="17">
        <v>44298</v>
      </c>
      <c r="E32" s="18">
        <v>24.77</v>
      </c>
      <c r="F32" s="12">
        <f ca="1">IFERROR(__xludf.DUMMYFUNCTION("GOOGLEFINANCE(C32)"),18.48)</f>
        <v>18.48</v>
      </c>
    </row>
    <row r="33" spans="1:6" ht="15.75" customHeight="1" x14ac:dyDescent="0.25">
      <c r="A33" s="14">
        <v>33</v>
      </c>
      <c r="B33" s="15" t="s">
        <v>72</v>
      </c>
      <c r="C33" s="16" t="s">
        <v>73</v>
      </c>
      <c r="D33" s="17">
        <v>44298</v>
      </c>
      <c r="E33" s="18">
        <v>85.5</v>
      </c>
      <c r="F33" s="12">
        <f ca="1">IFERROR(__xludf.DUMMYFUNCTION("GOOGLEFINANCE(C33)"),82.13)</f>
        <v>82.13</v>
      </c>
    </row>
    <row r="34" spans="1:6" ht="15.75" customHeight="1" x14ac:dyDescent="0.25">
      <c r="A34" s="14">
        <v>34</v>
      </c>
      <c r="B34" s="15" t="s">
        <v>74</v>
      </c>
      <c r="C34" s="16" t="s">
        <v>75</v>
      </c>
      <c r="D34" s="17">
        <v>44298</v>
      </c>
      <c r="E34" s="18">
        <v>608.36</v>
      </c>
      <c r="F34" s="12">
        <f ca="1">IFERROR(__xludf.DUMMYFUNCTION("GOOGLEFINANCE(C34)"),278.01)</f>
        <v>278.01</v>
      </c>
    </row>
    <row r="35" spans="1:6" ht="15" x14ac:dyDescent="0.25">
      <c r="A35" s="14">
        <v>35</v>
      </c>
      <c r="B35" s="15" t="s">
        <v>76</v>
      </c>
      <c r="C35" s="16" t="s">
        <v>77</v>
      </c>
      <c r="D35" s="17">
        <v>44298</v>
      </c>
      <c r="E35" s="18">
        <v>255.91</v>
      </c>
      <c r="F35" s="12">
        <f ca="1">IFERROR(__xludf.DUMMYFUNCTION("GOOGLEFINANCE(C35)"),323.8)</f>
        <v>323.8</v>
      </c>
    </row>
    <row r="36" spans="1:6" ht="15" x14ac:dyDescent="0.25">
      <c r="A36" s="14">
        <v>36</v>
      </c>
      <c r="B36" s="15" t="s">
        <v>78</v>
      </c>
      <c r="C36" s="16" t="s">
        <v>79</v>
      </c>
      <c r="D36" s="17">
        <v>44298</v>
      </c>
      <c r="E36" s="18">
        <v>228.6</v>
      </c>
      <c r="F36" s="12">
        <f ca="1">IFERROR(__xludf.DUMMYFUNCTION("GOOGLEFINANCE(C36)"),205.17)</f>
        <v>205.17</v>
      </c>
    </row>
    <row r="37" spans="1:6" ht="15" x14ac:dyDescent="0.25">
      <c r="A37" s="14">
        <v>37</v>
      </c>
      <c r="B37" s="15" t="s">
        <v>80</v>
      </c>
      <c r="C37" s="16" t="s">
        <v>81</v>
      </c>
      <c r="D37" s="17">
        <v>44298</v>
      </c>
      <c r="E37" s="18">
        <v>143.69</v>
      </c>
      <c r="F37" s="12">
        <f ca="1">IFERROR(__xludf.DUMMYFUNCTION("GOOGLEFINANCE(C37)"),139.83)</f>
        <v>139.83000000000001</v>
      </c>
    </row>
    <row r="38" spans="1:6" ht="15" x14ac:dyDescent="0.25">
      <c r="A38" s="14">
        <v>38</v>
      </c>
      <c r="B38" s="15" t="s">
        <v>82</v>
      </c>
      <c r="C38" s="16" t="s">
        <v>83</v>
      </c>
      <c r="D38" s="17">
        <v>44298</v>
      </c>
      <c r="E38" s="18">
        <v>51.57</v>
      </c>
      <c r="F38" s="12">
        <f ca="1">IFERROR(__xludf.DUMMYFUNCTION("GOOGLEFINANCE(C38)"),60.46)</f>
        <v>60.46</v>
      </c>
    </row>
    <row r="39" spans="1:6" ht="15" x14ac:dyDescent="0.25">
      <c r="A39" s="14">
        <v>39</v>
      </c>
      <c r="B39" s="15" t="s">
        <v>84</v>
      </c>
      <c r="C39" s="16" t="s">
        <v>85</v>
      </c>
      <c r="D39" s="17">
        <v>44298</v>
      </c>
      <c r="E39" s="18">
        <v>364.81</v>
      </c>
      <c r="F39" s="12">
        <f ca="1">IFERROR(__xludf.DUMMYFUNCTION("GOOGLEFINANCE(C39)"),547.61)</f>
        <v>547.61</v>
      </c>
    </row>
    <row r="40" spans="1:6" ht="15" x14ac:dyDescent="0.25">
      <c r="A40" s="14">
        <v>40</v>
      </c>
      <c r="B40" s="15" t="s">
        <v>86</v>
      </c>
      <c r="C40" s="16" t="s">
        <v>87</v>
      </c>
      <c r="D40" s="17">
        <v>44298</v>
      </c>
      <c r="E40" s="18">
        <v>249.52</v>
      </c>
      <c r="F40" s="12">
        <f ca="1">IFERROR(__xludf.DUMMYFUNCTION("GOOGLEFINANCE(C40)"),192.63)</f>
        <v>192.63</v>
      </c>
    </row>
    <row r="41" spans="1:6" ht="15" x14ac:dyDescent="0.25">
      <c r="A41" s="14">
        <v>41</v>
      </c>
      <c r="B41" s="15" t="s">
        <v>88</v>
      </c>
      <c r="C41" s="16" t="s">
        <v>89</v>
      </c>
      <c r="D41" s="17">
        <v>44294</v>
      </c>
      <c r="E41" s="18">
        <v>133.49</v>
      </c>
      <c r="F41" s="12">
        <f ca="1">IFERROR(__xludf.DUMMYFUNCTION("GOOGLEFINANCE(C41)"),82.27)</f>
        <v>82.27</v>
      </c>
    </row>
    <row r="42" spans="1:6" ht="15" x14ac:dyDescent="0.25">
      <c r="A42" s="14">
        <v>42</v>
      </c>
      <c r="B42" s="15" t="s">
        <v>90</v>
      </c>
      <c r="C42" s="16" t="s">
        <v>91</v>
      </c>
      <c r="D42" s="17">
        <v>44294</v>
      </c>
      <c r="E42" s="18">
        <v>57.6</v>
      </c>
      <c r="F42" s="12">
        <f ca="1">IFERROR(__xludf.DUMMYFUNCTION("GOOGLEFINANCE(C42)"),53.17)</f>
        <v>53.17</v>
      </c>
    </row>
    <row r="43" spans="1:6" ht="15" x14ac:dyDescent="0.25">
      <c r="A43" s="14">
        <v>43</v>
      </c>
      <c r="B43" s="15" t="s">
        <v>92</v>
      </c>
      <c r="C43" s="16" t="s">
        <v>93</v>
      </c>
      <c r="D43" s="17">
        <v>44294</v>
      </c>
      <c r="E43" s="18">
        <v>224.21</v>
      </c>
      <c r="F43" s="12">
        <f ca="1">IFERROR(__xludf.DUMMYFUNCTION("GOOGLEFINANCE(C43)"),242.25)</f>
        <v>242.25</v>
      </c>
    </row>
    <row r="44" spans="1:6" ht="15" x14ac:dyDescent="0.25">
      <c r="A44" s="14">
        <v>45</v>
      </c>
      <c r="B44" s="15" t="s">
        <v>94</v>
      </c>
      <c r="C44" s="16" t="s">
        <v>95</v>
      </c>
      <c r="D44" s="17">
        <v>44294</v>
      </c>
      <c r="E44" s="18">
        <v>25.02</v>
      </c>
      <c r="F44" s="12">
        <f ca="1">IFERROR(__xludf.DUMMYFUNCTION("GOOGLEFINANCE(C44)"),23.96)</f>
        <v>23.96</v>
      </c>
    </row>
    <row r="45" spans="1:6" ht="15" x14ac:dyDescent="0.25">
      <c r="A45" s="14">
        <v>46</v>
      </c>
      <c r="B45" s="15" t="s">
        <v>96</v>
      </c>
      <c r="C45" s="16" t="s">
        <v>97</v>
      </c>
      <c r="D45" s="17">
        <v>44294</v>
      </c>
      <c r="E45" s="18">
        <v>80.7</v>
      </c>
      <c r="F45" s="12">
        <f ca="1">IFERROR(__xludf.DUMMYFUNCTION("GOOGLEFINANCE(C45)"),67.77)</f>
        <v>67.77</v>
      </c>
    </row>
    <row r="46" spans="1:6" ht="15" x14ac:dyDescent="0.25">
      <c r="A46" s="14">
        <v>47</v>
      </c>
      <c r="B46" s="15" t="s">
        <v>98</v>
      </c>
      <c r="C46" s="16" t="s">
        <v>99</v>
      </c>
      <c r="D46" s="17">
        <v>44294</v>
      </c>
      <c r="E46" s="18">
        <v>230.48</v>
      </c>
      <c r="F46" s="12">
        <f ca="1">IFERROR(__xludf.DUMMYFUNCTION("GOOGLEFINANCE(C46)"),201.37)</f>
        <v>201.37</v>
      </c>
    </row>
    <row r="47" spans="1:6" ht="15" x14ac:dyDescent="0.25">
      <c r="A47" s="14">
        <v>48</v>
      </c>
      <c r="B47" s="15" t="s">
        <v>86</v>
      </c>
      <c r="C47" s="16" t="s">
        <v>87</v>
      </c>
      <c r="D47" s="17">
        <v>44294</v>
      </c>
      <c r="E47" s="18">
        <v>254.95</v>
      </c>
      <c r="F47" s="12">
        <f ca="1">IFERROR(__xludf.DUMMYFUNCTION("GOOGLEFINANCE(C47)"),192.63)</f>
        <v>192.63</v>
      </c>
    </row>
    <row r="48" spans="1:6" ht="15" x14ac:dyDescent="0.25">
      <c r="A48" s="14">
        <v>49</v>
      </c>
      <c r="B48" s="15" t="s">
        <v>100</v>
      </c>
      <c r="C48" s="16" t="s">
        <v>101</v>
      </c>
      <c r="D48" s="17">
        <v>44293</v>
      </c>
      <c r="E48" s="18">
        <v>178.61</v>
      </c>
      <c r="F48" s="12">
        <f ca="1">IFERROR(__xludf.DUMMYFUNCTION("GOOGLEFINANCE(C48)"),169.44)</f>
        <v>169.44</v>
      </c>
    </row>
    <row r="49" spans="1:6" ht="15" x14ac:dyDescent="0.25">
      <c r="A49" s="14">
        <v>50</v>
      </c>
      <c r="B49" s="15" t="s">
        <v>102</v>
      </c>
      <c r="C49" s="16" t="s">
        <v>103</v>
      </c>
      <c r="D49" s="17">
        <v>44293</v>
      </c>
      <c r="E49" s="18">
        <v>139.80000000000001</v>
      </c>
      <c r="F49" s="12">
        <f ca="1">IFERROR(__xludf.DUMMYFUNCTION("GOOGLEFINANCE(C49)"),138.75)</f>
        <v>138.75</v>
      </c>
    </row>
    <row r="50" spans="1:6" ht="15" x14ac:dyDescent="0.25">
      <c r="A50" s="14">
        <v>51</v>
      </c>
      <c r="B50" s="15" t="s">
        <v>104</v>
      </c>
      <c r="C50" s="16" t="s">
        <v>105</v>
      </c>
      <c r="D50" s="17">
        <v>44293</v>
      </c>
      <c r="E50" s="18">
        <v>200.24</v>
      </c>
      <c r="F50" s="12">
        <f ca="1">IFERROR(__xludf.DUMMYFUNCTION("GOOGLEFINANCE(C50)"),183.7)</f>
        <v>183.7</v>
      </c>
    </row>
    <row r="51" spans="1:6" ht="15" x14ac:dyDescent="0.25">
      <c r="A51" s="14">
        <v>52</v>
      </c>
      <c r="B51" s="15" t="s">
        <v>106</v>
      </c>
      <c r="C51" s="16" t="s">
        <v>107</v>
      </c>
      <c r="D51" s="17">
        <v>44293</v>
      </c>
      <c r="E51" s="18">
        <v>587.55999999999995</v>
      </c>
      <c r="F51" s="12">
        <f ca="1">IFERROR(__xludf.DUMMYFUNCTION("GOOGLEFINANCE(C51)"),552.82)</f>
        <v>552.82000000000005</v>
      </c>
    </row>
    <row r="52" spans="1:6" ht="15" x14ac:dyDescent="0.25">
      <c r="A52" s="14">
        <v>53</v>
      </c>
      <c r="B52" s="15" t="s">
        <v>108</v>
      </c>
      <c r="C52" s="16" t="s">
        <v>109</v>
      </c>
      <c r="D52" s="17">
        <v>44293</v>
      </c>
      <c r="E52" s="18">
        <v>153.53</v>
      </c>
      <c r="F52" s="12">
        <f ca="1">IFERROR(__xludf.DUMMYFUNCTION("GOOGLEFINANCE(C52)"),173.69)</f>
        <v>173.69</v>
      </c>
    </row>
    <row r="53" spans="1:6" ht="15" x14ac:dyDescent="0.25">
      <c r="A53" s="14">
        <v>54</v>
      </c>
      <c r="B53" s="15" t="s">
        <v>110</v>
      </c>
      <c r="C53" s="16" t="s">
        <v>111</v>
      </c>
      <c r="D53" s="17">
        <v>44293</v>
      </c>
      <c r="E53" s="18">
        <v>94.81</v>
      </c>
      <c r="F53" s="12">
        <f ca="1">IFERROR(__xludf.DUMMYFUNCTION("GOOGLEFINANCE(C53)"),123.89)</f>
        <v>123.89</v>
      </c>
    </row>
    <row r="54" spans="1:6" ht="15" x14ac:dyDescent="0.25">
      <c r="A54" s="14">
        <v>55</v>
      </c>
      <c r="B54" s="15" t="s">
        <v>14</v>
      </c>
      <c r="C54" s="16" t="s">
        <v>15</v>
      </c>
      <c r="D54" s="17">
        <v>44293</v>
      </c>
      <c r="E54" s="18">
        <v>222.56</v>
      </c>
      <c r="F54" s="12">
        <f ca="1">IFERROR(__xludf.DUMMYFUNCTION("GOOGLEFINANCE(C54)"),217.91)</f>
        <v>217.91</v>
      </c>
    </row>
    <row r="55" spans="1:6" ht="15" x14ac:dyDescent="0.25">
      <c r="A55" s="14">
        <v>56</v>
      </c>
      <c r="B55" s="15" t="s">
        <v>112</v>
      </c>
      <c r="C55" s="16" t="s">
        <v>113</v>
      </c>
      <c r="D55" s="17">
        <v>44293</v>
      </c>
      <c r="E55" s="18">
        <v>89.16</v>
      </c>
      <c r="F55" s="12">
        <f ca="1">IFERROR(__xludf.DUMMYFUNCTION("GOOGLEFINANCE(C55)"),94.12)</f>
        <v>94.12</v>
      </c>
    </row>
    <row r="56" spans="1:6" ht="15" x14ac:dyDescent="0.25">
      <c r="A56" s="14">
        <v>57</v>
      </c>
      <c r="B56" s="15" t="s">
        <v>114</v>
      </c>
      <c r="C56" s="16" t="s">
        <v>115</v>
      </c>
      <c r="D56" s="17">
        <v>44293</v>
      </c>
      <c r="E56" s="18">
        <v>193.67</v>
      </c>
      <c r="F56" s="12">
        <f ca="1">IFERROR(__xludf.DUMMYFUNCTION("GOOGLEFINANCE(C56)"),248.09)</f>
        <v>248.09</v>
      </c>
    </row>
    <row r="57" spans="1:6" ht="15" x14ac:dyDescent="0.25">
      <c r="A57" s="14">
        <v>58</v>
      </c>
      <c r="B57" s="15" t="s">
        <v>116</v>
      </c>
      <c r="C57" s="16" t="s">
        <v>117</v>
      </c>
      <c r="D57" s="17">
        <v>44293</v>
      </c>
      <c r="E57" s="18">
        <v>37.15</v>
      </c>
      <c r="F57" s="12">
        <f ca="1">IFERROR(__xludf.DUMMYFUNCTION("GOOGLEFINANCE(C57)"),44.79)</f>
        <v>44.79</v>
      </c>
    </row>
    <row r="58" spans="1:6" ht="15" x14ac:dyDescent="0.25">
      <c r="A58" s="14">
        <v>59</v>
      </c>
      <c r="B58" s="15" t="s">
        <v>118</v>
      </c>
      <c r="C58" s="16" t="s">
        <v>119</v>
      </c>
      <c r="D58" s="17">
        <v>44293</v>
      </c>
      <c r="E58" s="18">
        <v>312.47000000000003</v>
      </c>
      <c r="F58" s="12">
        <f ca="1">IFERROR(__xludf.DUMMYFUNCTION("GOOGLEFINANCE(C58)"),387.98)</f>
        <v>387.98</v>
      </c>
    </row>
    <row r="59" spans="1:6" ht="15" x14ac:dyDescent="0.25">
      <c r="A59" s="14">
        <v>60</v>
      </c>
      <c r="B59" s="15" t="s">
        <v>120</v>
      </c>
      <c r="C59" s="16" t="s">
        <v>121</v>
      </c>
      <c r="D59" s="17">
        <v>44293</v>
      </c>
      <c r="E59" s="18">
        <v>16.02</v>
      </c>
      <c r="F59" s="12">
        <f ca="1">IFERROR(__xludf.DUMMYFUNCTION("GOOGLEFINANCE(C59)"),17.04)</f>
        <v>17.04</v>
      </c>
    </row>
    <row r="60" spans="1:6" ht="15" x14ac:dyDescent="0.25">
      <c r="A60" s="14">
        <v>61</v>
      </c>
      <c r="B60" s="15" t="s">
        <v>122</v>
      </c>
      <c r="C60" s="16" t="s">
        <v>123</v>
      </c>
      <c r="D60" s="17">
        <v>44293</v>
      </c>
      <c r="E60" s="18">
        <v>204.02</v>
      </c>
      <c r="F60" s="12">
        <f ca="1">IFERROR(__xludf.DUMMYFUNCTION("GOOGLEFINANCE(C60)"),221.6)</f>
        <v>221.6</v>
      </c>
    </row>
    <row r="61" spans="1:6" ht="15" x14ac:dyDescent="0.25">
      <c r="A61" s="14">
        <v>62</v>
      </c>
      <c r="B61" s="15" t="s">
        <v>124</v>
      </c>
      <c r="C61" s="16" t="s">
        <v>125</v>
      </c>
      <c r="D61" s="17">
        <v>44293</v>
      </c>
      <c r="E61" s="18">
        <v>27.34</v>
      </c>
      <c r="F61" s="12">
        <f ca="1">IFERROR(__xludf.DUMMYFUNCTION("GOOGLEFINANCE(C61)"),25.99)</f>
        <v>25.99</v>
      </c>
    </row>
    <row r="62" spans="1:6" ht="15" x14ac:dyDescent="0.25">
      <c r="A62" s="14">
        <v>63</v>
      </c>
      <c r="B62" s="15" t="s">
        <v>82</v>
      </c>
      <c r="C62" s="16" t="s">
        <v>83</v>
      </c>
      <c r="D62" s="17">
        <v>44293</v>
      </c>
      <c r="E62" s="18">
        <v>51.77</v>
      </c>
      <c r="F62" s="12">
        <f ca="1">IFERROR(__xludf.DUMMYFUNCTION("GOOGLEFINANCE(C62)"),60.46)</f>
        <v>60.46</v>
      </c>
    </row>
    <row r="63" spans="1:6" ht="15" x14ac:dyDescent="0.25">
      <c r="A63" s="14">
        <v>64</v>
      </c>
      <c r="B63" s="15" t="s">
        <v>126</v>
      </c>
      <c r="C63" s="16" t="s">
        <v>127</v>
      </c>
      <c r="D63" s="17">
        <v>44293</v>
      </c>
      <c r="E63" s="18">
        <v>81.849999999999994</v>
      </c>
      <c r="F63" s="12">
        <f ca="1">IFERROR(__xludf.DUMMYFUNCTION("GOOGLEFINANCE(C63)"),54.76)</f>
        <v>54.76</v>
      </c>
    </row>
    <row r="64" spans="1:6" ht="15" x14ac:dyDescent="0.25">
      <c r="A64" s="14">
        <v>65</v>
      </c>
      <c r="B64" s="15" t="s">
        <v>128</v>
      </c>
      <c r="C64" s="16" t="s">
        <v>129</v>
      </c>
      <c r="D64" s="17">
        <v>44293</v>
      </c>
      <c r="E64" s="18">
        <v>151.47</v>
      </c>
      <c r="F64" s="12">
        <f ca="1">IFERROR(__xludf.DUMMYFUNCTION("GOOGLEFINANCE(C64)"),244.74)</f>
        <v>244.74</v>
      </c>
    </row>
    <row r="65" spans="1:6" ht="15" x14ac:dyDescent="0.25">
      <c r="A65" s="14">
        <v>66</v>
      </c>
      <c r="B65" s="15" t="s">
        <v>130</v>
      </c>
      <c r="C65" s="16" t="s">
        <v>131</v>
      </c>
      <c r="D65" s="17">
        <v>44293</v>
      </c>
      <c r="E65" s="18">
        <v>139.13999999999999</v>
      </c>
      <c r="F65" s="12">
        <f ca="1">IFERROR(__xludf.DUMMYFUNCTION("GOOGLEFINANCE(C65)"),146.15)</f>
        <v>146.15</v>
      </c>
    </row>
    <row r="66" spans="1:6" ht="15" x14ac:dyDescent="0.25">
      <c r="A66" s="14">
        <v>67</v>
      </c>
      <c r="B66" s="15" t="s">
        <v>66</v>
      </c>
      <c r="C66" s="16" t="s">
        <v>67</v>
      </c>
      <c r="D66" s="17">
        <v>44292</v>
      </c>
      <c r="E66" s="18">
        <v>114.08</v>
      </c>
      <c r="F66" s="12">
        <f ca="1">IFERROR(__xludf.DUMMYFUNCTION("GOOGLEFINANCE(C66)"),131.93)</f>
        <v>131.93</v>
      </c>
    </row>
    <row r="67" spans="1:6" ht="15" x14ac:dyDescent="0.25">
      <c r="A67" s="14">
        <v>68</v>
      </c>
      <c r="B67" s="15" t="s">
        <v>88</v>
      </c>
      <c r="C67" s="16" t="s">
        <v>89</v>
      </c>
      <c r="D67" s="17">
        <v>44292</v>
      </c>
      <c r="E67" s="18">
        <v>136.37</v>
      </c>
      <c r="F67" s="12">
        <f ca="1">IFERROR(__xludf.DUMMYFUNCTION("GOOGLEFINANCE(C67)"),82.27)</f>
        <v>82.27</v>
      </c>
    </row>
    <row r="68" spans="1:6" ht="15" x14ac:dyDescent="0.25">
      <c r="A68" s="14">
        <v>69</v>
      </c>
      <c r="B68" s="15" t="s">
        <v>102</v>
      </c>
      <c r="C68" s="16" t="s">
        <v>103</v>
      </c>
      <c r="D68" s="17">
        <v>44292</v>
      </c>
      <c r="E68" s="18">
        <v>140.1</v>
      </c>
      <c r="F68" s="12">
        <f ca="1">IFERROR(__xludf.DUMMYFUNCTION("GOOGLEFINANCE(C68)"),138.75)</f>
        <v>138.75</v>
      </c>
    </row>
    <row r="69" spans="1:6" ht="15" x14ac:dyDescent="0.25">
      <c r="A69" s="14">
        <v>70</v>
      </c>
      <c r="B69" s="15" t="s">
        <v>92</v>
      </c>
      <c r="C69" s="16" t="s">
        <v>93</v>
      </c>
      <c r="D69" s="17">
        <v>44292</v>
      </c>
      <c r="E69" s="18">
        <v>236.3</v>
      </c>
      <c r="F69" s="12">
        <f ca="1">IFERROR(__xludf.DUMMYFUNCTION("GOOGLEFINANCE(C69)"),242.25)</f>
        <v>242.25</v>
      </c>
    </row>
    <row r="70" spans="1:6" ht="15" x14ac:dyDescent="0.25">
      <c r="A70" s="14">
        <v>71</v>
      </c>
      <c r="B70" s="15" t="s">
        <v>132</v>
      </c>
      <c r="C70" s="16" t="s">
        <v>133</v>
      </c>
      <c r="D70" s="17">
        <v>44292</v>
      </c>
      <c r="E70" s="18">
        <v>6.35</v>
      </c>
      <c r="F70" s="12">
        <f ca="1">IFERROR(__xludf.DUMMYFUNCTION("GOOGLEFINANCE(C70)"),5.24)</f>
        <v>5.24</v>
      </c>
    </row>
    <row r="71" spans="1:6" ht="15" x14ac:dyDescent="0.25">
      <c r="A71" s="14">
        <v>72</v>
      </c>
      <c r="B71" s="15" t="s">
        <v>134</v>
      </c>
      <c r="C71" s="16" t="s">
        <v>135</v>
      </c>
      <c r="D71" s="17">
        <v>44292</v>
      </c>
      <c r="E71" s="18">
        <v>509.08</v>
      </c>
      <c r="F71" s="12">
        <f ca="1">IFERROR(__xludf.DUMMYFUNCTION("GOOGLEFINANCE(C71)"),615.63)</f>
        <v>615.63</v>
      </c>
    </row>
    <row r="72" spans="1:6" ht="15" x14ac:dyDescent="0.25">
      <c r="A72" s="14">
        <v>73</v>
      </c>
      <c r="B72" s="15" t="s">
        <v>136</v>
      </c>
      <c r="C72" s="16" t="s">
        <v>137</v>
      </c>
      <c r="D72" s="17">
        <v>44292</v>
      </c>
      <c r="E72" s="18">
        <v>31.08</v>
      </c>
      <c r="F72" s="12">
        <f ca="1">IFERROR(__xludf.DUMMYFUNCTION("GOOGLEFINANCE(C72)"),20.33)</f>
        <v>20.329999999999998</v>
      </c>
    </row>
    <row r="73" spans="1:6" ht="15" x14ac:dyDescent="0.25">
      <c r="A73" s="14">
        <v>74</v>
      </c>
      <c r="B73" s="15" t="s">
        <v>138</v>
      </c>
      <c r="C73" s="16" t="s">
        <v>139</v>
      </c>
      <c r="D73" s="17">
        <v>44292</v>
      </c>
      <c r="E73" s="18">
        <v>34.14</v>
      </c>
      <c r="F73" s="12">
        <f ca="1">IFERROR(__xludf.DUMMYFUNCTION("GOOGLEFINANCE(C73)"),42.48)</f>
        <v>42.48</v>
      </c>
    </row>
    <row r="74" spans="1:6" ht="15" x14ac:dyDescent="0.25">
      <c r="A74" s="14">
        <v>75</v>
      </c>
      <c r="B74" s="15" t="s">
        <v>78</v>
      </c>
      <c r="C74" s="16" t="s">
        <v>79</v>
      </c>
      <c r="D74" s="17">
        <v>44292</v>
      </c>
      <c r="E74" s="18">
        <v>219.19</v>
      </c>
      <c r="F74" s="12">
        <f ca="1">IFERROR(__xludf.DUMMYFUNCTION("GOOGLEFINANCE(C74)"),205.17)</f>
        <v>205.17</v>
      </c>
    </row>
    <row r="75" spans="1:6" ht="15" x14ac:dyDescent="0.25">
      <c r="A75" s="14">
        <v>76</v>
      </c>
      <c r="B75" s="15" t="s">
        <v>140</v>
      </c>
      <c r="C75" s="16" t="s">
        <v>141</v>
      </c>
      <c r="D75" s="17">
        <v>44292</v>
      </c>
      <c r="E75" s="18">
        <v>61.94</v>
      </c>
      <c r="F75" s="12">
        <f ca="1">IFERROR(__xludf.DUMMYFUNCTION("GOOGLEFINANCE(C75)"),55.16)</f>
        <v>55.16</v>
      </c>
    </row>
    <row r="76" spans="1:6" ht="15" x14ac:dyDescent="0.25">
      <c r="A76" s="14">
        <v>77</v>
      </c>
      <c r="B76" s="15" t="s">
        <v>142</v>
      </c>
      <c r="C76" s="16" t="s">
        <v>143</v>
      </c>
      <c r="D76" s="17">
        <v>44292</v>
      </c>
      <c r="E76" s="18">
        <v>12.92</v>
      </c>
      <c r="F76" s="12">
        <f ca="1">IFERROR(__xludf.DUMMYFUNCTION("GOOGLEFINANCE(C76)"),19.77)</f>
        <v>19.77</v>
      </c>
    </row>
    <row r="77" spans="1:6" ht="15" x14ac:dyDescent="0.25">
      <c r="A77" s="14">
        <v>78</v>
      </c>
      <c r="B77" s="15" t="s">
        <v>144</v>
      </c>
      <c r="C77" s="16" t="s">
        <v>145</v>
      </c>
      <c r="D77" s="17">
        <v>44292</v>
      </c>
      <c r="E77" s="18">
        <v>176.62</v>
      </c>
      <c r="F77" s="12">
        <f ca="1">IFERROR(__xludf.DUMMYFUNCTION("GOOGLEFINANCE(C77)"),201.34)</f>
        <v>201.34</v>
      </c>
    </row>
    <row r="78" spans="1:6" ht="15" x14ac:dyDescent="0.25">
      <c r="A78" s="14">
        <v>79</v>
      </c>
      <c r="B78" s="15" t="s">
        <v>146</v>
      </c>
      <c r="C78" s="16" t="s">
        <v>147</v>
      </c>
      <c r="D78" s="17">
        <v>44291</v>
      </c>
      <c r="E78" s="18">
        <v>124.5</v>
      </c>
      <c r="F78" s="12">
        <f ca="1">IFERROR(__xludf.DUMMYFUNCTION("GOOGLEFINANCE(C78)"),116.32)</f>
        <v>116.32</v>
      </c>
    </row>
    <row r="79" spans="1:6" ht="15" x14ac:dyDescent="0.25">
      <c r="A79" s="14">
        <v>80</v>
      </c>
      <c r="B79" s="15" t="s">
        <v>148</v>
      </c>
      <c r="C79" s="16" t="s">
        <v>149</v>
      </c>
      <c r="D79" s="17">
        <v>44291</v>
      </c>
      <c r="E79" s="18">
        <v>540.66999999999996</v>
      </c>
      <c r="F79" s="12">
        <f ca="1">IFERROR(__xludf.DUMMYFUNCTION("GOOGLEFINANCE(C79)"),586.73)</f>
        <v>586.73</v>
      </c>
    </row>
    <row r="80" spans="1:6" ht="15" x14ac:dyDescent="0.25">
      <c r="A80" s="14">
        <v>81</v>
      </c>
      <c r="B80" s="15" t="s">
        <v>136</v>
      </c>
      <c r="C80" s="16" t="s">
        <v>137</v>
      </c>
      <c r="D80" s="17">
        <v>44291</v>
      </c>
      <c r="E80" s="18">
        <v>29.71</v>
      </c>
      <c r="F80" s="12">
        <f ca="1">IFERROR(__xludf.DUMMYFUNCTION("GOOGLEFINANCE(C80)"),20.33)</f>
        <v>20.329999999999998</v>
      </c>
    </row>
    <row r="81" spans="1:8" ht="15" x14ac:dyDescent="0.25">
      <c r="A81" s="14">
        <v>82</v>
      </c>
      <c r="B81" s="15" t="s">
        <v>76</v>
      </c>
      <c r="C81" s="16" t="s">
        <v>77</v>
      </c>
      <c r="D81" s="17">
        <v>44291</v>
      </c>
      <c r="E81" s="18">
        <v>249.07</v>
      </c>
      <c r="F81" s="12">
        <f ca="1">IFERROR(__xludf.DUMMYFUNCTION("GOOGLEFINANCE(C81)"),323.8)</f>
        <v>323.8</v>
      </c>
    </row>
    <row r="82" spans="1:8" ht="15" x14ac:dyDescent="0.25">
      <c r="A82" s="14">
        <v>83</v>
      </c>
      <c r="B82" s="15" t="s">
        <v>150</v>
      </c>
      <c r="C82" s="16" t="s">
        <v>151</v>
      </c>
      <c r="D82" s="17">
        <v>44291</v>
      </c>
      <c r="E82" s="18">
        <v>520</v>
      </c>
      <c r="F82" s="12">
        <f ca="1">IFERROR(__xludf.DUMMYFUNCTION("GOOGLEFINANCE(C82)"),410.42)</f>
        <v>410.42</v>
      </c>
    </row>
    <row r="83" spans="1:8" ht="15" x14ac:dyDescent="0.25">
      <c r="A83" s="14">
        <v>84</v>
      </c>
      <c r="B83" s="15" t="s">
        <v>140</v>
      </c>
      <c r="C83" s="16" t="s">
        <v>141</v>
      </c>
      <c r="D83" s="17">
        <v>44291</v>
      </c>
      <c r="E83" s="18">
        <v>61.04</v>
      </c>
      <c r="F83" s="12">
        <f ca="1">IFERROR(__xludf.DUMMYFUNCTION("GOOGLEFINANCE(C83)"),55.16)</f>
        <v>55.16</v>
      </c>
    </row>
    <row r="84" spans="1:8" ht="15" x14ac:dyDescent="0.25">
      <c r="A84" s="14">
        <v>85</v>
      </c>
      <c r="B84" s="15" t="s">
        <v>152</v>
      </c>
      <c r="C84" s="16" t="s">
        <v>153</v>
      </c>
      <c r="D84" s="17">
        <v>44291</v>
      </c>
      <c r="E84" s="18">
        <v>68.849999999999994</v>
      </c>
      <c r="F84" s="12">
        <f ca="1">IFERROR(__xludf.DUMMYFUNCTION("GOOGLEFINANCE(C84)"),40.68)</f>
        <v>40.68</v>
      </c>
    </row>
    <row r="85" spans="1:8" ht="15" x14ac:dyDescent="0.25">
      <c r="A85" s="14">
        <v>86</v>
      </c>
      <c r="B85" s="15" t="s">
        <v>154</v>
      </c>
      <c r="C85" s="16" t="s">
        <v>155</v>
      </c>
      <c r="D85" s="17">
        <v>44291</v>
      </c>
      <c r="E85" s="18">
        <v>308.91000000000003</v>
      </c>
      <c r="F85" s="12">
        <f ca="1">IFERROR(__xludf.DUMMYFUNCTION("GOOGLEFINANCE(C85)"),333.79)</f>
        <v>333.79</v>
      </c>
    </row>
    <row r="86" spans="1:8" ht="15" x14ac:dyDescent="0.25">
      <c r="A86" s="14">
        <v>87</v>
      </c>
      <c r="B86" s="15" t="s">
        <v>142</v>
      </c>
      <c r="C86" s="16" t="s">
        <v>143</v>
      </c>
      <c r="D86" s="17">
        <v>44291</v>
      </c>
      <c r="E86" s="18">
        <v>12.7</v>
      </c>
      <c r="F86" s="12">
        <f ca="1">IFERROR(__xludf.DUMMYFUNCTION("GOOGLEFINANCE(C86)"),19.77)</f>
        <v>19.77</v>
      </c>
    </row>
    <row r="87" spans="1:8" ht="15" x14ac:dyDescent="0.25">
      <c r="A87" s="14">
        <v>88</v>
      </c>
      <c r="B87" s="15" t="s">
        <v>52</v>
      </c>
      <c r="C87" s="16" t="s">
        <v>53</v>
      </c>
      <c r="D87" s="17">
        <v>44291</v>
      </c>
      <c r="E87" s="18">
        <v>125.9</v>
      </c>
      <c r="F87" s="12">
        <f ca="1">IFERROR(__xludf.DUMMYFUNCTION("GOOGLEFINANCE(C87)"),171.14)</f>
        <v>171.14</v>
      </c>
    </row>
    <row r="88" spans="1:8" ht="15" x14ac:dyDescent="0.25">
      <c r="A88" s="14">
        <v>89</v>
      </c>
      <c r="B88" s="15" t="s">
        <v>146</v>
      </c>
      <c r="C88" s="16" t="s">
        <v>147</v>
      </c>
      <c r="D88" s="17">
        <v>44287</v>
      </c>
      <c r="E88" s="18">
        <v>124.8</v>
      </c>
      <c r="F88" s="12">
        <f ca="1">IFERROR(__xludf.DUMMYFUNCTION("GOOGLEFINANCE(C88)"),116.32)</f>
        <v>116.32</v>
      </c>
    </row>
    <row r="89" spans="1:8" ht="15" x14ac:dyDescent="0.25">
      <c r="A89" s="14">
        <v>90</v>
      </c>
      <c r="B89" s="15" t="s">
        <v>156</v>
      </c>
      <c r="C89" s="16" t="s">
        <v>157</v>
      </c>
      <c r="D89" s="17">
        <v>44287</v>
      </c>
      <c r="E89" s="18">
        <v>661.75</v>
      </c>
      <c r="F89" s="12">
        <f ca="1">IFERROR(__xludf.DUMMYFUNCTION("GOOGLEFINANCE(C89)"),932.57)</f>
        <v>932.57</v>
      </c>
    </row>
    <row r="90" spans="1:8" ht="15" x14ac:dyDescent="0.25">
      <c r="A90" s="14">
        <v>91</v>
      </c>
      <c r="B90" s="15" t="s">
        <v>158</v>
      </c>
      <c r="C90" s="16" t="s">
        <v>159</v>
      </c>
      <c r="D90" s="17">
        <v>44287</v>
      </c>
      <c r="E90" s="18">
        <v>49.3</v>
      </c>
      <c r="F90" s="12">
        <f ca="1">IFERROR(__xludf.DUMMYFUNCTION("GOOGLEFINANCE(C90)"),23.78)</f>
        <v>23.78</v>
      </c>
    </row>
    <row r="91" spans="1:8" ht="15" x14ac:dyDescent="0.25">
      <c r="A91" s="14">
        <v>92</v>
      </c>
      <c r="B91" s="15" t="s">
        <v>160</v>
      </c>
      <c r="C91" s="16" t="s">
        <v>161</v>
      </c>
      <c r="D91" s="17">
        <v>44287</v>
      </c>
      <c r="E91" s="18">
        <v>92.41</v>
      </c>
      <c r="F91" s="12">
        <f ca="1">IFERROR(__xludf.DUMMYFUNCTION("GOOGLEFINANCE(C91)"),83)</f>
        <v>83</v>
      </c>
    </row>
    <row r="92" spans="1:8" ht="15" x14ac:dyDescent="0.25">
      <c r="A92" s="14">
        <v>93</v>
      </c>
      <c r="B92" s="15" t="s">
        <v>94</v>
      </c>
      <c r="C92" s="16" t="s">
        <v>95</v>
      </c>
      <c r="D92" s="17">
        <v>44287</v>
      </c>
      <c r="E92" s="18">
        <v>23.69</v>
      </c>
      <c r="F92" s="12">
        <f ca="1">IFERROR(__xludf.DUMMYFUNCTION("GOOGLEFINANCE(C92)"),23.96)</f>
        <v>23.96</v>
      </c>
    </row>
    <row r="93" spans="1:8" ht="15" x14ac:dyDescent="0.25">
      <c r="A93" s="14">
        <v>94</v>
      </c>
      <c r="B93" s="15" t="s">
        <v>98</v>
      </c>
      <c r="C93" s="16" t="s">
        <v>99</v>
      </c>
      <c r="D93" s="17">
        <v>44287</v>
      </c>
      <c r="E93" s="18">
        <v>232.74</v>
      </c>
      <c r="F93" s="12">
        <f ca="1">IFERROR(__xludf.DUMMYFUNCTION("GOOGLEFINANCE(C93)"),201.37)</f>
        <v>201.37</v>
      </c>
    </row>
    <row r="94" spans="1:8" ht="15" x14ac:dyDescent="0.25">
      <c r="A94" s="14">
        <v>95</v>
      </c>
      <c r="B94" s="15" t="s">
        <v>162</v>
      </c>
      <c r="C94" s="16" t="s">
        <v>163</v>
      </c>
      <c r="D94" s="17">
        <v>44287</v>
      </c>
      <c r="E94" s="18">
        <v>37.29</v>
      </c>
      <c r="F94" s="12">
        <f ca="1">IFERROR(__xludf.DUMMYFUNCTION("GOOGLEFINANCE(C94)"),34.58)</f>
        <v>34.58</v>
      </c>
    </row>
    <row r="95" spans="1:8" ht="15" x14ac:dyDescent="0.25">
      <c r="A95" s="14">
        <v>96</v>
      </c>
      <c r="B95" s="15" t="s">
        <v>164</v>
      </c>
      <c r="C95" s="16" t="s">
        <v>165</v>
      </c>
      <c r="D95" s="17">
        <v>44287</v>
      </c>
      <c r="E95" s="18">
        <v>9.36</v>
      </c>
      <c r="F95" s="12">
        <f ca="1">IFERROR(__xludf.DUMMYFUNCTION("GOOGLEFINANCE(C95)"),29.12)</f>
        <v>29.12</v>
      </c>
    </row>
    <row r="96" spans="1:8" ht="15" x14ac:dyDescent="0.25">
      <c r="A96" s="14">
        <v>97</v>
      </c>
      <c r="B96" s="15" t="s">
        <v>130</v>
      </c>
      <c r="C96" s="16" t="s">
        <v>131</v>
      </c>
      <c r="D96" s="17">
        <v>44287</v>
      </c>
      <c r="E96" s="18">
        <v>141.52000000000001</v>
      </c>
      <c r="F96" s="12">
        <f ca="1">IFERROR(__xludf.DUMMYFUNCTION("GOOGLEFINANCE(C96)"),146.15)</f>
        <v>146.15</v>
      </c>
      <c r="H96" s="19"/>
    </row>
    <row r="97" spans="1:7" ht="15" x14ac:dyDescent="0.25">
      <c r="A97" s="14">
        <v>98</v>
      </c>
      <c r="B97" s="15" t="s">
        <v>166</v>
      </c>
      <c r="C97" s="16" t="s">
        <v>167</v>
      </c>
      <c r="D97" s="17">
        <v>44286</v>
      </c>
      <c r="E97" s="18">
        <v>129.63999999999999</v>
      </c>
      <c r="F97" s="12">
        <f ca="1">IFERROR(__xludf.DUMMYFUNCTION("GOOGLEFINANCE(C97)"),62.46)</f>
        <v>62.46</v>
      </c>
    </row>
    <row r="98" spans="1:7" ht="15" x14ac:dyDescent="0.25">
      <c r="A98" s="14">
        <v>99</v>
      </c>
      <c r="B98" s="15" t="s">
        <v>146</v>
      </c>
      <c r="C98" s="16" t="s">
        <v>147</v>
      </c>
      <c r="D98" s="17">
        <v>44286</v>
      </c>
      <c r="E98" s="18">
        <v>118.28</v>
      </c>
      <c r="F98" s="12">
        <f ca="1">IFERROR(__xludf.DUMMYFUNCTION("GOOGLEFINANCE(C98)"),116.32)</f>
        <v>116.32</v>
      </c>
    </row>
    <row r="99" spans="1:7" ht="15" x14ac:dyDescent="0.25">
      <c r="A99" s="14">
        <v>100</v>
      </c>
      <c r="B99" s="15" t="s">
        <v>168</v>
      </c>
      <c r="C99" s="16" t="s">
        <v>169</v>
      </c>
      <c r="D99" s="17">
        <v>44286</v>
      </c>
      <c r="E99" s="18">
        <v>177.08</v>
      </c>
      <c r="F99" s="12">
        <f ca="1">IFERROR(__xludf.DUMMYFUNCTION("GOOGLEFINANCE(C99)"),226.65)</f>
        <v>226.65</v>
      </c>
    </row>
    <row r="100" spans="1:7" ht="15" x14ac:dyDescent="0.25">
      <c r="A100" s="14">
        <v>101</v>
      </c>
      <c r="B100" s="15" t="s">
        <v>170</v>
      </c>
      <c r="C100" s="16" t="s">
        <v>171</v>
      </c>
      <c r="D100" s="17">
        <v>44286</v>
      </c>
      <c r="E100" s="18">
        <v>10.42</v>
      </c>
      <c r="F100" s="20">
        <v>3.5001000000000002</v>
      </c>
      <c r="G100" s="21" t="s">
        <v>172</v>
      </c>
    </row>
    <row r="101" spans="1:7" ht="15" x14ac:dyDescent="0.25">
      <c r="A101" s="14">
        <v>102</v>
      </c>
      <c r="B101" s="15" t="s">
        <v>173</v>
      </c>
      <c r="C101" s="16" t="s">
        <v>174</v>
      </c>
      <c r="D101" s="17">
        <v>44286</v>
      </c>
      <c r="E101" s="18">
        <v>66.72</v>
      </c>
      <c r="F101" s="12">
        <f ca="1">IFERROR(__xludf.DUMMYFUNCTION("GOOGLEFINANCE(C101)"),57.36)</f>
        <v>57.36</v>
      </c>
    </row>
    <row r="102" spans="1:7" ht="15" x14ac:dyDescent="0.25">
      <c r="A102" s="14">
        <v>103</v>
      </c>
      <c r="B102" s="15" t="s">
        <v>175</v>
      </c>
      <c r="C102" s="16" t="s">
        <v>176</v>
      </c>
      <c r="D102" s="17">
        <v>44286</v>
      </c>
      <c r="E102" s="18">
        <v>59.07</v>
      </c>
      <c r="F102" s="12">
        <f ca="1">IFERROR(__xludf.DUMMYFUNCTION("GOOGLEFINANCE(C102)"),57.36)</f>
        <v>57.36</v>
      </c>
    </row>
    <row r="103" spans="1:7" ht="15" x14ac:dyDescent="0.25">
      <c r="A103" s="14">
        <v>104</v>
      </c>
      <c r="B103" s="15" t="s">
        <v>177</v>
      </c>
      <c r="C103" s="16" t="s">
        <v>178</v>
      </c>
      <c r="D103" s="17">
        <v>44286</v>
      </c>
      <c r="E103" s="18">
        <v>341.31</v>
      </c>
      <c r="F103" s="12">
        <f ca="1">IFERROR(__xludf.DUMMYFUNCTION("GOOGLEFINANCE(C103)"),438.51)</f>
        <v>438.51</v>
      </c>
    </row>
    <row r="104" spans="1:7" ht="15" x14ac:dyDescent="0.25">
      <c r="A104" s="14">
        <v>105</v>
      </c>
      <c r="B104" s="15" t="s">
        <v>179</v>
      </c>
      <c r="C104" s="16" t="s">
        <v>180</v>
      </c>
      <c r="D104" s="17">
        <v>44286</v>
      </c>
      <c r="E104" s="18">
        <v>20.11</v>
      </c>
      <c r="F104" s="12">
        <f ca="1">IFERROR(__xludf.DUMMYFUNCTION("GOOGLEFINANCE(C104)"),20.59)</f>
        <v>20.59</v>
      </c>
    </row>
    <row r="105" spans="1:7" ht="15" x14ac:dyDescent="0.25">
      <c r="A105" s="14">
        <v>106</v>
      </c>
      <c r="B105" s="15" t="s">
        <v>52</v>
      </c>
      <c r="C105" s="16" t="s">
        <v>53</v>
      </c>
      <c r="D105" s="17">
        <v>44286</v>
      </c>
      <c r="E105" s="18">
        <v>122.15</v>
      </c>
      <c r="F105" s="12">
        <f ca="1">IFERROR(__xludf.DUMMYFUNCTION("GOOGLEFINANCE(C105)"),171.14)</f>
        <v>171.14</v>
      </c>
    </row>
    <row r="106" spans="1:7" ht="15" x14ac:dyDescent="0.25">
      <c r="A106" s="14">
        <v>107</v>
      </c>
      <c r="B106" s="15" t="s">
        <v>166</v>
      </c>
      <c r="C106" s="16" t="s">
        <v>167</v>
      </c>
      <c r="D106" s="17">
        <v>44285</v>
      </c>
      <c r="E106" s="18">
        <v>123.76</v>
      </c>
      <c r="F106" s="12">
        <f ca="1">IFERROR(__xludf.DUMMYFUNCTION("GOOGLEFINANCE(C106)"),62.46)</f>
        <v>62.46</v>
      </c>
    </row>
    <row r="107" spans="1:7" ht="15" x14ac:dyDescent="0.25">
      <c r="A107" s="14">
        <v>108</v>
      </c>
      <c r="B107" s="15" t="s">
        <v>100</v>
      </c>
      <c r="C107" s="16" t="s">
        <v>101</v>
      </c>
      <c r="D107" s="17">
        <v>44285</v>
      </c>
      <c r="E107" s="18">
        <v>184</v>
      </c>
      <c r="F107" s="12">
        <f ca="1">IFERROR(__xludf.DUMMYFUNCTION("GOOGLEFINANCE(C107)"),169.44)</f>
        <v>169.44</v>
      </c>
    </row>
    <row r="108" spans="1:7" ht="15" x14ac:dyDescent="0.25">
      <c r="A108" s="14">
        <v>109</v>
      </c>
      <c r="B108" s="15" t="s">
        <v>181</v>
      </c>
      <c r="C108" s="16" t="s">
        <v>182</v>
      </c>
      <c r="D108" s="17">
        <v>44285</v>
      </c>
      <c r="E108" s="18">
        <v>30.67</v>
      </c>
      <c r="F108" s="12">
        <f ca="1">IFERROR(__xludf.DUMMYFUNCTION("GOOGLEFINANCE(C108)"),40.27)</f>
        <v>40.270000000000003</v>
      </c>
    </row>
    <row r="109" spans="1:7" ht="15" x14ac:dyDescent="0.25">
      <c r="A109" s="14">
        <v>110</v>
      </c>
      <c r="B109" s="15" t="s">
        <v>168</v>
      </c>
      <c r="C109" s="16" t="s">
        <v>169</v>
      </c>
      <c r="D109" s="17">
        <v>44285</v>
      </c>
      <c r="E109" s="18">
        <v>177.05</v>
      </c>
      <c r="F109" s="12">
        <f ca="1">IFERROR(__xludf.DUMMYFUNCTION("GOOGLEFINANCE(C109)"),226.65)</f>
        <v>226.65</v>
      </c>
    </row>
    <row r="110" spans="1:7" ht="15" x14ac:dyDescent="0.25">
      <c r="A110" s="14">
        <v>111</v>
      </c>
      <c r="B110" s="15" t="s">
        <v>106</v>
      </c>
      <c r="C110" s="16" t="s">
        <v>107</v>
      </c>
      <c r="D110" s="17">
        <v>44285</v>
      </c>
      <c r="E110" s="18">
        <v>600</v>
      </c>
      <c r="F110" s="12">
        <f ca="1">IFERROR(__xludf.DUMMYFUNCTION("GOOGLEFINANCE(C110)"),552.82)</f>
        <v>552.82000000000005</v>
      </c>
    </row>
    <row r="111" spans="1:7" ht="15" x14ac:dyDescent="0.25">
      <c r="A111" s="14">
        <v>112</v>
      </c>
      <c r="B111" s="15" t="s">
        <v>183</v>
      </c>
      <c r="C111" s="16" t="s">
        <v>184</v>
      </c>
      <c r="D111" s="17">
        <v>44285</v>
      </c>
      <c r="E111" s="18">
        <v>80.39</v>
      </c>
      <c r="F111" s="12">
        <f ca="1">IFERROR(__xludf.DUMMYFUNCTION("GOOGLEFINANCE(C111)"),118)</f>
        <v>118</v>
      </c>
    </row>
    <row r="112" spans="1:7" ht="15" x14ac:dyDescent="0.25">
      <c r="A112" s="14">
        <v>113</v>
      </c>
      <c r="B112" s="15" t="s">
        <v>185</v>
      </c>
      <c r="C112" s="16" t="s">
        <v>186</v>
      </c>
      <c r="D112" s="17">
        <v>44285</v>
      </c>
      <c r="E112" s="18">
        <v>37.92</v>
      </c>
      <c r="F112" s="12">
        <f ca="1">IFERROR(__xludf.DUMMYFUNCTION("GOOGLEFINANCE(C112)"),38.74)</f>
        <v>38.74</v>
      </c>
    </row>
    <row r="113" spans="1:6" ht="15" x14ac:dyDescent="0.25">
      <c r="A113" s="14">
        <v>114</v>
      </c>
      <c r="B113" s="15" t="s">
        <v>187</v>
      </c>
      <c r="C113" s="16" t="s">
        <v>188</v>
      </c>
      <c r="D113" s="17">
        <v>44285</v>
      </c>
      <c r="E113" s="18">
        <v>21.12</v>
      </c>
      <c r="F113" s="12">
        <f ca="1">IFERROR(__xludf.DUMMYFUNCTION("GOOGLEFINANCE(C113)"),17.68)</f>
        <v>17.68</v>
      </c>
    </row>
    <row r="114" spans="1:6" ht="15" x14ac:dyDescent="0.25">
      <c r="A114" s="14">
        <v>115</v>
      </c>
      <c r="B114" s="15" t="s">
        <v>189</v>
      </c>
      <c r="C114" s="16" t="s">
        <v>190</v>
      </c>
      <c r="D114" s="17">
        <v>44285</v>
      </c>
      <c r="E114" s="18">
        <v>16.57</v>
      </c>
      <c r="F114" s="12">
        <f ca="1">IFERROR(__xludf.DUMMYFUNCTION("GOOGLEFINANCE(C114)"),24.55)</f>
        <v>24.55</v>
      </c>
    </row>
    <row r="115" spans="1:6" ht="15" x14ac:dyDescent="0.25">
      <c r="A115" s="14">
        <v>116</v>
      </c>
      <c r="B115" s="15" t="s">
        <v>114</v>
      </c>
      <c r="C115" s="16" t="s">
        <v>115</v>
      </c>
      <c r="D115" s="17">
        <v>44285</v>
      </c>
      <c r="E115" s="18">
        <v>190.02</v>
      </c>
      <c r="F115" s="12">
        <f ca="1">IFERROR(__xludf.DUMMYFUNCTION("GOOGLEFINANCE(C115)"),248.09)</f>
        <v>248.09</v>
      </c>
    </row>
    <row r="116" spans="1:6" ht="15" x14ac:dyDescent="0.25">
      <c r="A116" s="14">
        <v>117</v>
      </c>
      <c r="B116" s="15" t="s">
        <v>191</v>
      </c>
      <c r="C116" s="16" t="s">
        <v>192</v>
      </c>
      <c r="D116" s="17">
        <v>44285</v>
      </c>
      <c r="E116" s="18">
        <v>399.71</v>
      </c>
      <c r="F116" s="12">
        <f ca="1">IFERROR(__xludf.DUMMYFUNCTION("GOOGLEFINANCE(C116)"),286.25)</f>
        <v>286.25</v>
      </c>
    </row>
    <row r="117" spans="1:6" ht="15" x14ac:dyDescent="0.25">
      <c r="A117" s="14">
        <v>118</v>
      </c>
      <c r="B117" s="15" t="s">
        <v>193</v>
      </c>
      <c r="C117" s="16" t="s">
        <v>194</v>
      </c>
      <c r="D117" s="17">
        <v>44285</v>
      </c>
      <c r="E117" s="18">
        <v>135.83000000000001</v>
      </c>
      <c r="F117" s="12">
        <f ca="1">IFERROR(__xludf.DUMMYFUNCTION("GOOGLEFINANCE(C117)"),137.54)</f>
        <v>137.54</v>
      </c>
    </row>
    <row r="118" spans="1:6" ht="15" x14ac:dyDescent="0.25">
      <c r="A118" s="14">
        <v>119</v>
      </c>
      <c r="B118" s="15" t="s">
        <v>118</v>
      </c>
      <c r="C118" s="16" t="s">
        <v>119</v>
      </c>
      <c r="D118" s="17">
        <v>44285</v>
      </c>
      <c r="E118" s="18">
        <v>304.82</v>
      </c>
      <c r="F118" s="12">
        <f ca="1">IFERROR(__xludf.DUMMYFUNCTION("GOOGLEFINANCE(C118)"),387.98)</f>
        <v>387.98</v>
      </c>
    </row>
    <row r="119" spans="1:6" ht="15" x14ac:dyDescent="0.25">
      <c r="A119" s="14">
        <v>120</v>
      </c>
      <c r="B119" s="15" t="s">
        <v>195</v>
      </c>
      <c r="C119" s="16" t="s">
        <v>196</v>
      </c>
      <c r="D119" s="17">
        <v>44285</v>
      </c>
      <c r="E119" s="18">
        <v>254.5</v>
      </c>
      <c r="F119" s="12">
        <f ca="1">IFERROR(__xludf.DUMMYFUNCTION("GOOGLEFINANCE(C119)"),223.59)</f>
        <v>223.59</v>
      </c>
    </row>
    <row r="120" spans="1:6" ht="15" x14ac:dyDescent="0.25">
      <c r="A120" s="14">
        <v>121</v>
      </c>
      <c r="B120" s="15" t="s">
        <v>197</v>
      </c>
      <c r="C120" s="16" t="s">
        <v>198</v>
      </c>
      <c r="D120" s="17">
        <v>44285</v>
      </c>
      <c r="E120" s="18">
        <v>72.150000000000006</v>
      </c>
      <c r="F120" s="12">
        <f ca="1">IFERROR(__xludf.DUMMYFUNCTION("GOOGLEFINANCE(C120)"),83.74)</f>
        <v>83.74</v>
      </c>
    </row>
    <row r="121" spans="1:6" ht="15" x14ac:dyDescent="0.25">
      <c r="A121" s="14">
        <v>122</v>
      </c>
      <c r="B121" s="15" t="s">
        <v>86</v>
      </c>
      <c r="C121" s="16" t="s">
        <v>87</v>
      </c>
      <c r="D121" s="17">
        <v>44285</v>
      </c>
      <c r="E121" s="18">
        <v>252.01</v>
      </c>
      <c r="F121" s="12">
        <f ca="1">IFERROR(__xludf.DUMMYFUNCTION("GOOGLEFINANCE(C121)"),192.63)</f>
        <v>192.63</v>
      </c>
    </row>
    <row r="122" spans="1:6" ht="15" x14ac:dyDescent="0.25">
      <c r="A122" s="14">
        <v>123</v>
      </c>
      <c r="B122" s="15" t="s">
        <v>199</v>
      </c>
      <c r="C122" s="16" t="s">
        <v>200</v>
      </c>
      <c r="D122" s="17">
        <v>44285</v>
      </c>
      <c r="E122" s="18">
        <v>94.81</v>
      </c>
      <c r="F122" s="12">
        <f ca="1">IFERROR(__xludf.DUMMYFUNCTION("GOOGLEFINANCE(C122)"),113.95)</f>
        <v>113.95</v>
      </c>
    </row>
    <row r="123" spans="1:6" ht="15" x14ac:dyDescent="0.25">
      <c r="A123" s="14">
        <v>124</v>
      </c>
      <c r="B123" s="15" t="s">
        <v>201</v>
      </c>
      <c r="C123" s="16" t="s">
        <v>202</v>
      </c>
      <c r="D123" s="17">
        <v>44284</v>
      </c>
      <c r="E123" s="18">
        <v>9.25</v>
      </c>
      <c r="F123" s="12">
        <f ca="1">IFERROR(__xludf.DUMMYFUNCTION("GOOGLEFINANCE(C123)"),6.25)</f>
        <v>6.25</v>
      </c>
    </row>
    <row r="124" spans="1:6" ht="15" x14ac:dyDescent="0.25">
      <c r="A124" s="14">
        <v>125</v>
      </c>
      <c r="B124" s="15" t="s">
        <v>203</v>
      </c>
      <c r="C124" s="16" t="s">
        <v>204</v>
      </c>
      <c r="D124" s="17">
        <v>44284</v>
      </c>
      <c r="E124" s="18">
        <v>184.85</v>
      </c>
      <c r="F124" s="12">
        <f ca="1">IFERROR(__xludf.DUMMYFUNCTION("GOOGLEFINANCE(C124)"),148.76)</f>
        <v>148.76</v>
      </c>
    </row>
    <row r="125" spans="1:6" ht="15" x14ac:dyDescent="0.25">
      <c r="A125" s="14">
        <v>126</v>
      </c>
      <c r="B125" s="15" t="s">
        <v>86</v>
      </c>
      <c r="C125" s="16" t="s">
        <v>87</v>
      </c>
      <c r="D125" s="17">
        <v>44284</v>
      </c>
      <c r="E125" s="18">
        <v>250.52</v>
      </c>
      <c r="F125" s="12">
        <f ca="1">IFERROR(__xludf.DUMMYFUNCTION("GOOGLEFINANCE(C125)"),192.63)</f>
        <v>192.63</v>
      </c>
    </row>
    <row r="126" spans="1:6" ht="15" x14ac:dyDescent="0.25">
      <c r="A126" s="14">
        <v>127</v>
      </c>
      <c r="B126" s="15" t="s">
        <v>205</v>
      </c>
      <c r="C126" s="16" t="s">
        <v>206</v>
      </c>
      <c r="D126" s="17">
        <v>44280</v>
      </c>
      <c r="E126" s="18">
        <v>38.39</v>
      </c>
      <c r="F126" s="12">
        <f ca="1">IFERROR(__xludf.DUMMYFUNCTION("GOOGLEFINANCE(C126)"),35.09)</f>
        <v>35.090000000000003</v>
      </c>
    </row>
    <row r="127" spans="1:6" ht="15" x14ac:dyDescent="0.25">
      <c r="A127" s="14">
        <v>128</v>
      </c>
      <c r="B127" s="15" t="s">
        <v>106</v>
      </c>
      <c r="C127" s="16" t="s">
        <v>107</v>
      </c>
      <c r="D127" s="17">
        <v>44280</v>
      </c>
      <c r="E127" s="18">
        <v>529.08000000000004</v>
      </c>
      <c r="F127" s="12">
        <f ca="1">IFERROR(__xludf.DUMMYFUNCTION("GOOGLEFINANCE(C127)"),552.82)</f>
        <v>552.82000000000005</v>
      </c>
    </row>
    <row r="128" spans="1:6" ht="15" x14ac:dyDescent="0.25">
      <c r="A128" s="14">
        <v>129</v>
      </c>
      <c r="B128" s="15" t="s">
        <v>183</v>
      </c>
      <c r="C128" s="16" t="s">
        <v>184</v>
      </c>
      <c r="D128" s="17">
        <v>44280</v>
      </c>
      <c r="E128" s="18">
        <v>72.819999999999993</v>
      </c>
      <c r="F128" s="12">
        <f ca="1">IFERROR(__xludf.DUMMYFUNCTION("GOOGLEFINANCE(C128)"),118)</f>
        <v>118</v>
      </c>
    </row>
    <row r="129" spans="1:6" ht="15" x14ac:dyDescent="0.25">
      <c r="A129" s="14">
        <v>130</v>
      </c>
      <c r="B129" s="15" t="s">
        <v>207</v>
      </c>
      <c r="C129" s="16" t="s">
        <v>208</v>
      </c>
      <c r="D129" s="17">
        <v>44280</v>
      </c>
      <c r="E129" s="18">
        <v>333.23</v>
      </c>
      <c r="F129" s="12">
        <f ca="1">IFERROR(__xludf.DUMMYFUNCTION("GOOGLEFINANCE(C129)"),436.35)</f>
        <v>436.35</v>
      </c>
    </row>
    <row r="130" spans="1:6" ht="15" x14ac:dyDescent="0.25">
      <c r="A130" s="14">
        <v>131</v>
      </c>
      <c r="B130" s="15" t="s">
        <v>209</v>
      </c>
      <c r="C130" s="16" t="s">
        <v>210</v>
      </c>
      <c r="D130" s="17">
        <v>44280</v>
      </c>
      <c r="E130" s="18">
        <v>45.73</v>
      </c>
      <c r="F130" s="12">
        <f ca="1">IFERROR(__xludf.DUMMYFUNCTION("GOOGLEFINANCE(C130)"),13.48)</f>
        <v>13.48</v>
      </c>
    </row>
    <row r="131" spans="1:6" ht="15" x14ac:dyDescent="0.25">
      <c r="A131" s="14">
        <v>132</v>
      </c>
      <c r="B131" s="15" t="s">
        <v>211</v>
      </c>
      <c r="C131" s="16" t="s">
        <v>212</v>
      </c>
      <c r="D131" s="17">
        <v>44280</v>
      </c>
      <c r="E131" s="18">
        <v>11.69</v>
      </c>
      <c r="F131" s="12">
        <f ca="1">IFERROR(__xludf.DUMMYFUNCTION("GOOGLEFINANCE(C131)"),10.15)</f>
        <v>10.15</v>
      </c>
    </row>
    <row r="132" spans="1:6" ht="15" x14ac:dyDescent="0.25">
      <c r="A132" s="14">
        <v>133</v>
      </c>
      <c r="B132" s="15" t="s">
        <v>213</v>
      </c>
      <c r="C132" s="16" t="s">
        <v>214</v>
      </c>
      <c r="D132" s="17">
        <v>44280</v>
      </c>
      <c r="E132" s="18">
        <v>119.05</v>
      </c>
      <c r="F132" s="12">
        <f ca="1">IFERROR(__xludf.DUMMYFUNCTION("GOOGLEFINANCE(C132)"),137.11)</f>
        <v>137.11000000000001</v>
      </c>
    </row>
    <row r="133" spans="1:6" ht="15" x14ac:dyDescent="0.25">
      <c r="A133" s="14">
        <v>134</v>
      </c>
      <c r="B133" s="15" t="s">
        <v>215</v>
      </c>
      <c r="C133" s="16" t="s">
        <v>216</v>
      </c>
      <c r="D133" s="17">
        <v>44279</v>
      </c>
      <c r="E133" s="18">
        <v>8.1300000000000008</v>
      </c>
      <c r="F133" s="12">
        <f ca="1">IFERROR(__xludf.DUMMYFUNCTION("GOOGLEFINANCE(C133)"),6.51)</f>
        <v>6.51</v>
      </c>
    </row>
    <row r="134" spans="1:6" ht="15" x14ac:dyDescent="0.25">
      <c r="A134" s="14">
        <v>135</v>
      </c>
      <c r="B134" s="15" t="s">
        <v>217</v>
      </c>
      <c r="C134" s="16" t="s">
        <v>218</v>
      </c>
      <c r="D134" s="17">
        <v>44279</v>
      </c>
      <c r="E134" s="18">
        <v>212.9</v>
      </c>
      <c r="F134" s="12">
        <f ca="1">IFERROR(__xludf.DUMMYFUNCTION("GOOGLEFINANCE(C134)"),242.69)</f>
        <v>242.69</v>
      </c>
    </row>
    <row r="135" spans="1:6" ht="15" x14ac:dyDescent="0.25">
      <c r="A135" s="14">
        <v>136</v>
      </c>
      <c r="B135" s="15" t="s">
        <v>183</v>
      </c>
      <c r="C135" s="16" t="s">
        <v>184</v>
      </c>
      <c r="D135" s="17">
        <v>44279</v>
      </c>
      <c r="E135" s="18">
        <v>69.47</v>
      </c>
      <c r="F135" s="12">
        <f ca="1">IFERROR(__xludf.DUMMYFUNCTION("GOOGLEFINANCE(C135)"),118)</f>
        <v>118</v>
      </c>
    </row>
    <row r="136" spans="1:6" ht="15" x14ac:dyDescent="0.25">
      <c r="A136" s="14">
        <v>137</v>
      </c>
      <c r="B136" s="15" t="s">
        <v>219</v>
      </c>
      <c r="C136" s="16" t="s">
        <v>220</v>
      </c>
      <c r="D136" s="17">
        <v>44279</v>
      </c>
      <c r="E136" s="18">
        <v>6.36</v>
      </c>
      <c r="F136" s="12">
        <f ca="1">IFERROR(__xludf.DUMMYFUNCTION("GOOGLEFINANCE(C136)"),6.48)</f>
        <v>6.48</v>
      </c>
    </row>
    <row r="137" spans="1:6" ht="15" x14ac:dyDescent="0.25">
      <c r="A137" s="14">
        <v>138</v>
      </c>
      <c r="B137" s="15" t="s">
        <v>102</v>
      </c>
      <c r="C137" s="16" t="s">
        <v>103</v>
      </c>
      <c r="D137" s="17">
        <v>44278</v>
      </c>
      <c r="E137" s="18">
        <v>133.94</v>
      </c>
      <c r="F137" s="12">
        <f ca="1">IFERROR(__xludf.DUMMYFUNCTION("GOOGLEFINANCE(C137)"),138.75)</f>
        <v>138.75</v>
      </c>
    </row>
    <row r="138" spans="1:6" ht="15" x14ac:dyDescent="0.25">
      <c r="A138" s="14">
        <v>139</v>
      </c>
      <c r="B138" s="15" t="s">
        <v>221</v>
      </c>
      <c r="C138" s="16" t="s">
        <v>222</v>
      </c>
      <c r="D138" s="17">
        <v>44278</v>
      </c>
      <c r="E138" s="18">
        <v>2.36</v>
      </c>
      <c r="F138" s="12">
        <f ca="1">IFERROR(__xludf.DUMMYFUNCTION("GOOGLEFINANCE(C138)"),2.96)</f>
        <v>2.96</v>
      </c>
    </row>
    <row r="139" spans="1:6" ht="15" x14ac:dyDescent="0.25">
      <c r="A139" s="14">
        <v>140</v>
      </c>
      <c r="B139" s="15" t="s">
        <v>84</v>
      </c>
      <c r="C139" s="16" t="s">
        <v>85</v>
      </c>
      <c r="D139" s="17">
        <v>44278</v>
      </c>
      <c r="E139" s="18">
        <v>340.34</v>
      </c>
      <c r="F139" s="12">
        <f ca="1">IFERROR(__xludf.DUMMYFUNCTION("GOOGLEFINANCE(C139)"),547.61)</f>
        <v>547.61</v>
      </c>
    </row>
    <row r="140" spans="1:6" ht="15" x14ac:dyDescent="0.25">
      <c r="A140" s="14">
        <v>141</v>
      </c>
      <c r="B140" s="15" t="s">
        <v>223</v>
      </c>
      <c r="C140" s="16" t="s">
        <v>224</v>
      </c>
      <c r="D140" s="17">
        <v>44278</v>
      </c>
      <c r="E140" s="18">
        <v>7.68</v>
      </c>
      <c r="F140" s="12">
        <f ca="1">IFERROR(__xludf.DUMMYFUNCTION("GOOGLEFINANCE(C140)"),2.39)</f>
        <v>2.39</v>
      </c>
    </row>
    <row r="141" spans="1:6" ht="15" x14ac:dyDescent="0.25">
      <c r="A141" s="14">
        <v>142</v>
      </c>
      <c r="B141" s="15" t="s">
        <v>217</v>
      </c>
      <c r="C141" s="16" t="s">
        <v>218</v>
      </c>
      <c r="D141" s="17">
        <v>44277</v>
      </c>
      <c r="E141" s="18">
        <v>206.27</v>
      </c>
      <c r="F141" s="12">
        <f ca="1">IFERROR(__xludf.DUMMYFUNCTION("GOOGLEFINANCE(C141)"),242.69)</f>
        <v>242.69</v>
      </c>
    </row>
    <row r="142" spans="1:6" ht="15" x14ac:dyDescent="0.25">
      <c r="A142" s="14">
        <v>143</v>
      </c>
      <c r="B142" s="15" t="s">
        <v>36</v>
      </c>
      <c r="C142" s="16" t="s">
        <v>37</v>
      </c>
      <c r="D142" s="17">
        <v>44277</v>
      </c>
      <c r="E142" s="18">
        <v>70</v>
      </c>
      <c r="F142" s="12">
        <f ca="1">IFERROR(__xludf.DUMMYFUNCTION("GOOGLEFINANCE(C142)"),102.4)</f>
        <v>102.4</v>
      </c>
    </row>
    <row r="143" spans="1:6" ht="15" x14ac:dyDescent="0.25">
      <c r="A143" s="14">
        <v>144</v>
      </c>
      <c r="B143" s="15" t="s">
        <v>183</v>
      </c>
      <c r="C143" s="16" t="s">
        <v>184</v>
      </c>
      <c r="D143" s="17">
        <v>44277</v>
      </c>
      <c r="E143" s="18">
        <v>69.55</v>
      </c>
      <c r="F143" s="12">
        <f ca="1">IFERROR(__xludf.DUMMYFUNCTION("GOOGLEFINANCE(C143)"),118)</f>
        <v>118</v>
      </c>
    </row>
    <row r="144" spans="1:6" ht="15" x14ac:dyDescent="0.25">
      <c r="A144" s="14">
        <v>145</v>
      </c>
      <c r="B144" s="15" t="s">
        <v>225</v>
      </c>
      <c r="C144" s="16" t="s">
        <v>226</v>
      </c>
      <c r="D144" s="17">
        <v>44277</v>
      </c>
      <c r="E144" s="18">
        <v>47.67</v>
      </c>
      <c r="F144" s="12">
        <f ca="1">IFERROR(__xludf.DUMMYFUNCTION("GOOGLEFINANCE(C144)"),84.03)</f>
        <v>84.03</v>
      </c>
    </row>
    <row r="145" spans="1:6" ht="15" x14ac:dyDescent="0.25">
      <c r="A145" s="14">
        <v>146</v>
      </c>
      <c r="B145" s="15" t="s">
        <v>227</v>
      </c>
      <c r="C145" s="16" t="s">
        <v>228</v>
      </c>
      <c r="D145" s="17">
        <v>44277</v>
      </c>
      <c r="E145" s="18">
        <v>59.46</v>
      </c>
      <c r="F145" s="12">
        <f ca="1">IFERROR(__xludf.DUMMYFUNCTION("GOOGLEFINANCE(C145)"),39.66)</f>
        <v>39.659999999999997</v>
      </c>
    </row>
    <row r="146" spans="1:6" ht="15" x14ac:dyDescent="0.25">
      <c r="A146" s="14">
        <v>147</v>
      </c>
      <c r="B146" s="15" t="s">
        <v>191</v>
      </c>
      <c r="C146" s="16" t="s">
        <v>192</v>
      </c>
      <c r="D146" s="17">
        <v>44277</v>
      </c>
      <c r="E146" s="18">
        <v>383</v>
      </c>
      <c r="F146" s="12">
        <f ca="1">IFERROR(__xludf.DUMMYFUNCTION("GOOGLEFINANCE(C146)"),286.25)</f>
        <v>286.25</v>
      </c>
    </row>
    <row r="147" spans="1:6" ht="15" x14ac:dyDescent="0.25">
      <c r="A147" s="14">
        <v>148</v>
      </c>
      <c r="B147" s="15" t="s">
        <v>142</v>
      </c>
      <c r="C147" s="16" t="s">
        <v>143</v>
      </c>
      <c r="D147" s="17">
        <v>44277</v>
      </c>
      <c r="E147" s="18">
        <v>12.85</v>
      </c>
      <c r="F147" s="12">
        <f ca="1">IFERROR(__xludf.DUMMYFUNCTION("GOOGLEFINANCE(C147)"),19.77)</f>
        <v>19.77</v>
      </c>
    </row>
    <row r="148" spans="1:6" ht="15" x14ac:dyDescent="0.25">
      <c r="A148" s="14">
        <v>149</v>
      </c>
      <c r="B148" s="15" t="s">
        <v>229</v>
      </c>
      <c r="C148" s="16" t="s">
        <v>230</v>
      </c>
      <c r="D148" s="17">
        <v>44277</v>
      </c>
      <c r="E148" s="18">
        <v>371.59</v>
      </c>
      <c r="F148" s="12">
        <f ca="1">IFERROR(__xludf.DUMMYFUNCTION("GOOGLEFINANCE(C148)"),347.03)</f>
        <v>347.03</v>
      </c>
    </row>
    <row r="149" spans="1:6" ht="15" x14ac:dyDescent="0.25">
      <c r="A149" s="14">
        <v>150</v>
      </c>
      <c r="B149" s="15" t="s">
        <v>231</v>
      </c>
      <c r="C149" s="16" t="s">
        <v>232</v>
      </c>
      <c r="D149" s="17">
        <v>44277</v>
      </c>
      <c r="E149" s="18">
        <v>93.78</v>
      </c>
      <c r="F149" s="12">
        <f ca="1">IFERROR(__xludf.DUMMYFUNCTION("GOOGLEFINANCE(C149)"),35.72)</f>
        <v>35.72</v>
      </c>
    </row>
    <row r="150" spans="1:6" ht="15" x14ac:dyDescent="0.25">
      <c r="A150" s="14">
        <v>151</v>
      </c>
      <c r="B150" s="15" t="s">
        <v>233</v>
      </c>
      <c r="C150" s="16" t="s">
        <v>234</v>
      </c>
      <c r="D150" s="17">
        <v>44277</v>
      </c>
      <c r="E150" s="18">
        <v>133</v>
      </c>
      <c r="F150" s="12">
        <f ca="1">IFERROR(__xludf.DUMMYFUNCTION("GOOGLEFINANCE(C150)"),82.73)</f>
        <v>82.73</v>
      </c>
    </row>
    <row r="151" spans="1:6" ht="15" x14ac:dyDescent="0.25">
      <c r="A151" s="14">
        <v>152</v>
      </c>
      <c r="B151" s="15" t="s">
        <v>235</v>
      </c>
      <c r="C151" s="16" t="s">
        <v>236</v>
      </c>
      <c r="D151" s="17">
        <v>44277</v>
      </c>
      <c r="E151" s="18">
        <v>263.48</v>
      </c>
      <c r="F151" s="12">
        <f ca="1">IFERROR(__xludf.DUMMYFUNCTION("GOOGLEFINANCE(C151)"),211.03)</f>
        <v>211.03</v>
      </c>
    </row>
    <row r="152" spans="1:6" ht="15" x14ac:dyDescent="0.25">
      <c r="A152" s="14">
        <v>153</v>
      </c>
      <c r="B152" s="15" t="s">
        <v>98</v>
      </c>
      <c r="C152" s="16" t="s">
        <v>99</v>
      </c>
      <c r="D152" s="17">
        <v>44277</v>
      </c>
      <c r="E152" s="18">
        <v>226.02</v>
      </c>
      <c r="F152" s="12">
        <f ca="1">IFERROR(__xludf.DUMMYFUNCTION("GOOGLEFINANCE(C152)"),201.37)</f>
        <v>201.37</v>
      </c>
    </row>
    <row r="153" spans="1:6" ht="15" x14ac:dyDescent="0.25">
      <c r="A153" s="14">
        <v>154</v>
      </c>
      <c r="B153" s="15" t="s">
        <v>237</v>
      </c>
      <c r="C153" s="16" t="s">
        <v>238</v>
      </c>
      <c r="D153" s="17">
        <v>44277</v>
      </c>
      <c r="E153" s="18">
        <v>72.209999999999994</v>
      </c>
      <c r="F153" s="12">
        <f ca="1">IFERROR(__xludf.DUMMYFUNCTION("GOOGLEFINANCE(C153)"),124.88)</f>
        <v>124.88</v>
      </c>
    </row>
    <row r="154" spans="1:6" ht="15" x14ac:dyDescent="0.25">
      <c r="A154" s="14">
        <v>155</v>
      </c>
      <c r="B154" s="15" t="s">
        <v>86</v>
      </c>
      <c r="C154" s="16" t="s">
        <v>87</v>
      </c>
      <c r="D154" s="17">
        <v>44277</v>
      </c>
      <c r="E154" s="18">
        <v>251.23</v>
      </c>
      <c r="F154" s="12">
        <f ca="1">IFERROR(__xludf.DUMMYFUNCTION("GOOGLEFINANCE(C154)"),192.63)</f>
        <v>192.63</v>
      </c>
    </row>
    <row r="155" spans="1:6" ht="15" x14ac:dyDescent="0.25">
      <c r="A155" s="14">
        <v>156</v>
      </c>
      <c r="B155" s="15" t="s">
        <v>239</v>
      </c>
      <c r="C155" s="16" t="s">
        <v>240</v>
      </c>
      <c r="D155" s="17">
        <v>44277</v>
      </c>
      <c r="E155" s="18">
        <v>143.01</v>
      </c>
      <c r="F155" s="12">
        <f ca="1">IFERROR(__xludf.DUMMYFUNCTION("GOOGLEFINANCE(C155)"),112.39)</f>
        <v>112.39</v>
      </c>
    </row>
    <row r="156" spans="1:6" ht="15" x14ac:dyDescent="0.25">
      <c r="A156" s="14">
        <v>157</v>
      </c>
      <c r="B156" s="15" t="s">
        <v>241</v>
      </c>
      <c r="C156" s="16" t="s">
        <v>242</v>
      </c>
      <c r="D156" s="17">
        <v>44274</v>
      </c>
      <c r="E156" s="18">
        <v>26.56</v>
      </c>
      <c r="F156" s="12">
        <f ca="1">IFERROR(__xludf.DUMMYFUNCTION("GOOGLEFINANCE(C156)"),16.45)</f>
        <v>16.45</v>
      </c>
    </row>
    <row r="157" spans="1:6" ht="15" x14ac:dyDescent="0.25">
      <c r="A157" s="14">
        <v>158</v>
      </c>
      <c r="B157" s="15" t="s">
        <v>243</v>
      </c>
      <c r="C157" s="16" t="s">
        <v>244</v>
      </c>
      <c r="D157" s="17">
        <v>44274</v>
      </c>
      <c r="E157" s="18">
        <v>125.28</v>
      </c>
      <c r="F157" s="12">
        <f ca="1">IFERROR(__xludf.DUMMYFUNCTION("GOOGLEFINANCE(C157)"),139.18)</f>
        <v>139.18</v>
      </c>
    </row>
    <row r="158" spans="1:6" ht="15" x14ac:dyDescent="0.25">
      <c r="A158" s="14">
        <v>159</v>
      </c>
      <c r="B158" s="15" t="s">
        <v>10</v>
      </c>
      <c r="C158" s="16" t="s">
        <v>11</v>
      </c>
      <c r="D158" s="17">
        <v>44274</v>
      </c>
      <c r="E158" s="18">
        <v>355.8</v>
      </c>
      <c r="F158" s="12">
        <f ca="1">IFERROR(__xludf.DUMMYFUNCTION("GOOGLEFINANCE(C158)"),273.63)</f>
        <v>273.63</v>
      </c>
    </row>
    <row r="159" spans="1:6" ht="15" x14ac:dyDescent="0.25">
      <c r="A159" s="14">
        <v>160</v>
      </c>
      <c r="B159" s="15" t="s">
        <v>245</v>
      </c>
      <c r="C159" s="16" t="s">
        <v>246</v>
      </c>
      <c r="D159" s="17">
        <v>44274</v>
      </c>
      <c r="E159" s="18">
        <v>60.96</v>
      </c>
      <c r="F159" s="12">
        <f ca="1">IFERROR(__xludf.DUMMYFUNCTION("GOOGLEFINANCE(C159)"),83.7)</f>
        <v>83.7</v>
      </c>
    </row>
    <row r="160" spans="1:6" ht="15" x14ac:dyDescent="0.25">
      <c r="A160" s="14">
        <v>161</v>
      </c>
      <c r="B160" s="15" t="s">
        <v>106</v>
      </c>
      <c r="C160" s="16" t="s">
        <v>107</v>
      </c>
      <c r="D160" s="17">
        <v>44274</v>
      </c>
      <c r="E160" s="18">
        <v>515.61</v>
      </c>
      <c r="F160" s="12">
        <f ca="1">IFERROR(__xludf.DUMMYFUNCTION("GOOGLEFINANCE(C160)"),552.82)</f>
        <v>552.82000000000005</v>
      </c>
    </row>
    <row r="161" spans="1:7" ht="15" x14ac:dyDescent="0.25">
      <c r="A161" s="14">
        <v>162</v>
      </c>
      <c r="B161" s="15" t="s">
        <v>74</v>
      </c>
      <c r="C161" s="16" t="s">
        <v>75</v>
      </c>
      <c r="D161" s="17">
        <v>44274</v>
      </c>
      <c r="E161" s="18">
        <v>513.83000000000004</v>
      </c>
      <c r="F161" s="12">
        <f ca="1">IFERROR(__xludf.DUMMYFUNCTION("GOOGLEFINANCE(C161)"),278.01)</f>
        <v>278.01</v>
      </c>
    </row>
    <row r="162" spans="1:7" ht="15" x14ac:dyDescent="0.25">
      <c r="A162" s="14">
        <v>163</v>
      </c>
      <c r="B162" s="15" t="s">
        <v>247</v>
      </c>
      <c r="C162" s="16" t="s">
        <v>248</v>
      </c>
      <c r="D162" s="17">
        <v>44274</v>
      </c>
      <c r="E162" s="18">
        <v>84.68</v>
      </c>
      <c r="F162" s="12">
        <f ca="1">IFERROR(__xludf.DUMMYFUNCTION("GOOGLEFINANCE(C162)"),105.14)</f>
        <v>105.14</v>
      </c>
    </row>
    <row r="163" spans="1:7" ht="15" x14ac:dyDescent="0.25">
      <c r="A163" s="14">
        <v>164</v>
      </c>
      <c r="B163" s="15" t="s">
        <v>209</v>
      </c>
      <c r="C163" s="16" t="s">
        <v>210</v>
      </c>
      <c r="D163" s="17">
        <v>44274</v>
      </c>
      <c r="E163" s="18">
        <v>54.78</v>
      </c>
      <c r="F163" s="12">
        <f ca="1">IFERROR(__xludf.DUMMYFUNCTION("GOOGLEFINANCE(C163)"),13.48)</f>
        <v>13.48</v>
      </c>
    </row>
    <row r="164" spans="1:7" ht="15" x14ac:dyDescent="0.25">
      <c r="A164" s="14">
        <v>165</v>
      </c>
      <c r="B164" s="15" t="s">
        <v>80</v>
      </c>
      <c r="C164" s="16" t="s">
        <v>81</v>
      </c>
      <c r="D164" s="17">
        <v>44274</v>
      </c>
      <c r="E164" s="18">
        <v>139.79</v>
      </c>
      <c r="F164" s="12">
        <f ca="1">IFERROR(__xludf.DUMMYFUNCTION("GOOGLEFINANCE(C164)"),139.83)</f>
        <v>139.83000000000001</v>
      </c>
    </row>
    <row r="165" spans="1:7" ht="15" x14ac:dyDescent="0.25">
      <c r="A165" s="14">
        <v>166</v>
      </c>
      <c r="B165" s="15" t="s">
        <v>86</v>
      </c>
      <c r="C165" s="16" t="s">
        <v>87</v>
      </c>
      <c r="D165" s="17">
        <v>44274</v>
      </c>
      <c r="E165" s="18">
        <v>255.82</v>
      </c>
      <c r="F165" s="12">
        <f ca="1">IFERROR(__xludf.DUMMYFUNCTION("GOOGLEFINANCE(C165)"),192.63)</f>
        <v>192.63</v>
      </c>
    </row>
    <row r="166" spans="1:7" ht="15" x14ac:dyDescent="0.25">
      <c r="A166" s="14">
        <v>167</v>
      </c>
      <c r="B166" s="15" t="s">
        <v>100</v>
      </c>
      <c r="C166" s="16" t="s">
        <v>101</v>
      </c>
      <c r="D166" s="17">
        <v>44273</v>
      </c>
      <c r="E166" s="18">
        <v>161.57</v>
      </c>
      <c r="F166" s="12">
        <f ca="1">IFERROR(__xludf.DUMMYFUNCTION("GOOGLEFINANCE(C166)"),169.44)</f>
        <v>169.44</v>
      </c>
    </row>
    <row r="167" spans="1:7" ht="15" x14ac:dyDescent="0.25">
      <c r="A167" s="14">
        <v>168</v>
      </c>
      <c r="B167" s="15" t="s">
        <v>249</v>
      </c>
      <c r="C167" s="16" t="s">
        <v>250</v>
      </c>
      <c r="D167" s="17">
        <v>44273</v>
      </c>
      <c r="E167" s="18">
        <v>36.36</v>
      </c>
      <c r="F167" s="12">
        <f ca="1">IFERROR(__xludf.DUMMYFUNCTION("GOOGLEFINANCE(C167)"),29.75)</f>
        <v>29.75</v>
      </c>
    </row>
    <row r="168" spans="1:7" ht="15" x14ac:dyDescent="0.25">
      <c r="A168" s="14">
        <v>169</v>
      </c>
      <c r="B168" s="15" t="s">
        <v>14</v>
      </c>
      <c r="C168" s="16" t="s">
        <v>15</v>
      </c>
      <c r="D168" s="17">
        <v>44273</v>
      </c>
      <c r="E168" s="18">
        <v>209.04</v>
      </c>
      <c r="F168" s="12">
        <f ca="1">IFERROR(__xludf.DUMMYFUNCTION("GOOGLEFINANCE(C168)"),217.91)</f>
        <v>217.91</v>
      </c>
    </row>
    <row r="169" spans="1:7" ht="15" x14ac:dyDescent="0.25">
      <c r="A169" s="14">
        <v>170</v>
      </c>
      <c r="B169" s="15" t="s">
        <v>251</v>
      </c>
      <c r="C169" s="16" t="s">
        <v>252</v>
      </c>
      <c r="D169" s="17">
        <v>44273</v>
      </c>
      <c r="E169" s="18">
        <v>91.18</v>
      </c>
      <c r="F169" s="12">
        <f ca="1">IFERROR(__xludf.DUMMYFUNCTION("GOOGLEFINANCE(C169)"),77.29)</f>
        <v>77.290000000000006</v>
      </c>
    </row>
    <row r="170" spans="1:7" ht="15" x14ac:dyDescent="0.25">
      <c r="A170" s="14">
        <v>171</v>
      </c>
      <c r="B170" s="15" t="s">
        <v>253</v>
      </c>
      <c r="C170" s="16" t="s">
        <v>254</v>
      </c>
      <c r="D170" s="17">
        <v>44273</v>
      </c>
      <c r="E170" s="18">
        <v>267.89999999999998</v>
      </c>
      <c r="F170" s="12">
        <f ca="1">IFERROR(__xludf.DUMMYFUNCTION("GOOGLEFINANCE(C170)"),333.83)</f>
        <v>333.83</v>
      </c>
    </row>
    <row r="171" spans="1:7" ht="15" x14ac:dyDescent="0.25">
      <c r="A171" s="14">
        <v>172</v>
      </c>
      <c r="B171" s="15" t="s">
        <v>126</v>
      </c>
      <c r="C171" s="16" t="s">
        <v>127</v>
      </c>
      <c r="D171" s="17">
        <v>44273</v>
      </c>
      <c r="E171" s="18">
        <v>77.510000000000005</v>
      </c>
      <c r="F171" s="12">
        <f ca="1">IFERROR(__xludf.DUMMYFUNCTION("GOOGLEFINANCE(C171)"),54.76)</f>
        <v>54.76</v>
      </c>
    </row>
    <row r="172" spans="1:7" ht="15" x14ac:dyDescent="0.25">
      <c r="A172" s="14">
        <v>173</v>
      </c>
      <c r="B172" s="15" t="s">
        <v>255</v>
      </c>
      <c r="C172" s="16" t="s">
        <v>256</v>
      </c>
      <c r="D172" s="17">
        <v>44273</v>
      </c>
      <c r="E172" s="18">
        <v>21.91</v>
      </c>
      <c r="F172" s="12">
        <f ca="1">IFERROR(__xludf.DUMMYFUNCTION("GOOGLEFINANCE(C172)"),4.7)</f>
        <v>4.7</v>
      </c>
    </row>
    <row r="173" spans="1:7" ht="15" x14ac:dyDescent="0.25">
      <c r="A173" s="14">
        <v>174</v>
      </c>
      <c r="B173" s="15" t="s">
        <v>156</v>
      </c>
      <c r="C173" s="16" t="s">
        <v>157</v>
      </c>
      <c r="D173" s="17">
        <v>44272</v>
      </c>
      <c r="E173" s="18">
        <v>701.81</v>
      </c>
      <c r="F173" s="12">
        <f ca="1">IFERROR(__xludf.DUMMYFUNCTION("GOOGLEFINANCE(C173)"),932.57)</f>
        <v>932.57</v>
      </c>
    </row>
    <row r="174" spans="1:7" ht="15" x14ac:dyDescent="0.25">
      <c r="A174" s="14">
        <v>175</v>
      </c>
      <c r="B174" s="15" t="s">
        <v>609</v>
      </c>
      <c r="C174" s="16" t="s">
        <v>610</v>
      </c>
      <c r="D174" s="17">
        <v>44272</v>
      </c>
      <c r="E174" s="18">
        <v>31.99</v>
      </c>
      <c r="F174" s="12" t="str">
        <f ca="1">IFERROR(__xludf.DUMMYFUNCTION("GOOGLEFINANCE(C174)"),"#N/A")</f>
        <v>#N/A</v>
      </c>
      <c r="G174" s="21" t="s">
        <v>611</v>
      </c>
    </row>
    <row r="175" spans="1:7" ht="15" x14ac:dyDescent="0.25">
      <c r="A175" s="14">
        <v>176</v>
      </c>
      <c r="B175" s="15" t="s">
        <v>257</v>
      </c>
      <c r="C175" s="16" t="s">
        <v>258</v>
      </c>
      <c r="D175" s="17">
        <v>44272</v>
      </c>
      <c r="E175" s="18">
        <v>15.2</v>
      </c>
      <c r="F175" s="12">
        <f ca="1">IFERROR(__xludf.DUMMYFUNCTION("GOOGLEFINANCE(C175)"),6.6)</f>
        <v>6.6</v>
      </c>
    </row>
    <row r="176" spans="1:7" ht="15" x14ac:dyDescent="0.25">
      <c r="A176" s="14">
        <v>177</v>
      </c>
      <c r="B176" s="15" t="s">
        <v>259</v>
      </c>
      <c r="C176" s="16" t="s">
        <v>260</v>
      </c>
      <c r="D176" s="17">
        <v>44272</v>
      </c>
      <c r="E176" s="18">
        <v>38.4</v>
      </c>
      <c r="F176" s="12">
        <f ca="1">IFERROR(__xludf.DUMMYFUNCTION("GOOGLEFINANCE(C176)"),26.93)</f>
        <v>26.93</v>
      </c>
    </row>
    <row r="177" spans="1:8" ht="15" x14ac:dyDescent="0.25">
      <c r="A177" s="14">
        <v>178</v>
      </c>
      <c r="B177" s="15" t="s">
        <v>261</v>
      </c>
      <c r="C177" s="16" t="s">
        <v>262</v>
      </c>
      <c r="D177" s="17">
        <v>44272</v>
      </c>
      <c r="E177" s="18">
        <v>16.329999999999998</v>
      </c>
      <c r="F177" s="12">
        <f ca="1">IFERROR(__xludf.DUMMYFUNCTION("GOOGLEFINANCE(C177)"),9.57)</f>
        <v>9.57</v>
      </c>
    </row>
    <row r="178" spans="1:8" ht="15" x14ac:dyDescent="0.25">
      <c r="A178" s="14">
        <v>179</v>
      </c>
      <c r="B178" s="15" t="s">
        <v>263</v>
      </c>
      <c r="C178" s="16" t="s">
        <v>264</v>
      </c>
      <c r="D178" s="17">
        <v>44271</v>
      </c>
      <c r="E178" s="18">
        <v>44.81</v>
      </c>
      <c r="F178" s="12">
        <f ca="1">IFERROR(__xludf.DUMMYFUNCTION("GOOGLEFINANCE(C178)"),41.26)</f>
        <v>41.26</v>
      </c>
    </row>
    <row r="179" spans="1:8" ht="15" x14ac:dyDescent="0.25">
      <c r="A179" s="14">
        <v>180</v>
      </c>
      <c r="B179" s="15" t="s">
        <v>138</v>
      </c>
      <c r="C179" s="16" t="s">
        <v>139</v>
      </c>
      <c r="D179" s="17">
        <v>44271</v>
      </c>
      <c r="E179" s="18">
        <v>43.54</v>
      </c>
      <c r="F179" s="12">
        <f ca="1">IFERROR(__xludf.DUMMYFUNCTION("GOOGLEFINANCE(C179)"),42.48)</f>
        <v>42.48</v>
      </c>
    </row>
    <row r="180" spans="1:8" ht="15" x14ac:dyDescent="0.25">
      <c r="A180" s="14">
        <v>181</v>
      </c>
      <c r="B180" s="15" t="s">
        <v>265</v>
      </c>
      <c r="C180" s="16" t="s">
        <v>266</v>
      </c>
      <c r="D180" s="17">
        <v>44271</v>
      </c>
      <c r="E180" s="18">
        <v>134.05000000000001</v>
      </c>
      <c r="F180" s="12">
        <f ca="1">IFERROR(__xludf.DUMMYFUNCTION("GOOGLEFINANCE(C180)"),157.09)</f>
        <v>157.09</v>
      </c>
    </row>
    <row r="181" spans="1:8" ht="15" x14ac:dyDescent="0.25">
      <c r="A181" s="14">
        <v>182</v>
      </c>
      <c r="B181" s="15" t="s">
        <v>267</v>
      </c>
      <c r="C181" s="16" t="s">
        <v>268</v>
      </c>
      <c r="D181" s="17">
        <v>44271</v>
      </c>
      <c r="E181" s="18">
        <v>44.86</v>
      </c>
      <c r="F181" s="12">
        <f ca="1">IFERROR(__xludf.DUMMYFUNCTION("GOOGLEFINANCE(C181)"),20.21)</f>
        <v>20.21</v>
      </c>
    </row>
    <row r="182" spans="1:8" ht="15" x14ac:dyDescent="0.25">
      <c r="A182" s="14">
        <v>183</v>
      </c>
      <c r="B182" s="15" t="s">
        <v>269</v>
      </c>
      <c r="C182" s="16" t="s">
        <v>270</v>
      </c>
      <c r="D182" s="17">
        <v>44271</v>
      </c>
      <c r="E182" s="18">
        <v>93.02</v>
      </c>
      <c r="F182" s="12">
        <f ca="1">IFERROR(__xludf.DUMMYFUNCTION("GOOGLEFINANCE(C182)"),103.04)</f>
        <v>103.04</v>
      </c>
    </row>
    <row r="183" spans="1:8" ht="15" x14ac:dyDescent="0.25">
      <c r="A183" s="14">
        <v>184</v>
      </c>
      <c r="B183" s="15" t="s">
        <v>271</v>
      </c>
      <c r="C183" s="16" t="s">
        <v>272</v>
      </c>
      <c r="D183" s="17">
        <v>44271</v>
      </c>
      <c r="E183" s="18">
        <v>63.18</v>
      </c>
      <c r="F183" s="12">
        <f ca="1">IFERROR(__xludf.DUMMYFUNCTION("GOOGLEFINANCE(C183)"),54.1)</f>
        <v>54.1</v>
      </c>
    </row>
    <row r="184" spans="1:8" ht="15" x14ac:dyDescent="0.25">
      <c r="A184" s="14">
        <v>185</v>
      </c>
      <c r="B184" s="15" t="s">
        <v>273</v>
      </c>
      <c r="C184" s="16" t="s">
        <v>274</v>
      </c>
      <c r="D184" s="17">
        <v>44271</v>
      </c>
      <c r="E184" s="18">
        <v>196.31</v>
      </c>
      <c r="F184" s="12">
        <f ca="1">IFERROR(__xludf.DUMMYFUNCTION("GOOGLEFINANCE(C184)"),205.1)</f>
        <v>205.1</v>
      </c>
    </row>
    <row r="185" spans="1:8" ht="15" x14ac:dyDescent="0.25">
      <c r="A185" s="14">
        <v>186</v>
      </c>
      <c r="B185" s="15" t="s">
        <v>275</v>
      </c>
      <c r="C185" s="16" t="s">
        <v>276</v>
      </c>
      <c r="D185" s="17">
        <v>44271</v>
      </c>
      <c r="E185" s="18">
        <v>55.65</v>
      </c>
      <c r="F185" s="12">
        <f ca="1">IFERROR(__xludf.DUMMYFUNCTION("GOOGLEFINANCE(C185)"),61.47)</f>
        <v>61.47</v>
      </c>
    </row>
    <row r="186" spans="1:8" ht="15" x14ac:dyDescent="0.25">
      <c r="A186" s="14">
        <v>187</v>
      </c>
      <c r="B186" s="15" t="s">
        <v>612</v>
      </c>
      <c r="C186" s="16" t="s">
        <v>613</v>
      </c>
      <c r="D186" s="17">
        <v>44271</v>
      </c>
      <c r="E186" s="18">
        <v>31.1</v>
      </c>
      <c r="F186" s="20">
        <v>24.25</v>
      </c>
      <c r="G186" s="21" t="s">
        <v>614</v>
      </c>
      <c r="H186" s="26" t="s">
        <v>615</v>
      </c>
    </row>
    <row r="187" spans="1:8" ht="15" x14ac:dyDescent="0.25">
      <c r="A187" s="14">
        <v>188</v>
      </c>
      <c r="B187" s="15" t="s">
        <v>277</v>
      </c>
      <c r="C187" s="16" t="s">
        <v>278</v>
      </c>
      <c r="D187" s="17">
        <v>44270</v>
      </c>
      <c r="E187" s="18">
        <v>223.27</v>
      </c>
      <c r="F187" s="12">
        <f ca="1">IFERROR(__xludf.DUMMYFUNCTION("GOOGLEFINANCE(C187)"),211.88)</f>
        <v>211.88</v>
      </c>
    </row>
    <row r="188" spans="1:8" ht="15" x14ac:dyDescent="0.25">
      <c r="A188" s="14">
        <v>189</v>
      </c>
      <c r="B188" s="15" t="s">
        <v>156</v>
      </c>
      <c r="C188" s="16" t="s">
        <v>157</v>
      </c>
      <c r="D188" s="17">
        <v>44270</v>
      </c>
      <c r="E188" s="18">
        <v>707.94</v>
      </c>
      <c r="F188" s="12">
        <f ca="1">IFERROR(__xludf.DUMMYFUNCTION("GOOGLEFINANCE(C188)"),932.57)</f>
        <v>932.57</v>
      </c>
    </row>
    <row r="189" spans="1:8" ht="15" x14ac:dyDescent="0.25">
      <c r="A189" s="14">
        <v>190</v>
      </c>
      <c r="B189" s="15" t="s">
        <v>279</v>
      </c>
      <c r="C189" s="16" t="s">
        <v>280</v>
      </c>
      <c r="D189" s="17">
        <v>44270</v>
      </c>
      <c r="E189" s="18">
        <v>201.24</v>
      </c>
      <c r="F189" s="12">
        <f ca="1">IFERROR(__xludf.DUMMYFUNCTION("GOOGLEFINANCE(C189)"),97.77)</f>
        <v>97.77</v>
      </c>
    </row>
    <row r="190" spans="1:8" ht="15" x14ac:dyDescent="0.25">
      <c r="A190" s="14">
        <v>191</v>
      </c>
      <c r="B190" s="15" t="s">
        <v>281</v>
      </c>
      <c r="C190" s="16" t="s">
        <v>282</v>
      </c>
      <c r="D190" s="17">
        <v>44270</v>
      </c>
      <c r="E190" s="18">
        <v>251.23</v>
      </c>
      <c r="F190" s="12">
        <f ca="1">IFERROR(__xludf.DUMMYFUNCTION("GOOGLEFINANCE(C190)"),167.06)</f>
        <v>167.06</v>
      </c>
    </row>
    <row r="191" spans="1:8" ht="15" x14ac:dyDescent="0.25">
      <c r="A191" s="14">
        <v>192</v>
      </c>
      <c r="B191" s="15" t="s">
        <v>283</v>
      </c>
      <c r="C191" s="16" t="s">
        <v>284</v>
      </c>
      <c r="D191" s="17">
        <v>44270</v>
      </c>
      <c r="E191" s="18">
        <v>238.76</v>
      </c>
      <c r="F191" s="12">
        <f ca="1">IFERROR(__xludf.DUMMYFUNCTION("GOOGLEFINANCE(C191)"),332.33)</f>
        <v>332.33</v>
      </c>
    </row>
    <row r="192" spans="1:8" ht="15" x14ac:dyDescent="0.25">
      <c r="A192" s="14">
        <v>193</v>
      </c>
      <c r="B192" s="15" t="s">
        <v>285</v>
      </c>
      <c r="C192" s="16" t="s">
        <v>286</v>
      </c>
      <c r="D192" s="17">
        <v>44270</v>
      </c>
      <c r="E192" s="18">
        <v>249.98</v>
      </c>
      <c r="F192" s="12">
        <f ca="1">IFERROR(__xludf.DUMMYFUNCTION("GOOGLEFINANCE(C192)"),186.2)</f>
        <v>186.2</v>
      </c>
    </row>
    <row r="193" spans="1:6" ht="15" x14ac:dyDescent="0.25">
      <c r="A193" s="14">
        <v>194</v>
      </c>
      <c r="B193" s="15" t="s">
        <v>76</v>
      </c>
      <c r="C193" s="16" t="s">
        <v>77</v>
      </c>
      <c r="D193" s="17">
        <v>44270</v>
      </c>
      <c r="E193" s="18">
        <v>234.81</v>
      </c>
      <c r="F193" s="12">
        <f ca="1">IFERROR(__xludf.DUMMYFUNCTION("GOOGLEFINANCE(C193)"),323.8)</f>
        <v>323.8</v>
      </c>
    </row>
    <row r="194" spans="1:6" ht="15" x14ac:dyDescent="0.25">
      <c r="A194" s="14">
        <v>195</v>
      </c>
      <c r="B194" s="15" t="s">
        <v>287</v>
      </c>
      <c r="C194" s="16" t="s">
        <v>288</v>
      </c>
      <c r="D194" s="17">
        <v>44270</v>
      </c>
      <c r="E194" s="18">
        <v>143.66</v>
      </c>
      <c r="F194" s="12">
        <f ca="1">IFERROR(__xludf.DUMMYFUNCTION("GOOGLEFINANCE(C194)"),294.8)</f>
        <v>294.8</v>
      </c>
    </row>
    <row r="195" spans="1:6" ht="15" x14ac:dyDescent="0.25">
      <c r="A195" s="14">
        <v>196</v>
      </c>
      <c r="B195" s="15" t="s">
        <v>289</v>
      </c>
      <c r="C195" s="16" t="s">
        <v>290</v>
      </c>
      <c r="D195" s="17">
        <v>44270</v>
      </c>
      <c r="E195" s="18">
        <v>381.76</v>
      </c>
      <c r="F195" s="12">
        <f ca="1">IFERROR(__xludf.DUMMYFUNCTION("GOOGLEFINANCE(C195)"),349.31)</f>
        <v>349.31</v>
      </c>
    </row>
    <row r="196" spans="1:6" ht="15" x14ac:dyDescent="0.25">
      <c r="A196" s="14">
        <v>197</v>
      </c>
      <c r="B196" s="15" t="s">
        <v>291</v>
      </c>
      <c r="C196" s="16" t="s">
        <v>292</v>
      </c>
      <c r="D196" s="17">
        <v>44270</v>
      </c>
      <c r="E196" s="18">
        <v>160.41999999999999</v>
      </c>
      <c r="F196" s="12">
        <f ca="1">IFERROR(__xludf.DUMMYFUNCTION("GOOGLEFINANCE(C196)"),168.23)</f>
        <v>168.23</v>
      </c>
    </row>
    <row r="197" spans="1:6" ht="15" x14ac:dyDescent="0.25">
      <c r="A197" s="14">
        <v>198</v>
      </c>
      <c r="B197" s="15" t="s">
        <v>140</v>
      </c>
      <c r="C197" s="16" t="s">
        <v>141</v>
      </c>
      <c r="D197" s="17">
        <v>44270</v>
      </c>
      <c r="E197" s="18">
        <v>57.94</v>
      </c>
      <c r="F197" s="12">
        <f ca="1">IFERROR(__xludf.DUMMYFUNCTION("GOOGLEFINANCE(C197)"),55.16)</f>
        <v>55.16</v>
      </c>
    </row>
    <row r="198" spans="1:6" ht="15" x14ac:dyDescent="0.25">
      <c r="A198" s="14">
        <v>199</v>
      </c>
      <c r="B198" s="15" t="s">
        <v>293</v>
      </c>
      <c r="C198" s="16" t="s">
        <v>294</v>
      </c>
      <c r="D198" s="17">
        <v>44270</v>
      </c>
      <c r="E198" s="18">
        <v>241.31</v>
      </c>
      <c r="F198" s="12">
        <f ca="1">IFERROR(__xludf.DUMMYFUNCTION("GOOGLEFINANCE(C198)"),117.7)</f>
        <v>117.7</v>
      </c>
    </row>
    <row r="199" spans="1:6" ht="15" x14ac:dyDescent="0.25">
      <c r="A199" s="14">
        <v>200</v>
      </c>
      <c r="B199" s="15" t="s">
        <v>142</v>
      </c>
      <c r="C199" s="16" t="s">
        <v>143</v>
      </c>
      <c r="D199" s="17">
        <v>44270</v>
      </c>
      <c r="E199" s="18">
        <v>13.2</v>
      </c>
      <c r="F199" s="12">
        <f ca="1">IFERROR(__xludf.DUMMYFUNCTION("GOOGLEFINANCE(C199)"),19.77)</f>
        <v>19.77</v>
      </c>
    </row>
    <row r="200" spans="1:6" ht="15" x14ac:dyDescent="0.25">
      <c r="A200" s="14">
        <v>201</v>
      </c>
      <c r="B200" s="15" t="s">
        <v>295</v>
      </c>
      <c r="C200" s="16" t="s">
        <v>296</v>
      </c>
      <c r="D200" s="17">
        <v>44270</v>
      </c>
      <c r="E200" s="18">
        <v>129.57</v>
      </c>
      <c r="F200" s="12">
        <f ca="1">IFERROR(__xludf.DUMMYFUNCTION("GOOGLEFINANCE(C200)"),80.27)</f>
        <v>80.27</v>
      </c>
    </row>
    <row r="201" spans="1:6" ht="15" x14ac:dyDescent="0.25">
      <c r="A201" s="14">
        <v>202</v>
      </c>
      <c r="B201" s="15" t="s">
        <v>297</v>
      </c>
      <c r="C201" s="16" t="s">
        <v>298</v>
      </c>
      <c r="D201" s="17">
        <v>44270</v>
      </c>
      <c r="E201" s="18">
        <v>48.6</v>
      </c>
      <c r="F201" s="12">
        <f ca="1">IFERROR(__xludf.DUMMYFUNCTION("GOOGLEFINANCE(C201)"),68)</f>
        <v>68</v>
      </c>
    </row>
    <row r="202" spans="1:6" ht="15" x14ac:dyDescent="0.25">
      <c r="A202" s="14">
        <v>203</v>
      </c>
      <c r="B202" s="15" t="s">
        <v>299</v>
      </c>
      <c r="C202" s="16" t="s">
        <v>300</v>
      </c>
      <c r="D202" s="17">
        <v>44270</v>
      </c>
      <c r="E202" s="18">
        <v>148.11000000000001</v>
      </c>
      <c r="F202" s="12">
        <f ca="1">IFERROR(__xludf.DUMMYFUNCTION("GOOGLEFINANCE(C202)"),69.24)</f>
        <v>69.239999999999995</v>
      </c>
    </row>
    <row r="203" spans="1:6" ht="15" x14ac:dyDescent="0.25">
      <c r="A203" s="14">
        <v>204</v>
      </c>
      <c r="B203" s="15" t="s">
        <v>301</v>
      </c>
      <c r="C203" s="16" t="s">
        <v>302</v>
      </c>
      <c r="D203" s="17">
        <v>44270</v>
      </c>
      <c r="E203" s="18">
        <v>82.5</v>
      </c>
      <c r="F203" s="12">
        <f ca="1">IFERROR(__xludf.DUMMYFUNCTION("GOOGLEFINANCE(C203)"),137.75)</f>
        <v>137.75</v>
      </c>
    </row>
    <row r="204" spans="1:6" ht="15" x14ac:dyDescent="0.25">
      <c r="A204" s="14">
        <v>205</v>
      </c>
      <c r="B204" s="15" t="s">
        <v>303</v>
      </c>
      <c r="C204" s="16" t="s">
        <v>304</v>
      </c>
      <c r="D204" s="17">
        <v>44260</v>
      </c>
      <c r="E204" s="18">
        <v>8.61</v>
      </c>
      <c r="F204" s="12">
        <f ca="1">IFERROR(__xludf.DUMMYFUNCTION("GOOGLEFINANCE(C204)"),11.07)</f>
        <v>11.07</v>
      </c>
    </row>
    <row r="205" spans="1:6" ht="15" x14ac:dyDescent="0.25">
      <c r="A205" s="14">
        <v>206</v>
      </c>
      <c r="B205" s="15" t="s">
        <v>305</v>
      </c>
      <c r="C205" s="16" t="s">
        <v>306</v>
      </c>
      <c r="D205" s="17">
        <v>44260</v>
      </c>
      <c r="E205" s="18">
        <v>333.37</v>
      </c>
      <c r="F205" s="12">
        <f ca="1">IFERROR(__xludf.DUMMYFUNCTION("GOOGLEFINANCE(C205)"),380.94)</f>
        <v>380.94</v>
      </c>
    </row>
    <row r="206" spans="1:6" ht="15" x14ac:dyDescent="0.25">
      <c r="A206" s="14">
        <v>207</v>
      </c>
      <c r="B206" s="15" t="s">
        <v>307</v>
      </c>
      <c r="C206" s="16" t="s">
        <v>308</v>
      </c>
      <c r="D206" s="17">
        <v>44260</v>
      </c>
      <c r="E206" s="18">
        <v>88.24</v>
      </c>
      <c r="F206" s="12">
        <f ca="1">IFERROR(__xludf.DUMMYFUNCTION("GOOGLEFINANCE(C206)"),128.61)</f>
        <v>128.61000000000001</v>
      </c>
    </row>
    <row r="207" spans="1:6" ht="15" x14ac:dyDescent="0.25">
      <c r="A207" s="14">
        <v>208</v>
      </c>
      <c r="B207" s="15" t="s">
        <v>309</v>
      </c>
      <c r="C207" s="16" t="s">
        <v>310</v>
      </c>
      <c r="D207" s="17">
        <v>44260</v>
      </c>
      <c r="E207" s="18">
        <v>69.97</v>
      </c>
      <c r="F207" s="12">
        <f ca="1">IFERROR(__xludf.DUMMYFUNCTION("GOOGLEFINANCE(C207)"),96.62)</f>
        <v>96.62</v>
      </c>
    </row>
    <row r="208" spans="1:6" ht="15" x14ac:dyDescent="0.25">
      <c r="A208" s="14">
        <v>209</v>
      </c>
      <c r="B208" s="15" t="s">
        <v>14</v>
      </c>
      <c r="C208" s="16" t="s">
        <v>15</v>
      </c>
      <c r="D208" s="17">
        <v>44260</v>
      </c>
      <c r="E208" s="18">
        <v>215.96</v>
      </c>
      <c r="F208" s="12">
        <f ca="1">IFERROR(__xludf.DUMMYFUNCTION("GOOGLEFINANCE(C208)"),217.91)</f>
        <v>217.91</v>
      </c>
    </row>
    <row r="209" spans="1:8" ht="15" x14ac:dyDescent="0.25">
      <c r="A209" s="14">
        <v>210</v>
      </c>
      <c r="B209" s="15" t="s">
        <v>311</v>
      </c>
      <c r="C209" s="16" t="s">
        <v>312</v>
      </c>
      <c r="D209" s="17">
        <v>44260</v>
      </c>
      <c r="E209" s="18">
        <v>27.27</v>
      </c>
      <c r="F209" s="12">
        <f ca="1">IFERROR(__xludf.DUMMYFUNCTION("GOOGLEFINANCE(C209)"),30.63)</f>
        <v>30.63</v>
      </c>
    </row>
    <row r="210" spans="1:8" ht="15" x14ac:dyDescent="0.25">
      <c r="A210" s="14">
        <v>211</v>
      </c>
      <c r="B210" s="15" t="s">
        <v>313</v>
      </c>
      <c r="C210" s="16" t="s">
        <v>314</v>
      </c>
      <c r="D210" s="17">
        <v>44260</v>
      </c>
      <c r="E210" s="18">
        <v>71.69</v>
      </c>
      <c r="F210" s="12">
        <f ca="1">IFERROR(__xludf.DUMMYFUNCTION("GOOGLEFINANCE(C210)"),103.98)</f>
        <v>103.98</v>
      </c>
    </row>
    <row r="211" spans="1:8" ht="15" x14ac:dyDescent="0.25">
      <c r="A211" s="14">
        <v>212</v>
      </c>
      <c r="B211" s="15" t="s">
        <v>84</v>
      </c>
      <c r="C211" s="16" t="s">
        <v>85</v>
      </c>
      <c r="D211" s="17">
        <v>44260</v>
      </c>
      <c r="E211" s="18">
        <v>317.32</v>
      </c>
      <c r="F211" s="12">
        <f ca="1">IFERROR(__xludf.DUMMYFUNCTION("GOOGLEFINANCE(C211)"),547.61)</f>
        <v>547.61</v>
      </c>
    </row>
    <row r="212" spans="1:8" ht="15" x14ac:dyDescent="0.25">
      <c r="A212" s="14">
        <v>213</v>
      </c>
      <c r="B212" s="15" t="s">
        <v>315</v>
      </c>
      <c r="C212" s="16" t="s">
        <v>316</v>
      </c>
      <c r="D212" s="17">
        <v>44259</v>
      </c>
      <c r="E212" s="18">
        <v>139.47</v>
      </c>
      <c r="F212" s="12">
        <f ca="1">IFERROR(__xludf.DUMMYFUNCTION("GOOGLEFINANCE(C212)"),111.34)</f>
        <v>111.34</v>
      </c>
    </row>
    <row r="213" spans="1:8" ht="15" x14ac:dyDescent="0.25">
      <c r="A213" s="14">
        <v>214</v>
      </c>
      <c r="B213" s="15" t="s">
        <v>616</v>
      </c>
      <c r="C213" s="16" t="s">
        <v>617</v>
      </c>
      <c r="D213" s="17">
        <v>44259</v>
      </c>
      <c r="E213" s="18">
        <v>18.8</v>
      </c>
      <c r="F213" s="20">
        <v>17.27</v>
      </c>
      <c r="G213" s="21" t="s">
        <v>618</v>
      </c>
      <c r="H213" s="26" t="s">
        <v>619</v>
      </c>
    </row>
    <row r="214" spans="1:8" ht="15" x14ac:dyDescent="0.25">
      <c r="A214" s="14">
        <v>215</v>
      </c>
      <c r="B214" s="15" t="s">
        <v>317</v>
      </c>
      <c r="C214" s="16" t="s">
        <v>318</v>
      </c>
      <c r="D214" s="17">
        <v>44259</v>
      </c>
      <c r="E214" s="18">
        <v>18.32</v>
      </c>
      <c r="F214" s="12">
        <f ca="1">IFERROR(__xludf.DUMMYFUNCTION("GOOGLEFINANCE(C214)"),8.13)</f>
        <v>8.1300000000000008</v>
      </c>
    </row>
    <row r="215" spans="1:8" ht="15" x14ac:dyDescent="0.25">
      <c r="A215" s="14">
        <v>216</v>
      </c>
      <c r="B215" s="15" t="s">
        <v>319</v>
      </c>
      <c r="C215" s="16" t="s">
        <v>320</v>
      </c>
      <c r="D215" s="17">
        <v>44258</v>
      </c>
      <c r="E215" s="18">
        <v>20.12</v>
      </c>
      <c r="F215" s="12">
        <f ca="1">IFERROR(__xludf.DUMMYFUNCTION("GOOGLEFINANCE(C215)"),22.46)</f>
        <v>22.46</v>
      </c>
    </row>
    <row r="216" spans="1:8" ht="15" x14ac:dyDescent="0.25">
      <c r="A216" s="14">
        <v>217</v>
      </c>
      <c r="B216" s="15" t="s">
        <v>321</v>
      </c>
      <c r="C216" s="16" t="s">
        <v>322</v>
      </c>
      <c r="D216" s="17">
        <v>44258</v>
      </c>
      <c r="E216" s="18">
        <v>54.57</v>
      </c>
      <c r="F216" s="12">
        <f ca="1">IFERROR(__xludf.DUMMYFUNCTION("GOOGLEFINANCE(C216)"),40.78)</f>
        <v>40.78</v>
      </c>
    </row>
    <row r="217" spans="1:8" ht="15" x14ac:dyDescent="0.25">
      <c r="A217" s="14">
        <v>218</v>
      </c>
      <c r="B217" s="15" t="s">
        <v>323</v>
      </c>
      <c r="C217" s="16" t="s">
        <v>324</v>
      </c>
      <c r="D217" s="17">
        <v>44258</v>
      </c>
      <c r="E217" s="18">
        <v>94.48</v>
      </c>
      <c r="F217" s="12">
        <f ca="1">IFERROR(__xludf.DUMMYFUNCTION("GOOGLEFINANCE(C217)"),72.41)</f>
        <v>72.41</v>
      </c>
    </row>
    <row r="218" spans="1:8" ht="15" x14ac:dyDescent="0.25">
      <c r="A218" s="14">
        <v>219</v>
      </c>
      <c r="B218" s="15" t="s">
        <v>136</v>
      </c>
      <c r="C218" s="16" t="s">
        <v>137</v>
      </c>
      <c r="D218" s="17">
        <v>44258</v>
      </c>
      <c r="E218" s="18">
        <v>33.130000000000003</v>
      </c>
      <c r="F218" s="12">
        <f ca="1">IFERROR(__xludf.DUMMYFUNCTION("GOOGLEFINANCE(C218)"),20.33)</f>
        <v>20.329999999999998</v>
      </c>
    </row>
    <row r="219" spans="1:8" ht="15" x14ac:dyDescent="0.25">
      <c r="A219" s="14">
        <v>220</v>
      </c>
      <c r="B219" s="15" t="s">
        <v>325</v>
      </c>
      <c r="C219" s="16" t="s">
        <v>326</v>
      </c>
      <c r="D219" s="17">
        <v>44258</v>
      </c>
      <c r="E219" s="18">
        <v>61.18</v>
      </c>
      <c r="F219" s="12">
        <f ca="1">IFERROR(__xludf.DUMMYFUNCTION("GOOGLEFINANCE(C219)"),22.05)</f>
        <v>22.05</v>
      </c>
    </row>
    <row r="220" spans="1:8" ht="15" x14ac:dyDescent="0.25">
      <c r="A220" s="14">
        <v>221</v>
      </c>
      <c r="B220" s="15" t="s">
        <v>154</v>
      </c>
      <c r="C220" s="16" t="s">
        <v>155</v>
      </c>
      <c r="D220" s="17">
        <v>44258</v>
      </c>
      <c r="E220" s="18">
        <v>255.41</v>
      </c>
      <c r="F220" s="12">
        <f ca="1">IFERROR(__xludf.DUMMYFUNCTION("GOOGLEFINANCE(C220)"),333.79)</f>
        <v>333.79</v>
      </c>
    </row>
    <row r="221" spans="1:8" ht="15" x14ac:dyDescent="0.25">
      <c r="A221" s="14">
        <v>222</v>
      </c>
      <c r="B221" s="15" t="s">
        <v>327</v>
      </c>
      <c r="C221" s="16" t="s">
        <v>328</v>
      </c>
      <c r="D221" s="17">
        <v>44258</v>
      </c>
      <c r="E221" s="18">
        <v>94.73</v>
      </c>
      <c r="F221" s="12">
        <f ca="1">IFERROR(__xludf.DUMMYFUNCTION("GOOGLEFINANCE(C221)"),45.04)</f>
        <v>45.04</v>
      </c>
    </row>
    <row r="222" spans="1:8" ht="15" x14ac:dyDescent="0.25">
      <c r="A222" s="14">
        <v>223</v>
      </c>
      <c r="B222" s="15" t="s">
        <v>86</v>
      </c>
      <c r="C222" s="16" t="s">
        <v>87</v>
      </c>
      <c r="D222" s="17">
        <v>44258</v>
      </c>
      <c r="E222" s="18">
        <v>228.56</v>
      </c>
      <c r="F222" s="12">
        <f ca="1">IFERROR(__xludf.DUMMYFUNCTION("GOOGLEFINANCE(C222)"),192.63)</f>
        <v>192.63</v>
      </c>
    </row>
    <row r="223" spans="1:8" ht="15" x14ac:dyDescent="0.25">
      <c r="A223" s="14">
        <v>224</v>
      </c>
      <c r="B223" s="15" t="s">
        <v>28</v>
      </c>
      <c r="C223" s="16" t="s">
        <v>29</v>
      </c>
      <c r="D223" s="17">
        <v>44258</v>
      </c>
      <c r="E223" s="18">
        <v>76.319999999999993</v>
      </c>
      <c r="F223" s="12">
        <f ca="1">IFERROR(__xludf.DUMMYFUNCTION("GOOGLEFINANCE(C223)"),86.54)</f>
        <v>86.54</v>
      </c>
    </row>
    <row r="224" spans="1:8" ht="15" x14ac:dyDescent="0.25">
      <c r="A224" s="14">
        <v>225</v>
      </c>
      <c r="B224" s="15" t="s">
        <v>329</v>
      </c>
      <c r="C224" s="16" t="s">
        <v>330</v>
      </c>
      <c r="D224" s="17">
        <v>44257</v>
      </c>
      <c r="E224" s="18">
        <v>169.01</v>
      </c>
      <c r="F224" s="12">
        <f ca="1">IFERROR(__xludf.DUMMYFUNCTION("GOOGLEFINANCE(C224)"),61.06)</f>
        <v>61.06</v>
      </c>
    </row>
    <row r="225" spans="1:6" ht="15" x14ac:dyDescent="0.25">
      <c r="A225" s="14">
        <v>226</v>
      </c>
      <c r="B225" s="15" t="s">
        <v>331</v>
      </c>
      <c r="C225" s="16" t="s">
        <v>332</v>
      </c>
      <c r="D225" s="17">
        <v>44257</v>
      </c>
      <c r="E225" s="18">
        <v>15.95</v>
      </c>
      <c r="F225" s="12">
        <f ca="1">IFERROR(__xludf.DUMMYFUNCTION("GOOGLEFINANCE(C225)"),3.85)</f>
        <v>3.85</v>
      </c>
    </row>
    <row r="226" spans="1:6" ht="15" x14ac:dyDescent="0.25">
      <c r="A226" s="14">
        <v>227</v>
      </c>
      <c r="B226" s="15" t="s">
        <v>333</v>
      </c>
      <c r="C226" s="16" t="s">
        <v>334</v>
      </c>
      <c r="D226" s="17">
        <v>44257</v>
      </c>
      <c r="E226" s="18">
        <v>33.51</v>
      </c>
      <c r="F226" s="12">
        <f ca="1">IFERROR(__xludf.DUMMYFUNCTION("GOOGLEFINANCE(C226)"),59.48)</f>
        <v>59.48</v>
      </c>
    </row>
    <row r="227" spans="1:6" ht="15" x14ac:dyDescent="0.25">
      <c r="A227" s="14">
        <v>228</v>
      </c>
      <c r="B227" s="15" t="s">
        <v>335</v>
      </c>
      <c r="C227" s="16" t="s">
        <v>336</v>
      </c>
      <c r="D227" s="17">
        <v>44257</v>
      </c>
      <c r="E227" s="18">
        <v>54.61</v>
      </c>
      <c r="F227" s="12">
        <f ca="1">IFERROR(__xludf.DUMMYFUNCTION("GOOGLEFINANCE(C227)"),64.09)</f>
        <v>64.09</v>
      </c>
    </row>
    <row r="228" spans="1:6" ht="15" x14ac:dyDescent="0.25">
      <c r="A228" s="14">
        <v>229</v>
      </c>
      <c r="B228" s="15" t="s">
        <v>337</v>
      </c>
      <c r="C228" s="16" t="s">
        <v>338</v>
      </c>
      <c r="D228" s="17">
        <v>44257</v>
      </c>
      <c r="E228" s="18">
        <v>354.66</v>
      </c>
      <c r="F228" s="12">
        <f ca="1">IFERROR(__xludf.DUMMYFUNCTION("GOOGLEFINANCE(C228)"),530.14)</f>
        <v>530.14</v>
      </c>
    </row>
    <row r="229" spans="1:6" ht="15" x14ac:dyDescent="0.25">
      <c r="A229" s="14">
        <v>230</v>
      </c>
      <c r="B229" s="15" t="s">
        <v>251</v>
      </c>
      <c r="C229" s="16" t="s">
        <v>252</v>
      </c>
      <c r="D229" s="17">
        <v>44257</v>
      </c>
      <c r="E229" s="18">
        <v>86.37</v>
      </c>
      <c r="F229" s="12">
        <f ca="1">IFERROR(__xludf.DUMMYFUNCTION("GOOGLEFINANCE(C229)"),77.29)</f>
        <v>77.290000000000006</v>
      </c>
    </row>
    <row r="230" spans="1:6" ht="15" x14ac:dyDescent="0.25">
      <c r="A230" s="14">
        <v>231</v>
      </c>
      <c r="B230" s="15" t="s">
        <v>291</v>
      </c>
      <c r="C230" s="16" t="s">
        <v>292</v>
      </c>
      <c r="D230" s="17">
        <v>44257</v>
      </c>
      <c r="E230" s="18">
        <v>159.02000000000001</v>
      </c>
      <c r="F230" s="12">
        <f ca="1">IFERROR(__xludf.DUMMYFUNCTION("GOOGLEFINANCE(C230)"),168.23)</f>
        <v>168.23</v>
      </c>
    </row>
    <row r="231" spans="1:6" ht="15" x14ac:dyDescent="0.25">
      <c r="A231" s="14">
        <v>232</v>
      </c>
      <c r="B231" s="15" t="s">
        <v>339</v>
      </c>
      <c r="C231" s="16" t="s">
        <v>340</v>
      </c>
      <c r="D231" s="17">
        <v>44257</v>
      </c>
      <c r="E231" s="18">
        <v>35.25</v>
      </c>
      <c r="F231" s="12">
        <f ca="1">IFERROR(__xludf.DUMMYFUNCTION("GOOGLEFINANCE(C231)"),9.59)</f>
        <v>9.59</v>
      </c>
    </row>
    <row r="232" spans="1:6" ht="15" x14ac:dyDescent="0.25">
      <c r="A232" s="14">
        <v>233</v>
      </c>
      <c r="B232" s="15" t="s">
        <v>341</v>
      </c>
      <c r="C232" s="16" t="s">
        <v>342</v>
      </c>
      <c r="D232" s="17">
        <v>44257</v>
      </c>
      <c r="E232" s="18">
        <v>46.22</v>
      </c>
      <c r="F232" s="12">
        <f ca="1">IFERROR(__xludf.DUMMYFUNCTION("GOOGLEFINANCE(C232)"),43.63)</f>
        <v>43.63</v>
      </c>
    </row>
    <row r="233" spans="1:6" ht="15" x14ac:dyDescent="0.25">
      <c r="A233" s="14">
        <v>234</v>
      </c>
      <c r="B233" s="15" t="s">
        <v>305</v>
      </c>
      <c r="C233" s="16" t="s">
        <v>306</v>
      </c>
      <c r="D233" s="17">
        <v>44256</v>
      </c>
      <c r="E233" s="18">
        <v>337.42</v>
      </c>
      <c r="F233" s="12">
        <f ca="1">IFERROR(__xludf.DUMMYFUNCTION("GOOGLEFINANCE(C233)"),380.94)</f>
        <v>380.94</v>
      </c>
    </row>
    <row r="234" spans="1:6" ht="15" x14ac:dyDescent="0.25">
      <c r="A234" s="14">
        <v>235</v>
      </c>
      <c r="B234" s="15" t="s">
        <v>281</v>
      </c>
      <c r="C234" s="16" t="s">
        <v>282</v>
      </c>
      <c r="D234" s="17">
        <v>44256</v>
      </c>
      <c r="E234" s="18">
        <v>241</v>
      </c>
      <c r="F234" s="12">
        <f ca="1">IFERROR(__xludf.DUMMYFUNCTION("GOOGLEFINANCE(C234)"),167.06)</f>
        <v>167.06</v>
      </c>
    </row>
    <row r="235" spans="1:6" ht="15" x14ac:dyDescent="0.25">
      <c r="A235" s="14">
        <v>236</v>
      </c>
      <c r="B235" s="15" t="s">
        <v>343</v>
      </c>
      <c r="C235" s="16" t="s">
        <v>344</v>
      </c>
      <c r="D235" s="17">
        <v>44256</v>
      </c>
      <c r="E235" s="18">
        <v>120.34</v>
      </c>
      <c r="F235" s="12">
        <f ca="1">IFERROR(__xludf.DUMMYFUNCTION("GOOGLEFINANCE(C235)"),115.05)</f>
        <v>115.05</v>
      </c>
    </row>
    <row r="236" spans="1:6" ht="15" x14ac:dyDescent="0.25">
      <c r="A236" s="14">
        <v>237</v>
      </c>
      <c r="B236" s="15" t="s">
        <v>345</v>
      </c>
      <c r="C236" s="16" t="s">
        <v>346</v>
      </c>
      <c r="D236" s="17">
        <v>44256</v>
      </c>
      <c r="E236" s="18">
        <v>126.26</v>
      </c>
      <c r="F236" s="12">
        <f ca="1">IFERROR(__xludf.DUMMYFUNCTION("GOOGLEFINANCE(C236)"),48.22)</f>
        <v>48.22</v>
      </c>
    </row>
    <row r="237" spans="1:6" ht="15" x14ac:dyDescent="0.25">
      <c r="A237" s="14">
        <v>238</v>
      </c>
      <c r="B237" s="15" t="s">
        <v>74</v>
      </c>
      <c r="C237" s="16" t="s">
        <v>75</v>
      </c>
      <c r="D237" s="17">
        <v>44256</v>
      </c>
      <c r="E237" s="18">
        <v>553.66999999999996</v>
      </c>
      <c r="F237" s="12">
        <f ca="1">IFERROR(__xludf.DUMMYFUNCTION("GOOGLEFINANCE(C237)"),278.01)</f>
        <v>278.01</v>
      </c>
    </row>
    <row r="238" spans="1:6" ht="15" x14ac:dyDescent="0.25">
      <c r="A238" s="14">
        <v>239</v>
      </c>
      <c r="B238" s="15" t="s">
        <v>207</v>
      </c>
      <c r="C238" s="16" t="s">
        <v>208</v>
      </c>
      <c r="D238" s="17">
        <v>44256</v>
      </c>
      <c r="E238" s="18">
        <v>347.56</v>
      </c>
      <c r="F238" s="12">
        <f ca="1">IFERROR(__xludf.DUMMYFUNCTION("GOOGLEFINANCE(C238)"),436.35)</f>
        <v>436.35</v>
      </c>
    </row>
    <row r="239" spans="1:6" ht="15" x14ac:dyDescent="0.25">
      <c r="A239" s="14">
        <v>240</v>
      </c>
      <c r="B239" s="15" t="s">
        <v>120</v>
      </c>
      <c r="C239" s="16" t="s">
        <v>121</v>
      </c>
      <c r="D239" s="17">
        <v>44256</v>
      </c>
      <c r="E239" s="18">
        <v>27.38</v>
      </c>
      <c r="F239" s="12">
        <f ca="1">IFERROR(__xludf.DUMMYFUNCTION("GOOGLEFINANCE(C239)"),17.04)</f>
        <v>17.04</v>
      </c>
    </row>
    <row r="240" spans="1:6" ht="15" x14ac:dyDescent="0.25">
      <c r="A240" s="14">
        <v>241</v>
      </c>
      <c r="B240" s="15" t="s">
        <v>347</v>
      </c>
      <c r="C240" s="16" t="s">
        <v>348</v>
      </c>
      <c r="D240" s="17">
        <v>44256</v>
      </c>
      <c r="E240" s="18">
        <v>104</v>
      </c>
      <c r="F240" s="12">
        <f ca="1">IFERROR(__xludf.DUMMYFUNCTION("GOOGLEFINANCE(C240)"),129.52)</f>
        <v>129.52000000000001</v>
      </c>
    </row>
    <row r="241" spans="1:11" ht="15" x14ac:dyDescent="0.25">
      <c r="A241" s="14">
        <v>242</v>
      </c>
      <c r="B241" s="15" t="s">
        <v>142</v>
      </c>
      <c r="C241" s="16" t="s">
        <v>143</v>
      </c>
      <c r="D241" s="17">
        <v>44256</v>
      </c>
      <c r="E241" s="18">
        <v>11.98</v>
      </c>
      <c r="F241" s="12">
        <f ca="1">IFERROR(__xludf.DUMMYFUNCTION("GOOGLEFINANCE(C241)"),19.77)</f>
        <v>19.77</v>
      </c>
    </row>
    <row r="242" spans="1:11" ht="15" x14ac:dyDescent="0.25">
      <c r="A242" s="14">
        <v>243</v>
      </c>
      <c r="B242" s="15" t="s">
        <v>349</v>
      </c>
      <c r="C242" s="16" t="s">
        <v>350</v>
      </c>
      <c r="D242" s="17">
        <v>44256</v>
      </c>
      <c r="E242" s="18">
        <v>85.77</v>
      </c>
      <c r="F242" s="12">
        <f ca="1">IFERROR(__xludf.DUMMYFUNCTION("GOOGLEFINANCE(C242)"),122.12)</f>
        <v>122.12</v>
      </c>
    </row>
    <row r="243" spans="1:11" ht="15" x14ac:dyDescent="0.25">
      <c r="A243" s="14">
        <v>244</v>
      </c>
      <c r="B243" s="15" t="s">
        <v>351</v>
      </c>
      <c r="C243" s="16" t="s">
        <v>352</v>
      </c>
      <c r="D243" s="17">
        <v>44256</v>
      </c>
      <c r="E243" s="18">
        <v>217.54</v>
      </c>
      <c r="F243" s="12">
        <f ca="1">IFERROR(__xludf.DUMMYFUNCTION("GOOGLEFINANCE(C243)"),252.93)</f>
        <v>252.93</v>
      </c>
    </row>
    <row r="244" spans="1:11" ht="15" x14ac:dyDescent="0.25">
      <c r="A244" s="14">
        <v>245</v>
      </c>
      <c r="B244" s="15" t="s">
        <v>299</v>
      </c>
      <c r="C244" s="16" t="s">
        <v>300</v>
      </c>
      <c r="D244" s="17">
        <v>44256</v>
      </c>
      <c r="E244" s="18">
        <v>147.11000000000001</v>
      </c>
      <c r="F244" s="12">
        <f ca="1">IFERROR(__xludf.DUMMYFUNCTION("GOOGLEFINANCE(C244)"),69.24)</f>
        <v>69.239999999999995</v>
      </c>
    </row>
    <row r="245" spans="1:11" ht="15" x14ac:dyDescent="0.25">
      <c r="A245" s="14">
        <v>246</v>
      </c>
      <c r="B245" s="15" t="s">
        <v>50</v>
      </c>
      <c r="C245" s="16" t="s">
        <v>51</v>
      </c>
      <c r="D245" s="17">
        <v>44256</v>
      </c>
      <c r="E245" s="18">
        <v>196.42</v>
      </c>
      <c r="F245" s="12">
        <f ca="1">IFERROR(__xludf.DUMMYFUNCTION("GOOGLEFINANCE(C245)"),157.91)</f>
        <v>157.91</v>
      </c>
    </row>
    <row r="246" spans="1:11" ht="15" x14ac:dyDescent="0.25">
      <c r="A246" s="14">
        <v>247</v>
      </c>
      <c r="B246" s="15" t="s">
        <v>353</v>
      </c>
      <c r="C246" s="16" t="s">
        <v>354</v>
      </c>
      <c r="D246" s="17">
        <v>44253</v>
      </c>
      <c r="E246" s="18">
        <v>373.61</v>
      </c>
      <c r="F246" s="12">
        <f ca="1">IFERROR(__xludf.DUMMYFUNCTION("GOOGLEFINANCE(C246)"),199.74)</f>
        <v>199.74</v>
      </c>
    </row>
    <row r="247" spans="1:11" ht="15" x14ac:dyDescent="0.25">
      <c r="A247" s="14">
        <v>248</v>
      </c>
      <c r="B247" s="15" t="s">
        <v>319</v>
      </c>
      <c r="C247" s="16" t="s">
        <v>320</v>
      </c>
      <c r="D247" s="17">
        <v>44253</v>
      </c>
      <c r="E247" s="18">
        <v>20.43</v>
      </c>
      <c r="F247" s="12">
        <f ca="1">IFERROR(__xludf.DUMMYFUNCTION("GOOGLEFINANCE(C247)"),22.46)</f>
        <v>22.46</v>
      </c>
    </row>
    <row r="248" spans="1:11" ht="15" x14ac:dyDescent="0.25">
      <c r="A248" s="14">
        <v>249</v>
      </c>
      <c r="B248" s="15" t="s">
        <v>355</v>
      </c>
      <c r="C248" s="16" t="s">
        <v>356</v>
      </c>
      <c r="D248" s="17">
        <v>44253</v>
      </c>
      <c r="E248" s="18">
        <v>245.18</v>
      </c>
      <c r="F248" s="12">
        <f ca="1">IFERROR(__xludf.DUMMYFUNCTION("GOOGLEFINANCE(C248)"),273.88)</f>
        <v>273.88</v>
      </c>
    </row>
    <row r="249" spans="1:11" ht="15" x14ac:dyDescent="0.25">
      <c r="A249" s="14">
        <v>250</v>
      </c>
      <c r="B249" s="15" t="s">
        <v>156</v>
      </c>
      <c r="C249" s="16" t="s">
        <v>157</v>
      </c>
      <c r="D249" s="17">
        <v>44253</v>
      </c>
      <c r="E249" s="18">
        <v>675.5</v>
      </c>
      <c r="F249" s="12">
        <f ca="1">IFERROR(__xludf.DUMMYFUNCTION("GOOGLEFINANCE(C249)"),932.57)</f>
        <v>932.57</v>
      </c>
    </row>
    <row r="250" spans="1:11" ht="15" x14ac:dyDescent="0.25">
      <c r="A250" s="14">
        <v>251</v>
      </c>
      <c r="B250" s="15" t="s">
        <v>357</v>
      </c>
      <c r="C250" s="16" t="s">
        <v>358</v>
      </c>
      <c r="D250" s="17">
        <v>44253</v>
      </c>
      <c r="E250" s="18">
        <v>183.44</v>
      </c>
      <c r="F250" s="12">
        <f ca="1">IFERROR(__xludf.DUMMYFUNCTION("GOOGLEFINANCE(C250)"),223.31)</f>
        <v>223.31</v>
      </c>
    </row>
    <row r="251" spans="1:11" ht="15" x14ac:dyDescent="0.25">
      <c r="A251" s="14">
        <v>252</v>
      </c>
      <c r="B251" s="15" t="s">
        <v>283</v>
      </c>
      <c r="C251" s="16" t="s">
        <v>284</v>
      </c>
      <c r="D251" s="17">
        <v>44253</v>
      </c>
      <c r="E251" s="18">
        <v>259.54000000000002</v>
      </c>
      <c r="F251" s="12">
        <f ca="1">IFERROR(__xludf.DUMMYFUNCTION("GOOGLEFINANCE(C251)"),332.33)</f>
        <v>332.33</v>
      </c>
    </row>
    <row r="252" spans="1:11" ht="15" x14ac:dyDescent="0.25">
      <c r="A252" s="14">
        <v>253</v>
      </c>
      <c r="B252" s="15" t="s">
        <v>359</v>
      </c>
      <c r="C252" s="16" t="s">
        <v>360</v>
      </c>
      <c r="D252" s="17">
        <v>44253</v>
      </c>
      <c r="E252" s="18">
        <v>21.85</v>
      </c>
      <c r="F252" s="12">
        <f ca="1">IFERROR(__xludf.DUMMYFUNCTION("GOOGLEFINANCE(C252)"),15.43)</f>
        <v>15.43</v>
      </c>
    </row>
    <row r="253" spans="1:11" ht="15" x14ac:dyDescent="0.25">
      <c r="A253" s="14">
        <v>254</v>
      </c>
      <c r="B253" s="15" t="s">
        <v>361</v>
      </c>
      <c r="C253" s="16" t="s">
        <v>362</v>
      </c>
      <c r="D253" s="17">
        <v>44253</v>
      </c>
      <c r="E253" s="18">
        <v>192.35</v>
      </c>
      <c r="F253" s="12">
        <f ca="1">IFERROR(__xludf.DUMMYFUNCTION("GOOGLEFINANCE(C253)"),164.72)</f>
        <v>164.72</v>
      </c>
    </row>
    <row r="254" spans="1:11" ht="15" x14ac:dyDescent="0.25">
      <c r="A254" s="14">
        <v>255</v>
      </c>
      <c r="B254" s="15" t="s">
        <v>42</v>
      </c>
      <c r="C254" s="16" t="s">
        <v>43</v>
      </c>
      <c r="D254" s="17">
        <v>44253</v>
      </c>
      <c r="E254" s="18">
        <v>125.79</v>
      </c>
      <c r="F254" s="12">
        <f ca="1">IFERROR(__xludf.DUMMYFUNCTION("GOOGLEFINANCE(C254)"),46.28)</f>
        <v>46.28</v>
      </c>
    </row>
    <row r="255" spans="1:11" ht="15" x14ac:dyDescent="0.25">
      <c r="A255" s="14">
        <v>256</v>
      </c>
      <c r="B255" s="15" t="s">
        <v>620</v>
      </c>
      <c r="C255" s="16" t="s">
        <v>621</v>
      </c>
      <c r="D255" s="17">
        <v>44253</v>
      </c>
      <c r="E255" s="18">
        <v>34.83</v>
      </c>
      <c r="F255" s="12" t="str">
        <f ca="1">IFERROR(__xludf.DUMMYFUNCTION("GOOGLEFINANCE(C255)"),"#N/A")</f>
        <v>#N/A</v>
      </c>
      <c r="G255" s="21" t="s">
        <v>622</v>
      </c>
      <c r="H255" s="26" t="s">
        <v>623</v>
      </c>
      <c r="K255" s="26" t="s">
        <v>624</v>
      </c>
    </row>
    <row r="256" spans="1:11" ht="15" x14ac:dyDescent="0.25">
      <c r="A256" s="14">
        <v>257</v>
      </c>
      <c r="B256" s="15" t="s">
        <v>363</v>
      </c>
      <c r="C256" s="16" t="s">
        <v>364</v>
      </c>
      <c r="D256" s="17">
        <v>44253</v>
      </c>
      <c r="E256" s="18">
        <v>98.2</v>
      </c>
      <c r="F256" s="12">
        <f ca="1">IFERROR(__xludf.DUMMYFUNCTION("GOOGLEFINANCE(C256)"),136.32)</f>
        <v>136.32</v>
      </c>
    </row>
    <row r="257" spans="1:6" ht="15" x14ac:dyDescent="0.25">
      <c r="A257" s="14">
        <v>258</v>
      </c>
      <c r="B257" s="15" t="s">
        <v>84</v>
      </c>
      <c r="C257" s="16" t="s">
        <v>85</v>
      </c>
      <c r="D257" s="17">
        <v>44253</v>
      </c>
      <c r="E257" s="18">
        <v>331</v>
      </c>
      <c r="F257" s="12">
        <f ca="1">IFERROR(__xludf.DUMMYFUNCTION("GOOGLEFINANCE(C257)"),547.61)</f>
        <v>547.61</v>
      </c>
    </row>
    <row r="258" spans="1:6" ht="15" x14ac:dyDescent="0.25">
      <c r="A258" s="14">
        <v>259</v>
      </c>
      <c r="B258" s="15" t="s">
        <v>365</v>
      </c>
      <c r="C258" s="16" t="s">
        <v>366</v>
      </c>
      <c r="D258" s="17">
        <v>44253</v>
      </c>
      <c r="E258" s="18">
        <v>279.83999999999997</v>
      </c>
      <c r="F258" s="12">
        <f ca="1">IFERROR(__xludf.DUMMYFUNCTION("GOOGLEFINANCE(C258)"),135.03)</f>
        <v>135.03</v>
      </c>
    </row>
    <row r="259" spans="1:6" ht="15" x14ac:dyDescent="0.25">
      <c r="A259" s="14">
        <v>260</v>
      </c>
      <c r="B259" s="15" t="s">
        <v>367</v>
      </c>
      <c r="C259" s="16" t="s">
        <v>368</v>
      </c>
      <c r="D259" s="17">
        <v>44252</v>
      </c>
      <c r="E259" s="18">
        <v>74.59</v>
      </c>
      <c r="F259" s="12">
        <f ca="1">IFERROR(__xludf.DUMMYFUNCTION("GOOGLEFINANCE(C259)"),43.07)</f>
        <v>43.07</v>
      </c>
    </row>
    <row r="260" spans="1:6" ht="15" x14ac:dyDescent="0.25">
      <c r="A260" s="14">
        <v>261</v>
      </c>
      <c r="B260" s="15" t="s">
        <v>74</v>
      </c>
      <c r="C260" s="16" t="s">
        <v>75</v>
      </c>
      <c r="D260" s="17">
        <v>44252</v>
      </c>
      <c r="E260" s="18">
        <v>532.29999999999995</v>
      </c>
      <c r="F260" s="12">
        <f ca="1">IFERROR(__xludf.DUMMYFUNCTION("GOOGLEFINANCE(C260)"),278.01)</f>
        <v>278.01</v>
      </c>
    </row>
    <row r="261" spans="1:6" ht="15" x14ac:dyDescent="0.25">
      <c r="A261" s="14">
        <v>262</v>
      </c>
      <c r="B261" s="15" t="s">
        <v>369</v>
      </c>
      <c r="C261" s="16" t="s">
        <v>370</v>
      </c>
      <c r="D261" s="17">
        <v>44252</v>
      </c>
      <c r="E261" s="18">
        <v>70.64</v>
      </c>
      <c r="F261" s="12">
        <f ca="1">IFERROR(__xludf.DUMMYFUNCTION("GOOGLEFINANCE(C261)"),39.31)</f>
        <v>39.31</v>
      </c>
    </row>
    <row r="262" spans="1:6" ht="15" x14ac:dyDescent="0.25">
      <c r="A262" s="14">
        <v>263</v>
      </c>
      <c r="B262" s="15" t="s">
        <v>371</v>
      </c>
      <c r="C262" s="16" t="s">
        <v>372</v>
      </c>
      <c r="D262" s="17">
        <v>44252</v>
      </c>
      <c r="E262" s="18">
        <v>104.85</v>
      </c>
      <c r="F262" s="12">
        <f ca="1">IFERROR(__xludf.DUMMYFUNCTION("GOOGLEFINANCE(C262)"),79.76)</f>
        <v>79.760000000000005</v>
      </c>
    </row>
    <row r="263" spans="1:6" ht="15" x14ac:dyDescent="0.25">
      <c r="A263" s="14">
        <v>264</v>
      </c>
      <c r="B263" s="15" t="s">
        <v>287</v>
      </c>
      <c r="C263" s="16" t="s">
        <v>288</v>
      </c>
      <c r="D263" s="17">
        <v>44252</v>
      </c>
      <c r="E263" s="18">
        <v>148.38</v>
      </c>
      <c r="F263" s="12">
        <f ca="1">IFERROR(__xludf.DUMMYFUNCTION("GOOGLEFINANCE(C263)"),294.8)</f>
        <v>294.8</v>
      </c>
    </row>
    <row r="264" spans="1:6" ht="15" x14ac:dyDescent="0.25">
      <c r="A264" s="14">
        <v>265</v>
      </c>
      <c r="B264" s="15" t="s">
        <v>120</v>
      </c>
      <c r="C264" s="16" t="s">
        <v>121</v>
      </c>
      <c r="D264" s="17">
        <v>44252</v>
      </c>
      <c r="E264" s="18">
        <v>21.58</v>
      </c>
      <c r="F264" s="12">
        <f ca="1">IFERROR(__xludf.DUMMYFUNCTION("GOOGLEFINANCE(C264)"),17.04)</f>
        <v>17.04</v>
      </c>
    </row>
    <row r="265" spans="1:6" ht="15" x14ac:dyDescent="0.25">
      <c r="A265" s="14">
        <v>266</v>
      </c>
      <c r="B265" s="15" t="s">
        <v>351</v>
      </c>
      <c r="C265" s="16" t="s">
        <v>352</v>
      </c>
      <c r="D265" s="17">
        <v>44252</v>
      </c>
      <c r="E265" s="18">
        <v>231.08</v>
      </c>
      <c r="F265" s="12">
        <f ca="1">IFERROR(__xludf.DUMMYFUNCTION("GOOGLEFINANCE(C265)"),252.93)</f>
        <v>252.93</v>
      </c>
    </row>
    <row r="266" spans="1:6" ht="15" x14ac:dyDescent="0.25">
      <c r="A266" s="14">
        <v>267</v>
      </c>
      <c r="B266" s="15" t="s">
        <v>50</v>
      </c>
      <c r="C266" s="16" t="s">
        <v>51</v>
      </c>
      <c r="D266" s="17">
        <v>44252</v>
      </c>
      <c r="E266" s="18">
        <v>182.06</v>
      </c>
      <c r="F266" s="12">
        <f ca="1">IFERROR(__xludf.DUMMYFUNCTION("GOOGLEFINANCE(C266)"),157.91)</f>
        <v>157.91</v>
      </c>
    </row>
    <row r="267" spans="1:6" ht="15" x14ac:dyDescent="0.25">
      <c r="A267" s="14">
        <v>268</v>
      </c>
      <c r="B267" s="15" t="s">
        <v>373</v>
      </c>
      <c r="C267" s="16" t="s">
        <v>374</v>
      </c>
      <c r="D267" s="17">
        <v>44251</v>
      </c>
      <c r="E267" s="18">
        <v>20.8</v>
      </c>
      <c r="F267" s="12">
        <f ca="1">IFERROR(__xludf.DUMMYFUNCTION("GOOGLEFINANCE(C267)"),23.95)</f>
        <v>23.95</v>
      </c>
    </row>
    <row r="268" spans="1:6" ht="15" x14ac:dyDescent="0.25">
      <c r="A268" s="14">
        <v>269</v>
      </c>
      <c r="B268" s="15" t="s">
        <v>241</v>
      </c>
      <c r="C268" s="16" t="s">
        <v>242</v>
      </c>
      <c r="D268" s="17">
        <v>44251</v>
      </c>
      <c r="E268" s="18">
        <v>25.48</v>
      </c>
      <c r="F268" s="12">
        <f ca="1">IFERROR(__xludf.DUMMYFUNCTION("GOOGLEFINANCE(C268)"),16.45)</f>
        <v>16.45</v>
      </c>
    </row>
    <row r="269" spans="1:6" ht="15" x14ac:dyDescent="0.25">
      <c r="A269" s="14">
        <v>270</v>
      </c>
      <c r="B269" s="15" t="s">
        <v>375</v>
      </c>
      <c r="C269" s="16" t="s">
        <v>376</v>
      </c>
      <c r="D269" s="17">
        <v>44251</v>
      </c>
      <c r="E269" s="18">
        <v>53.36</v>
      </c>
      <c r="F269" s="12">
        <f ca="1">IFERROR(__xludf.DUMMYFUNCTION("GOOGLEFINANCE(C269)"),34.19)</f>
        <v>34.19</v>
      </c>
    </row>
    <row r="270" spans="1:6" ht="15" x14ac:dyDescent="0.25">
      <c r="A270" s="14">
        <v>271</v>
      </c>
      <c r="B270" s="15" t="s">
        <v>377</v>
      </c>
      <c r="C270" s="16" t="s">
        <v>378</v>
      </c>
      <c r="D270" s="17">
        <v>44251</v>
      </c>
      <c r="E270" s="18">
        <v>781.04</v>
      </c>
      <c r="F270" s="12">
        <f ca="1">IFERROR(__xludf.DUMMYFUNCTION("GOOGLEFINANCE(C270)"),89.99)</f>
        <v>89.99</v>
      </c>
    </row>
    <row r="271" spans="1:6" ht="15" x14ac:dyDescent="0.25">
      <c r="A271" s="14">
        <v>272</v>
      </c>
      <c r="B271" s="15" t="s">
        <v>156</v>
      </c>
      <c r="C271" s="16" t="s">
        <v>157</v>
      </c>
      <c r="D271" s="17">
        <v>44251</v>
      </c>
      <c r="E271" s="18">
        <v>742.02</v>
      </c>
      <c r="F271" s="12">
        <f ca="1">IFERROR(__xludf.DUMMYFUNCTION("GOOGLEFINANCE(C271)"),932.57)</f>
        <v>932.57</v>
      </c>
    </row>
    <row r="272" spans="1:6" ht="15" x14ac:dyDescent="0.25">
      <c r="A272" s="14">
        <v>273</v>
      </c>
      <c r="B272" s="15" t="s">
        <v>609</v>
      </c>
      <c r="C272" s="16" t="s">
        <v>610</v>
      </c>
      <c r="D272" s="17">
        <v>44251</v>
      </c>
      <c r="E272" s="18">
        <v>36.03</v>
      </c>
      <c r="F272" s="12" t="str">
        <f ca="1">IFERROR(__xludf.DUMMYFUNCTION("GOOGLEFINANCE(C272)"),"#N/A")</f>
        <v>#N/A</v>
      </c>
    </row>
    <row r="273" spans="1:6" ht="15" x14ac:dyDescent="0.25">
      <c r="A273" s="14">
        <v>274</v>
      </c>
      <c r="B273" s="15" t="s">
        <v>379</v>
      </c>
      <c r="C273" s="16" t="s">
        <v>380</v>
      </c>
      <c r="D273" s="17">
        <v>44251</v>
      </c>
      <c r="E273" s="18">
        <v>32.950000000000003</v>
      </c>
      <c r="F273" s="12">
        <f ca="1">IFERROR(__xludf.DUMMYFUNCTION("GOOGLEFINANCE(C273)"),8.08)</f>
        <v>8.08</v>
      </c>
    </row>
    <row r="274" spans="1:6" ht="15" x14ac:dyDescent="0.25">
      <c r="A274" s="14">
        <v>275</v>
      </c>
      <c r="B274" s="15" t="s">
        <v>381</v>
      </c>
      <c r="C274" s="16" t="s">
        <v>382</v>
      </c>
      <c r="D274" s="17">
        <v>44251</v>
      </c>
      <c r="E274" s="18">
        <v>19.43</v>
      </c>
      <c r="F274" s="12">
        <f ca="1">IFERROR(__xludf.DUMMYFUNCTION("GOOGLEFINANCE(C274)"),16.66)</f>
        <v>16.66</v>
      </c>
    </row>
    <row r="275" spans="1:6" ht="15" x14ac:dyDescent="0.25">
      <c r="A275" s="14">
        <v>276</v>
      </c>
      <c r="B275" s="15" t="s">
        <v>74</v>
      </c>
      <c r="C275" s="16" t="s">
        <v>75</v>
      </c>
      <c r="D275" s="17">
        <v>44251</v>
      </c>
      <c r="E275" s="18">
        <v>579.96</v>
      </c>
      <c r="F275" s="12">
        <f ca="1">IFERROR(__xludf.DUMMYFUNCTION("GOOGLEFINANCE(C275)"),278.01)</f>
        <v>278.01</v>
      </c>
    </row>
    <row r="276" spans="1:6" ht="15" x14ac:dyDescent="0.25">
      <c r="A276" s="14">
        <v>277</v>
      </c>
      <c r="B276" s="15" t="s">
        <v>134</v>
      </c>
      <c r="C276" s="16" t="s">
        <v>135</v>
      </c>
      <c r="D276" s="17">
        <v>44251</v>
      </c>
      <c r="E276" s="18">
        <v>551.83000000000004</v>
      </c>
      <c r="F276" s="12">
        <f ca="1">IFERROR(__xludf.DUMMYFUNCTION("GOOGLEFINANCE(C276)"),615.63)</f>
        <v>615.63</v>
      </c>
    </row>
    <row r="277" spans="1:6" ht="15" x14ac:dyDescent="0.25">
      <c r="A277" s="14">
        <v>278</v>
      </c>
      <c r="B277" s="15" t="s">
        <v>148</v>
      </c>
      <c r="C277" s="16" t="s">
        <v>149</v>
      </c>
      <c r="D277" s="17">
        <v>44251</v>
      </c>
      <c r="E277" s="18">
        <v>553.41</v>
      </c>
      <c r="F277" s="12">
        <f ca="1">IFERROR(__xludf.DUMMYFUNCTION("GOOGLEFINANCE(C277)"),586.73)</f>
        <v>586.73</v>
      </c>
    </row>
    <row r="278" spans="1:6" ht="15" x14ac:dyDescent="0.25">
      <c r="A278" s="14">
        <v>279</v>
      </c>
      <c r="B278" s="15" t="s">
        <v>138</v>
      </c>
      <c r="C278" s="16" t="s">
        <v>139</v>
      </c>
      <c r="D278" s="17">
        <v>44251</v>
      </c>
      <c r="E278" s="18">
        <v>43.53</v>
      </c>
      <c r="F278" s="12">
        <f ca="1">IFERROR(__xludf.DUMMYFUNCTION("GOOGLEFINANCE(C278)"),42.48)</f>
        <v>42.48</v>
      </c>
    </row>
    <row r="279" spans="1:6" ht="15" x14ac:dyDescent="0.25">
      <c r="A279" s="14">
        <v>280</v>
      </c>
      <c r="B279" s="15" t="s">
        <v>383</v>
      </c>
      <c r="C279" s="16" t="s">
        <v>384</v>
      </c>
      <c r="D279" s="17">
        <v>44251</v>
      </c>
      <c r="E279" s="18">
        <v>317.7</v>
      </c>
      <c r="F279" s="12">
        <f ca="1">IFERROR(__xludf.DUMMYFUNCTION("GOOGLEFINANCE(C279)"),384.66)</f>
        <v>384.66</v>
      </c>
    </row>
    <row r="280" spans="1:6" ht="15" x14ac:dyDescent="0.25">
      <c r="A280" s="14">
        <v>281</v>
      </c>
      <c r="B280" s="15" t="s">
        <v>385</v>
      </c>
      <c r="C280" s="16" t="s">
        <v>386</v>
      </c>
      <c r="D280" s="17">
        <v>44251</v>
      </c>
      <c r="E280" s="18">
        <v>596.9</v>
      </c>
      <c r="F280" s="12">
        <f ca="1">IFERROR(__xludf.DUMMYFUNCTION("GOOGLEFINANCE(C280)"),669.17)</f>
        <v>669.17</v>
      </c>
    </row>
    <row r="281" spans="1:6" ht="15" x14ac:dyDescent="0.25">
      <c r="A281" s="14">
        <v>282</v>
      </c>
      <c r="B281" s="15" t="s">
        <v>387</v>
      </c>
      <c r="C281" s="16" t="s">
        <v>388</v>
      </c>
      <c r="D281" s="17">
        <v>44251</v>
      </c>
      <c r="E281" s="18">
        <v>39.06</v>
      </c>
      <c r="F281" s="12">
        <f ca="1">IFERROR(__xludf.DUMMYFUNCTION("GOOGLEFINANCE(C281)"),22.71)</f>
        <v>22.71</v>
      </c>
    </row>
    <row r="282" spans="1:6" ht="15" x14ac:dyDescent="0.25">
      <c r="A282" s="14">
        <v>283</v>
      </c>
      <c r="B282" s="15" t="s">
        <v>389</v>
      </c>
      <c r="C282" s="16" t="s">
        <v>390</v>
      </c>
      <c r="D282" s="17">
        <v>44251</v>
      </c>
      <c r="E282" s="18">
        <v>758.71</v>
      </c>
      <c r="F282" s="12">
        <f ca="1">IFERROR(__xludf.DUMMYFUNCTION("GOOGLEFINANCE(C282)"),337.4)</f>
        <v>337.4</v>
      </c>
    </row>
    <row r="283" spans="1:6" ht="15" x14ac:dyDescent="0.25">
      <c r="A283" s="14">
        <v>284</v>
      </c>
      <c r="B283" s="15" t="s">
        <v>625</v>
      </c>
      <c r="C283" s="16" t="s">
        <v>626</v>
      </c>
      <c r="D283" s="17">
        <v>44251</v>
      </c>
      <c r="E283" s="18">
        <v>19.41</v>
      </c>
      <c r="F283" s="12" t="str">
        <f ca="1">IFERROR(__xludf.DUMMYFUNCTION("GOOGLEFINANCE(C283)"),"#N/A")</f>
        <v>#N/A</v>
      </c>
    </row>
    <row r="284" spans="1:6" ht="15" x14ac:dyDescent="0.25">
      <c r="A284" s="14">
        <v>285</v>
      </c>
      <c r="B284" s="15" t="s">
        <v>391</v>
      </c>
      <c r="C284" s="16" t="s">
        <v>392</v>
      </c>
      <c r="D284" s="17">
        <v>44251</v>
      </c>
      <c r="E284" s="18">
        <v>518.73</v>
      </c>
      <c r="F284" s="12">
        <f ca="1">IFERROR(__xludf.DUMMYFUNCTION("GOOGLEFINANCE(C284)"),668.5)</f>
        <v>668.5</v>
      </c>
    </row>
    <row r="285" spans="1:6" ht="15" x14ac:dyDescent="0.25">
      <c r="A285" s="14">
        <v>286</v>
      </c>
      <c r="B285" s="15" t="s">
        <v>393</v>
      </c>
      <c r="C285" s="16" t="s">
        <v>394</v>
      </c>
      <c r="D285" s="17">
        <v>44251</v>
      </c>
      <c r="E285" s="18">
        <v>180.87</v>
      </c>
      <c r="F285" s="12">
        <f ca="1">IFERROR(__xludf.DUMMYFUNCTION("GOOGLEFINANCE(C285)"),189.11)</f>
        <v>189.11</v>
      </c>
    </row>
    <row r="286" spans="1:6" ht="15" x14ac:dyDescent="0.25">
      <c r="A286" s="14">
        <v>287</v>
      </c>
      <c r="B286" s="15" t="s">
        <v>60</v>
      </c>
      <c r="C286" s="16" t="s">
        <v>61</v>
      </c>
      <c r="D286" s="17">
        <v>44251</v>
      </c>
      <c r="E286" s="18">
        <v>60.28</v>
      </c>
      <c r="F286" s="12">
        <f ca="1">IFERROR(__xludf.DUMMYFUNCTION("GOOGLEFINANCE(C286)"),28.67)</f>
        <v>28.67</v>
      </c>
    </row>
    <row r="287" spans="1:6" ht="15" x14ac:dyDescent="0.25">
      <c r="A287" s="14">
        <v>288</v>
      </c>
      <c r="B287" s="15" t="s">
        <v>84</v>
      </c>
      <c r="C287" s="16" t="s">
        <v>85</v>
      </c>
      <c r="D287" s="17">
        <v>44251</v>
      </c>
      <c r="E287" s="18">
        <v>340.7</v>
      </c>
      <c r="F287" s="12">
        <f ca="1">IFERROR(__xludf.DUMMYFUNCTION("GOOGLEFINANCE(C287)"),547.61)</f>
        <v>547.61</v>
      </c>
    </row>
    <row r="288" spans="1:6" ht="15" x14ac:dyDescent="0.25">
      <c r="A288" s="14">
        <v>289</v>
      </c>
      <c r="B288" s="15" t="s">
        <v>255</v>
      </c>
      <c r="C288" s="16" t="s">
        <v>256</v>
      </c>
      <c r="D288" s="17">
        <v>44251</v>
      </c>
      <c r="E288" s="18">
        <v>33.479999999999997</v>
      </c>
      <c r="F288" s="12">
        <f ca="1">IFERROR(__xludf.DUMMYFUNCTION("GOOGLEFINANCE(C288)"),4.7)</f>
        <v>4.7</v>
      </c>
    </row>
    <row r="289" spans="1:6" ht="15" x14ac:dyDescent="0.25">
      <c r="A289" s="14">
        <v>290</v>
      </c>
      <c r="B289" s="15" t="s">
        <v>301</v>
      </c>
      <c r="C289" s="16" t="s">
        <v>302</v>
      </c>
      <c r="D289" s="17">
        <v>44251</v>
      </c>
      <c r="E289" s="18">
        <v>86.94</v>
      </c>
      <c r="F289" s="12">
        <f ca="1">IFERROR(__xludf.DUMMYFUNCTION("GOOGLEFINANCE(C289)"),137.75)</f>
        <v>137.75</v>
      </c>
    </row>
    <row r="290" spans="1:6" ht="15" x14ac:dyDescent="0.25">
      <c r="A290" s="14">
        <v>291</v>
      </c>
      <c r="B290" s="15" t="s">
        <v>395</v>
      </c>
      <c r="C290" s="16" t="s">
        <v>396</v>
      </c>
      <c r="D290" s="17">
        <v>44251</v>
      </c>
      <c r="E290" s="18">
        <v>573.26</v>
      </c>
      <c r="F290" s="12">
        <f ca="1">IFERROR(__xludf.DUMMYFUNCTION("GOOGLEFINANCE(C290)"),609.06)</f>
        <v>609.05999999999995</v>
      </c>
    </row>
    <row r="291" spans="1:6" ht="15" x14ac:dyDescent="0.25">
      <c r="A291" s="14">
        <v>292</v>
      </c>
      <c r="B291" s="15" t="s">
        <v>213</v>
      </c>
      <c r="C291" s="16" t="s">
        <v>214</v>
      </c>
      <c r="D291" s="17">
        <v>44251</v>
      </c>
      <c r="E291" s="18">
        <v>122.38</v>
      </c>
      <c r="F291" s="12">
        <f ca="1">IFERROR(__xludf.DUMMYFUNCTION("GOOGLEFINANCE(C291)"),137.11)</f>
        <v>137.11000000000001</v>
      </c>
    </row>
    <row r="292" spans="1:6" ht="15" x14ac:dyDescent="0.25">
      <c r="A292" s="14">
        <v>293</v>
      </c>
      <c r="B292" s="15" t="s">
        <v>397</v>
      </c>
      <c r="C292" s="16" t="s">
        <v>398</v>
      </c>
      <c r="D292" s="17">
        <v>44250</v>
      </c>
      <c r="E292" s="18">
        <v>216.44</v>
      </c>
      <c r="F292" s="12">
        <f ca="1">IFERROR(__xludf.DUMMYFUNCTION("GOOGLEFINANCE(C292)"),214.54)</f>
        <v>214.54</v>
      </c>
    </row>
    <row r="293" spans="1:6" ht="15" x14ac:dyDescent="0.25">
      <c r="A293" s="14">
        <v>294</v>
      </c>
      <c r="B293" s="15" t="s">
        <v>399</v>
      </c>
      <c r="C293" s="16" t="s">
        <v>400</v>
      </c>
      <c r="D293" s="17">
        <v>44250</v>
      </c>
      <c r="E293" s="18">
        <v>63.45</v>
      </c>
      <c r="F293" s="12">
        <f ca="1">IFERROR(__xludf.DUMMYFUNCTION("GOOGLEFINANCE(C293)"),35.25)</f>
        <v>35.25</v>
      </c>
    </row>
    <row r="294" spans="1:6" ht="15" x14ac:dyDescent="0.25">
      <c r="A294" s="14">
        <v>295</v>
      </c>
      <c r="B294" s="15" t="s">
        <v>401</v>
      </c>
      <c r="C294" s="16" t="s">
        <v>402</v>
      </c>
      <c r="D294" s="17">
        <v>44250</v>
      </c>
      <c r="E294" s="18">
        <v>282.98</v>
      </c>
      <c r="F294" s="12">
        <f ca="1">IFERROR(__xludf.DUMMYFUNCTION("GOOGLEFINANCE(C294)"),362.95)</f>
        <v>362.95</v>
      </c>
    </row>
    <row r="295" spans="1:6" ht="15" x14ac:dyDescent="0.25">
      <c r="A295" s="14">
        <v>296</v>
      </c>
      <c r="B295" s="15" t="s">
        <v>339</v>
      </c>
      <c r="C295" s="16" t="s">
        <v>340</v>
      </c>
      <c r="D295" s="17">
        <v>44250</v>
      </c>
      <c r="E295" s="18">
        <v>35.31</v>
      </c>
      <c r="F295" s="12">
        <f ca="1">IFERROR(__xludf.DUMMYFUNCTION("GOOGLEFINANCE(C295)"),9.59)</f>
        <v>9.59</v>
      </c>
    </row>
    <row r="296" spans="1:6" ht="15" x14ac:dyDescent="0.25">
      <c r="A296" s="14">
        <v>297</v>
      </c>
      <c r="B296" s="15" t="s">
        <v>162</v>
      </c>
      <c r="C296" s="16" t="s">
        <v>163</v>
      </c>
      <c r="D296" s="17">
        <v>44250</v>
      </c>
      <c r="E296" s="18">
        <v>34.97</v>
      </c>
      <c r="F296" s="12">
        <f ca="1">IFERROR(__xludf.DUMMYFUNCTION("GOOGLEFINANCE(C296)"),34.58)</f>
        <v>34.58</v>
      </c>
    </row>
    <row r="297" spans="1:6" ht="15" x14ac:dyDescent="0.25">
      <c r="A297" s="14">
        <v>298</v>
      </c>
      <c r="B297" s="15" t="s">
        <v>403</v>
      </c>
      <c r="C297" s="16" t="s">
        <v>404</v>
      </c>
      <c r="D297" s="17">
        <v>44250</v>
      </c>
      <c r="E297" s="18">
        <v>80.86</v>
      </c>
      <c r="F297" s="12">
        <f ca="1">IFERROR(__xludf.DUMMYFUNCTION("GOOGLEFINANCE(C297)"),64.53)</f>
        <v>64.53</v>
      </c>
    </row>
    <row r="298" spans="1:6" ht="15" x14ac:dyDescent="0.25">
      <c r="A298" s="14">
        <v>299</v>
      </c>
      <c r="B298" s="15" t="s">
        <v>405</v>
      </c>
      <c r="C298" s="16" t="s">
        <v>406</v>
      </c>
      <c r="D298" s="17">
        <v>44249</v>
      </c>
      <c r="E298" s="18">
        <v>116.55</v>
      </c>
      <c r="F298" s="12">
        <f ca="1">IFERROR(__xludf.DUMMYFUNCTION("GOOGLEFINANCE(C298)"),71.34)</f>
        <v>71.34</v>
      </c>
    </row>
    <row r="299" spans="1:6" ht="15" x14ac:dyDescent="0.25">
      <c r="A299" s="14">
        <v>300</v>
      </c>
      <c r="B299" s="15" t="s">
        <v>88</v>
      </c>
      <c r="C299" s="16" t="s">
        <v>89</v>
      </c>
      <c r="D299" s="17">
        <v>44249</v>
      </c>
      <c r="E299" s="18">
        <v>126.75</v>
      </c>
      <c r="F299" s="12">
        <f ca="1">IFERROR(__xludf.DUMMYFUNCTION("GOOGLEFINANCE(C299)"),82.27)</f>
        <v>82.27</v>
      </c>
    </row>
    <row r="300" spans="1:6" ht="15" x14ac:dyDescent="0.25">
      <c r="A300" s="14">
        <v>301</v>
      </c>
      <c r="B300" s="15" t="s">
        <v>277</v>
      </c>
      <c r="C300" s="16" t="s">
        <v>278</v>
      </c>
      <c r="D300" s="17">
        <v>44249</v>
      </c>
      <c r="E300" s="18">
        <v>208.32</v>
      </c>
      <c r="F300" s="12">
        <f ca="1">IFERROR(__xludf.DUMMYFUNCTION("GOOGLEFINANCE(C300)"),211.88)</f>
        <v>211.88</v>
      </c>
    </row>
    <row r="301" spans="1:6" ht="15" x14ac:dyDescent="0.25">
      <c r="A301" s="14">
        <v>302</v>
      </c>
      <c r="B301" s="15" t="s">
        <v>307</v>
      </c>
      <c r="C301" s="16" t="s">
        <v>308</v>
      </c>
      <c r="D301" s="17">
        <v>44249</v>
      </c>
      <c r="E301" s="18">
        <v>100.19</v>
      </c>
      <c r="F301" s="12">
        <f ca="1">IFERROR(__xludf.DUMMYFUNCTION("GOOGLEFINANCE(C301)"),128.61)</f>
        <v>128.61000000000001</v>
      </c>
    </row>
    <row r="302" spans="1:6" ht="15" x14ac:dyDescent="0.25">
      <c r="A302" s="14">
        <v>303</v>
      </c>
      <c r="B302" s="15" t="s">
        <v>407</v>
      </c>
      <c r="C302" s="16" t="s">
        <v>408</v>
      </c>
      <c r="D302" s="17">
        <v>44249</v>
      </c>
      <c r="E302" s="18">
        <v>112.77</v>
      </c>
      <c r="F302" s="12">
        <f ca="1">IFERROR(__xludf.DUMMYFUNCTION("GOOGLEFINANCE(C302)"),150.73)</f>
        <v>150.72999999999999</v>
      </c>
    </row>
    <row r="303" spans="1:6" ht="15" x14ac:dyDescent="0.25">
      <c r="A303" s="14">
        <v>304</v>
      </c>
      <c r="B303" s="15" t="s">
        <v>323</v>
      </c>
      <c r="C303" s="16" t="s">
        <v>324</v>
      </c>
      <c r="D303" s="17">
        <v>44249</v>
      </c>
      <c r="E303" s="18">
        <v>86.23</v>
      </c>
      <c r="F303" s="12">
        <f ca="1">IFERROR(__xludf.DUMMYFUNCTION("GOOGLEFINANCE(C303)"),72.41)</f>
        <v>72.41</v>
      </c>
    </row>
    <row r="304" spans="1:6" ht="15" x14ac:dyDescent="0.25">
      <c r="A304" s="14">
        <v>305</v>
      </c>
      <c r="B304" s="15" t="s">
        <v>345</v>
      </c>
      <c r="C304" s="16" t="s">
        <v>346</v>
      </c>
      <c r="D304" s="17">
        <v>44249</v>
      </c>
      <c r="E304" s="18">
        <v>117.82</v>
      </c>
      <c r="F304" s="12">
        <f ca="1">IFERROR(__xludf.DUMMYFUNCTION("GOOGLEFINANCE(C304)"),48.22)</f>
        <v>48.22</v>
      </c>
    </row>
    <row r="305" spans="1:6" ht="15" x14ac:dyDescent="0.25">
      <c r="A305" s="14">
        <v>306</v>
      </c>
      <c r="B305" s="15" t="s">
        <v>337</v>
      </c>
      <c r="C305" s="16" t="s">
        <v>338</v>
      </c>
      <c r="D305" s="17">
        <v>44249</v>
      </c>
      <c r="E305" s="18">
        <v>384.35</v>
      </c>
      <c r="F305" s="12">
        <f ca="1">IFERROR(__xludf.DUMMYFUNCTION("GOOGLEFINANCE(C305)"),530.14)</f>
        <v>530.14</v>
      </c>
    </row>
    <row r="306" spans="1:6" ht="15" x14ac:dyDescent="0.25">
      <c r="A306" s="14">
        <v>307</v>
      </c>
      <c r="B306" s="15" t="s">
        <v>409</v>
      </c>
      <c r="C306" s="16" t="s">
        <v>410</v>
      </c>
      <c r="D306" s="17">
        <v>44249</v>
      </c>
      <c r="E306" s="18">
        <v>40.44</v>
      </c>
      <c r="F306" s="12">
        <f ca="1">IFERROR(__xludf.DUMMYFUNCTION("GOOGLEFINANCE(C306)"),61.99)</f>
        <v>61.99</v>
      </c>
    </row>
    <row r="307" spans="1:6" ht="15" x14ac:dyDescent="0.25">
      <c r="A307" s="14">
        <v>308</v>
      </c>
      <c r="B307" s="15" t="s">
        <v>183</v>
      </c>
      <c r="C307" s="16" t="s">
        <v>184</v>
      </c>
      <c r="D307" s="17">
        <v>44249</v>
      </c>
      <c r="E307" s="18">
        <v>59.87</v>
      </c>
      <c r="F307" s="12">
        <f ca="1">IFERROR(__xludf.DUMMYFUNCTION("GOOGLEFINANCE(C307)"),118)</f>
        <v>118</v>
      </c>
    </row>
    <row r="308" spans="1:6" ht="15" x14ac:dyDescent="0.25">
      <c r="A308" s="14">
        <v>309</v>
      </c>
      <c r="B308" s="15" t="s">
        <v>411</v>
      </c>
      <c r="C308" s="16" t="s">
        <v>412</v>
      </c>
      <c r="D308" s="17">
        <v>44249</v>
      </c>
      <c r="E308" s="18">
        <v>142.56</v>
      </c>
      <c r="F308" s="12">
        <f ca="1">IFERROR(__xludf.DUMMYFUNCTION("GOOGLEFINANCE(C308)"),150.19)</f>
        <v>150.19</v>
      </c>
    </row>
    <row r="309" spans="1:6" ht="15" x14ac:dyDescent="0.25">
      <c r="A309" s="14">
        <v>310</v>
      </c>
      <c r="B309" s="15" t="s">
        <v>289</v>
      </c>
      <c r="C309" s="16" t="s">
        <v>290</v>
      </c>
      <c r="D309" s="17">
        <v>44249</v>
      </c>
      <c r="E309" s="18">
        <v>340.66</v>
      </c>
      <c r="F309" s="12">
        <f ca="1">IFERROR(__xludf.DUMMYFUNCTION("GOOGLEFINANCE(C309)"),349.31)</f>
        <v>349.31</v>
      </c>
    </row>
    <row r="310" spans="1:6" ht="15" x14ac:dyDescent="0.25">
      <c r="A310" s="14">
        <v>311</v>
      </c>
      <c r="B310" s="15" t="s">
        <v>227</v>
      </c>
      <c r="C310" s="16" t="s">
        <v>228</v>
      </c>
      <c r="D310" s="17">
        <v>44249</v>
      </c>
      <c r="E310" s="18">
        <v>54.79</v>
      </c>
      <c r="F310" s="12">
        <f ca="1">IFERROR(__xludf.DUMMYFUNCTION("GOOGLEFINANCE(C310)"),39.66)</f>
        <v>39.659999999999997</v>
      </c>
    </row>
    <row r="311" spans="1:6" ht="15" x14ac:dyDescent="0.25">
      <c r="A311" s="14">
        <v>312</v>
      </c>
      <c r="B311" s="15" t="s">
        <v>413</v>
      </c>
      <c r="C311" s="16" t="s">
        <v>414</v>
      </c>
      <c r="D311" s="17">
        <v>44249</v>
      </c>
      <c r="E311" s="18">
        <v>200.68</v>
      </c>
      <c r="F311" s="12">
        <f ca="1">IFERROR(__xludf.DUMMYFUNCTION("GOOGLEFINANCE(C311)"),267.42)</f>
        <v>267.42</v>
      </c>
    </row>
    <row r="312" spans="1:6" ht="15" x14ac:dyDescent="0.25">
      <c r="A312" s="14">
        <v>313</v>
      </c>
      <c r="B312" s="15" t="s">
        <v>415</v>
      </c>
      <c r="C312" s="16" t="s">
        <v>416</v>
      </c>
      <c r="D312" s="17">
        <v>44249</v>
      </c>
      <c r="E312" s="18">
        <v>285.45</v>
      </c>
      <c r="F312" s="12">
        <f ca="1">IFERROR(__xludf.DUMMYFUNCTION("GOOGLEFINANCE(C312)"),345.96)</f>
        <v>345.96</v>
      </c>
    </row>
    <row r="313" spans="1:6" ht="15" x14ac:dyDescent="0.25">
      <c r="A313" s="14">
        <v>314</v>
      </c>
      <c r="B313" s="15" t="s">
        <v>203</v>
      </c>
      <c r="C313" s="16" t="s">
        <v>204</v>
      </c>
      <c r="D313" s="17">
        <v>44249</v>
      </c>
      <c r="E313" s="18">
        <v>191.76</v>
      </c>
      <c r="F313" s="12">
        <f ca="1">IFERROR(__xludf.DUMMYFUNCTION("GOOGLEFINANCE(C313)"),148.76)</f>
        <v>148.76</v>
      </c>
    </row>
    <row r="314" spans="1:6" ht="15" x14ac:dyDescent="0.25">
      <c r="A314" s="14">
        <v>315</v>
      </c>
      <c r="B314" s="15" t="s">
        <v>417</v>
      </c>
      <c r="C314" s="16" t="s">
        <v>418</v>
      </c>
      <c r="D314" s="17">
        <v>44249</v>
      </c>
      <c r="E314" s="18">
        <v>198.77</v>
      </c>
      <c r="F314" s="12">
        <f ca="1">IFERROR(__xludf.DUMMYFUNCTION("GOOGLEFINANCE(C314)"),222.5)</f>
        <v>222.5</v>
      </c>
    </row>
    <row r="315" spans="1:6" ht="15" x14ac:dyDescent="0.25">
      <c r="A315" s="14">
        <v>316</v>
      </c>
      <c r="B315" s="15" t="s">
        <v>98</v>
      </c>
      <c r="C315" s="16" t="s">
        <v>99</v>
      </c>
      <c r="D315" s="17">
        <v>44249</v>
      </c>
      <c r="E315" s="18">
        <v>218.06</v>
      </c>
      <c r="F315" s="12">
        <f ca="1">IFERROR(__xludf.DUMMYFUNCTION("GOOGLEFINANCE(C315)"),201.37)</f>
        <v>201.37</v>
      </c>
    </row>
    <row r="316" spans="1:6" ht="15" x14ac:dyDescent="0.25">
      <c r="A316" s="14">
        <v>317</v>
      </c>
      <c r="B316" s="15" t="s">
        <v>419</v>
      </c>
      <c r="C316" s="16" t="s">
        <v>420</v>
      </c>
      <c r="D316" s="17">
        <v>44249</v>
      </c>
      <c r="E316" s="18">
        <v>52.06</v>
      </c>
      <c r="F316" s="12">
        <f ca="1">IFERROR(__xludf.DUMMYFUNCTION("GOOGLEFINANCE(C316)"),64.29)</f>
        <v>64.290000000000006</v>
      </c>
    </row>
    <row r="317" spans="1:6" ht="15" x14ac:dyDescent="0.25">
      <c r="A317" s="14">
        <v>318</v>
      </c>
      <c r="B317" s="15" t="s">
        <v>86</v>
      </c>
      <c r="C317" s="16" t="s">
        <v>87</v>
      </c>
      <c r="D317" s="17">
        <v>44249</v>
      </c>
      <c r="E317" s="18">
        <v>212.88</v>
      </c>
      <c r="F317" s="12">
        <f ca="1">IFERROR(__xludf.DUMMYFUNCTION("GOOGLEFINANCE(C317)"),192.63)</f>
        <v>192.63</v>
      </c>
    </row>
    <row r="318" spans="1:6" ht="15" x14ac:dyDescent="0.25">
      <c r="A318" s="14">
        <v>319</v>
      </c>
      <c r="B318" s="15" t="s">
        <v>421</v>
      </c>
      <c r="C318" s="16" t="s">
        <v>422</v>
      </c>
      <c r="D318" s="17">
        <v>44249</v>
      </c>
      <c r="E318" s="18">
        <v>47</v>
      </c>
      <c r="F318" s="12">
        <f ca="1">IFERROR(__xludf.DUMMYFUNCTION("GOOGLEFINANCE(C318)"),42.85)</f>
        <v>42.85</v>
      </c>
    </row>
    <row r="319" spans="1:6" ht="15" x14ac:dyDescent="0.25">
      <c r="A319" s="14">
        <v>320</v>
      </c>
      <c r="B319" s="15" t="s">
        <v>423</v>
      </c>
      <c r="C319" s="16" t="s">
        <v>424</v>
      </c>
      <c r="D319" s="17">
        <v>44249</v>
      </c>
      <c r="E319" s="18">
        <v>135.94999999999999</v>
      </c>
      <c r="F319" s="12">
        <f ca="1">IFERROR(__xludf.DUMMYFUNCTION("GOOGLEFINANCE(C319)"),160.01)</f>
        <v>160.01</v>
      </c>
    </row>
    <row r="320" spans="1:6" ht="15" x14ac:dyDescent="0.25">
      <c r="A320" s="14">
        <v>321</v>
      </c>
      <c r="B320" s="15" t="s">
        <v>425</v>
      </c>
      <c r="C320" s="16" t="s">
        <v>426</v>
      </c>
      <c r="D320" s="17">
        <v>44249</v>
      </c>
      <c r="E320" s="18">
        <v>121.41</v>
      </c>
      <c r="F320" s="12">
        <f ca="1">IFERROR(__xludf.DUMMYFUNCTION("GOOGLEFINANCE(C320)"),180.39)</f>
        <v>180.39</v>
      </c>
    </row>
    <row r="321" spans="1:6" ht="15" x14ac:dyDescent="0.25">
      <c r="A321" s="14">
        <v>322</v>
      </c>
      <c r="B321" s="15" t="s">
        <v>427</v>
      </c>
      <c r="C321" s="16" t="s">
        <v>428</v>
      </c>
      <c r="D321" s="17">
        <v>44239</v>
      </c>
      <c r="E321" s="18">
        <v>166.71</v>
      </c>
      <c r="F321" s="12">
        <f ca="1">IFERROR(__xludf.DUMMYFUNCTION("GOOGLEFINANCE(C321)"),234.31)</f>
        <v>234.31</v>
      </c>
    </row>
    <row r="322" spans="1:6" ht="15" x14ac:dyDescent="0.25">
      <c r="A322" s="14">
        <v>323</v>
      </c>
      <c r="B322" s="15" t="s">
        <v>353</v>
      </c>
      <c r="C322" s="16" t="s">
        <v>354</v>
      </c>
      <c r="D322" s="17">
        <v>44239</v>
      </c>
      <c r="E322" s="18">
        <v>433.11</v>
      </c>
      <c r="F322" s="12">
        <f ca="1">IFERROR(__xludf.DUMMYFUNCTION("GOOGLEFINANCE(C322)"),199.74)</f>
        <v>199.74</v>
      </c>
    </row>
    <row r="323" spans="1:6" ht="15" x14ac:dyDescent="0.25">
      <c r="A323" s="14">
        <v>324</v>
      </c>
      <c r="B323" s="15" t="s">
        <v>102</v>
      </c>
      <c r="C323" s="16" t="s">
        <v>103</v>
      </c>
      <c r="D323" s="17">
        <v>44239</v>
      </c>
      <c r="E323" s="18">
        <v>144.47</v>
      </c>
      <c r="F323" s="12">
        <f ca="1">IFERROR(__xludf.DUMMYFUNCTION("GOOGLEFINANCE(C323)"),138.75)</f>
        <v>138.75</v>
      </c>
    </row>
    <row r="324" spans="1:6" ht="15" x14ac:dyDescent="0.25">
      <c r="A324" s="14">
        <v>325</v>
      </c>
      <c r="B324" s="15" t="s">
        <v>10</v>
      </c>
      <c r="C324" s="16" t="s">
        <v>11</v>
      </c>
      <c r="D324" s="17">
        <v>44239</v>
      </c>
      <c r="E324" s="18">
        <v>435.29</v>
      </c>
      <c r="F324" s="12">
        <f ca="1">IFERROR(__xludf.DUMMYFUNCTION("GOOGLEFINANCE(C324)"),273.63)</f>
        <v>273.63</v>
      </c>
    </row>
    <row r="325" spans="1:6" ht="15" x14ac:dyDescent="0.25">
      <c r="A325" s="14">
        <v>326</v>
      </c>
      <c r="B325" s="15" t="s">
        <v>377</v>
      </c>
      <c r="C325" s="16" t="s">
        <v>378</v>
      </c>
      <c r="D325" s="17">
        <v>44239</v>
      </c>
      <c r="E325" s="18">
        <v>864</v>
      </c>
      <c r="F325" s="12">
        <f ca="1">IFERROR(__xludf.DUMMYFUNCTION("GOOGLEFINANCE(C325)"),89.99)</f>
        <v>89.99</v>
      </c>
    </row>
    <row r="326" spans="1:6" ht="15" x14ac:dyDescent="0.25">
      <c r="A326" s="14">
        <v>327</v>
      </c>
      <c r="B326" s="15" t="s">
        <v>627</v>
      </c>
      <c r="C326" s="16" t="s">
        <v>610</v>
      </c>
      <c r="D326" s="17">
        <v>44239</v>
      </c>
      <c r="E326" s="18">
        <v>39.08</v>
      </c>
      <c r="F326" s="12" t="str">
        <f ca="1">IFERROR(__xludf.DUMMYFUNCTION("GOOGLEFINANCE(C326)"),"#N/A")</f>
        <v>#N/A</v>
      </c>
    </row>
    <row r="327" spans="1:6" ht="15" x14ac:dyDescent="0.25">
      <c r="A327" s="14">
        <v>328</v>
      </c>
      <c r="B327" s="15" t="s">
        <v>429</v>
      </c>
      <c r="C327" s="16" t="s">
        <v>430</v>
      </c>
      <c r="D327" s="17">
        <v>44239</v>
      </c>
      <c r="E327" s="18">
        <v>468.67</v>
      </c>
      <c r="F327" s="12">
        <f ca="1">IFERROR(__xludf.DUMMYFUNCTION("GOOGLEFINANCE(C327)"),236.46)</f>
        <v>236.46</v>
      </c>
    </row>
    <row r="328" spans="1:6" ht="15" x14ac:dyDescent="0.25">
      <c r="A328" s="14">
        <v>329</v>
      </c>
      <c r="B328" s="15" t="s">
        <v>74</v>
      </c>
      <c r="C328" s="16" t="s">
        <v>75</v>
      </c>
      <c r="D328" s="17">
        <v>44239</v>
      </c>
      <c r="E328" s="18">
        <v>598.45000000000005</v>
      </c>
      <c r="F328" s="12">
        <f ca="1">IFERROR(__xludf.DUMMYFUNCTION("GOOGLEFINANCE(C328)"),278.01)</f>
        <v>278.01</v>
      </c>
    </row>
    <row r="329" spans="1:6" ht="15" x14ac:dyDescent="0.25">
      <c r="A329" s="14">
        <v>330</v>
      </c>
      <c r="B329" s="15" t="s">
        <v>78</v>
      </c>
      <c r="C329" s="16" t="s">
        <v>79</v>
      </c>
      <c r="D329" s="17">
        <v>44239</v>
      </c>
      <c r="E329" s="18">
        <v>203.57</v>
      </c>
      <c r="F329" s="12">
        <f ca="1">IFERROR(__xludf.DUMMYFUNCTION("GOOGLEFINANCE(C329)"),205.17)</f>
        <v>205.17</v>
      </c>
    </row>
    <row r="330" spans="1:6" ht="15" x14ac:dyDescent="0.25">
      <c r="A330" s="14">
        <v>331</v>
      </c>
      <c r="B330" s="15" t="s">
        <v>431</v>
      </c>
      <c r="C330" s="16" t="s">
        <v>432</v>
      </c>
      <c r="D330" s="17">
        <v>44239</v>
      </c>
      <c r="E330" s="18">
        <v>22.15</v>
      </c>
      <c r="F330" s="12">
        <f ca="1">IFERROR(__xludf.DUMMYFUNCTION("GOOGLEFINANCE(C330)"),18.39)</f>
        <v>18.39</v>
      </c>
    </row>
    <row r="331" spans="1:6" ht="15" x14ac:dyDescent="0.25">
      <c r="A331" s="14">
        <v>332</v>
      </c>
      <c r="B331" s="15" t="s">
        <v>152</v>
      </c>
      <c r="C331" s="16" t="s">
        <v>153</v>
      </c>
      <c r="D331" s="17">
        <v>44239</v>
      </c>
      <c r="E331" s="18">
        <v>102.06</v>
      </c>
      <c r="F331" s="12">
        <f ca="1">IFERROR(__xludf.DUMMYFUNCTION("GOOGLEFINANCE(C331)"),40.68)</f>
        <v>40.68</v>
      </c>
    </row>
    <row r="332" spans="1:6" ht="15" x14ac:dyDescent="0.25">
      <c r="A332" s="14">
        <v>333</v>
      </c>
      <c r="B332" s="15" t="s">
        <v>433</v>
      </c>
      <c r="C332" s="16" t="s">
        <v>434</v>
      </c>
      <c r="D332" s="17">
        <v>44239</v>
      </c>
      <c r="E332" s="18">
        <v>85.33</v>
      </c>
      <c r="F332" s="12">
        <f ca="1">IFERROR(__xludf.DUMMYFUNCTION("GOOGLEFINANCE(C332)"),90.69)</f>
        <v>90.69</v>
      </c>
    </row>
    <row r="333" spans="1:6" ht="15" x14ac:dyDescent="0.25">
      <c r="A333" s="14">
        <v>334</v>
      </c>
      <c r="B333" s="15" t="s">
        <v>435</v>
      </c>
      <c r="C333" s="16" t="s">
        <v>436</v>
      </c>
      <c r="D333" s="17">
        <v>44239</v>
      </c>
      <c r="E333" s="18">
        <v>412.56</v>
      </c>
      <c r="F333" s="12">
        <f ca="1">IFERROR(__xludf.DUMMYFUNCTION("GOOGLEFINANCE(C333)"),555.34)</f>
        <v>555.34</v>
      </c>
    </row>
    <row r="334" spans="1:6" ht="15" x14ac:dyDescent="0.25">
      <c r="A334" s="14">
        <v>335</v>
      </c>
      <c r="B334" s="15" t="s">
        <v>437</v>
      </c>
      <c r="C334" s="16" t="s">
        <v>438</v>
      </c>
      <c r="D334" s="17">
        <v>44239</v>
      </c>
      <c r="E334" s="18">
        <v>71.47</v>
      </c>
      <c r="F334" s="12">
        <f ca="1">IFERROR(__xludf.DUMMYFUNCTION("GOOGLEFINANCE(C334)"),76.51)</f>
        <v>76.510000000000005</v>
      </c>
    </row>
    <row r="335" spans="1:6" ht="15" x14ac:dyDescent="0.25">
      <c r="A335" s="14">
        <v>336</v>
      </c>
      <c r="B335" s="15" t="s">
        <v>439</v>
      </c>
      <c r="C335" s="16" t="s">
        <v>440</v>
      </c>
      <c r="D335" s="17">
        <v>44239</v>
      </c>
      <c r="E335" s="18">
        <v>74.209999999999994</v>
      </c>
      <c r="F335" s="12">
        <f ca="1">IFERROR(__xludf.DUMMYFUNCTION("GOOGLEFINANCE(C335)"),100.36)</f>
        <v>100.36</v>
      </c>
    </row>
    <row r="336" spans="1:6" ht="15" x14ac:dyDescent="0.25">
      <c r="A336" s="14">
        <v>337</v>
      </c>
      <c r="B336" s="15" t="s">
        <v>86</v>
      </c>
      <c r="C336" s="16" t="s">
        <v>87</v>
      </c>
      <c r="D336" s="17">
        <v>44239</v>
      </c>
      <c r="E336" s="18">
        <v>210.98</v>
      </c>
      <c r="F336" s="12">
        <f ca="1">IFERROR(__xludf.DUMMYFUNCTION("GOOGLEFINANCE(C336)"),192.63)</f>
        <v>192.63</v>
      </c>
    </row>
    <row r="337" spans="1:6" ht="15" x14ac:dyDescent="0.25">
      <c r="A337" s="14">
        <v>338</v>
      </c>
      <c r="B337" s="15" t="s">
        <v>421</v>
      </c>
      <c r="C337" s="16" t="s">
        <v>422</v>
      </c>
      <c r="D337" s="17">
        <v>44239</v>
      </c>
      <c r="E337" s="18">
        <v>47.19</v>
      </c>
      <c r="F337" s="12">
        <f ca="1">IFERROR(__xludf.DUMMYFUNCTION("GOOGLEFINANCE(C337)"),42.85)</f>
        <v>42.85</v>
      </c>
    </row>
    <row r="338" spans="1:6" ht="15" x14ac:dyDescent="0.25">
      <c r="A338" s="14">
        <v>339</v>
      </c>
      <c r="B338" s="15" t="s">
        <v>130</v>
      </c>
      <c r="C338" s="16" t="s">
        <v>131</v>
      </c>
      <c r="D338" s="17">
        <v>44239</v>
      </c>
      <c r="E338" s="18">
        <v>116.7</v>
      </c>
      <c r="F338" s="12">
        <f ca="1">IFERROR(__xludf.DUMMYFUNCTION("GOOGLEFINANCE(C338)"),146.15)</f>
        <v>146.15</v>
      </c>
    </row>
    <row r="339" spans="1:6" ht="15" x14ac:dyDescent="0.25">
      <c r="A339" s="14">
        <v>340</v>
      </c>
      <c r="B339" s="15" t="s">
        <v>441</v>
      </c>
      <c r="C339" s="16" t="s">
        <v>442</v>
      </c>
      <c r="D339" s="17">
        <v>44239</v>
      </c>
      <c r="E339" s="18">
        <v>125.89</v>
      </c>
      <c r="F339" s="12">
        <f ca="1">IFERROR(__xludf.DUMMYFUNCTION("GOOGLEFINANCE(C339)"),98.77)</f>
        <v>98.77</v>
      </c>
    </row>
    <row r="340" spans="1:6" ht="15" x14ac:dyDescent="0.25">
      <c r="A340" s="14">
        <v>341</v>
      </c>
      <c r="B340" s="15" t="s">
        <v>443</v>
      </c>
      <c r="C340" s="16" t="s">
        <v>444</v>
      </c>
      <c r="D340" s="17">
        <v>44239</v>
      </c>
      <c r="E340" s="18">
        <v>104.44</v>
      </c>
      <c r="F340" s="12">
        <f ca="1">IFERROR(__xludf.DUMMYFUNCTION("GOOGLEFINANCE(C340)"),129.53)</f>
        <v>129.53</v>
      </c>
    </row>
    <row r="341" spans="1:6" ht="15" x14ac:dyDescent="0.25">
      <c r="A341" s="14">
        <v>342</v>
      </c>
      <c r="B341" s="15" t="s">
        <v>329</v>
      </c>
      <c r="C341" s="16" t="s">
        <v>330</v>
      </c>
      <c r="D341" s="17">
        <v>44238</v>
      </c>
      <c r="E341" s="18">
        <v>200.6</v>
      </c>
      <c r="F341" s="12">
        <f ca="1">IFERROR(__xludf.DUMMYFUNCTION("GOOGLEFINANCE(C341)"),61.06)</f>
        <v>61.06</v>
      </c>
    </row>
    <row r="342" spans="1:6" ht="15" x14ac:dyDescent="0.25">
      <c r="A342" s="14">
        <v>343</v>
      </c>
      <c r="B342" s="15" t="s">
        <v>445</v>
      </c>
      <c r="C342" s="16" t="s">
        <v>446</v>
      </c>
      <c r="D342" s="17">
        <v>44238</v>
      </c>
      <c r="E342" s="18">
        <v>56.27</v>
      </c>
      <c r="F342" s="12">
        <f ca="1">IFERROR(__xludf.DUMMYFUNCTION("GOOGLEFINANCE(C342)"),57.19)</f>
        <v>57.19</v>
      </c>
    </row>
    <row r="343" spans="1:6" ht="15" x14ac:dyDescent="0.25">
      <c r="A343" s="14">
        <v>344</v>
      </c>
      <c r="B343" s="15" t="s">
        <v>447</v>
      </c>
      <c r="C343" s="16" t="s">
        <v>448</v>
      </c>
      <c r="D343" s="17">
        <v>44238</v>
      </c>
      <c r="E343" s="18">
        <v>36.44</v>
      </c>
      <c r="F343" s="12">
        <f ca="1">IFERROR(__xludf.DUMMYFUNCTION("GOOGLEFINANCE(C343)"),29.71)</f>
        <v>29.71</v>
      </c>
    </row>
    <row r="344" spans="1:6" ht="15" x14ac:dyDescent="0.25">
      <c r="A344" s="14">
        <v>345</v>
      </c>
      <c r="B344" s="15" t="s">
        <v>285</v>
      </c>
      <c r="C344" s="16" t="s">
        <v>286</v>
      </c>
      <c r="D344" s="17">
        <v>44238</v>
      </c>
      <c r="E344" s="18">
        <v>285.02999999999997</v>
      </c>
      <c r="F344" s="12">
        <f ca="1">IFERROR(__xludf.DUMMYFUNCTION("GOOGLEFINANCE(C344)"),186.2)</f>
        <v>186.2</v>
      </c>
    </row>
    <row r="345" spans="1:6" ht="15" x14ac:dyDescent="0.25">
      <c r="A345" s="14">
        <v>346</v>
      </c>
      <c r="B345" s="15" t="s">
        <v>136</v>
      </c>
      <c r="C345" s="16" t="s">
        <v>137</v>
      </c>
      <c r="D345" s="17">
        <v>44238</v>
      </c>
      <c r="E345" s="18">
        <v>23.77</v>
      </c>
      <c r="F345" s="12">
        <f ca="1">IFERROR(__xludf.DUMMYFUNCTION("GOOGLEFINANCE(C345)"),20.33)</f>
        <v>20.329999999999998</v>
      </c>
    </row>
    <row r="346" spans="1:6" ht="15" x14ac:dyDescent="0.25">
      <c r="A346" s="14">
        <v>347</v>
      </c>
      <c r="B346" s="15" t="s">
        <v>449</v>
      </c>
      <c r="C346" s="16" t="s">
        <v>450</v>
      </c>
      <c r="D346" s="17">
        <v>44238</v>
      </c>
      <c r="E346" s="18">
        <v>172.13</v>
      </c>
      <c r="F346" s="12">
        <f ca="1">IFERROR(__xludf.DUMMYFUNCTION("GOOGLEFINANCE(C346)"),126.65)</f>
        <v>126.65</v>
      </c>
    </row>
    <row r="347" spans="1:6" ht="15" x14ac:dyDescent="0.25">
      <c r="A347" s="14">
        <v>348</v>
      </c>
      <c r="B347" s="15" t="s">
        <v>385</v>
      </c>
      <c r="C347" s="16" t="s">
        <v>386</v>
      </c>
      <c r="D347" s="17">
        <v>44238</v>
      </c>
      <c r="E347" s="18">
        <v>572.21</v>
      </c>
      <c r="F347" s="12">
        <f ca="1">IFERROR(__xludf.DUMMYFUNCTION("GOOGLEFINANCE(C347)"),669.17)</f>
        <v>669.17</v>
      </c>
    </row>
    <row r="348" spans="1:6" ht="15" x14ac:dyDescent="0.25">
      <c r="A348" s="14">
        <v>349</v>
      </c>
      <c r="B348" s="15" t="s">
        <v>451</v>
      </c>
      <c r="C348" s="16" t="s">
        <v>452</v>
      </c>
      <c r="D348" s="17">
        <v>44238</v>
      </c>
      <c r="E348" s="18">
        <v>324.48</v>
      </c>
      <c r="F348" s="12">
        <f ca="1">IFERROR(__xludf.DUMMYFUNCTION("GOOGLEFINANCE(C348)"),391.55)</f>
        <v>391.55</v>
      </c>
    </row>
    <row r="349" spans="1:6" ht="15" x14ac:dyDescent="0.25">
      <c r="A349" s="14">
        <v>350</v>
      </c>
      <c r="B349" s="15" t="s">
        <v>453</v>
      </c>
      <c r="C349" s="16" t="s">
        <v>454</v>
      </c>
      <c r="D349" s="17">
        <v>44238</v>
      </c>
      <c r="E349" s="18">
        <v>68.2</v>
      </c>
      <c r="F349" s="12">
        <f ca="1">IFERROR(__xludf.DUMMYFUNCTION("GOOGLEFINANCE(C349)"),70.07)</f>
        <v>70.069999999999993</v>
      </c>
    </row>
    <row r="350" spans="1:6" ht="15" x14ac:dyDescent="0.25">
      <c r="A350" s="14">
        <v>351</v>
      </c>
      <c r="B350" s="15" t="s">
        <v>455</v>
      </c>
      <c r="C350" s="16" t="s">
        <v>456</v>
      </c>
      <c r="D350" s="17">
        <v>44238</v>
      </c>
      <c r="E350" s="18">
        <v>48.18</v>
      </c>
      <c r="F350" s="12">
        <f ca="1">IFERROR(__xludf.DUMMYFUNCTION("GOOGLEFINANCE(C350)"),48.17)</f>
        <v>48.17</v>
      </c>
    </row>
    <row r="351" spans="1:6" ht="15" x14ac:dyDescent="0.25">
      <c r="A351" s="14">
        <v>352</v>
      </c>
      <c r="B351" s="15" t="s">
        <v>203</v>
      </c>
      <c r="C351" s="16" t="s">
        <v>204</v>
      </c>
      <c r="D351" s="17">
        <v>44238</v>
      </c>
      <c r="E351" s="18">
        <v>190.91</v>
      </c>
      <c r="F351" s="12">
        <f ca="1">IFERROR(__xludf.DUMMYFUNCTION("GOOGLEFINANCE(C351)"),148.76)</f>
        <v>148.76</v>
      </c>
    </row>
    <row r="352" spans="1:6" ht="15" x14ac:dyDescent="0.25">
      <c r="A352" s="14">
        <v>353</v>
      </c>
      <c r="B352" s="15" t="s">
        <v>64</v>
      </c>
      <c r="C352" s="16" t="s">
        <v>65</v>
      </c>
      <c r="D352" s="17">
        <v>44238</v>
      </c>
      <c r="E352" s="18">
        <v>70.31</v>
      </c>
      <c r="F352" s="12">
        <f ca="1">IFERROR(__xludf.DUMMYFUNCTION("GOOGLEFINANCE(C352)"),32.85)</f>
        <v>32.85</v>
      </c>
    </row>
    <row r="353" spans="1:6" ht="15" x14ac:dyDescent="0.25">
      <c r="A353" s="14">
        <v>354</v>
      </c>
      <c r="B353" s="15" t="s">
        <v>86</v>
      </c>
      <c r="C353" s="16" t="s">
        <v>87</v>
      </c>
      <c r="D353" s="17">
        <v>44238</v>
      </c>
      <c r="E353" s="18">
        <v>210.66</v>
      </c>
      <c r="F353" s="12">
        <f ca="1">IFERROR(__xludf.DUMMYFUNCTION("GOOGLEFINANCE(C353)"),192.63)</f>
        <v>192.63</v>
      </c>
    </row>
    <row r="354" spans="1:6" ht="15" x14ac:dyDescent="0.25">
      <c r="A354" s="14">
        <v>355</v>
      </c>
      <c r="B354" s="15" t="s">
        <v>223</v>
      </c>
      <c r="C354" s="16" t="s">
        <v>224</v>
      </c>
      <c r="D354" s="17">
        <v>44238</v>
      </c>
      <c r="E354" s="18">
        <v>9.11</v>
      </c>
      <c r="F354" s="12">
        <f ca="1">IFERROR(__xludf.DUMMYFUNCTION("GOOGLEFINANCE(C354)"),2.39)</f>
        <v>2.39</v>
      </c>
    </row>
    <row r="355" spans="1:6" ht="15" x14ac:dyDescent="0.25">
      <c r="A355" s="14">
        <v>356</v>
      </c>
      <c r="B355" s="15" t="s">
        <v>130</v>
      </c>
      <c r="C355" s="16" t="s">
        <v>131</v>
      </c>
      <c r="D355" s="17">
        <v>44238</v>
      </c>
      <c r="E355" s="18">
        <v>113</v>
      </c>
      <c r="F355" s="12">
        <f ca="1">IFERROR(__xludf.DUMMYFUNCTION("GOOGLEFINANCE(C355)"),146.15)</f>
        <v>146.15</v>
      </c>
    </row>
    <row r="356" spans="1:6" ht="15" x14ac:dyDescent="0.25">
      <c r="A356" s="14">
        <v>357</v>
      </c>
      <c r="B356" s="15" t="s">
        <v>457</v>
      </c>
      <c r="C356" s="16" t="s">
        <v>458</v>
      </c>
      <c r="D356" s="17">
        <v>44237</v>
      </c>
      <c r="E356" s="18">
        <v>185.29</v>
      </c>
      <c r="F356" s="12">
        <f ca="1">IFERROR(__xludf.DUMMYFUNCTION("GOOGLEFINANCE(C356)"),151.7)</f>
        <v>151.69999999999999</v>
      </c>
    </row>
    <row r="357" spans="1:6" ht="15" x14ac:dyDescent="0.25">
      <c r="A357" s="14">
        <v>358</v>
      </c>
      <c r="B357" s="15" t="s">
        <v>459</v>
      </c>
      <c r="C357" s="16" t="s">
        <v>460</v>
      </c>
      <c r="D357" s="17">
        <v>44237</v>
      </c>
      <c r="E357" s="18">
        <v>16.27</v>
      </c>
      <c r="F357" s="12">
        <f ca="1">IFERROR(__xludf.DUMMYFUNCTION("GOOGLEFINANCE(C357)"),16.5)</f>
        <v>16.5</v>
      </c>
    </row>
    <row r="358" spans="1:6" ht="15" x14ac:dyDescent="0.25">
      <c r="A358" s="14">
        <v>359</v>
      </c>
      <c r="B358" s="15" t="s">
        <v>461</v>
      </c>
      <c r="C358" s="16" t="s">
        <v>462</v>
      </c>
      <c r="D358" s="17">
        <v>44237</v>
      </c>
      <c r="E358" s="18">
        <v>57.64</v>
      </c>
      <c r="F358" s="12">
        <f ca="1">IFERROR(__xludf.DUMMYFUNCTION("GOOGLEFINANCE(C358)"),18.32)</f>
        <v>18.32</v>
      </c>
    </row>
    <row r="359" spans="1:6" ht="15" x14ac:dyDescent="0.25">
      <c r="A359" s="14">
        <v>360</v>
      </c>
      <c r="B359" s="15" t="s">
        <v>463</v>
      </c>
      <c r="C359" s="16" t="s">
        <v>464</v>
      </c>
      <c r="D359" s="17">
        <v>44237</v>
      </c>
      <c r="E359" s="18">
        <v>18.47</v>
      </c>
      <c r="F359" s="12">
        <f ca="1">IFERROR(__xludf.DUMMYFUNCTION("GOOGLEFINANCE(C359)"),20.63)</f>
        <v>20.63</v>
      </c>
    </row>
    <row r="360" spans="1:6" ht="15" x14ac:dyDescent="0.25">
      <c r="A360" s="14">
        <v>361</v>
      </c>
      <c r="B360" s="15" t="s">
        <v>465</v>
      </c>
      <c r="C360" s="16" t="s">
        <v>466</v>
      </c>
      <c r="D360" s="17">
        <v>44237</v>
      </c>
      <c r="E360" s="18">
        <v>25.44</v>
      </c>
      <c r="F360" s="12">
        <f ca="1">IFERROR(__xludf.DUMMYFUNCTION("GOOGLEFINANCE(C360)"),33.64)</f>
        <v>33.64</v>
      </c>
    </row>
    <row r="361" spans="1:6" ht="15" x14ac:dyDescent="0.25">
      <c r="A361" s="14">
        <v>362</v>
      </c>
      <c r="B361" s="15" t="s">
        <v>467</v>
      </c>
      <c r="C361" s="16" t="s">
        <v>468</v>
      </c>
      <c r="D361" s="17">
        <v>44236</v>
      </c>
      <c r="E361" s="18">
        <v>200.31</v>
      </c>
      <c r="F361" s="12">
        <f ca="1">IFERROR(__xludf.DUMMYFUNCTION("GOOGLEFINANCE(C361)"),175.74)</f>
        <v>175.74</v>
      </c>
    </row>
    <row r="362" spans="1:6" ht="15" x14ac:dyDescent="0.25">
      <c r="A362" s="14">
        <v>363</v>
      </c>
      <c r="B362" s="15" t="s">
        <v>469</v>
      </c>
      <c r="C362" s="16" t="s">
        <v>470</v>
      </c>
      <c r="D362" s="17">
        <v>44236</v>
      </c>
      <c r="E362" s="18">
        <v>84.32</v>
      </c>
      <c r="F362" s="12">
        <f ca="1">IFERROR(__xludf.DUMMYFUNCTION("GOOGLEFINANCE(C362)"),18.71)</f>
        <v>18.71</v>
      </c>
    </row>
    <row r="363" spans="1:6" ht="15" x14ac:dyDescent="0.25">
      <c r="A363" s="14">
        <v>364</v>
      </c>
      <c r="B363" s="15" t="s">
        <v>235</v>
      </c>
      <c r="C363" s="16" t="s">
        <v>236</v>
      </c>
      <c r="D363" s="17">
        <v>44236</v>
      </c>
      <c r="E363" s="18">
        <v>244.98</v>
      </c>
      <c r="F363" s="12">
        <f ca="1">IFERROR(__xludf.DUMMYFUNCTION("GOOGLEFINANCE(C363)"),211.03)</f>
        <v>211.03</v>
      </c>
    </row>
    <row r="364" spans="1:6" ht="15" x14ac:dyDescent="0.25">
      <c r="A364" s="14">
        <v>365</v>
      </c>
      <c r="B364" s="15" t="s">
        <v>471</v>
      </c>
      <c r="C364" s="16" t="s">
        <v>472</v>
      </c>
      <c r="D364" s="17">
        <v>44236</v>
      </c>
      <c r="E364" s="18">
        <v>102.35</v>
      </c>
      <c r="F364" s="12">
        <f ca="1">IFERROR(__xludf.DUMMYFUNCTION("GOOGLEFINANCE(C364)"),29.46)</f>
        <v>29.46</v>
      </c>
    </row>
    <row r="365" spans="1:6" ht="15" x14ac:dyDescent="0.25">
      <c r="A365" s="14">
        <v>366</v>
      </c>
      <c r="B365" s="15" t="s">
        <v>128</v>
      </c>
      <c r="C365" s="16" t="s">
        <v>129</v>
      </c>
      <c r="D365" s="17">
        <v>44236</v>
      </c>
      <c r="E365" s="18">
        <v>173.75</v>
      </c>
      <c r="F365" s="12">
        <f ca="1">IFERROR(__xludf.DUMMYFUNCTION("GOOGLEFINANCE(C365)"),244.74)</f>
        <v>244.74</v>
      </c>
    </row>
    <row r="366" spans="1:6" ht="15" x14ac:dyDescent="0.25">
      <c r="A366" s="14">
        <v>367</v>
      </c>
      <c r="B366" s="15" t="s">
        <v>473</v>
      </c>
      <c r="C366" s="16" t="s">
        <v>474</v>
      </c>
      <c r="D366" s="17">
        <v>44236</v>
      </c>
      <c r="E366" s="18">
        <v>25.28</v>
      </c>
      <c r="F366" s="12">
        <f ca="1">IFERROR(__xludf.DUMMYFUNCTION("GOOGLEFINANCE(C366)"),47.92)</f>
        <v>47.92</v>
      </c>
    </row>
    <row r="367" spans="1:6" ht="15" x14ac:dyDescent="0.25">
      <c r="A367" s="14">
        <v>368</v>
      </c>
      <c r="B367" s="15" t="s">
        <v>475</v>
      </c>
      <c r="C367" s="16" t="s">
        <v>476</v>
      </c>
      <c r="D367" s="17">
        <v>44235</v>
      </c>
      <c r="E367" s="18">
        <v>154.18</v>
      </c>
      <c r="F367" s="12">
        <f ca="1">IFERROR(__xludf.DUMMYFUNCTION("GOOGLEFINANCE(C367)"),204.74)</f>
        <v>204.74</v>
      </c>
    </row>
    <row r="368" spans="1:6" ht="15" x14ac:dyDescent="0.25">
      <c r="A368" s="14">
        <v>369</v>
      </c>
      <c r="B368" s="15" t="s">
        <v>477</v>
      </c>
      <c r="C368" s="16" t="s">
        <v>478</v>
      </c>
      <c r="D368" s="17">
        <v>44235</v>
      </c>
      <c r="E368" s="18">
        <v>13.92</v>
      </c>
      <c r="F368" s="12">
        <f ca="1">IFERROR(__xludf.DUMMYFUNCTION("GOOGLEFINANCE(C368)"),6.34)</f>
        <v>6.34</v>
      </c>
    </row>
    <row r="369" spans="1:6" ht="15" x14ac:dyDescent="0.25">
      <c r="A369" s="14">
        <v>370</v>
      </c>
      <c r="B369" s="15" t="s">
        <v>479</v>
      </c>
      <c r="C369" s="16" t="s">
        <v>480</v>
      </c>
      <c r="D369" s="17">
        <v>44235</v>
      </c>
      <c r="E369" s="18">
        <v>49.26</v>
      </c>
      <c r="F369" s="12">
        <f ca="1">IFERROR(__xludf.DUMMYFUNCTION("GOOGLEFINANCE(C369)"),52.98)</f>
        <v>52.98</v>
      </c>
    </row>
    <row r="370" spans="1:6" ht="15" x14ac:dyDescent="0.25">
      <c r="A370" s="14">
        <v>371</v>
      </c>
      <c r="B370" s="15" t="s">
        <v>207</v>
      </c>
      <c r="C370" s="16" t="s">
        <v>208</v>
      </c>
      <c r="D370" s="17">
        <v>44235</v>
      </c>
      <c r="E370" s="18">
        <v>300.91000000000003</v>
      </c>
      <c r="F370" s="12">
        <f ca="1">IFERROR(__xludf.DUMMYFUNCTION("GOOGLEFINANCE(C370)"),436.35)</f>
        <v>436.35</v>
      </c>
    </row>
    <row r="371" spans="1:6" ht="15" x14ac:dyDescent="0.25">
      <c r="A371" s="14">
        <v>372</v>
      </c>
      <c r="B371" s="15" t="s">
        <v>253</v>
      </c>
      <c r="C371" s="16" t="s">
        <v>254</v>
      </c>
      <c r="D371" s="17">
        <v>44235</v>
      </c>
      <c r="E371" s="18">
        <v>257.33999999999997</v>
      </c>
      <c r="F371" s="12">
        <f ca="1">IFERROR(__xludf.DUMMYFUNCTION("GOOGLEFINANCE(C371)"),333.83)</f>
        <v>333.83</v>
      </c>
    </row>
    <row r="372" spans="1:6" ht="15" x14ac:dyDescent="0.25">
      <c r="A372" s="14">
        <v>373</v>
      </c>
      <c r="B372" s="15" t="s">
        <v>481</v>
      </c>
      <c r="C372" s="16" t="s">
        <v>482</v>
      </c>
      <c r="D372" s="17">
        <v>44235</v>
      </c>
      <c r="E372" s="18">
        <v>95.22</v>
      </c>
      <c r="F372" s="12">
        <f ca="1">IFERROR(__xludf.DUMMYFUNCTION("GOOGLEFINANCE(C372)"),105.84)</f>
        <v>105.84</v>
      </c>
    </row>
    <row r="373" spans="1:6" ht="15" x14ac:dyDescent="0.25">
      <c r="A373" s="14">
        <v>374</v>
      </c>
      <c r="B373" s="15" t="s">
        <v>483</v>
      </c>
      <c r="C373" s="16" t="s">
        <v>484</v>
      </c>
      <c r="D373" s="17">
        <v>44235</v>
      </c>
      <c r="E373" s="18">
        <v>91.86</v>
      </c>
      <c r="F373" s="12">
        <f ca="1">IFERROR(__xludf.DUMMYFUNCTION("GOOGLEFINANCE(C373)"),88.04)</f>
        <v>88.04</v>
      </c>
    </row>
    <row r="374" spans="1:6" ht="15" x14ac:dyDescent="0.25">
      <c r="A374" s="14">
        <v>375</v>
      </c>
      <c r="B374" s="15" t="s">
        <v>203</v>
      </c>
      <c r="C374" s="16" t="s">
        <v>204</v>
      </c>
      <c r="D374" s="17">
        <v>44235</v>
      </c>
      <c r="E374" s="18">
        <v>190</v>
      </c>
      <c r="F374" s="12">
        <f ca="1">IFERROR(__xludf.DUMMYFUNCTION("GOOGLEFINANCE(C374)"),148.76)</f>
        <v>148.76</v>
      </c>
    </row>
    <row r="375" spans="1:6" ht="15" x14ac:dyDescent="0.25">
      <c r="A375" s="14">
        <v>376</v>
      </c>
      <c r="B375" s="15" t="s">
        <v>86</v>
      </c>
      <c r="C375" s="16" t="s">
        <v>87</v>
      </c>
      <c r="D375" s="17">
        <v>44235</v>
      </c>
      <c r="E375" s="18">
        <v>211.95</v>
      </c>
      <c r="F375" s="12">
        <f ca="1">IFERROR(__xludf.DUMMYFUNCTION("GOOGLEFINANCE(C375)"),192.63)</f>
        <v>192.63</v>
      </c>
    </row>
    <row r="376" spans="1:6" ht="15" x14ac:dyDescent="0.25">
      <c r="A376" s="14">
        <v>377</v>
      </c>
      <c r="B376" s="15" t="s">
        <v>301</v>
      </c>
      <c r="C376" s="16" t="s">
        <v>302</v>
      </c>
      <c r="D376" s="17">
        <v>44235</v>
      </c>
      <c r="E376" s="18">
        <v>91.47</v>
      </c>
      <c r="F376" s="12">
        <f ca="1">IFERROR(__xludf.DUMMYFUNCTION("GOOGLEFINANCE(C376)"),137.75)</f>
        <v>137.75</v>
      </c>
    </row>
    <row r="377" spans="1:6" ht="15" x14ac:dyDescent="0.25">
      <c r="A377" s="14">
        <v>378</v>
      </c>
      <c r="B377" s="15" t="s">
        <v>367</v>
      </c>
      <c r="C377" s="16" t="s">
        <v>368</v>
      </c>
      <c r="D377" s="17">
        <v>44232</v>
      </c>
      <c r="E377" s="18">
        <v>56.78</v>
      </c>
      <c r="F377" s="12">
        <f ca="1">IFERROR(__xludf.DUMMYFUNCTION("GOOGLEFINANCE(C377)"),43.07)</f>
        <v>43.07</v>
      </c>
    </row>
    <row r="378" spans="1:6" ht="15" x14ac:dyDescent="0.25">
      <c r="A378" s="14">
        <v>379</v>
      </c>
      <c r="B378" s="15" t="s">
        <v>467</v>
      </c>
      <c r="C378" s="16" t="s">
        <v>468</v>
      </c>
      <c r="D378" s="17">
        <v>44232</v>
      </c>
      <c r="E378" s="18">
        <v>207.49</v>
      </c>
      <c r="F378" s="12">
        <f ca="1">IFERROR(__xludf.DUMMYFUNCTION("GOOGLEFINANCE(C378)"),175.74)</f>
        <v>175.74</v>
      </c>
    </row>
    <row r="379" spans="1:6" ht="15" x14ac:dyDescent="0.25">
      <c r="A379" s="14">
        <v>380</v>
      </c>
      <c r="B379" s="15" t="s">
        <v>485</v>
      </c>
      <c r="C379" s="16" t="s">
        <v>486</v>
      </c>
      <c r="D379" s="17">
        <v>44232</v>
      </c>
      <c r="E379" s="18">
        <v>48.21</v>
      </c>
      <c r="F379" s="12">
        <f ca="1">IFERROR(__xludf.DUMMYFUNCTION("GOOGLEFINANCE(C379)"),48.88)</f>
        <v>48.88</v>
      </c>
    </row>
    <row r="380" spans="1:6" ht="15" x14ac:dyDescent="0.25">
      <c r="A380" s="14">
        <v>381</v>
      </c>
      <c r="B380" s="15" t="s">
        <v>487</v>
      </c>
      <c r="C380" s="16" t="s">
        <v>488</v>
      </c>
      <c r="D380" s="17">
        <v>44232</v>
      </c>
      <c r="E380" s="18">
        <v>63.64</v>
      </c>
      <c r="F380" s="12">
        <f ca="1">IFERROR(__xludf.DUMMYFUNCTION("GOOGLEFINANCE(C380)"),45.29)</f>
        <v>45.29</v>
      </c>
    </row>
    <row r="381" spans="1:6" ht="15" x14ac:dyDescent="0.25">
      <c r="A381" s="14">
        <v>382</v>
      </c>
      <c r="B381" s="15" t="s">
        <v>489</v>
      </c>
      <c r="C381" s="16" t="s">
        <v>490</v>
      </c>
      <c r="D381" s="17">
        <v>44232</v>
      </c>
      <c r="E381" s="18">
        <v>98.68</v>
      </c>
      <c r="F381" s="12">
        <f ca="1">IFERROR(__xludf.DUMMYFUNCTION("GOOGLEFINANCE(C381)"),44.26)</f>
        <v>44.26</v>
      </c>
    </row>
    <row r="382" spans="1:6" ht="15" x14ac:dyDescent="0.25">
      <c r="A382" s="14">
        <v>383</v>
      </c>
      <c r="B382" s="15" t="s">
        <v>285</v>
      </c>
      <c r="C382" s="16" t="s">
        <v>286</v>
      </c>
      <c r="D382" s="17">
        <v>44232</v>
      </c>
      <c r="E382" s="18">
        <v>269.44</v>
      </c>
      <c r="F382" s="12">
        <f ca="1">IFERROR(__xludf.DUMMYFUNCTION("GOOGLEFINANCE(C382)"),186.2)</f>
        <v>186.2</v>
      </c>
    </row>
    <row r="383" spans="1:6" ht="15" x14ac:dyDescent="0.25">
      <c r="A383" s="14">
        <v>384</v>
      </c>
      <c r="B383" s="15" t="s">
        <v>491</v>
      </c>
      <c r="C383" s="16" t="s">
        <v>492</v>
      </c>
      <c r="D383" s="17">
        <v>44232</v>
      </c>
      <c r="E383" s="18">
        <v>140.96</v>
      </c>
      <c r="F383" s="12">
        <f ca="1">IFERROR(__xludf.DUMMYFUNCTION("GOOGLEFINANCE(C383)"),168.3)</f>
        <v>168.3</v>
      </c>
    </row>
    <row r="384" spans="1:6" ht="15" x14ac:dyDescent="0.25">
      <c r="A384" s="14">
        <v>385</v>
      </c>
      <c r="B384" s="15" t="s">
        <v>493</v>
      </c>
      <c r="C384" s="16" t="s">
        <v>494</v>
      </c>
      <c r="D384" s="17">
        <v>44232</v>
      </c>
      <c r="E384" s="18">
        <v>26.13</v>
      </c>
      <c r="F384" s="12">
        <f ca="1">IFERROR(__xludf.DUMMYFUNCTION("GOOGLEFINANCE(C384)"),21.75)</f>
        <v>21.75</v>
      </c>
    </row>
    <row r="385" spans="1:6" ht="15" x14ac:dyDescent="0.25">
      <c r="A385" s="14">
        <v>386</v>
      </c>
      <c r="B385" s="15" t="s">
        <v>173</v>
      </c>
      <c r="C385" s="16" t="s">
        <v>174</v>
      </c>
      <c r="D385" s="17">
        <v>44232</v>
      </c>
      <c r="E385" s="18">
        <v>76.400000000000006</v>
      </c>
      <c r="F385" s="12">
        <f ca="1">IFERROR(__xludf.DUMMYFUNCTION("GOOGLEFINANCE(C385)"),57.36)</f>
        <v>57.36</v>
      </c>
    </row>
    <row r="386" spans="1:6" ht="15" x14ac:dyDescent="0.25">
      <c r="A386" s="14">
        <v>387</v>
      </c>
      <c r="B386" s="15" t="s">
        <v>140</v>
      </c>
      <c r="C386" s="16" t="s">
        <v>141</v>
      </c>
      <c r="D386" s="17">
        <v>44232</v>
      </c>
      <c r="E386" s="18">
        <v>54.41</v>
      </c>
      <c r="F386" s="12">
        <f ca="1">IFERROR(__xludf.DUMMYFUNCTION("GOOGLEFINANCE(C386)"),55.16)</f>
        <v>55.16</v>
      </c>
    </row>
    <row r="387" spans="1:6" ht="15" x14ac:dyDescent="0.25">
      <c r="A387" s="14">
        <v>388</v>
      </c>
      <c r="B387" s="15" t="s">
        <v>415</v>
      </c>
      <c r="C387" s="16" t="s">
        <v>416</v>
      </c>
      <c r="D387" s="17">
        <v>44232</v>
      </c>
      <c r="E387" s="18">
        <v>272.81</v>
      </c>
      <c r="F387" s="12">
        <f ca="1">IFERROR(__xludf.DUMMYFUNCTION("GOOGLEFINANCE(C387)"),345.96)</f>
        <v>345.96</v>
      </c>
    </row>
    <row r="388" spans="1:6" ht="15" x14ac:dyDescent="0.25">
      <c r="A388" s="14">
        <v>389</v>
      </c>
      <c r="B388" s="15" t="s">
        <v>203</v>
      </c>
      <c r="C388" s="16" t="s">
        <v>204</v>
      </c>
      <c r="D388" s="17">
        <v>44232</v>
      </c>
      <c r="E388" s="18">
        <v>181.16</v>
      </c>
      <c r="F388" s="12">
        <f ca="1">IFERROR(__xludf.DUMMYFUNCTION("GOOGLEFINANCE(C388)"),148.76)</f>
        <v>148.76</v>
      </c>
    </row>
    <row r="389" spans="1:6" ht="15" x14ac:dyDescent="0.25">
      <c r="A389" s="14">
        <v>390</v>
      </c>
      <c r="B389" s="15" t="s">
        <v>437</v>
      </c>
      <c r="C389" s="16" t="s">
        <v>438</v>
      </c>
      <c r="D389" s="17">
        <v>44232</v>
      </c>
      <c r="E389" s="18">
        <v>75.84</v>
      </c>
      <c r="F389" s="12">
        <f ca="1">IFERROR(__xludf.DUMMYFUNCTION("GOOGLEFINANCE(C389)"),76.51)</f>
        <v>76.510000000000005</v>
      </c>
    </row>
    <row r="390" spans="1:6" ht="15" x14ac:dyDescent="0.25">
      <c r="A390" s="14">
        <v>391</v>
      </c>
      <c r="B390" s="15" t="s">
        <v>82</v>
      </c>
      <c r="C390" s="16" t="s">
        <v>83</v>
      </c>
      <c r="D390" s="17">
        <v>44232</v>
      </c>
      <c r="E390" s="18">
        <v>48.08</v>
      </c>
      <c r="F390" s="12">
        <f ca="1">IFERROR(__xludf.DUMMYFUNCTION("GOOGLEFINANCE(C390)"),60.46)</f>
        <v>60.46</v>
      </c>
    </row>
    <row r="391" spans="1:6" ht="15" x14ac:dyDescent="0.25">
      <c r="A391" s="14">
        <v>392</v>
      </c>
      <c r="B391" s="15" t="s">
        <v>339</v>
      </c>
      <c r="C391" s="16" t="s">
        <v>340</v>
      </c>
      <c r="D391" s="17">
        <v>44232</v>
      </c>
      <c r="E391" s="18">
        <v>42.93</v>
      </c>
      <c r="F391" s="12">
        <f ca="1">IFERROR(__xludf.DUMMYFUNCTION("GOOGLEFINANCE(C391)"),9.59)</f>
        <v>9.59</v>
      </c>
    </row>
    <row r="392" spans="1:6" ht="15" x14ac:dyDescent="0.25">
      <c r="A392" s="14">
        <v>393</v>
      </c>
      <c r="B392" s="15" t="s">
        <v>495</v>
      </c>
      <c r="C392" s="16" t="s">
        <v>496</v>
      </c>
      <c r="D392" s="17">
        <v>44232</v>
      </c>
      <c r="E392" s="18">
        <v>89.65</v>
      </c>
      <c r="F392" s="12">
        <f ca="1">IFERROR(__xludf.DUMMYFUNCTION("GOOGLEFINANCE(C392)"),94.11)</f>
        <v>94.11</v>
      </c>
    </row>
    <row r="393" spans="1:6" ht="15" x14ac:dyDescent="0.25">
      <c r="A393" s="14">
        <v>394</v>
      </c>
      <c r="B393" s="15" t="s">
        <v>102</v>
      </c>
      <c r="C393" s="16" t="s">
        <v>103</v>
      </c>
      <c r="D393" s="17">
        <v>44231</v>
      </c>
      <c r="E393" s="18">
        <v>142.53</v>
      </c>
      <c r="F393" s="12">
        <f ca="1">IFERROR(__xludf.DUMMYFUNCTION("GOOGLEFINANCE(C393)"),138.75)</f>
        <v>138.75</v>
      </c>
    </row>
    <row r="394" spans="1:6" ht="15" x14ac:dyDescent="0.25">
      <c r="A394" s="14">
        <v>395</v>
      </c>
      <c r="B394" s="15" t="s">
        <v>375</v>
      </c>
      <c r="C394" s="16" t="s">
        <v>376</v>
      </c>
      <c r="D394" s="17">
        <v>44231</v>
      </c>
      <c r="E394" s="18">
        <v>49.35</v>
      </c>
      <c r="F394" s="12">
        <f ca="1">IFERROR(__xludf.DUMMYFUNCTION("GOOGLEFINANCE(C394)"),34.19)</f>
        <v>34.19</v>
      </c>
    </row>
    <row r="395" spans="1:6" ht="15" x14ac:dyDescent="0.25">
      <c r="A395" s="14">
        <v>396</v>
      </c>
      <c r="B395" s="15" t="s">
        <v>156</v>
      </c>
      <c r="C395" s="16" t="s">
        <v>157</v>
      </c>
      <c r="D395" s="17">
        <v>44231</v>
      </c>
      <c r="E395" s="18">
        <v>849.99</v>
      </c>
      <c r="F395" s="12">
        <f ca="1">IFERROR(__xludf.DUMMYFUNCTION("GOOGLEFINANCE(C395)"),932.57)</f>
        <v>932.57</v>
      </c>
    </row>
    <row r="396" spans="1:6" ht="15" x14ac:dyDescent="0.25">
      <c r="A396" s="14">
        <v>397</v>
      </c>
      <c r="B396" s="15" t="s">
        <v>497</v>
      </c>
      <c r="C396" s="16" t="s">
        <v>498</v>
      </c>
      <c r="D396" s="17">
        <v>44231</v>
      </c>
      <c r="E396" s="18">
        <v>241.27</v>
      </c>
      <c r="F396" s="12">
        <f ca="1">IFERROR(__xludf.DUMMYFUNCTION("GOOGLEFINANCE(C396)"),341.76)</f>
        <v>341.76</v>
      </c>
    </row>
    <row r="397" spans="1:6" ht="15" x14ac:dyDescent="0.25">
      <c r="A397" s="14">
        <v>398</v>
      </c>
      <c r="B397" s="15" t="s">
        <v>285</v>
      </c>
      <c r="C397" s="16" t="s">
        <v>286</v>
      </c>
      <c r="D397" s="17">
        <v>44231</v>
      </c>
      <c r="E397" s="18">
        <v>270.43</v>
      </c>
      <c r="F397" s="12">
        <f ca="1">IFERROR(__xludf.DUMMYFUNCTION("GOOGLEFINANCE(C397)"),186.2)</f>
        <v>186.2</v>
      </c>
    </row>
    <row r="398" spans="1:6" ht="15" x14ac:dyDescent="0.25">
      <c r="A398" s="14">
        <v>399</v>
      </c>
      <c r="B398" s="15" t="s">
        <v>249</v>
      </c>
      <c r="C398" s="16" t="s">
        <v>250</v>
      </c>
      <c r="D398" s="17">
        <v>44231</v>
      </c>
      <c r="E398" s="18">
        <v>67.67</v>
      </c>
      <c r="F398" s="12">
        <f ca="1">IFERROR(__xludf.DUMMYFUNCTION("GOOGLEFINANCE(C398)"),29.75)</f>
        <v>29.75</v>
      </c>
    </row>
    <row r="399" spans="1:6" ht="15" x14ac:dyDescent="0.25">
      <c r="A399" s="14">
        <v>400</v>
      </c>
      <c r="B399" s="15" t="s">
        <v>499</v>
      </c>
      <c r="C399" s="16" t="s">
        <v>500</v>
      </c>
      <c r="D399" s="17">
        <v>44231</v>
      </c>
      <c r="E399" s="18">
        <v>140.63</v>
      </c>
      <c r="F399" s="12">
        <f ca="1">IFERROR(__xludf.DUMMYFUNCTION("GOOGLEFINANCE(C399)"),161.36)</f>
        <v>161.36000000000001</v>
      </c>
    </row>
    <row r="400" spans="1:6" ht="15" x14ac:dyDescent="0.25">
      <c r="A400" s="14">
        <v>401</v>
      </c>
      <c r="B400" s="15" t="s">
        <v>76</v>
      </c>
      <c r="C400" s="16" t="s">
        <v>77</v>
      </c>
      <c r="D400" s="17">
        <v>44231</v>
      </c>
      <c r="E400" s="18">
        <v>242.01</v>
      </c>
      <c r="F400" s="12">
        <f ca="1">IFERROR(__xludf.DUMMYFUNCTION("GOOGLEFINANCE(C400)"),323.8)</f>
        <v>323.8</v>
      </c>
    </row>
    <row r="401" spans="1:6" ht="15" x14ac:dyDescent="0.25">
      <c r="A401" s="14">
        <v>402</v>
      </c>
      <c r="B401" s="15" t="s">
        <v>78</v>
      </c>
      <c r="C401" s="16" t="s">
        <v>79</v>
      </c>
      <c r="D401" s="17">
        <v>44231</v>
      </c>
      <c r="E401" s="18">
        <v>200.59</v>
      </c>
      <c r="F401" s="12">
        <f ca="1">IFERROR(__xludf.DUMMYFUNCTION("GOOGLEFINANCE(C401)"),205.17)</f>
        <v>205.17</v>
      </c>
    </row>
    <row r="402" spans="1:6" ht="15" x14ac:dyDescent="0.25">
      <c r="A402" s="14">
        <v>403</v>
      </c>
      <c r="B402" s="15" t="s">
        <v>118</v>
      </c>
      <c r="C402" s="16" t="s">
        <v>119</v>
      </c>
      <c r="D402" s="17">
        <v>44231</v>
      </c>
      <c r="E402" s="18">
        <v>278.82</v>
      </c>
      <c r="F402" s="12">
        <f ca="1">IFERROR(__xludf.DUMMYFUNCTION("GOOGLEFINANCE(C402)"),387.98)</f>
        <v>387.98</v>
      </c>
    </row>
    <row r="403" spans="1:6" ht="15" x14ac:dyDescent="0.25">
      <c r="A403" s="14">
        <v>404</v>
      </c>
      <c r="B403" s="15" t="s">
        <v>203</v>
      </c>
      <c r="C403" s="16" t="s">
        <v>204</v>
      </c>
      <c r="D403" s="17">
        <v>44231</v>
      </c>
      <c r="E403" s="18">
        <v>180.23</v>
      </c>
      <c r="F403" s="12">
        <f ca="1">IFERROR(__xludf.DUMMYFUNCTION("GOOGLEFINANCE(C403)"),148.76)</f>
        <v>148.76</v>
      </c>
    </row>
    <row r="404" spans="1:6" ht="15" x14ac:dyDescent="0.25">
      <c r="A404" s="14">
        <v>405</v>
      </c>
      <c r="B404" s="15" t="s">
        <v>501</v>
      </c>
      <c r="C404" s="16" t="s">
        <v>502</v>
      </c>
      <c r="D404" s="17">
        <v>44231</v>
      </c>
      <c r="E404" s="18">
        <v>44.4</v>
      </c>
      <c r="F404" s="12">
        <f ca="1">IFERROR(__xludf.DUMMYFUNCTION("GOOGLEFINANCE(C404)"),21.83)</f>
        <v>21.83</v>
      </c>
    </row>
    <row r="405" spans="1:6" ht="15" x14ac:dyDescent="0.25">
      <c r="A405" s="14">
        <v>406</v>
      </c>
      <c r="B405" s="15" t="s">
        <v>84</v>
      </c>
      <c r="C405" s="16" t="s">
        <v>85</v>
      </c>
      <c r="D405" s="17">
        <v>44231</v>
      </c>
      <c r="E405" s="18">
        <v>355.85</v>
      </c>
      <c r="F405" s="12">
        <f ca="1">IFERROR(__xludf.DUMMYFUNCTION("GOOGLEFINANCE(C405)"),547.61)</f>
        <v>547.61</v>
      </c>
    </row>
    <row r="406" spans="1:6" ht="15" x14ac:dyDescent="0.25">
      <c r="A406" s="14">
        <v>407</v>
      </c>
      <c r="B406" s="15" t="s">
        <v>503</v>
      </c>
      <c r="C406" s="16" t="s">
        <v>504</v>
      </c>
      <c r="D406" s="17">
        <v>44231</v>
      </c>
      <c r="E406" s="18">
        <v>60.4</v>
      </c>
      <c r="F406" s="12">
        <f ca="1">IFERROR(__xludf.DUMMYFUNCTION("GOOGLEFINANCE(C406)"),83.02)</f>
        <v>83.02</v>
      </c>
    </row>
    <row r="407" spans="1:6" ht="15" x14ac:dyDescent="0.25">
      <c r="A407" s="14">
        <v>408</v>
      </c>
      <c r="B407" s="15" t="s">
        <v>505</v>
      </c>
      <c r="C407" s="16" t="s">
        <v>506</v>
      </c>
      <c r="D407" s="17">
        <v>44231</v>
      </c>
      <c r="E407" s="18">
        <v>191.65</v>
      </c>
      <c r="F407" s="12">
        <f ca="1">IFERROR(__xludf.DUMMYFUNCTION("GOOGLEFINANCE(C407)"),174.16)</f>
        <v>174.16</v>
      </c>
    </row>
    <row r="408" spans="1:6" ht="15" x14ac:dyDescent="0.25">
      <c r="A408" s="14">
        <v>409</v>
      </c>
      <c r="B408" s="15" t="s">
        <v>52</v>
      </c>
      <c r="C408" s="16" t="s">
        <v>53</v>
      </c>
      <c r="D408" s="17">
        <v>44231</v>
      </c>
      <c r="E408" s="18">
        <v>137.38999999999999</v>
      </c>
      <c r="F408" s="12">
        <f ca="1">IFERROR(__xludf.DUMMYFUNCTION("GOOGLEFINANCE(C408)"),171.14)</f>
        <v>171.14</v>
      </c>
    </row>
    <row r="409" spans="1:6" ht="15" x14ac:dyDescent="0.25">
      <c r="A409" s="14">
        <v>410</v>
      </c>
      <c r="B409" s="15" t="s">
        <v>90</v>
      </c>
      <c r="C409" s="16" t="s">
        <v>91</v>
      </c>
      <c r="D409" s="17">
        <v>44230</v>
      </c>
      <c r="E409" s="18">
        <v>54.79</v>
      </c>
      <c r="F409" s="12">
        <f ca="1">IFERROR(__xludf.DUMMYFUNCTION("GOOGLEFINANCE(C409)"),53.17)</f>
        <v>53.17</v>
      </c>
    </row>
    <row r="410" spans="1:6" ht="15" x14ac:dyDescent="0.25">
      <c r="A410" s="14">
        <v>411</v>
      </c>
      <c r="B410" s="15" t="s">
        <v>457</v>
      </c>
      <c r="C410" s="16" t="s">
        <v>458</v>
      </c>
      <c r="D410" s="17">
        <v>44230</v>
      </c>
      <c r="E410" s="18">
        <v>179.46</v>
      </c>
      <c r="F410" s="12">
        <f ca="1">IFERROR(__xludf.DUMMYFUNCTION("GOOGLEFINANCE(C410)"),151.7)</f>
        <v>151.69999999999999</v>
      </c>
    </row>
    <row r="411" spans="1:6" ht="15" x14ac:dyDescent="0.25">
      <c r="A411" s="14">
        <v>412</v>
      </c>
      <c r="B411" s="15" t="s">
        <v>76</v>
      </c>
      <c r="C411" s="16" t="s">
        <v>77</v>
      </c>
      <c r="D411" s="17">
        <v>44230</v>
      </c>
      <c r="E411" s="18">
        <v>243</v>
      </c>
      <c r="F411" s="12">
        <f ca="1">IFERROR(__xludf.DUMMYFUNCTION("GOOGLEFINANCE(C411)"),323.8)</f>
        <v>323.8</v>
      </c>
    </row>
    <row r="412" spans="1:6" ht="15" x14ac:dyDescent="0.25">
      <c r="A412" s="14">
        <v>413</v>
      </c>
      <c r="B412" s="15" t="s">
        <v>507</v>
      </c>
      <c r="C412" s="16" t="s">
        <v>508</v>
      </c>
      <c r="D412" s="17">
        <v>44230</v>
      </c>
      <c r="E412" s="18">
        <v>82.32</v>
      </c>
      <c r="F412" s="12">
        <f ca="1">IFERROR(__xludf.DUMMYFUNCTION("GOOGLEFINANCE(C412)"),77.71)</f>
        <v>77.709999999999994</v>
      </c>
    </row>
    <row r="413" spans="1:6" ht="15" x14ac:dyDescent="0.25">
      <c r="A413" s="14">
        <v>414</v>
      </c>
      <c r="B413" s="15" t="s">
        <v>509</v>
      </c>
      <c r="C413" s="16" t="s">
        <v>510</v>
      </c>
      <c r="D413" s="17">
        <v>44230</v>
      </c>
      <c r="E413" s="18">
        <v>118.63</v>
      </c>
      <c r="F413" s="12">
        <f ca="1">IFERROR(__xludf.DUMMYFUNCTION("GOOGLEFINANCE(C413)"),39.08)</f>
        <v>39.08</v>
      </c>
    </row>
    <row r="414" spans="1:6" ht="15" x14ac:dyDescent="0.25">
      <c r="A414" s="14">
        <v>415</v>
      </c>
      <c r="B414" s="15" t="s">
        <v>154</v>
      </c>
      <c r="C414" s="16" t="s">
        <v>155</v>
      </c>
      <c r="D414" s="17">
        <v>44230</v>
      </c>
      <c r="E414" s="18">
        <v>266.64999999999998</v>
      </c>
      <c r="F414" s="12">
        <f ca="1">IFERROR(__xludf.DUMMYFUNCTION("GOOGLEFINANCE(C414)"),333.79)</f>
        <v>333.79</v>
      </c>
    </row>
    <row r="415" spans="1:6" ht="15" x14ac:dyDescent="0.25">
      <c r="A415" s="14">
        <v>416</v>
      </c>
      <c r="B415" s="15" t="s">
        <v>511</v>
      </c>
      <c r="C415" s="16" t="s">
        <v>512</v>
      </c>
      <c r="D415" s="17">
        <v>44230</v>
      </c>
      <c r="E415" s="18">
        <v>22.94</v>
      </c>
      <c r="F415" s="12">
        <f ca="1">IFERROR(__xludf.DUMMYFUNCTION("GOOGLEFINANCE(C415)"),30.29)</f>
        <v>30.29</v>
      </c>
    </row>
    <row r="416" spans="1:6" ht="15" x14ac:dyDescent="0.25">
      <c r="A416" s="14">
        <v>417</v>
      </c>
      <c r="B416" s="15" t="s">
        <v>513</v>
      </c>
      <c r="C416" s="16" t="s">
        <v>514</v>
      </c>
      <c r="D416" s="17">
        <v>44230</v>
      </c>
      <c r="E416" s="18">
        <v>58.04</v>
      </c>
      <c r="F416" s="12">
        <f ca="1">IFERROR(__xludf.DUMMYFUNCTION("GOOGLEFINANCE(C416)"),64.03)</f>
        <v>64.03</v>
      </c>
    </row>
    <row r="417" spans="1:6" ht="15" x14ac:dyDescent="0.25">
      <c r="A417" s="14">
        <v>418</v>
      </c>
      <c r="B417" s="15" t="s">
        <v>52</v>
      </c>
      <c r="C417" s="16" t="s">
        <v>53</v>
      </c>
      <c r="D417" s="17">
        <v>44230</v>
      </c>
      <c r="E417" s="18">
        <v>133.94</v>
      </c>
      <c r="F417" s="12">
        <f ca="1">IFERROR(__xludf.DUMMYFUNCTION("GOOGLEFINANCE(C417)"),171.14)</f>
        <v>171.14</v>
      </c>
    </row>
    <row r="418" spans="1:6" ht="15" x14ac:dyDescent="0.25">
      <c r="A418" s="14">
        <v>419</v>
      </c>
      <c r="B418" s="15" t="s">
        <v>515</v>
      </c>
      <c r="C418" s="16" t="s">
        <v>516</v>
      </c>
      <c r="D418" s="17">
        <v>44229</v>
      </c>
      <c r="E418" s="18">
        <v>160.29</v>
      </c>
      <c r="F418" s="12">
        <f ca="1">IFERROR(__xludf.DUMMYFUNCTION("GOOGLEFINANCE(C418)"),206.59)</f>
        <v>206.59</v>
      </c>
    </row>
    <row r="419" spans="1:6" ht="15" x14ac:dyDescent="0.25">
      <c r="A419" s="14">
        <v>420</v>
      </c>
      <c r="B419" s="15" t="s">
        <v>517</v>
      </c>
      <c r="C419" s="16" t="s">
        <v>518</v>
      </c>
      <c r="D419" s="17">
        <v>44229</v>
      </c>
      <c r="E419" s="18">
        <v>246.35</v>
      </c>
      <c r="F419" s="12">
        <f ca="1">IFERROR(__xludf.DUMMYFUNCTION("GOOGLEFINANCE(C419)"),284.79)</f>
        <v>284.79000000000002</v>
      </c>
    </row>
    <row r="420" spans="1:6" ht="15" x14ac:dyDescent="0.25">
      <c r="A420" s="14">
        <v>421</v>
      </c>
      <c r="B420" s="15" t="s">
        <v>519</v>
      </c>
      <c r="C420" s="16" t="s">
        <v>520</v>
      </c>
      <c r="D420" s="17">
        <v>44229</v>
      </c>
      <c r="E420" s="18">
        <v>70.260000000000005</v>
      </c>
      <c r="F420" s="12">
        <f ca="1">IFERROR(__xludf.DUMMYFUNCTION("GOOGLEFINANCE(C420)"),83.82)</f>
        <v>83.82</v>
      </c>
    </row>
    <row r="421" spans="1:6" ht="15" x14ac:dyDescent="0.25">
      <c r="A421" s="14">
        <v>422</v>
      </c>
      <c r="B421" s="15" t="s">
        <v>203</v>
      </c>
      <c r="C421" s="16" t="s">
        <v>204</v>
      </c>
      <c r="D421" s="17">
        <v>44229</v>
      </c>
      <c r="E421" s="18">
        <v>176.96</v>
      </c>
      <c r="F421" s="12">
        <f ca="1">IFERROR(__xludf.DUMMYFUNCTION("GOOGLEFINANCE(C421)"),148.76)</f>
        <v>148.76</v>
      </c>
    </row>
    <row r="422" spans="1:6" ht="15" x14ac:dyDescent="0.25">
      <c r="A422" s="14">
        <v>423</v>
      </c>
      <c r="B422" s="15" t="s">
        <v>521</v>
      </c>
      <c r="C422" s="16" t="s">
        <v>522</v>
      </c>
      <c r="D422" s="17">
        <v>44229</v>
      </c>
      <c r="E422" s="18">
        <v>254.5</v>
      </c>
      <c r="F422" s="12">
        <f ca="1">IFERROR(__xludf.DUMMYFUNCTION("GOOGLEFINANCE(C422)"),122.1)</f>
        <v>122.1</v>
      </c>
    </row>
    <row r="423" spans="1:6" ht="15" x14ac:dyDescent="0.25">
      <c r="A423" s="14">
        <v>424</v>
      </c>
      <c r="B423" s="15" t="s">
        <v>86</v>
      </c>
      <c r="C423" s="16" t="s">
        <v>87</v>
      </c>
      <c r="D423" s="17">
        <v>44229</v>
      </c>
      <c r="E423" s="18">
        <v>200.94</v>
      </c>
      <c r="F423" s="12">
        <f ca="1">IFERROR(__xludf.DUMMYFUNCTION("GOOGLEFINANCE(C423)"),192.63)</f>
        <v>192.63</v>
      </c>
    </row>
    <row r="424" spans="1:6" ht="15" x14ac:dyDescent="0.25">
      <c r="A424" s="14">
        <v>425</v>
      </c>
      <c r="B424" s="15" t="s">
        <v>28</v>
      </c>
      <c r="C424" s="16" t="s">
        <v>29</v>
      </c>
      <c r="D424" s="17">
        <v>44229</v>
      </c>
      <c r="E424" s="18">
        <v>82.11</v>
      </c>
      <c r="F424" s="12">
        <f ca="1">IFERROR(__xludf.DUMMYFUNCTION("GOOGLEFINANCE(C424)"),86.54)</f>
        <v>86.54</v>
      </c>
    </row>
    <row r="425" spans="1:6" ht="15" x14ac:dyDescent="0.25">
      <c r="A425" s="14">
        <v>426</v>
      </c>
      <c r="B425" s="15" t="s">
        <v>353</v>
      </c>
      <c r="C425" s="16" t="s">
        <v>354</v>
      </c>
      <c r="D425" s="17">
        <v>44228</v>
      </c>
      <c r="E425" s="18">
        <v>381.93</v>
      </c>
      <c r="F425" s="12">
        <f ca="1">IFERROR(__xludf.DUMMYFUNCTION("GOOGLEFINANCE(C425)"),199.74)</f>
        <v>199.74</v>
      </c>
    </row>
    <row r="426" spans="1:6" ht="15" x14ac:dyDescent="0.25">
      <c r="A426" s="14">
        <v>427</v>
      </c>
      <c r="B426" s="15" t="s">
        <v>166</v>
      </c>
      <c r="C426" s="16" t="s">
        <v>167</v>
      </c>
      <c r="D426" s="17">
        <v>44228</v>
      </c>
      <c r="E426" s="18">
        <v>137.05000000000001</v>
      </c>
      <c r="F426" s="12">
        <f ca="1">IFERROR(__xludf.DUMMYFUNCTION("GOOGLEFINANCE(C426)"),62.46)</f>
        <v>62.46</v>
      </c>
    </row>
    <row r="427" spans="1:6" ht="15" x14ac:dyDescent="0.25">
      <c r="A427" s="14">
        <v>428</v>
      </c>
      <c r="B427" s="15" t="s">
        <v>146</v>
      </c>
      <c r="C427" s="16" t="s">
        <v>147</v>
      </c>
      <c r="D427" s="17">
        <v>44228</v>
      </c>
      <c r="E427" s="18">
        <v>126.66</v>
      </c>
      <c r="F427" s="12">
        <f ca="1">IFERROR(__xludf.DUMMYFUNCTION("GOOGLEFINANCE(C427)"),116.32)</f>
        <v>116.32</v>
      </c>
    </row>
    <row r="428" spans="1:6" ht="15" x14ac:dyDescent="0.25">
      <c r="A428" s="14">
        <v>429</v>
      </c>
      <c r="B428" s="15" t="s">
        <v>156</v>
      </c>
      <c r="C428" s="16" t="s">
        <v>157</v>
      </c>
      <c r="D428" s="17">
        <v>44228</v>
      </c>
      <c r="E428" s="18">
        <v>839.81</v>
      </c>
      <c r="F428" s="12">
        <f ca="1">IFERROR(__xludf.DUMMYFUNCTION("GOOGLEFINANCE(C428)"),932.57)</f>
        <v>932.57</v>
      </c>
    </row>
    <row r="429" spans="1:6" ht="15" x14ac:dyDescent="0.25">
      <c r="A429" s="14">
        <v>430</v>
      </c>
      <c r="B429" s="15" t="s">
        <v>523</v>
      </c>
      <c r="C429" s="16" t="s">
        <v>524</v>
      </c>
      <c r="D429" s="17">
        <v>44228</v>
      </c>
      <c r="E429" s="18">
        <v>515.47</v>
      </c>
      <c r="F429" s="12">
        <f ca="1">IFERROR(__xludf.DUMMYFUNCTION("GOOGLEFINANCE(C429)"),651.07)</f>
        <v>651.07000000000005</v>
      </c>
    </row>
    <row r="430" spans="1:6" ht="15" x14ac:dyDescent="0.25">
      <c r="A430" s="14">
        <v>431</v>
      </c>
      <c r="B430" s="15" t="s">
        <v>357</v>
      </c>
      <c r="C430" s="16" t="s">
        <v>358</v>
      </c>
      <c r="D430" s="17">
        <v>44228</v>
      </c>
      <c r="E430" s="18">
        <v>183.57</v>
      </c>
      <c r="F430" s="12">
        <f ca="1">IFERROR(__xludf.DUMMYFUNCTION("GOOGLEFINANCE(C430)"),223.31)</f>
        <v>223.31</v>
      </c>
    </row>
    <row r="431" spans="1:6" ht="15" x14ac:dyDescent="0.25">
      <c r="A431" s="14">
        <v>432</v>
      </c>
      <c r="B431" s="15" t="s">
        <v>457</v>
      </c>
      <c r="C431" s="16" t="s">
        <v>458</v>
      </c>
      <c r="D431" s="17">
        <v>44228</v>
      </c>
      <c r="E431" s="18">
        <v>185.79</v>
      </c>
      <c r="F431" s="12">
        <f ca="1">IFERROR(__xludf.DUMMYFUNCTION("GOOGLEFINANCE(C431)"),151.7)</f>
        <v>151.69999999999999</v>
      </c>
    </row>
    <row r="432" spans="1:6" ht="15" x14ac:dyDescent="0.25">
      <c r="A432" s="14">
        <v>433</v>
      </c>
      <c r="B432" s="15" t="s">
        <v>68</v>
      </c>
      <c r="C432" s="16" t="s">
        <v>69</v>
      </c>
      <c r="D432" s="17">
        <v>44228</v>
      </c>
      <c r="E432" s="18">
        <v>98.58</v>
      </c>
      <c r="F432" s="12">
        <f ca="1">IFERROR(__xludf.DUMMYFUNCTION("GOOGLEFINANCE(C432)"),108.63)</f>
        <v>108.63</v>
      </c>
    </row>
    <row r="433" spans="1:6" ht="15" x14ac:dyDescent="0.25">
      <c r="A433" s="14">
        <v>434</v>
      </c>
      <c r="B433" s="15" t="s">
        <v>249</v>
      </c>
      <c r="C433" s="16" t="s">
        <v>250</v>
      </c>
      <c r="D433" s="17">
        <v>44228</v>
      </c>
      <c r="E433" s="18">
        <v>63.85</v>
      </c>
      <c r="F433" s="12">
        <f ca="1">IFERROR(__xludf.DUMMYFUNCTION("GOOGLEFINANCE(C433)"),29.75)</f>
        <v>29.75</v>
      </c>
    </row>
    <row r="434" spans="1:6" ht="15" x14ac:dyDescent="0.25">
      <c r="A434" s="14">
        <v>435</v>
      </c>
      <c r="B434" s="15" t="s">
        <v>525</v>
      </c>
      <c r="C434" s="16" t="s">
        <v>526</v>
      </c>
      <c r="D434" s="17">
        <v>44228</v>
      </c>
      <c r="E434" s="18">
        <v>64.55</v>
      </c>
      <c r="F434" s="12">
        <f ca="1">IFERROR(__xludf.DUMMYFUNCTION("GOOGLEFINANCE(C434)"),84.16)</f>
        <v>84.16</v>
      </c>
    </row>
    <row r="435" spans="1:6" ht="15" x14ac:dyDescent="0.25">
      <c r="A435" s="14">
        <v>436</v>
      </c>
      <c r="B435" s="15" t="s">
        <v>527</v>
      </c>
      <c r="C435" s="16" t="s">
        <v>528</v>
      </c>
      <c r="D435" s="17">
        <v>44228</v>
      </c>
      <c r="E435" s="18">
        <v>26.25</v>
      </c>
      <c r="F435" s="12">
        <f ca="1">IFERROR(__xludf.DUMMYFUNCTION("GOOGLEFINANCE(C435)"),14.3)</f>
        <v>14.3</v>
      </c>
    </row>
    <row r="436" spans="1:6" ht="15" x14ac:dyDescent="0.25">
      <c r="A436" s="14">
        <v>437</v>
      </c>
      <c r="B436" s="15" t="s">
        <v>385</v>
      </c>
      <c r="C436" s="16" t="s">
        <v>386</v>
      </c>
      <c r="D436" s="17">
        <v>44228</v>
      </c>
      <c r="E436" s="18">
        <v>501.45</v>
      </c>
      <c r="F436" s="12">
        <f ca="1">IFERROR(__xludf.DUMMYFUNCTION("GOOGLEFINANCE(C436)"),669.17)</f>
        <v>669.17</v>
      </c>
    </row>
    <row r="437" spans="1:6" ht="15" x14ac:dyDescent="0.25">
      <c r="A437" s="14">
        <v>438</v>
      </c>
      <c r="B437" s="15" t="s">
        <v>481</v>
      </c>
      <c r="C437" s="16" t="s">
        <v>482</v>
      </c>
      <c r="D437" s="17">
        <v>44228</v>
      </c>
      <c r="E437" s="18">
        <v>84.21</v>
      </c>
      <c r="F437" s="12">
        <f ca="1">IFERROR(__xludf.DUMMYFUNCTION("GOOGLEFINANCE(C437)"),105.84)</f>
        <v>105.84</v>
      </c>
    </row>
    <row r="438" spans="1:6" ht="15" x14ac:dyDescent="0.25">
      <c r="A438" s="14">
        <v>439</v>
      </c>
      <c r="B438" s="15" t="s">
        <v>313</v>
      </c>
      <c r="C438" s="16" t="s">
        <v>314</v>
      </c>
      <c r="D438" s="17">
        <v>44228</v>
      </c>
      <c r="E438" s="18">
        <v>68.67</v>
      </c>
      <c r="F438" s="12">
        <f ca="1">IFERROR(__xludf.DUMMYFUNCTION("GOOGLEFINANCE(C438)"),103.98)</f>
        <v>103.98</v>
      </c>
    </row>
    <row r="439" spans="1:6" ht="15" x14ac:dyDescent="0.25">
      <c r="A439" s="14">
        <v>440</v>
      </c>
      <c r="B439" s="15" t="s">
        <v>203</v>
      </c>
      <c r="C439" s="16" t="s">
        <v>204</v>
      </c>
      <c r="D439" s="17">
        <v>44228</v>
      </c>
      <c r="E439" s="18">
        <v>170.97</v>
      </c>
      <c r="F439" s="12">
        <f ca="1">IFERROR(__xludf.DUMMYFUNCTION("GOOGLEFINANCE(C439)"),148.76)</f>
        <v>148.76</v>
      </c>
    </row>
    <row r="440" spans="1:6" ht="15" x14ac:dyDescent="0.25">
      <c r="A440" s="14">
        <v>441</v>
      </c>
      <c r="B440" s="15" t="s">
        <v>86</v>
      </c>
      <c r="C440" s="16" t="s">
        <v>87</v>
      </c>
      <c r="D440" s="17">
        <v>44228</v>
      </c>
      <c r="E440" s="18">
        <v>195.84</v>
      </c>
      <c r="F440" s="12">
        <f ca="1">IFERROR(__xludf.DUMMYFUNCTION("GOOGLEFINANCE(C440)"),192.63)</f>
        <v>192.63</v>
      </c>
    </row>
    <row r="441" spans="1:6" ht="15" x14ac:dyDescent="0.25">
      <c r="A441" s="14">
        <v>442</v>
      </c>
      <c r="B441" s="15" t="s">
        <v>529</v>
      </c>
      <c r="C441" s="16" t="s">
        <v>530</v>
      </c>
      <c r="D441" s="17">
        <v>44228</v>
      </c>
      <c r="E441" s="18">
        <v>25.53</v>
      </c>
      <c r="F441" s="12">
        <f ca="1">IFERROR(__xludf.DUMMYFUNCTION("GOOGLEFINANCE(C441)"),11.16)</f>
        <v>11.16</v>
      </c>
    </row>
    <row r="442" spans="1:6" ht="15" x14ac:dyDescent="0.25">
      <c r="A442" s="14">
        <v>443</v>
      </c>
      <c r="B442" s="15" t="s">
        <v>130</v>
      </c>
      <c r="C442" s="16" t="s">
        <v>131</v>
      </c>
      <c r="D442" s="17">
        <v>44228</v>
      </c>
      <c r="E442" s="18">
        <v>101.21</v>
      </c>
      <c r="F442" s="12">
        <f ca="1">IFERROR(__xludf.DUMMYFUNCTION("GOOGLEFINANCE(C442)"),146.15)</f>
        <v>146.15</v>
      </c>
    </row>
    <row r="443" spans="1:6" ht="15" x14ac:dyDescent="0.25">
      <c r="A443" s="14">
        <v>444</v>
      </c>
      <c r="B443" s="15" t="s">
        <v>52</v>
      </c>
      <c r="C443" s="16" t="s">
        <v>53</v>
      </c>
      <c r="D443" s="17">
        <v>44228</v>
      </c>
      <c r="E443" s="18">
        <v>134.13999999999999</v>
      </c>
      <c r="F443" s="12">
        <f ca="1">IFERROR(__xludf.DUMMYFUNCTION("GOOGLEFINANCE(C443)"),171.14)</f>
        <v>171.14</v>
      </c>
    </row>
    <row r="444" spans="1:6" ht="15" x14ac:dyDescent="0.25">
      <c r="A444" s="14">
        <v>445</v>
      </c>
      <c r="B444" s="15" t="s">
        <v>353</v>
      </c>
      <c r="C444" s="16" t="s">
        <v>354</v>
      </c>
      <c r="D444" s="17">
        <v>44221</v>
      </c>
      <c r="E444" s="18">
        <v>391.83</v>
      </c>
      <c r="F444" s="12">
        <f ca="1">IFERROR(__xludf.DUMMYFUNCTION("GOOGLEFINANCE(C444)"),199.74)</f>
        <v>199.74</v>
      </c>
    </row>
    <row r="445" spans="1:6" ht="15" x14ac:dyDescent="0.25">
      <c r="A445" s="14">
        <v>446</v>
      </c>
      <c r="B445" s="15" t="s">
        <v>531</v>
      </c>
      <c r="C445" s="16" t="s">
        <v>532</v>
      </c>
      <c r="D445" s="17">
        <v>44221</v>
      </c>
      <c r="E445" s="18">
        <v>24.18</v>
      </c>
      <c r="F445" s="12">
        <f ca="1">IFERROR(__xludf.DUMMYFUNCTION("GOOGLEFINANCE(C445)"),9.99)</f>
        <v>9.99</v>
      </c>
    </row>
    <row r="446" spans="1:6" ht="15" x14ac:dyDescent="0.25">
      <c r="A446" s="14">
        <v>447</v>
      </c>
      <c r="B446" s="15" t="s">
        <v>104</v>
      </c>
      <c r="C446" s="16" t="s">
        <v>105</v>
      </c>
      <c r="D446" s="17">
        <v>44221</v>
      </c>
      <c r="E446" s="18">
        <v>174.99</v>
      </c>
      <c r="F446" s="12">
        <f ca="1">IFERROR(__xludf.DUMMYFUNCTION("GOOGLEFINANCE(C446)"),183.7)</f>
        <v>183.7</v>
      </c>
    </row>
    <row r="447" spans="1:6" ht="15" x14ac:dyDescent="0.25">
      <c r="A447" s="14">
        <v>448</v>
      </c>
      <c r="B447" s="15" t="s">
        <v>148</v>
      </c>
      <c r="C447" s="16" t="s">
        <v>149</v>
      </c>
      <c r="D447" s="17">
        <v>44221</v>
      </c>
      <c r="E447" s="18">
        <v>556.78</v>
      </c>
      <c r="F447" s="12">
        <f ca="1">IFERROR(__xludf.DUMMYFUNCTION("GOOGLEFINANCE(C447)"),586.73)</f>
        <v>586.73</v>
      </c>
    </row>
    <row r="448" spans="1:6" ht="15" x14ac:dyDescent="0.25">
      <c r="A448" s="14">
        <v>449</v>
      </c>
      <c r="B448" s="15" t="s">
        <v>533</v>
      </c>
      <c r="C448" s="16" t="s">
        <v>534</v>
      </c>
      <c r="D448" s="17">
        <v>44221</v>
      </c>
      <c r="E448" s="18">
        <v>136.51</v>
      </c>
      <c r="F448" s="12">
        <f ca="1">IFERROR(__xludf.DUMMYFUNCTION("GOOGLEFINANCE(C448)"),139.37)</f>
        <v>139.37</v>
      </c>
    </row>
    <row r="449" spans="1:6" ht="15" x14ac:dyDescent="0.25">
      <c r="A449" s="14">
        <v>450</v>
      </c>
      <c r="B449" s="15" t="s">
        <v>118</v>
      </c>
      <c r="C449" s="16" t="s">
        <v>119</v>
      </c>
      <c r="D449" s="17">
        <v>44221</v>
      </c>
      <c r="E449" s="18">
        <v>285.08</v>
      </c>
      <c r="F449" s="12">
        <f ca="1">IFERROR(__xludf.DUMMYFUNCTION("GOOGLEFINANCE(C449)"),387.98)</f>
        <v>387.98</v>
      </c>
    </row>
    <row r="450" spans="1:6" ht="15" x14ac:dyDescent="0.25">
      <c r="A450" s="14">
        <v>451</v>
      </c>
      <c r="B450" s="15" t="s">
        <v>628</v>
      </c>
      <c r="C450" s="16" t="s">
        <v>629</v>
      </c>
      <c r="D450" s="17">
        <v>44221</v>
      </c>
      <c r="E450" s="18">
        <v>19.670000000000002</v>
      </c>
      <c r="F450" s="12" t="str">
        <f ca="1">IFERROR(__xludf.DUMMYFUNCTION("GOOGLEFINANCE(C450)"),"#N/A")</f>
        <v>#N/A</v>
      </c>
    </row>
    <row r="451" spans="1:6" ht="15" x14ac:dyDescent="0.25">
      <c r="A451" s="14">
        <v>452</v>
      </c>
      <c r="B451" s="15" t="s">
        <v>535</v>
      </c>
      <c r="C451" s="16" t="s">
        <v>536</v>
      </c>
      <c r="D451" s="17">
        <v>44221</v>
      </c>
      <c r="E451" s="18">
        <v>59.82</v>
      </c>
      <c r="F451" s="12">
        <f ca="1">IFERROR(__xludf.DUMMYFUNCTION("GOOGLEFINANCE(C451)"),112.3)</f>
        <v>112.3</v>
      </c>
    </row>
    <row r="452" spans="1:6" ht="15" x14ac:dyDescent="0.25">
      <c r="A452" s="14">
        <v>453</v>
      </c>
      <c r="B452" s="15" t="s">
        <v>156</v>
      </c>
      <c r="C452" s="16" t="s">
        <v>157</v>
      </c>
      <c r="D452" s="17">
        <v>44218</v>
      </c>
      <c r="E452" s="18">
        <v>846.64</v>
      </c>
      <c r="F452" s="12">
        <f ca="1">IFERROR(__xludf.DUMMYFUNCTION("GOOGLEFINANCE(C452)"),932.57)</f>
        <v>932.57</v>
      </c>
    </row>
    <row r="453" spans="1:6" ht="15" x14ac:dyDescent="0.25">
      <c r="A453" s="14">
        <v>454</v>
      </c>
      <c r="B453" s="15" t="s">
        <v>457</v>
      </c>
      <c r="C453" s="16" t="s">
        <v>458</v>
      </c>
      <c r="D453" s="17">
        <v>44218</v>
      </c>
      <c r="E453" s="18">
        <v>161.27000000000001</v>
      </c>
      <c r="F453" s="12">
        <f ca="1">IFERROR(__xludf.DUMMYFUNCTION("GOOGLEFINANCE(C453)"),151.7)</f>
        <v>151.69999999999999</v>
      </c>
    </row>
    <row r="454" spans="1:6" ht="15" x14ac:dyDescent="0.25">
      <c r="A454" s="14">
        <v>455</v>
      </c>
      <c r="B454" s="15" t="s">
        <v>68</v>
      </c>
      <c r="C454" s="16" t="s">
        <v>69</v>
      </c>
      <c r="D454" s="17">
        <v>44218</v>
      </c>
      <c r="E454" s="18">
        <v>103.91</v>
      </c>
      <c r="F454" s="12">
        <f ca="1">IFERROR(__xludf.DUMMYFUNCTION("GOOGLEFINANCE(C454)"),108.63)</f>
        <v>108.63</v>
      </c>
    </row>
    <row r="455" spans="1:6" ht="15" x14ac:dyDescent="0.25">
      <c r="A455" s="14">
        <v>456</v>
      </c>
      <c r="B455" s="15" t="s">
        <v>285</v>
      </c>
      <c r="C455" s="16" t="s">
        <v>286</v>
      </c>
      <c r="D455" s="17">
        <v>44218</v>
      </c>
      <c r="E455" s="18">
        <v>252</v>
      </c>
      <c r="F455" s="12">
        <f ca="1">IFERROR(__xludf.DUMMYFUNCTION("GOOGLEFINANCE(C455)"),186.2)</f>
        <v>186.2</v>
      </c>
    </row>
    <row r="456" spans="1:6" ht="15" x14ac:dyDescent="0.25">
      <c r="A456" s="14">
        <v>457</v>
      </c>
      <c r="B456" s="15" t="s">
        <v>74</v>
      </c>
      <c r="C456" s="16" t="s">
        <v>75</v>
      </c>
      <c r="D456" s="17">
        <v>44218</v>
      </c>
      <c r="E456" s="18">
        <v>548.5</v>
      </c>
      <c r="F456" s="12">
        <f ca="1">IFERROR(__xludf.DUMMYFUNCTION("GOOGLEFINANCE(C456)"),278.01)</f>
        <v>278.01</v>
      </c>
    </row>
    <row r="457" spans="1:6" ht="15" x14ac:dyDescent="0.25">
      <c r="A457" s="14">
        <v>458</v>
      </c>
      <c r="B457" s="15" t="s">
        <v>76</v>
      </c>
      <c r="C457" s="16" t="s">
        <v>77</v>
      </c>
      <c r="D457" s="17">
        <v>44218</v>
      </c>
      <c r="E457" s="18">
        <v>225.95</v>
      </c>
      <c r="F457" s="12">
        <f ca="1">IFERROR(__xludf.DUMMYFUNCTION("GOOGLEFINANCE(C457)"),323.8)</f>
        <v>323.8</v>
      </c>
    </row>
    <row r="458" spans="1:6" ht="15" x14ac:dyDescent="0.25">
      <c r="A458" s="14">
        <v>459</v>
      </c>
      <c r="B458" s="15" t="s">
        <v>42</v>
      </c>
      <c r="C458" s="16" t="s">
        <v>43</v>
      </c>
      <c r="D458" s="17">
        <v>44218</v>
      </c>
      <c r="E458" s="18">
        <v>153.49</v>
      </c>
      <c r="F458" s="12">
        <f ca="1">IFERROR(__xludf.DUMMYFUNCTION("GOOGLEFINANCE(C458)"),46.28)</f>
        <v>46.28</v>
      </c>
    </row>
    <row r="459" spans="1:6" ht="15" x14ac:dyDescent="0.25">
      <c r="A459" s="14">
        <v>460</v>
      </c>
      <c r="B459" s="15" t="s">
        <v>413</v>
      </c>
      <c r="C459" s="16" t="s">
        <v>414</v>
      </c>
      <c r="D459" s="17">
        <v>44218</v>
      </c>
      <c r="E459" s="18">
        <v>206.14</v>
      </c>
      <c r="F459" s="12">
        <f ca="1">IFERROR(__xludf.DUMMYFUNCTION("GOOGLEFINANCE(C459)"),267.42)</f>
        <v>267.42</v>
      </c>
    </row>
    <row r="460" spans="1:6" ht="15" x14ac:dyDescent="0.25">
      <c r="A460" s="14">
        <v>461</v>
      </c>
      <c r="B460" s="15" t="s">
        <v>291</v>
      </c>
      <c r="C460" s="16" t="s">
        <v>292</v>
      </c>
      <c r="D460" s="17">
        <v>44218</v>
      </c>
      <c r="E460" s="18">
        <v>163.55000000000001</v>
      </c>
      <c r="F460" s="12">
        <f ca="1">IFERROR(__xludf.DUMMYFUNCTION("GOOGLEFINANCE(C460)"),168.23)</f>
        <v>168.23</v>
      </c>
    </row>
    <row r="461" spans="1:6" ht="15" x14ac:dyDescent="0.25">
      <c r="A461" s="14">
        <v>462</v>
      </c>
      <c r="B461" s="15" t="s">
        <v>78</v>
      </c>
      <c r="C461" s="16" t="s">
        <v>79</v>
      </c>
      <c r="D461" s="17">
        <v>44218</v>
      </c>
      <c r="E461" s="18">
        <v>202.25</v>
      </c>
      <c r="F461" s="12">
        <f ca="1">IFERROR(__xludf.DUMMYFUNCTION("GOOGLEFINANCE(C461)"),205.17)</f>
        <v>205.17</v>
      </c>
    </row>
    <row r="462" spans="1:6" ht="15" x14ac:dyDescent="0.25">
      <c r="A462" s="14">
        <v>463</v>
      </c>
      <c r="B462" s="15" t="s">
        <v>140</v>
      </c>
      <c r="C462" s="16" t="s">
        <v>141</v>
      </c>
      <c r="D462" s="17">
        <v>44218</v>
      </c>
      <c r="E462" s="18">
        <v>55.4</v>
      </c>
      <c r="F462" s="12">
        <f ca="1">IFERROR(__xludf.DUMMYFUNCTION("GOOGLEFINANCE(C462)"),55.16)</f>
        <v>55.16</v>
      </c>
    </row>
    <row r="463" spans="1:6" ht="15" x14ac:dyDescent="0.25">
      <c r="A463" s="14">
        <v>464</v>
      </c>
      <c r="B463" s="15" t="s">
        <v>537</v>
      </c>
      <c r="C463" s="16" t="s">
        <v>538</v>
      </c>
      <c r="D463" s="17">
        <v>44218</v>
      </c>
      <c r="E463" s="18">
        <v>14.56</v>
      </c>
      <c r="F463" s="12">
        <f ca="1">IFERROR(__xludf.DUMMYFUNCTION("GOOGLEFINANCE(C463)"),15.78)</f>
        <v>15.78</v>
      </c>
    </row>
    <row r="464" spans="1:6" ht="15" x14ac:dyDescent="0.25">
      <c r="A464" s="14">
        <v>465</v>
      </c>
      <c r="B464" s="15" t="s">
        <v>154</v>
      </c>
      <c r="C464" s="16" t="s">
        <v>155</v>
      </c>
      <c r="D464" s="17">
        <v>44218</v>
      </c>
      <c r="E464" s="18">
        <v>274.5</v>
      </c>
      <c r="F464" s="12">
        <f ca="1">IFERROR(__xludf.DUMMYFUNCTION("GOOGLEFINANCE(C464)"),333.79)</f>
        <v>333.79</v>
      </c>
    </row>
    <row r="465" spans="1:6" ht="15" x14ac:dyDescent="0.25">
      <c r="A465" s="14">
        <v>466</v>
      </c>
      <c r="B465" s="15" t="s">
        <v>539</v>
      </c>
      <c r="C465" s="16" t="s">
        <v>540</v>
      </c>
      <c r="D465" s="17">
        <v>44218</v>
      </c>
      <c r="E465" s="18">
        <v>91.73</v>
      </c>
      <c r="F465" s="12">
        <f ca="1">IFERROR(__xludf.DUMMYFUNCTION("GOOGLEFINANCE(C465)"),113.6)</f>
        <v>113.6</v>
      </c>
    </row>
    <row r="466" spans="1:6" ht="15" x14ac:dyDescent="0.25">
      <c r="A466" s="14">
        <v>467</v>
      </c>
      <c r="B466" s="15" t="s">
        <v>301</v>
      </c>
      <c r="C466" s="16" t="s">
        <v>302</v>
      </c>
      <c r="D466" s="17">
        <v>44218</v>
      </c>
      <c r="E466" s="18">
        <v>92.79</v>
      </c>
      <c r="F466" s="12">
        <f ca="1">IFERROR(__xludf.DUMMYFUNCTION("GOOGLEFINANCE(C466)"),137.75)</f>
        <v>137.75</v>
      </c>
    </row>
    <row r="467" spans="1:6" ht="15" x14ac:dyDescent="0.25">
      <c r="A467" s="14">
        <v>468</v>
      </c>
      <c r="B467" s="15" t="s">
        <v>52</v>
      </c>
      <c r="C467" s="16" t="s">
        <v>53</v>
      </c>
      <c r="D467" s="17">
        <v>44218</v>
      </c>
      <c r="E467" s="18">
        <v>139.07</v>
      </c>
      <c r="F467" s="12">
        <f ca="1">IFERROR(__xludf.DUMMYFUNCTION("GOOGLEFINANCE(C467)"),171.14)</f>
        <v>171.14</v>
      </c>
    </row>
    <row r="468" spans="1:6" ht="15" x14ac:dyDescent="0.25">
      <c r="A468" s="14">
        <v>469</v>
      </c>
      <c r="B468" s="15" t="s">
        <v>102</v>
      </c>
      <c r="C468" s="16" t="s">
        <v>103</v>
      </c>
      <c r="D468" s="17">
        <v>44217</v>
      </c>
      <c r="E468" s="18">
        <v>144.85</v>
      </c>
      <c r="F468" s="12">
        <f ca="1">IFERROR(__xludf.DUMMYFUNCTION("GOOGLEFINANCE(C468)"),138.75)</f>
        <v>138.75</v>
      </c>
    </row>
    <row r="469" spans="1:6" ht="15" x14ac:dyDescent="0.25">
      <c r="A469" s="14">
        <v>470</v>
      </c>
      <c r="B469" s="15" t="s">
        <v>156</v>
      </c>
      <c r="C469" s="16" t="s">
        <v>157</v>
      </c>
      <c r="D469" s="17">
        <v>44217</v>
      </c>
      <c r="E469" s="18">
        <v>844.99</v>
      </c>
      <c r="F469" s="12">
        <f ca="1">IFERROR(__xludf.DUMMYFUNCTION("GOOGLEFINANCE(C469)"),932.57)</f>
        <v>932.57</v>
      </c>
    </row>
    <row r="470" spans="1:6" ht="15" x14ac:dyDescent="0.25">
      <c r="A470" s="14">
        <v>471</v>
      </c>
      <c r="B470" s="15" t="s">
        <v>307</v>
      </c>
      <c r="C470" s="16" t="s">
        <v>308</v>
      </c>
      <c r="D470" s="17">
        <v>44217</v>
      </c>
      <c r="E470" s="18">
        <v>95.19</v>
      </c>
      <c r="F470" s="12">
        <f ca="1">IFERROR(__xludf.DUMMYFUNCTION("GOOGLEFINANCE(C470)"),128.61)</f>
        <v>128.61000000000001</v>
      </c>
    </row>
    <row r="471" spans="1:6" ht="15" x14ac:dyDescent="0.25">
      <c r="A471" s="14">
        <v>472</v>
      </c>
      <c r="B471" s="15" t="s">
        <v>357</v>
      </c>
      <c r="C471" s="16" t="s">
        <v>358</v>
      </c>
      <c r="D471" s="17">
        <v>44217</v>
      </c>
      <c r="E471" s="18">
        <v>191.27</v>
      </c>
      <c r="F471" s="12">
        <f ca="1">IFERROR(__xludf.DUMMYFUNCTION("GOOGLEFINANCE(C471)"),223.31)</f>
        <v>223.31</v>
      </c>
    </row>
    <row r="472" spans="1:6" ht="15" x14ac:dyDescent="0.25">
      <c r="A472" s="14">
        <v>473</v>
      </c>
      <c r="B472" s="15" t="s">
        <v>630</v>
      </c>
      <c r="C472" s="16" t="s">
        <v>631</v>
      </c>
      <c r="D472" s="17">
        <v>44217</v>
      </c>
      <c r="E472" s="18">
        <v>25.45</v>
      </c>
      <c r="F472" s="12" t="str">
        <f ca="1">IFERROR(__xludf.DUMMYFUNCTION("GOOGLEFINANCE(C472)"),"#N/A")</f>
        <v>#N/A</v>
      </c>
    </row>
    <row r="473" spans="1:6" ht="15" x14ac:dyDescent="0.25">
      <c r="A473" s="14">
        <v>474</v>
      </c>
      <c r="B473" s="15" t="s">
        <v>68</v>
      </c>
      <c r="C473" s="16" t="s">
        <v>69</v>
      </c>
      <c r="D473" s="17">
        <v>44217</v>
      </c>
      <c r="E473" s="18">
        <v>104.58</v>
      </c>
      <c r="F473" s="12">
        <f ca="1">IFERROR(__xludf.DUMMYFUNCTION("GOOGLEFINANCE(C473)"),108.63)</f>
        <v>108.63</v>
      </c>
    </row>
    <row r="474" spans="1:6" ht="15" x14ac:dyDescent="0.25">
      <c r="A474" s="14">
        <v>475</v>
      </c>
      <c r="B474" s="15" t="s">
        <v>541</v>
      </c>
      <c r="C474" s="16" t="s">
        <v>542</v>
      </c>
      <c r="D474" s="17">
        <v>44217</v>
      </c>
      <c r="E474" s="18">
        <v>143.53</v>
      </c>
      <c r="F474" s="12">
        <f ca="1">IFERROR(__xludf.DUMMYFUNCTION("GOOGLEFINANCE(C474)"),164.59)</f>
        <v>164.59</v>
      </c>
    </row>
    <row r="475" spans="1:6" ht="15" x14ac:dyDescent="0.25">
      <c r="A475" s="14">
        <v>476</v>
      </c>
      <c r="B475" s="15" t="s">
        <v>114</v>
      </c>
      <c r="C475" s="16" t="s">
        <v>115</v>
      </c>
      <c r="D475" s="17">
        <v>44217</v>
      </c>
      <c r="E475" s="18">
        <v>172.34</v>
      </c>
      <c r="F475" s="12">
        <f ca="1">IFERROR(__xludf.DUMMYFUNCTION("GOOGLEFINANCE(C475)"),248.09)</f>
        <v>248.09</v>
      </c>
    </row>
    <row r="476" spans="1:6" ht="15" x14ac:dyDescent="0.25">
      <c r="A476" s="14">
        <v>477</v>
      </c>
      <c r="B476" s="15" t="s">
        <v>193</v>
      </c>
      <c r="C476" s="16" t="s">
        <v>194</v>
      </c>
      <c r="D476" s="17">
        <v>44217</v>
      </c>
      <c r="E476" s="18">
        <v>120.29</v>
      </c>
      <c r="F476" s="12">
        <f ca="1">IFERROR(__xludf.DUMMYFUNCTION("GOOGLEFINANCE(C476)"),137.54)</f>
        <v>137.54</v>
      </c>
    </row>
    <row r="477" spans="1:6" ht="15" x14ac:dyDescent="0.25">
      <c r="A477" s="14">
        <v>478</v>
      </c>
      <c r="B477" s="15" t="s">
        <v>543</v>
      </c>
      <c r="C477" s="16" t="s">
        <v>544</v>
      </c>
      <c r="D477" s="17">
        <v>44217</v>
      </c>
      <c r="E477" s="18">
        <v>25.36</v>
      </c>
      <c r="F477" s="12">
        <f ca="1">IFERROR(__xludf.DUMMYFUNCTION("GOOGLEFINANCE(C477)"),36.57)</f>
        <v>36.57</v>
      </c>
    </row>
    <row r="478" spans="1:6" ht="15" x14ac:dyDescent="0.25">
      <c r="A478" s="14">
        <v>479</v>
      </c>
      <c r="B478" s="15" t="s">
        <v>118</v>
      </c>
      <c r="C478" s="16" t="s">
        <v>119</v>
      </c>
      <c r="D478" s="17">
        <v>44217</v>
      </c>
      <c r="E478" s="18">
        <v>279.05</v>
      </c>
      <c r="F478" s="12">
        <f ca="1">IFERROR(__xludf.DUMMYFUNCTION("GOOGLEFINANCE(C478)"),387.98)</f>
        <v>387.98</v>
      </c>
    </row>
    <row r="479" spans="1:6" ht="15" x14ac:dyDescent="0.25">
      <c r="A479" s="14">
        <v>480</v>
      </c>
      <c r="B479" s="15" t="s">
        <v>46</v>
      </c>
      <c r="C479" s="16" t="s">
        <v>47</v>
      </c>
      <c r="D479" s="17">
        <v>44217</v>
      </c>
      <c r="E479" s="18">
        <v>42.72</v>
      </c>
      <c r="F479" s="12">
        <f ca="1">IFERROR(__xludf.DUMMYFUNCTION("GOOGLEFINANCE(C479)"),33.69)</f>
        <v>33.69</v>
      </c>
    </row>
    <row r="480" spans="1:6" ht="15" x14ac:dyDescent="0.25">
      <c r="A480" s="14">
        <v>481</v>
      </c>
      <c r="B480" s="15" t="s">
        <v>142</v>
      </c>
      <c r="C480" s="16" t="s">
        <v>143</v>
      </c>
      <c r="D480" s="17">
        <v>44217</v>
      </c>
      <c r="E480" s="18">
        <v>11.53</v>
      </c>
      <c r="F480" s="12">
        <f ca="1">IFERROR(__xludf.DUMMYFUNCTION("GOOGLEFINANCE(C480)"),19.77)</f>
        <v>19.77</v>
      </c>
    </row>
    <row r="481" spans="1:6" ht="15" x14ac:dyDescent="0.25">
      <c r="A481" s="14">
        <v>482</v>
      </c>
      <c r="B481" s="15" t="s">
        <v>80</v>
      </c>
      <c r="C481" s="16" t="s">
        <v>81</v>
      </c>
      <c r="D481" s="17">
        <v>44217</v>
      </c>
      <c r="E481" s="18">
        <v>124.96</v>
      </c>
      <c r="F481" s="12">
        <f ca="1">IFERROR(__xludf.DUMMYFUNCTION("GOOGLEFINANCE(C481)"),139.83)</f>
        <v>139.83000000000001</v>
      </c>
    </row>
    <row r="482" spans="1:6" ht="15" x14ac:dyDescent="0.25">
      <c r="A482" s="14">
        <v>483</v>
      </c>
      <c r="B482" s="15" t="s">
        <v>84</v>
      </c>
      <c r="C482" s="16" t="s">
        <v>85</v>
      </c>
      <c r="D482" s="17">
        <v>44217</v>
      </c>
      <c r="E482" s="18">
        <v>362.8</v>
      </c>
      <c r="F482" s="12">
        <f ca="1">IFERROR(__xludf.DUMMYFUNCTION("GOOGLEFINANCE(C482)"),547.61)</f>
        <v>547.61</v>
      </c>
    </row>
    <row r="483" spans="1:6" ht="15" x14ac:dyDescent="0.25">
      <c r="A483" s="14">
        <v>484</v>
      </c>
      <c r="B483" s="15" t="s">
        <v>503</v>
      </c>
      <c r="C483" s="16" t="s">
        <v>504</v>
      </c>
      <c r="D483" s="17">
        <v>44217</v>
      </c>
      <c r="E483" s="18">
        <v>62.75</v>
      </c>
      <c r="F483" s="12">
        <f ca="1">IFERROR(__xludf.DUMMYFUNCTION("GOOGLEFINANCE(C483)"),83.02)</f>
        <v>83.02</v>
      </c>
    </row>
    <row r="484" spans="1:6" ht="15" x14ac:dyDescent="0.25">
      <c r="A484" s="14">
        <v>485</v>
      </c>
      <c r="B484" s="15" t="s">
        <v>52</v>
      </c>
      <c r="C484" s="16" t="s">
        <v>53</v>
      </c>
      <c r="D484" s="17">
        <v>44217</v>
      </c>
      <c r="E484" s="18">
        <v>136.87</v>
      </c>
      <c r="F484" s="12">
        <f ca="1">IFERROR(__xludf.DUMMYFUNCTION("GOOGLEFINANCE(C484)"),171.14)</f>
        <v>171.14</v>
      </c>
    </row>
    <row r="485" spans="1:6" ht="15" x14ac:dyDescent="0.25">
      <c r="A485" s="14">
        <v>486</v>
      </c>
      <c r="B485" s="15" t="s">
        <v>353</v>
      </c>
      <c r="C485" s="16" t="s">
        <v>354</v>
      </c>
      <c r="D485" s="17">
        <v>44216</v>
      </c>
      <c r="E485" s="18">
        <v>382.8</v>
      </c>
      <c r="F485" s="12">
        <f ca="1">IFERROR(__xludf.DUMMYFUNCTION("GOOGLEFINANCE(C485)"),199.74)</f>
        <v>199.74</v>
      </c>
    </row>
    <row r="486" spans="1:6" ht="15" x14ac:dyDescent="0.25">
      <c r="A486" s="14">
        <v>487</v>
      </c>
      <c r="B486" s="15" t="s">
        <v>377</v>
      </c>
      <c r="C486" s="16" t="s">
        <v>378</v>
      </c>
      <c r="D486" s="17">
        <v>44216</v>
      </c>
      <c r="E486" s="18">
        <v>810.99</v>
      </c>
      <c r="F486" s="12">
        <f ca="1">IFERROR(__xludf.DUMMYFUNCTION("GOOGLEFINANCE(C486)"),89.99)</f>
        <v>89.99</v>
      </c>
    </row>
    <row r="487" spans="1:6" ht="15" x14ac:dyDescent="0.25">
      <c r="A487" s="14">
        <v>488</v>
      </c>
      <c r="B487" s="15" t="s">
        <v>156</v>
      </c>
      <c r="C487" s="16" t="s">
        <v>157</v>
      </c>
      <c r="D487" s="17">
        <v>44216</v>
      </c>
      <c r="E487" s="18">
        <v>850.45</v>
      </c>
      <c r="F487" s="12">
        <f ca="1">IFERROR(__xludf.DUMMYFUNCTION("GOOGLEFINANCE(C487)"),932.57)</f>
        <v>932.57</v>
      </c>
    </row>
    <row r="488" spans="1:6" ht="15" x14ac:dyDescent="0.25">
      <c r="A488" s="14">
        <v>489</v>
      </c>
      <c r="B488" s="15" t="s">
        <v>489</v>
      </c>
      <c r="C488" s="16" t="s">
        <v>490</v>
      </c>
      <c r="D488" s="17">
        <v>44216</v>
      </c>
      <c r="E488" s="18">
        <v>91.26</v>
      </c>
      <c r="F488" s="12">
        <f ca="1">IFERROR(__xludf.DUMMYFUNCTION("GOOGLEFINANCE(C488)"),44.26)</f>
        <v>44.26</v>
      </c>
    </row>
    <row r="489" spans="1:6" ht="15" x14ac:dyDescent="0.25">
      <c r="A489" s="14">
        <v>490</v>
      </c>
      <c r="B489" s="15" t="s">
        <v>545</v>
      </c>
      <c r="C489" s="16" t="s">
        <v>546</v>
      </c>
      <c r="D489" s="17">
        <v>44216</v>
      </c>
      <c r="E489" s="18">
        <v>26.34</v>
      </c>
      <c r="F489" s="12">
        <f ca="1">IFERROR(__xludf.DUMMYFUNCTION("GOOGLEFINANCE(C489)"),19.06)</f>
        <v>19.059999999999999</v>
      </c>
    </row>
    <row r="490" spans="1:6" ht="15" x14ac:dyDescent="0.25">
      <c r="A490" s="14">
        <v>491</v>
      </c>
      <c r="B490" s="15" t="s">
        <v>337</v>
      </c>
      <c r="C490" s="16" t="s">
        <v>338</v>
      </c>
      <c r="D490" s="17">
        <v>44216</v>
      </c>
      <c r="E490" s="18">
        <v>370.55</v>
      </c>
      <c r="F490" s="12">
        <f ca="1">IFERROR(__xludf.DUMMYFUNCTION("GOOGLEFINANCE(C490)"),530.14)</f>
        <v>530.14</v>
      </c>
    </row>
    <row r="491" spans="1:6" ht="15" x14ac:dyDescent="0.25">
      <c r="A491" s="14">
        <v>492</v>
      </c>
      <c r="B491" s="15" t="s">
        <v>148</v>
      </c>
      <c r="C491" s="16" t="s">
        <v>149</v>
      </c>
      <c r="D491" s="17">
        <v>44216</v>
      </c>
      <c r="E491" s="18">
        <v>586.34</v>
      </c>
      <c r="F491" s="12">
        <f ca="1">IFERROR(__xludf.DUMMYFUNCTION("GOOGLEFINANCE(C491)"),586.73)</f>
        <v>586.73</v>
      </c>
    </row>
    <row r="492" spans="1:6" ht="15" x14ac:dyDescent="0.25">
      <c r="A492" s="14">
        <v>493</v>
      </c>
      <c r="B492" s="15" t="s">
        <v>547</v>
      </c>
      <c r="C492" s="16" t="s">
        <v>548</v>
      </c>
      <c r="D492" s="17">
        <v>44216</v>
      </c>
      <c r="E492" s="18">
        <v>74.84</v>
      </c>
      <c r="F492" s="12">
        <f ca="1">IFERROR(__xludf.DUMMYFUNCTION("GOOGLEFINANCE(C492)"),97.13)</f>
        <v>97.13</v>
      </c>
    </row>
    <row r="493" spans="1:6" ht="15" x14ac:dyDescent="0.25">
      <c r="A493" s="14">
        <v>494</v>
      </c>
      <c r="B493" s="15" t="s">
        <v>549</v>
      </c>
      <c r="C493" s="16" t="s">
        <v>550</v>
      </c>
      <c r="D493" s="17">
        <v>44216</v>
      </c>
      <c r="E493" s="18">
        <v>25.49</v>
      </c>
      <c r="F493" s="12">
        <f ca="1">IFERROR(__xludf.DUMMYFUNCTION("GOOGLEFINANCE(C493)"),13.71)</f>
        <v>13.71</v>
      </c>
    </row>
    <row r="494" spans="1:6" ht="15" x14ac:dyDescent="0.25">
      <c r="A494" s="14">
        <v>495</v>
      </c>
      <c r="B494" s="15" t="s">
        <v>203</v>
      </c>
      <c r="C494" s="16" t="s">
        <v>204</v>
      </c>
      <c r="D494" s="17">
        <v>44216</v>
      </c>
      <c r="E494" s="18">
        <v>173.64</v>
      </c>
      <c r="F494" s="12">
        <f ca="1">IFERROR(__xludf.DUMMYFUNCTION("GOOGLEFINANCE(C494)"),148.76)</f>
        <v>148.76</v>
      </c>
    </row>
    <row r="495" spans="1:6" ht="15" x14ac:dyDescent="0.25">
      <c r="A495" s="14">
        <v>496</v>
      </c>
      <c r="B495" s="15" t="s">
        <v>439</v>
      </c>
      <c r="C495" s="16" t="s">
        <v>440</v>
      </c>
      <c r="D495" s="17">
        <v>44216</v>
      </c>
      <c r="E495" s="18">
        <v>75.25</v>
      </c>
      <c r="F495" s="12">
        <f ca="1">IFERROR(__xludf.DUMMYFUNCTION("GOOGLEFINANCE(C495)"),100.36)</f>
        <v>100.36</v>
      </c>
    </row>
    <row r="496" spans="1:6" ht="15" x14ac:dyDescent="0.25">
      <c r="A496" s="14">
        <v>497</v>
      </c>
      <c r="B496" s="15" t="s">
        <v>503</v>
      </c>
      <c r="C496" s="16" t="s">
        <v>504</v>
      </c>
      <c r="D496" s="17">
        <v>44216</v>
      </c>
      <c r="E496" s="18">
        <v>62.42</v>
      </c>
      <c r="F496" s="12">
        <f ca="1">IFERROR(__xludf.DUMMYFUNCTION("GOOGLEFINANCE(C496)"),83.02)</f>
        <v>83.02</v>
      </c>
    </row>
    <row r="497" spans="1:6" ht="15" x14ac:dyDescent="0.25">
      <c r="A497" s="14">
        <v>498</v>
      </c>
      <c r="B497" s="15" t="s">
        <v>52</v>
      </c>
      <c r="C497" s="16" t="s">
        <v>53</v>
      </c>
      <c r="D497" s="17">
        <v>44216</v>
      </c>
      <c r="E497" s="18">
        <v>132.03</v>
      </c>
      <c r="F497" s="12">
        <f ca="1">IFERROR(__xludf.DUMMYFUNCTION("GOOGLEFINANCE(C497)"),171.14)</f>
        <v>171.14</v>
      </c>
    </row>
    <row r="498" spans="1:6" ht="15" x14ac:dyDescent="0.25">
      <c r="A498" s="14">
        <v>499</v>
      </c>
      <c r="B498" s="15" t="s">
        <v>343</v>
      </c>
      <c r="C498" s="16" t="s">
        <v>344</v>
      </c>
      <c r="D498" s="17">
        <v>44215</v>
      </c>
      <c r="E498" s="18">
        <v>107.25</v>
      </c>
      <c r="F498" s="12">
        <f ca="1">IFERROR(__xludf.DUMMYFUNCTION("GOOGLEFINANCE(C498)"),115.05)</f>
        <v>115.05</v>
      </c>
    </row>
    <row r="499" spans="1:6" ht="15" x14ac:dyDescent="0.25">
      <c r="A499" s="14">
        <v>500</v>
      </c>
      <c r="B499" s="15" t="s">
        <v>551</v>
      </c>
      <c r="C499" s="16" t="s">
        <v>552</v>
      </c>
      <c r="D499" s="17">
        <v>44215</v>
      </c>
      <c r="E499" s="18">
        <v>97.32</v>
      </c>
      <c r="F499" s="12">
        <f ca="1">IFERROR(__xludf.DUMMYFUNCTION("GOOGLEFINANCE(C499)"),97.74)</f>
        <v>97.74</v>
      </c>
    </row>
    <row r="500" spans="1:6" ht="15" x14ac:dyDescent="0.25">
      <c r="A500" s="14">
        <v>501</v>
      </c>
      <c r="B500" s="15" t="s">
        <v>541</v>
      </c>
      <c r="C500" s="16" t="s">
        <v>542</v>
      </c>
      <c r="D500" s="17">
        <v>44215</v>
      </c>
      <c r="E500" s="18">
        <v>145.04</v>
      </c>
      <c r="F500" s="12">
        <f ca="1">IFERROR(__xludf.DUMMYFUNCTION("GOOGLEFINANCE(C500)"),164.59)</f>
        <v>164.59</v>
      </c>
    </row>
    <row r="501" spans="1:6" ht="15" x14ac:dyDescent="0.25">
      <c r="A501" s="14">
        <v>502</v>
      </c>
      <c r="B501" s="15" t="s">
        <v>345</v>
      </c>
      <c r="C501" s="16" t="s">
        <v>346</v>
      </c>
      <c r="D501" s="17">
        <v>44215</v>
      </c>
      <c r="E501" s="18">
        <v>100.42</v>
      </c>
      <c r="F501" s="12">
        <f ca="1">IFERROR(__xludf.DUMMYFUNCTION("GOOGLEFINANCE(C501)"),48.22)</f>
        <v>48.22</v>
      </c>
    </row>
    <row r="502" spans="1:6" ht="15" x14ac:dyDescent="0.25">
      <c r="A502" s="14">
        <v>503</v>
      </c>
      <c r="B502" s="15" t="s">
        <v>499</v>
      </c>
      <c r="C502" s="16" t="s">
        <v>500</v>
      </c>
      <c r="D502" s="17">
        <v>44215</v>
      </c>
      <c r="E502" s="18">
        <v>139.27000000000001</v>
      </c>
      <c r="F502" s="12">
        <f ca="1">IFERROR(__xludf.DUMMYFUNCTION("GOOGLEFINANCE(C502)"),161.36)</f>
        <v>161.36000000000001</v>
      </c>
    </row>
    <row r="503" spans="1:6" ht="15" x14ac:dyDescent="0.25">
      <c r="A503" s="14">
        <v>504</v>
      </c>
      <c r="B503" s="15" t="s">
        <v>148</v>
      </c>
      <c r="C503" s="16" t="s">
        <v>149</v>
      </c>
      <c r="D503" s="17">
        <v>44215</v>
      </c>
      <c r="E503" s="18">
        <v>501.77</v>
      </c>
      <c r="F503" s="12">
        <f ca="1">IFERROR(__xludf.DUMMYFUNCTION("GOOGLEFINANCE(C503)"),586.73)</f>
        <v>586.73</v>
      </c>
    </row>
    <row r="504" spans="1:6" ht="15" x14ac:dyDescent="0.25">
      <c r="A504" s="14">
        <v>505</v>
      </c>
      <c r="B504" s="15" t="s">
        <v>58</v>
      </c>
      <c r="C504" s="16" t="s">
        <v>59</v>
      </c>
      <c r="D504" s="17">
        <v>44215</v>
      </c>
      <c r="E504" s="18">
        <v>97.73</v>
      </c>
      <c r="F504" s="12">
        <f ca="1">IFERROR(__xludf.DUMMYFUNCTION("GOOGLEFINANCE(C504)"),83.3)</f>
        <v>83.3</v>
      </c>
    </row>
    <row r="505" spans="1:6" ht="15" x14ac:dyDescent="0.25">
      <c r="A505" s="14">
        <v>506</v>
      </c>
      <c r="B505" s="15" t="s">
        <v>18</v>
      </c>
      <c r="C505" s="16" t="s">
        <v>19</v>
      </c>
      <c r="D505" s="17">
        <v>44215</v>
      </c>
      <c r="E505" s="18">
        <v>138.04</v>
      </c>
      <c r="F505" s="12">
        <f ca="1">IFERROR(__xludf.DUMMYFUNCTION("GOOGLEFINANCE(C505)"),156.76)</f>
        <v>156.76</v>
      </c>
    </row>
    <row r="506" spans="1:6" ht="15" x14ac:dyDescent="0.25">
      <c r="A506" s="14">
        <v>507</v>
      </c>
      <c r="B506" s="15" t="s">
        <v>22</v>
      </c>
      <c r="C506" s="16" t="s">
        <v>23</v>
      </c>
      <c r="D506" s="17">
        <v>44215</v>
      </c>
      <c r="E506" s="18">
        <v>294.2</v>
      </c>
      <c r="F506" s="12">
        <f ca="1">IFERROR(__xludf.DUMMYFUNCTION("GOOGLEFINANCE(C506)"),381.8)</f>
        <v>381.8</v>
      </c>
    </row>
    <row r="507" spans="1:6" ht="15" x14ac:dyDescent="0.25">
      <c r="A507" s="14">
        <v>508</v>
      </c>
      <c r="B507" s="15" t="s">
        <v>60</v>
      </c>
      <c r="C507" s="16" t="s">
        <v>61</v>
      </c>
      <c r="D507" s="17">
        <v>44215</v>
      </c>
      <c r="E507" s="18">
        <v>51.29</v>
      </c>
      <c r="F507" s="12">
        <f ca="1">IFERROR(__xludf.DUMMYFUNCTION("GOOGLEFINANCE(C507)"),28.67)</f>
        <v>28.67</v>
      </c>
    </row>
    <row r="508" spans="1:6" ht="15" x14ac:dyDescent="0.25">
      <c r="A508" s="14">
        <v>509</v>
      </c>
      <c r="B508" s="15" t="s">
        <v>203</v>
      </c>
      <c r="C508" s="16" t="s">
        <v>204</v>
      </c>
      <c r="D508" s="17">
        <v>44215</v>
      </c>
      <c r="E508" s="18">
        <v>172.26</v>
      </c>
      <c r="F508" s="12">
        <f ca="1">IFERROR(__xludf.DUMMYFUNCTION("GOOGLEFINANCE(C508)"),148.76)</f>
        <v>148.76</v>
      </c>
    </row>
    <row r="509" spans="1:6" ht="15" x14ac:dyDescent="0.25">
      <c r="A509" s="14">
        <v>510</v>
      </c>
      <c r="B509" s="15" t="s">
        <v>437</v>
      </c>
      <c r="C509" s="16" t="s">
        <v>438</v>
      </c>
      <c r="D509" s="17">
        <v>44215</v>
      </c>
      <c r="E509" s="18">
        <v>84.46</v>
      </c>
      <c r="F509" s="12">
        <f ca="1">IFERROR(__xludf.DUMMYFUNCTION("GOOGLEFINANCE(C509)"),76.51)</f>
        <v>76.510000000000005</v>
      </c>
    </row>
    <row r="510" spans="1:6" ht="15" x14ac:dyDescent="0.25">
      <c r="A510" s="14">
        <v>511</v>
      </c>
      <c r="B510" s="15" t="s">
        <v>339</v>
      </c>
      <c r="C510" s="16" t="s">
        <v>340</v>
      </c>
      <c r="D510" s="17">
        <v>44215</v>
      </c>
      <c r="E510" s="18">
        <v>33.56</v>
      </c>
      <c r="F510" s="12">
        <f ca="1">IFERROR(__xludf.DUMMYFUNCTION("GOOGLEFINANCE(C510)"),9.59)</f>
        <v>9.59</v>
      </c>
    </row>
    <row r="511" spans="1:6" ht="15" x14ac:dyDescent="0.25">
      <c r="A511" s="14">
        <v>512</v>
      </c>
      <c r="B511" s="15" t="s">
        <v>26</v>
      </c>
      <c r="C511" s="16" t="s">
        <v>27</v>
      </c>
      <c r="D511" s="17">
        <v>44215</v>
      </c>
      <c r="E511" s="18">
        <v>32.770000000000003</v>
      </c>
      <c r="F511" s="12">
        <f ca="1">IFERROR(__xludf.DUMMYFUNCTION("GOOGLEFINANCE(C511)"),43.88)</f>
        <v>43.88</v>
      </c>
    </row>
    <row r="512" spans="1:6" ht="15" x14ac:dyDescent="0.25">
      <c r="A512" s="14">
        <v>513</v>
      </c>
      <c r="B512" s="15" t="s">
        <v>52</v>
      </c>
      <c r="C512" s="16" t="s">
        <v>53</v>
      </c>
      <c r="D512" s="17">
        <v>44215</v>
      </c>
      <c r="E512" s="18">
        <v>127.83</v>
      </c>
      <c r="F512" s="12">
        <f ca="1">IFERROR(__xludf.DUMMYFUNCTION("GOOGLEFINANCE(C512)"),171.14)</f>
        <v>171.14</v>
      </c>
    </row>
    <row r="513" spans="1:6" ht="15" x14ac:dyDescent="0.25">
      <c r="A513" s="14">
        <v>514</v>
      </c>
      <c r="B513" s="15" t="s">
        <v>243</v>
      </c>
      <c r="C513" s="16" t="s">
        <v>244</v>
      </c>
      <c r="D513" s="17">
        <v>44211</v>
      </c>
      <c r="E513" s="18">
        <v>56</v>
      </c>
      <c r="F513" s="12">
        <f ca="1">IFERROR(__xludf.DUMMYFUNCTION("GOOGLEFINANCE(C513)"),139.18)</f>
        <v>139.18</v>
      </c>
    </row>
    <row r="514" spans="1:6" ht="15" x14ac:dyDescent="0.25">
      <c r="A514" s="14">
        <v>515</v>
      </c>
      <c r="B514" s="15" t="s">
        <v>8</v>
      </c>
      <c r="C514" s="16" t="s">
        <v>9</v>
      </c>
      <c r="D514" s="17">
        <v>44211</v>
      </c>
      <c r="E514" s="18">
        <v>351.3</v>
      </c>
      <c r="F514" s="12">
        <f ca="1">IFERROR(__xludf.DUMMYFUNCTION("GOOGLEFINANCE(C514)"),487.12)</f>
        <v>487.12</v>
      </c>
    </row>
    <row r="515" spans="1:6" ht="15" x14ac:dyDescent="0.25">
      <c r="A515" s="14">
        <v>516</v>
      </c>
      <c r="B515" s="15" t="s">
        <v>146</v>
      </c>
      <c r="C515" s="16" t="s">
        <v>147</v>
      </c>
      <c r="D515" s="17">
        <v>44211</v>
      </c>
      <c r="E515" s="18">
        <v>125.23</v>
      </c>
      <c r="F515" s="12">
        <f ca="1">IFERROR(__xludf.DUMMYFUNCTION("GOOGLEFINANCE(C515)"),116.32)</f>
        <v>116.32</v>
      </c>
    </row>
    <row r="516" spans="1:6" ht="15" x14ac:dyDescent="0.25">
      <c r="A516" s="14">
        <v>517</v>
      </c>
      <c r="B516" s="15" t="s">
        <v>156</v>
      </c>
      <c r="C516" s="16" t="s">
        <v>157</v>
      </c>
      <c r="D516" s="17">
        <v>44211</v>
      </c>
      <c r="E516" s="18">
        <v>826.16</v>
      </c>
      <c r="F516" s="12">
        <f ca="1">IFERROR(__xludf.DUMMYFUNCTION("GOOGLEFINANCE(C516)"),932.57)</f>
        <v>932.57</v>
      </c>
    </row>
    <row r="517" spans="1:6" ht="15" x14ac:dyDescent="0.25">
      <c r="A517" s="14">
        <v>518</v>
      </c>
      <c r="B517" s="15" t="s">
        <v>553</v>
      </c>
      <c r="C517" s="16" t="s">
        <v>554</v>
      </c>
      <c r="D517" s="17">
        <v>44211</v>
      </c>
      <c r="E517" s="18">
        <v>127.28</v>
      </c>
      <c r="F517" s="12">
        <f ca="1">IFERROR(__xludf.DUMMYFUNCTION("GOOGLEFINANCE(C517)"),119.81)</f>
        <v>119.81</v>
      </c>
    </row>
    <row r="518" spans="1:6" ht="15" x14ac:dyDescent="0.25">
      <c r="A518" s="14">
        <v>519</v>
      </c>
      <c r="B518" s="15" t="s">
        <v>457</v>
      </c>
      <c r="C518" s="16" t="s">
        <v>458</v>
      </c>
      <c r="D518" s="17">
        <v>44211</v>
      </c>
      <c r="E518" s="18">
        <v>152</v>
      </c>
      <c r="F518" s="12">
        <f ca="1">IFERROR(__xludf.DUMMYFUNCTION("GOOGLEFINANCE(C518)"),151.7)</f>
        <v>151.69999999999999</v>
      </c>
    </row>
    <row r="519" spans="1:6" ht="15" x14ac:dyDescent="0.25">
      <c r="A519" s="14">
        <v>520</v>
      </c>
      <c r="B519" s="15" t="s">
        <v>555</v>
      </c>
      <c r="C519" s="16" t="s">
        <v>556</v>
      </c>
      <c r="D519" s="17">
        <v>44211</v>
      </c>
      <c r="E519" s="18">
        <v>12.3</v>
      </c>
      <c r="F519" s="12">
        <f ca="1">IFERROR(__xludf.DUMMYFUNCTION("GOOGLEFINANCE(C519)"),5.29)</f>
        <v>5.29</v>
      </c>
    </row>
    <row r="520" spans="1:6" ht="15" x14ac:dyDescent="0.25">
      <c r="A520" s="14">
        <v>521</v>
      </c>
      <c r="B520" s="15" t="s">
        <v>557</v>
      </c>
      <c r="C520" s="16" t="s">
        <v>558</v>
      </c>
      <c r="D520" s="17">
        <v>44211</v>
      </c>
      <c r="E520" s="18">
        <v>305.95</v>
      </c>
      <c r="F520" s="12">
        <f ca="1">IFERROR(__xludf.DUMMYFUNCTION("GOOGLEFINANCE(C520)"),467.64)</f>
        <v>467.64</v>
      </c>
    </row>
    <row r="521" spans="1:6" ht="15" x14ac:dyDescent="0.25">
      <c r="A521" s="14">
        <v>522</v>
      </c>
      <c r="B521" s="15" t="s">
        <v>429</v>
      </c>
      <c r="C521" s="16" t="s">
        <v>430</v>
      </c>
      <c r="D521" s="17">
        <v>44211</v>
      </c>
      <c r="E521" s="18">
        <v>408.3</v>
      </c>
      <c r="F521" s="12">
        <f ca="1">IFERROR(__xludf.DUMMYFUNCTION("GOOGLEFINANCE(C521)"),236.46)</f>
        <v>236.46</v>
      </c>
    </row>
    <row r="522" spans="1:6" ht="15" x14ac:dyDescent="0.25">
      <c r="A522" s="14">
        <v>523</v>
      </c>
      <c r="B522" s="15" t="s">
        <v>559</v>
      </c>
      <c r="C522" s="16" t="s">
        <v>560</v>
      </c>
      <c r="D522" s="17">
        <v>44211</v>
      </c>
      <c r="E522" s="18">
        <v>157.09</v>
      </c>
      <c r="F522" s="12">
        <f ca="1">IFERROR(__xludf.DUMMYFUNCTION("GOOGLEFINANCE(C522)"),176.8)</f>
        <v>176.8</v>
      </c>
    </row>
    <row r="523" spans="1:6" ht="15" x14ac:dyDescent="0.25">
      <c r="A523" s="14">
        <v>524</v>
      </c>
      <c r="B523" s="15" t="s">
        <v>561</v>
      </c>
      <c r="C523" s="16" t="s">
        <v>562</v>
      </c>
      <c r="D523" s="17">
        <v>44211</v>
      </c>
      <c r="E523" s="18">
        <v>134.78</v>
      </c>
      <c r="F523" s="12">
        <f ca="1">IFERROR(__xludf.DUMMYFUNCTION("GOOGLEFINANCE(C523)"),157.46)</f>
        <v>157.46</v>
      </c>
    </row>
    <row r="524" spans="1:6" ht="15" x14ac:dyDescent="0.25">
      <c r="A524" s="14">
        <v>525</v>
      </c>
      <c r="B524" s="15" t="s">
        <v>547</v>
      </c>
      <c r="C524" s="16" t="s">
        <v>548</v>
      </c>
      <c r="D524" s="17">
        <v>44211</v>
      </c>
      <c r="E524" s="18">
        <v>75.239999999999995</v>
      </c>
      <c r="F524" s="12">
        <f ca="1">IFERROR(__xludf.DUMMYFUNCTION("GOOGLEFINANCE(C524)"),97.13)</f>
        <v>97.13</v>
      </c>
    </row>
    <row r="525" spans="1:6" ht="15" x14ac:dyDescent="0.25">
      <c r="A525" s="14">
        <v>526</v>
      </c>
      <c r="B525" s="15" t="s">
        <v>225</v>
      </c>
      <c r="C525" s="16" t="s">
        <v>226</v>
      </c>
      <c r="D525" s="17">
        <v>44211</v>
      </c>
      <c r="E525" s="18">
        <v>50.77</v>
      </c>
      <c r="F525" s="12">
        <f ca="1">IFERROR(__xludf.DUMMYFUNCTION("GOOGLEFINANCE(C525)"),84.03)</f>
        <v>84.03</v>
      </c>
    </row>
    <row r="526" spans="1:6" ht="15" x14ac:dyDescent="0.25">
      <c r="A526" s="14">
        <v>527</v>
      </c>
      <c r="B526" s="15" t="s">
        <v>201</v>
      </c>
      <c r="C526" s="16" t="s">
        <v>202</v>
      </c>
      <c r="D526" s="17">
        <v>44211</v>
      </c>
      <c r="E526" s="18">
        <v>14.12</v>
      </c>
      <c r="F526" s="12">
        <f ca="1">IFERROR(__xludf.DUMMYFUNCTION("GOOGLEFINANCE(C526)"),6.25)</f>
        <v>6.25</v>
      </c>
    </row>
    <row r="527" spans="1:6" ht="15" x14ac:dyDescent="0.25">
      <c r="A527" s="14">
        <v>528</v>
      </c>
      <c r="B527" s="15" t="s">
        <v>22</v>
      </c>
      <c r="C527" s="16" t="s">
        <v>23</v>
      </c>
      <c r="D527" s="17">
        <v>44211</v>
      </c>
      <c r="E527" s="18">
        <v>301.01</v>
      </c>
      <c r="F527" s="12">
        <f ca="1">IFERROR(__xludf.DUMMYFUNCTION("GOOGLEFINANCE(C527)"),381.8)</f>
        <v>381.8</v>
      </c>
    </row>
    <row r="528" spans="1:6" ht="15" x14ac:dyDescent="0.25">
      <c r="A528" s="14">
        <v>529</v>
      </c>
      <c r="B528" s="15" t="s">
        <v>140</v>
      </c>
      <c r="C528" s="16" t="s">
        <v>141</v>
      </c>
      <c r="D528" s="17">
        <v>44211</v>
      </c>
      <c r="E528" s="18">
        <v>49.97</v>
      </c>
      <c r="F528" s="12">
        <f ca="1">IFERROR(__xludf.DUMMYFUNCTION("GOOGLEFINANCE(C528)"),55.16)</f>
        <v>55.16</v>
      </c>
    </row>
    <row r="529" spans="1:6" ht="15" x14ac:dyDescent="0.25">
      <c r="A529" s="14">
        <v>530</v>
      </c>
      <c r="B529" s="15" t="s">
        <v>142</v>
      </c>
      <c r="C529" s="16" t="s">
        <v>143</v>
      </c>
      <c r="D529" s="17">
        <v>44211</v>
      </c>
      <c r="E529" s="18">
        <v>9.83</v>
      </c>
      <c r="F529" s="12">
        <f ca="1">IFERROR(__xludf.DUMMYFUNCTION("GOOGLEFINANCE(C529)"),19.77)</f>
        <v>19.77</v>
      </c>
    </row>
    <row r="530" spans="1:6" ht="15" x14ac:dyDescent="0.25">
      <c r="A530" s="14">
        <v>531</v>
      </c>
      <c r="B530" s="15" t="s">
        <v>231</v>
      </c>
      <c r="C530" s="16" t="s">
        <v>232</v>
      </c>
      <c r="D530" s="17">
        <v>44211</v>
      </c>
      <c r="E530" s="18">
        <v>93.42</v>
      </c>
      <c r="F530" s="12">
        <f ca="1">IFERROR(__xludf.DUMMYFUNCTION("GOOGLEFINANCE(C530)"),35.72)</f>
        <v>35.72</v>
      </c>
    </row>
    <row r="531" spans="1:6" ht="15" x14ac:dyDescent="0.25">
      <c r="A531" s="14">
        <v>532</v>
      </c>
      <c r="B531" s="15" t="s">
        <v>144</v>
      </c>
      <c r="C531" s="16" t="s">
        <v>145</v>
      </c>
      <c r="D531" s="17">
        <v>44211</v>
      </c>
      <c r="E531" s="18">
        <v>157.25</v>
      </c>
      <c r="F531" s="12">
        <f ca="1">IFERROR(__xludf.DUMMYFUNCTION("GOOGLEFINANCE(C531)"),201.34)</f>
        <v>201.34</v>
      </c>
    </row>
    <row r="532" spans="1:6" ht="15" x14ac:dyDescent="0.25">
      <c r="A532" s="14">
        <v>533</v>
      </c>
      <c r="B532" s="15" t="s">
        <v>86</v>
      </c>
      <c r="C532" s="16" t="s">
        <v>87</v>
      </c>
      <c r="D532" s="17">
        <v>44211</v>
      </c>
      <c r="E532" s="18">
        <v>204.32</v>
      </c>
      <c r="F532" s="12">
        <f ca="1">IFERROR(__xludf.DUMMYFUNCTION("GOOGLEFINANCE(C532)"),192.63)</f>
        <v>192.63</v>
      </c>
    </row>
    <row r="533" spans="1:6" ht="15" x14ac:dyDescent="0.25">
      <c r="A533" s="14">
        <v>534</v>
      </c>
      <c r="B533" s="15" t="s">
        <v>52</v>
      </c>
      <c r="C533" s="16" t="s">
        <v>53</v>
      </c>
      <c r="D533" s="17">
        <v>44211</v>
      </c>
      <c r="E533" s="18">
        <v>127.14</v>
      </c>
      <c r="F533" s="12">
        <f ca="1">IFERROR(__xludf.DUMMYFUNCTION("GOOGLEFINANCE(C533)"),171.14)</f>
        <v>171.14</v>
      </c>
    </row>
    <row r="534" spans="1:6" ht="15" x14ac:dyDescent="0.25">
      <c r="A534" s="14">
        <v>535</v>
      </c>
      <c r="B534" s="15" t="s">
        <v>245</v>
      </c>
      <c r="C534" s="16" t="s">
        <v>246</v>
      </c>
      <c r="D534" s="17">
        <v>44210</v>
      </c>
      <c r="E534" s="18">
        <v>41.39</v>
      </c>
      <c r="F534" s="12">
        <f ca="1">IFERROR(__xludf.DUMMYFUNCTION("GOOGLEFINANCE(C534)"),83.7)</f>
        <v>83.7</v>
      </c>
    </row>
    <row r="535" spans="1:6" ht="15" x14ac:dyDescent="0.25">
      <c r="A535" s="14">
        <v>536</v>
      </c>
      <c r="B535" s="15" t="s">
        <v>563</v>
      </c>
      <c r="C535" s="16" t="s">
        <v>564</v>
      </c>
      <c r="D535" s="17">
        <v>44210</v>
      </c>
      <c r="E535" s="18">
        <v>22</v>
      </c>
      <c r="F535" s="12">
        <f ca="1">IFERROR(__xludf.DUMMYFUNCTION("GOOGLEFINANCE(C535)"),4.01)</f>
        <v>4.01</v>
      </c>
    </row>
    <row r="536" spans="1:6" ht="15" x14ac:dyDescent="0.25">
      <c r="A536" s="14">
        <v>537</v>
      </c>
      <c r="B536" s="15" t="s">
        <v>249</v>
      </c>
      <c r="C536" s="16" t="s">
        <v>250</v>
      </c>
      <c r="D536" s="17">
        <v>44210</v>
      </c>
      <c r="E536" s="18">
        <v>66.540000000000006</v>
      </c>
      <c r="F536" s="12">
        <f ca="1">IFERROR(__xludf.DUMMYFUNCTION("GOOGLEFINANCE(C536)"),29.75)</f>
        <v>29.75</v>
      </c>
    </row>
    <row r="537" spans="1:6" ht="15" x14ac:dyDescent="0.25">
      <c r="A537" s="14">
        <v>538</v>
      </c>
      <c r="B537" s="15" t="s">
        <v>491</v>
      </c>
      <c r="C537" s="16" t="s">
        <v>492</v>
      </c>
      <c r="D537" s="17">
        <v>44210</v>
      </c>
      <c r="E537" s="18">
        <v>141.76</v>
      </c>
      <c r="F537" s="12">
        <f ca="1">IFERROR(__xludf.DUMMYFUNCTION("GOOGLEFINANCE(C537)"),168.3)</f>
        <v>168.3</v>
      </c>
    </row>
    <row r="538" spans="1:6" ht="15" x14ac:dyDescent="0.25">
      <c r="A538" s="14">
        <v>539</v>
      </c>
      <c r="B538" s="15" t="s">
        <v>632</v>
      </c>
      <c r="C538" s="16" t="s">
        <v>633</v>
      </c>
      <c r="D538" s="17">
        <v>44210</v>
      </c>
      <c r="E538" s="18">
        <v>32.75</v>
      </c>
      <c r="F538" s="12" t="str">
        <f ca="1">IFERROR(__xludf.DUMMYFUNCTION("GOOGLEFINANCE(C538)"),"#N/A")</f>
        <v>#N/A</v>
      </c>
    </row>
    <row r="539" spans="1:6" ht="15" x14ac:dyDescent="0.25">
      <c r="A539" s="14">
        <v>540</v>
      </c>
      <c r="B539" s="15" t="s">
        <v>78</v>
      </c>
      <c r="C539" s="16" t="s">
        <v>79</v>
      </c>
      <c r="D539" s="17">
        <v>44210</v>
      </c>
      <c r="E539" s="18">
        <v>208.61</v>
      </c>
      <c r="F539" s="12">
        <f ca="1">IFERROR(__xludf.DUMMYFUNCTION("GOOGLEFINANCE(C539)"),205.17)</f>
        <v>205.17</v>
      </c>
    </row>
    <row r="540" spans="1:6" ht="15" x14ac:dyDescent="0.25">
      <c r="A540" s="14">
        <v>541</v>
      </c>
      <c r="B540" s="15" t="s">
        <v>82</v>
      </c>
      <c r="C540" s="16" t="s">
        <v>83</v>
      </c>
      <c r="D540" s="17">
        <v>44210</v>
      </c>
      <c r="E540" s="18">
        <v>45.15</v>
      </c>
      <c r="F540" s="12">
        <f ca="1">IFERROR(__xludf.DUMMYFUNCTION("GOOGLEFINANCE(C540)"),60.46)</f>
        <v>60.46</v>
      </c>
    </row>
    <row r="541" spans="1:6" ht="15" x14ac:dyDescent="0.25">
      <c r="A541" s="14">
        <v>542</v>
      </c>
      <c r="B541" s="15" t="s">
        <v>351</v>
      </c>
      <c r="C541" s="16" t="s">
        <v>352</v>
      </c>
      <c r="D541" s="17">
        <v>44210</v>
      </c>
      <c r="E541" s="18">
        <v>215.6</v>
      </c>
      <c r="F541" s="12">
        <f ca="1">IFERROR(__xludf.DUMMYFUNCTION("GOOGLEFINANCE(C541)"),252.93)</f>
        <v>252.93</v>
      </c>
    </row>
    <row r="542" spans="1:6" ht="15" x14ac:dyDescent="0.25">
      <c r="A542" s="14">
        <v>543</v>
      </c>
      <c r="B542" s="15" t="s">
        <v>427</v>
      </c>
      <c r="C542" s="16" t="s">
        <v>428</v>
      </c>
      <c r="D542" s="17">
        <v>44209</v>
      </c>
      <c r="E542" s="18">
        <v>161.94999999999999</v>
      </c>
      <c r="F542" s="12">
        <f ca="1">IFERROR(__xludf.DUMMYFUNCTION("GOOGLEFINANCE(C542)"),234.31)</f>
        <v>234.31</v>
      </c>
    </row>
    <row r="543" spans="1:6" ht="15" x14ac:dyDescent="0.25">
      <c r="A543" s="14">
        <v>544</v>
      </c>
      <c r="B543" s="15" t="s">
        <v>565</v>
      </c>
      <c r="C543" s="16" t="s">
        <v>566</v>
      </c>
      <c r="D543" s="17">
        <v>44209</v>
      </c>
      <c r="E543" s="18">
        <v>53.09</v>
      </c>
      <c r="F543" s="12">
        <f ca="1">IFERROR(__xludf.DUMMYFUNCTION("GOOGLEFINANCE(C543)"),18.24)</f>
        <v>18.239999999999998</v>
      </c>
    </row>
    <row r="544" spans="1:6" ht="15" x14ac:dyDescent="0.25">
      <c r="A544" s="14">
        <v>545</v>
      </c>
      <c r="B544" s="15" t="s">
        <v>249</v>
      </c>
      <c r="C544" s="16" t="s">
        <v>250</v>
      </c>
      <c r="D544" s="17">
        <v>44209</v>
      </c>
      <c r="E544" s="18">
        <v>69.5</v>
      </c>
      <c r="F544" s="12">
        <f ca="1">IFERROR(__xludf.DUMMYFUNCTION("GOOGLEFINANCE(C544)"),29.75)</f>
        <v>29.75</v>
      </c>
    </row>
    <row r="545" spans="1:6" ht="15" x14ac:dyDescent="0.25">
      <c r="A545" s="14">
        <v>546</v>
      </c>
      <c r="B545" s="15" t="s">
        <v>287</v>
      </c>
      <c r="C545" s="16" t="s">
        <v>288</v>
      </c>
      <c r="D545" s="17">
        <v>44209</v>
      </c>
      <c r="E545" s="18">
        <v>124.06</v>
      </c>
      <c r="F545" s="12">
        <f ca="1">IFERROR(__xludf.DUMMYFUNCTION("GOOGLEFINANCE(C545)"),294.8)</f>
        <v>294.8</v>
      </c>
    </row>
    <row r="546" spans="1:6" ht="15" x14ac:dyDescent="0.25">
      <c r="A546" s="14">
        <v>547</v>
      </c>
      <c r="B546" s="15" t="s">
        <v>567</v>
      </c>
      <c r="C546" s="16" t="s">
        <v>568</v>
      </c>
      <c r="D546" s="17">
        <v>44209</v>
      </c>
      <c r="E546" s="18">
        <v>15.31</v>
      </c>
      <c r="F546" s="12">
        <f ca="1">IFERROR(__xludf.DUMMYFUNCTION("GOOGLEFINANCE(C546)"),15.6)</f>
        <v>15.6</v>
      </c>
    </row>
    <row r="547" spans="1:6" ht="15" x14ac:dyDescent="0.25">
      <c r="A547" s="14">
        <v>548</v>
      </c>
      <c r="B547" s="15" t="s">
        <v>82</v>
      </c>
      <c r="C547" s="16" t="s">
        <v>83</v>
      </c>
      <c r="D547" s="17">
        <v>44209</v>
      </c>
      <c r="E547" s="18">
        <v>45.36</v>
      </c>
      <c r="F547" s="12">
        <f ca="1">IFERROR(__xludf.DUMMYFUNCTION("GOOGLEFINANCE(C547)"),60.46)</f>
        <v>60.46</v>
      </c>
    </row>
    <row r="548" spans="1:6" ht="15" x14ac:dyDescent="0.25">
      <c r="A548" s="14">
        <v>549</v>
      </c>
      <c r="B548" s="15" t="s">
        <v>612</v>
      </c>
      <c r="C548" s="16" t="s">
        <v>613</v>
      </c>
      <c r="D548" s="17">
        <v>44209</v>
      </c>
      <c r="E548" s="18">
        <v>16.72</v>
      </c>
      <c r="F548" s="12" t="str">
        <f ca="1">IFERROR(__xludf.DUMMYFUNCTION("GOOGLEFINANCE(C548)"),"#N/A")</f>
        <v>#N/A</v>
      </c>
    </row>
    <row r="549" spans="1:6" ht="15" x14ac:dyDescent="0.25">
      <c r="A549" s="14">
        <v>550</v>
      </c>
      <c r="B549" s="15" t="s">
        <v>301</v>
      </c>
      <c r="C549" s="16" t="s">
        <v>302</v>
      </c>
      <c r="D549" s="17">
        <v>44209</v>
      </c>
      <c r="E549" s="18">
        <v>91.78</v>
      </c>
      <c r="F549" s="12">
        <f ca="1">IFERROR(__xludf.DUMMYFUNCTION("GOOGLEFINANCE(C549)"),137.75)</f>
        <v>137.75</v>
      </c>
    </row>
    <row r="550" spans="1:6" ht="15" x14ac:dyDescent="0.25">
      <c r="A550" s="14">
        <v>551</v>
      </c>
      <c r="B550" s="15" t="s">
        <v>569</v>
      </c>
      <c r="C550" s="16" t="s">
        <v>570</v>
      </c>
      <c r="D550" s="17">
        <v>44208</v>
      </c>
      <c r="E550" s="18">
        <v>33.24</v>
      </c>
      <c r="F550" s="12">
        <f ca="1">IFERROR(__xludf.DUMMYFUNCTION("GOOGLEFINANCE(C550)"),21.04)</f>
        <v>21.04</v>
      </c>
    </row>
    <row r="551" spans="1:6" ht="15" x14ac:dyDescent="0.25">
      <c r="A551" s="14">
        <v>552</v>
      </c>
      <c r="B551" s="15" t="s">
        <v>571</v>
      </c>
      <c r="C551" s="16" t="s">
        <v>572</v>
      </c>
      <c r="D551" s="17">
        <v>44208</v>
      </c>
      <c r="E551" s="18">
        <v>514.24</v>
      </c>
      <c r="F551" s="12">
        <f ca="1">IFERROR(__xludf.DUMMYFUNCTION("GOOGLEFINANCE(C551)"),571.58)</f>
        <v>571.58000000000004</v>
      </c>
    </row>
    <row r="552" spans="1:6" ht="15" x14ac:dyDescent="0.25">
      <c r="A552" s="14">
        <v>553</v>
      </c>
      <c r="B552" s="15" t="s">
        <v>573</v>
      </c>
      <c r="C552" s="16" t="s">
        <v>574</v>
      </c>
      <c r="D552" s="17">
        <v>44208</v>
      </c>
      <c r="E552" s="18">
        <v>117.29</v>
      </c>
      <c r="F552" s="12">
        <f ca="1">IFERROR(__xludf.DUMMYFUNCTION("GOOGLEFINANCE(C552)"),100.63)</f>
        <v>100.63</v>
      </c>
    </row>
    <row r="553" spans="1:6" ht="15" x14ac:dyDescent="0.25">
      <c r="A553" s="14">
        <v>554</v>
      </c>
      <c r="B553" s="15" t="s">
        <v>413</v>
      </c>
      <c r="C553" s="16" t="s">
        <v>414</v>
      </c>
      <c r="D553" s="17">
        <v>44208</v>
      </c>
      <c r="E553" s="18">
        <v>178.8</v>
      </c>
      <c r="F553" s="12">
        <f ca="1">IFERROR(__xludf.DUMMYFUNCTION("GOOGLEFINANCE(C553)"),267.42)</f>
        <v>267.42</v>
      </c>
    </row>
    <row r="554" spans="1:6" ht="15" x14ac:dyDescent="0.25">
      <c r="A554" s="14">
        <v>555</v>
      </c>
      <c r="B554" s="15" t="s">
        <v>575</v>
      </c>
      <c r="C554" s="16" t="s">
        <v>576</v>
      </c>
      <c r="D554" s="17">
        <v>44208</v>
      </c>
      <c r="E554" s="18">
        <v>20.75</v>
      </c>
      <c r="F554" s="12">
        <f ca="1">IFERROR(__xludf.DUMMYFUNCTION("GOOGLEFINANCE(C554)"),15.35)</f>
        <v>15.35</v>
      </c>
    </row>
    <row r="555" spans="1:6" ht="15" x14ac:dyDescent="0.25">
      <c r="A555" s="14">
        <v>556</v>
      </c>
      <c r="B555" s="15" t="s">
        <v>140</v>
      </c>
      <c r="C555" s="16" t="s">
        <v>141</v>
      </c>
      <c r="D555" s="17">
        <v>44208</v>
      </c>
      <c r="E555" s="18">
        <v>47.82</v>
      </c>
      <c r="F555" s="12">
        <f ca="1">IFERROR(__xludf.DUMMYFUNCTION("GOOGLEFINANCE(C555)"),55.16)</f>
        <v>55.16</v>
      </c>
    </row>
    <row r="556" spans="1:6" ht="15" x14ac:dyDescent="0.25">
      <c r="A556" s="14">
        <v>557</v>
      </c>
      <c r="B556" s="15" t="s">
        <v>142</v>
      </c>
      <c r="C556" s="16" t="s">
        <v>143</v>
      </c>
      <c r="D556" s="17">
        <v>44208</v>
      </c>
      <c r="E556" s="18">
        <v>9.7799999999999994</v>
      </c>
      <c r="F556" s="12">
        <f ca="1">IFERROR(__xludf.DUMMYFUNCTION("GOOGLEFINANCE(C556)"),19.77)</f>
        <v>19.77</v>
      </c>
    </row>
    <row r="557" spans="1:6" ht="15" x14ac:dyDescent="0.25">
      <c r="A557" s="14">
        <v>558</v>
      </c>
      <c r="B557" s="15" t="s">
        <v>52</v>
      </c>
      <c r="C557" s="16" t="s">
        <v>53</v>
      </c>
      <c r="D557" s="17">
        <v>44208</v>
      </c>
      <c r="E557" s="18">
        <v>128.80000000000001</v>
      </c>
      <c r="F557" s="12">
        <f ca="1">IFERROR(__xludf.DUMMYFUNCTION("GOOGLEFINANCE(C557)"),171.14)</f>
        <v>171.14</v>
      </c>
    </row>
    <row r="558" spans="1:6" ht="15" x14ac:dyDescent="0.25">
      <c r="A558" s="14">
        <v>559</v>
      </c>
      <c r="B558" s="15" t="s">
        <v>577</v>
      </c>
      <c r="C558" s="16" t="s">
        <v>578</v>
      </c>
      <c r="D558" s="17">
        <v>44207</v>
      </c>
      <c r="E558" s="18">
        <v>54.59</v>
      </c>
      <c r="F558" s="12">
        <f ca="1">IFERROR(__xludf.DUMMYFUNCTION("GOOGLEFINANCE(C558)"),39.68)</f>
        <v>39.68</v>
      </c>
    </row>
    <row r="559" spans="1:6" ht="15" x14ac:dyDescent="0.25">
      <c r="A559" s="14">
        <v>560</v>
      </c>
      <c r="B559" s="15" t="s">
        <v>156</v>
      </c>
      <c r="C559" s="16" t="s">
        <v>157</v>
      </c>
      <c r="D559" s="17">
        <v>44207</v>
      </c>
      <c r="E559" s="18">
        <v>811.19</v>
      </c>
      <c r="F559" s="12">
        <f ca="1">IFERROR(__xludf.DUMMYFUNCTION("GOOGLEFINANCE(C559)"),932.57)</f>
        <v>932.57</v>
      </c>
    </row>
    <row r="560" spans="1:6" ht="15" x14ac:dyDescent="0.25">
      <c r="A560" s="14">
        <v>561</v>
      </c>
      <c r="B560" s="15" t="s">
        <v>68</v>
      </c>
      <c r="C560" s="16" t="s">
        <v>69</v>
      </c>
      <c r="D560" s="17">
        <v>44207</v>
      </c>
      <c r="E560" s="18">
        <v>104.6</v>
      </c>
      <c r="F560" s="12">
        <f ca="1">IFERROR(__xludf.DUMMYFUNCTION("GOOGLEFINANCE(C560)"),108.63)</f>
        <v>108.63</v>
      </c>
    </row>
    <row r="561" spans="1:6" ht="15" x14ac:dyDescent="0.25">
      <c r="A561" s="14">
        <v>562</v>
      </c>
      <c r="B561" s="15" t="s">
        <v>573</v>
      </c>
      <c r="C561" s="16" t="s">
        <v>574</v>
      </c>
      <c r="D561" s="17">
        <v>44207</v>
      </c>
      <c r="E561" s="18">
        <v>118.5</v>
      </c>
      <c r="F561" s="12">
        <f ca="1">IFERROR(__xludf.DUMMYFUNCTION("GOOGLEFINANCE(C561)"),100.63)</f>
        <v>100.63</v>
      </c>
    </row>
    <row r="562" spans="1:6" ht="15" x14ac:dyDescent="0.25">
      <c r="A562" s="14">
        <v>563</v>
      </c>
      <c r="B562" s="15" t="s">
        <v>114</v>
      </c>
      <c r="C562" s="16" t="s">
        <v>115</v>
      </c>
      <c r="D562" s="17">
        <v>44207</v>
      </c>
      <c r="E562" s="18">
        <v>166.32</v>
      </c>
      <c r="F562" s="12">
        <f ca="1">IFERROR(__xludf.DUMMYFUNCTION("GOOGLEFINANCE(C562)"),248.09)</f>
        <v>248.09</v>
      </c>
    </row>
    <row r="563" spans="1:6" ht="15" x14ac:dyDescent="0.25">
      <c r="A563" s="14">
        <v>564</v>
      </c>
      <c r="B563" s="15" t="s">
        <v>118</v>
      </c>
      <c r="C563" s="16" t="s">
        <v>119</v>
      </c>
      <c r="D563" s="17">
        <v>44207</v>
      </c>
      <c r="E563" s="18">
        <v>271.23</v>
      </c>
      <c r="F563" s="12">
        <f ca="1">IFERROR(__xludf.DUMMYFUNCTION("GOOGLEFINANCE(C563)"),387.98)</f>
        <v>387.98</v>
      </c>
    </row>
    <row r="564" spans="1:6" ht="15" x14ac:dyDescent="0.25">
      <c r="A564" s="14">
        <v>565</v>
      </c>
      <c r="B564" s="15" t="s">
        <v>579</v>
      </c>
      <c r="C564" s="16" t="s">
        <v>580</v>
      </c>
      <c r="D564" s="17">
        <v>44207</v>
      </c>
      <c r="E564" s="18">
        <v>11.45</v>
      </c>
      <c r="F564" s="12">
        <f ca="1">IFERROR(__xludf.DUMMYFUNCTION("GOOGLEFINANCE(C564)"),91.45)</f>
        <v>91.45</v>
      </c>
    </row>
    <row r="565" spans="1:6" ht="15" x14ac:dyDescent="0.25">
      <c r="A565" s="14">
        <v>566</v>
      </c>
      <c r="B565" s="15" t="s">
        <v>142</v>
      </c>
      <c r="C565" s="16" t="s">
        <v>143</v>
      </c>
      <c r="D565" s="17">
        <v>44207</v>
      </c>
      <c r="E565" s="18">
        <v>9.3000000000000007</v>
      </c>
      <c r="F565" s="12">
        <f ca="1">IFERROR(__xludf.DUMMYFUNCTION("GOOGLEFINANCE(C565)"),19.77)</f>
        <v>19.77</v>
      </c>
    </row>
    <row r="566" spans="1:6" ht="15" x14ac:dyDescent="0.25">
      <c r="A566" s="14">
        <v>567</v>
      </c>
      <c r="B566" s="15" t="s">
        <v>327</v>
      </c>
      <c r="C566" s="16" t="s">
        <v>328</v>
      </c>
      <c r="D566" s="17">
        <v>44207</v>
      </c>
      <c r="E566" s="18">
        <v>98.89</v>
      </c>
      <c r="F566" s="12">
        <f ca="1">IFERROR(__xludf.DUMMYFUNCTION("GOOGLEFINANCE(C566)"),45.04)</f>
        <v>45.04</v>
      </c>
    </row>
    <row r="567" spans="1:6" ht="15" x14ac:dyDescent="0.25">
      <c r="A567" s="14">
        <v>568</v>
      </c>
      <c r="B567" s="15" t="s">
        <v>581</v>
      </c>
      <c r="C567" s="16" t="s">
        <v>582</v>
      </c>
      <c r="D567" s="17">
        <v>44207</v>
      </c>
      <c r="E567" s="18">
        <v>64.97</v>
      </c>
      <c r="F567" s="12">
        <f ca="1">IFERROR(__xludf.DUMMYFUNCTION("GOOGLEFINANCE(C567)"),61.56)</f>
        <v>61.56</v>
      </c>
    </row>
    <row r="568" spans="1:6" ht="15" x14ac:dyDescent="0.25">
      <c r="A568" s="14">
        <v>569</v>
      </c>
      <c r="B568" s="15" t="s">
        <v>583</v>
      </c>
      <c r="C568" s="16" t="s">
        <v>584</v>
      </c>
      <c r="D568" s="17">
        <v>44207</v>
      </c>
      <c r="E568" s="18">
        <v>50.4</v>
      </c>
      <c r="F568" s="12">
        <f ca="1">IFERROR(__xludf.DUMMYFUNCTION("GOOGLEFINANCE(C568)"),10.62)</f>
        <v>10.62</v>
      </c>
    </row>
    <row r="569" spans="1:6" ht="15" x14ac:dyDescent="0.25">
      <c r="A569" s="14">
        <v>570</v>
      </c>
      <c r="B569" s="15" t="s">
        <v>585</v>
      </c>
      <c r="C569" s="16" t="s">
        <v>586</v>
      </c>
      <c r="D569" s="17">
        <v>44207</v>
      </c>
      <c r="E569" s="18">
        <v>110.78</v>
      </c>
      <c r="F569" s="12">
        <f ca="1">IFERROR(__xludf.DUMMYFUNCTION("GOOGLEFINANCE(C569)"),100.03)</f>
        <v>100.03</v>
      </c>
    </row>
    <row r="570" spans="1:6" ht="15" x14ac:dyDescent="0.25">
      <c r="A570" s="14">
        <v>571</v>
      </c>
      <c r="B570" s="15" t="s">
        <v>86</v>
      </c>
      <c r="C570" s="16" t="s">
        <v>87</v>
      </c>
      <c r="D570" s="17">
        <v>44207</v>
      </c>
      <c r="E570" s="18">
        <v>206.79</v>
      </c>
      <c r="F570" s="12">
        <f ca="1">IFERROR(__xludf.DUMMYFUNCTION("GOOGLEFINANCE(C570)"),192.63)</f>
        <v>192.63</v>
      </c>
    </row>
    <row r="571" spans="1:6" ht="15" x14ac:dyDescent="0.25">
      <c r="A571" s="14">
        <v>572</v>
      </c>
      <c r="B571" s="15" t="s">
        <v>587</v>
      </c>
      <c r="C571" s="16" t="s">
        <v>588</v>
      </c>
      <c r="D571" s="17">
        <v>44204</v>
      </c>
      <c r="E571" s="18">
        <v>45.21</v>
      </c>
      <c r="F571" s="12">
        <f ca="1">IFERROR(__xludf.DUMMYFUNCTION("GOOGLEFINANCE(C571)"),48.85)</f>
        <v>48.85</v>
      </c>
    </row>
    <row r="572" spans="1:6" ht="15" x14ac:dyDescent="0.25">
      <c r="A572" s="14">
        <v>573</v>
      </c>
      <c r="B572" s="15" t="s">
        <v>279</v>
      </c>
      <c r="C572" s="16" t="s">
        <v>280</v>
      </c>
      <c r="D572" s="17">
        <v>44204</v>
      </c>
      <c r="E572" s="18">
        <v>227.78</v>
      </c>
      <c r="F572" s="12">
        <f ca="1">IFERROR(__xludf.DUMMYFUNCTION("GOOGLEFINANCE(C572)"),97.77)</f>
        <v>97.77</v>
      </c>
    </row>
    <row r="573" spans="1:6" ht="15" x14ac:dyDescent="0.25">
      <c r="A573" s="14">
        <v>574</v>
      </c>
      <c r="B573" s="15" t="s">
        <v>34</v>
      </c>
      <c r="C573" s="16" t="s">
        <v>35</v>
      </c>
      <c r="D573" s="17">
        <v>44204</v>
      </c>
      <c r="E573" s="18">
        <v>498.73</v>
      </c>
      <c r="F573" s="12">
        <f ca="1">IFERROR(__xludf.DUMMYFUNCTION("GOOGLEFINANCE(C573)"),619.28)</f>
        <v>619.28</v>
      </c>
    </row>
    <row r="574" spans="1:6" ht="15" x14ac:dyDescent="0.25">
      <c r="A574" s="14">
        <v>575</v>
      </c>
      <c r="B574" s="15" t="s">
        <v>249</v>
      </c>
      <c r="C574" s="16" t="s">
        <v>250</v>
      </c>
      <c r="D574" s="17">
        <v>44204</v>
      </c>
      <c r="E574" s="18">
        <v>53.78</v>
      </c>
      <c r="F574" s="12">
        <f ca="1">IFERROR(__xludf.DUMMYFUNCTION("GOOGLEFINANCE(C574)"),29.75)</f>
        <v>29.75</v>
      </c>
    </row>
    <row r="575" spans="1:6" ht="15" x14ac:dyDescent="0.25">
      <c r="A575" s="14">
        <v>576</v>
      </c>
      <c r="B575" s="15" t="s">
        <v>333</v>
      </c>
      <c r="C575" s="16" t="s">
        <v>334</v>
      </c>
      <c r="D575" s="17">
        <v>44204</v>
      </c>
      <c r="E575" s="18">
        <v>37.130000000000003</v>
      </c>
      <c r="F575" s="12">
        <f ca="1">IFERROR(__xludf.DUMMYFUNCTION("GOOGLEFINANCE(C575)"),59.48)</f>
        <v>59.48</v>
      </c>
    </row>
    <row r="576" spans="1:6" ht="15" x14ac:dyDescent="0.25">
      <c r="A576" s="14">
        <v>577</v>
      </c>
      <c r="B576" s="15" t="s">
        <v>160</v>
      </c>
      <c r="C576" s="16" t="s">
        <v>161</v>
      </c>
      <c r="D576" s="17">
        <v>44204</v>
      </c>
      <c r="E576" s="18">
        <v>77.42</v>
      </c>
      <c r="F576" s="12">
        <f ca="1">IFERROR(__xludf.DUMMYFUNCTION("GOOGLEFINANCE(C576)"),83)</f>
        <v>83</v>
      </c>
    </row>
    <row r="577" spans="1:6" ht="15" x14ac:dyDescent="0.25">
      <c r="A577" s="14">
        <v>578</v>
      </c>
      <c r="B577" s="15" t="s">
        <v>76</v>
      </c>
      <c r="C577" s="16" t="s">
        <v>77</v>
      </c>
      <c r="D577" s="17">
        <v>44204</v>
      </c>
      <c r="E577" s="18">
        <v>219.62</v>
      </c>
      <c r="F577" s="12">
        <f ca="1">IFERROR(__xludf.DUMMYFUNCTION("GOOGLEFINANCE(C577)"),323.8)</f>
        <v>323.8</v>
      </c>
    </row>
    <row r="578" spans="1:6" ht="15" x14ac:dyDescent="0.25">
      <c r="A578" s="14">
        <v>579</v>
      </c>
      <c r="B578" s="15" t="s">
        <v>287</v>
      </c>
      <c r="C578" s="16" t="s">
        <v>288</v>
      </c>
      <c r="D578" s="17">
        <v>44204</v>
      </c>
      <c r="E578" s="18">
        <v>112.75</v>
      </c>
      <c r="F578" s="12">
        <f ca="1">IFERROR(__xludf.DUMMYFUNCTION("GOOGLEFINANCE(C578)"),294.8)</f>
        <v>294.8</v>
      </c>
    </row>
    <row r="579" spans="1:6" ht="15" x14ac:dyDescent="0.25">
      <c r="A579" s="14">
        <v>580</v>
      </c>
      <c r="B579" s="15" t="s">
        <v>589</v>
      </c>
      <c r="C579" s="16" t="s">
        <v>590</v>
      </c>
      <c r="D579" s="17">
        <v>44204</v>
      </c>
      <c r="E579" s="18">
        <v>33.04</v>
      </c>
      <c r="F579" s="12">
        <f ca="1">IFERROR(__xludf.DUMMYFUNCTION("GOOGLEFINANCE(C579)"),41.97)</f>
        <v>41.97</v>
      </c>
    </row>
    <row r="580" spans="1:6" ht="15" x14ac:dyDescent="0.25">
      <c r="A580" s="14">
        <v>581</v>
      </c>
      <c r="B580" s="15" t="s">
        <v>18</v>
      </c>
      <c r="C580" s="16" t="s">
        <v>19</v>
      </c>
      <c r="D580" s="17">
        <v>44204</v>
      </c>
      <c r="E580" s="18">
        <v>136.02000000000001</v>
      </c>
      <c r="F580" s="12">
        <f ca="1">IFERROR(__xludf.DUMMYFUNCTION("GOOGLEFINANCE(C580)"),156.76)</f>
        <v>156.76</v>
      </c>
    </row>
    <row r="581" spans="1:6" ht="15" x14ac:dyDescent="0.25">
      <c r="A581" s="14">
        <v>582</v>
      </c>
      <c r="B581" s="15" t="s">
        <v>291</v>
      </c>
      <c r="C581" s="16" t="s">
        <v>292</v>
      </c>
      <c r="D581" s="17">
        <v>44204</v>
      </c>
      <c r="E581" s="18">
        <v>160.04</v>
      </c>
      <c r="F581" s="12">
        <f ca="1">IFERROR(__xludf.DUMMYFUNCTION("GOOGLEFINANCE(C581)"),168.23)</f>
        <v>168.23</v>
      </c>
    </row>
    <row r="582" spans="1:6" ht="15" x14ac:dyDescent="0.25">
      <c r="A582" s="14">
        <v>583</v>
      </c>
      <c r="B582" s="15" t="s">
        <v>327</v>
      </c>
      <c r="C582" s="16" t="s">
        <v>328</v>
      </c>
      <c r="D582" s="17">
        <v>44204</v>
      </c>
      <c r="E582" s="18">
        <v>97.23</v>
      </c>
      <c r="F582" s="12">
        <f ca="1">IFERROR(__xludf.DUMMYFUNCTION("GOOGLEFINANCE(C582)"),45.04)</f>
        <v>45.04</v>
      </c>
    </row>
    <row r="583" spans="1:6" ht="15" x14ac:dyDescent="0.25">
      <c r="A583" s="14">
        <v>584</v>
      </c>
      <c r="B583" s="15" t="s">
        <v>439</v>
      </c>
      <c r="C583" s="16" t="s">
        <v>440</v>
      </c>
      <c r="D583" s="17">
        <v>44204</v>
      </c>
      <c r="E583" s="18">
        <v>74.86</v>
      </c>
      <c r="F583" s="12">
        <f ca="1">IFERROR(__xludf.DUMMYFUNCTION("GOOGLEFINANCE(C583)"),100.36)</f>
        <v>100.36</v>
      </c>
    </row>
    <row r="584" spans="1:6" ht="15" x14ac:dyDescent="0.25">
      <c r="A584" s="14">
        <v>585</v>
      </c>
      <c r="B584" s="15" t="s">
        <v>581</v>
      </c>
      <c r="C584" s="16" t="s">
        <v>582</v>
      </c>
      <c r="D584" s="17">
        <v>44204</v>
      </c>
      <c r="E584" s="18">
        <v>62.49</v>
      </c>
      <c r="F584" s="12">
        <f ca="1">IFERROR(__xludf.DUMMYFUNCTION("GOOGLEFINANCE(C584)"),61.56)</f>
        <v>61.56</v>
      </c>
    </row>
    <row r="585" spans="1:6" ht="15" x14ac:dyDescent="0.25">
      <c r="A585" s="14">
        <v>586</v>
      </c>
      <c r="B585" s="15" t="s">
        <v>521</v>
      </c>
      <c r="C585" s="16" t="s">
        <v>522</v>
      </c>
      <c r="D585" s="17">
        <v>44204</v>
      </c>
      <c r="E585" s="18">
        <v>236.19</v>
      </c>
      <c r="F585" s="12">
        <f ca="1">IFERROR(__xludf.DUMMYFUNCTION("GOOGLEFINANCE(C585)"),122.1)</f>
        <v>122.1</v>
      </c>
    </row>
    <row r="586" spans="1:6" ht="15" x14ac:dyDescent="0.25">
      <c r="A586" s="14">
        <v>587</v>
      </c>
      <c r="B586" s="15" t="s">
        <v>301</v>
      </c>
      <c r="C586" s="16" t="s">
        <v>302</v>
      </c>
      <c r="D586" s="17">
        <v>44204</v>
      </c>
      <c r="E586" s="18">
        <v>94.58</v>
      </c>
      <c r="F586" s="12">
        <f ca="1">IFERROR(__xludf.DUMMYFUNCTION("GOOGLEFINANCE(C586)"),137.75)</f>
        <v>137.75</v>
      </c>
    </row>
    <row r="587" spans="1:6" ht="15" x14ac:dyDescent="0.25">
      <c r="A587" s="14">
        <v>588</v>
      </c>
      <c r="B587" s="15" t="s">
        <v>443</v>
      </c>
      <c r="C587" s="16" t="s">
        <v>444</v>
      </c>
      <c r="D587" s="17">
        <v>44204</v>
      </c>
      <c r="E587" s="18">
        <v>107.27</v>
      </c>
      <c r="F587" s="12">
        <f ca="1">IFERROR(__xludf.DUMMYFUNCTION("GOOGLEFINANCE(C587)"),129.53)</f>
        <v>129.53</v>
      </c>
    </row>
    <row r="588" spans="1:6" ht="15" x14ac:dyDescent="0.25">
      <c r="A588" s="14">
        <v>589</v>
      </c>
      <c r="B588" s="15" t="s">
        <v>156</v>
      </c>
      <c r="C588" s="16" t="s">
        <v>157</v>
      </c>
      <c r="D588" s="17">
        <v>44203</v>
      </c>
      <c r="E588" s="18">
        <v>816.04</v>
      </c>
      <c r="F588" s="12">
        <f ca="1">IFERROR(__xludf.DUMMYFUNCTION("GOOGLEFINANCE(C588)"),932.57)</f>
        <v>932.57</v>
      </c>
    </row>
    <row r="589" spans="1:6" ht="15" x14ac:dyDescent="0.25">
      <c r="A589" s="14">
        <v>590</v>
      </c>
      <c r="B589" s="15" t="s">
        <v>92</v>
      </c>
      <c r="C589" s="16" t="s">
        <v>93</v>
      </c>
      <c r="D589" s="17">
        <v>44203</v>
      </c>
      <c r="E589" s="18">
        <v>228.87</v>
      </c>
      <c r="F589" s="12">
        <f ca="1">IFERROR(__xludf.DUMMYFUNCTION("GOOGLEFINANCE(C589)"),242.25)</f>
        <v>242.25</v>
      </c>
    </row>
    <row r="590" spans="1:6" ht="15" x14ac:dyDescent="0.25">
      <c r="A590" s="14">
        <v>591</v>
      </c>
      <c r="B590" s="15" t="s">
        <v>158</v>
      </c>
      <c r="C590" s="16" t="s">
        <v>159</v>
      </c>
      <c r="D590" s="17">
        <v>44203</v>
      </c>
      <c r="E590" s="18">
        <v>62</v>
      </c>
      <c r="F590" s="12">
        <f ca="1">IFERROR(__xludf.DUMMYFUNCTION("GOOGLEFINANCE(C590)"),23.78)</f>
        <v>23.78</v>
      </c>
    </row>
    <row r="591" spans="1:6" ht="15" x14ac:dyDescent="0.25">
      <c r="A591" s="14">
        <v>592</v>
      </c>
      <c r="B591" s="15" t="s">
        <v>108</v>
      </c>
      <c r="C591" s="16" t="s">
        <v>109</v>
      </c>
      <c r="D591" s="17">
        <v>44203</v>
      </c>
      <c r="E591" s="18">
        <v>131.99</v>
      </c>
      <c r="F591" s="12">
        <f ca="1">IFERROR(__xludf.DUMMYFUNCTION("GOOGLEFINANCE(C591)"),173.69)</f>
        <v>173.69</v>
      </c>
    </row>
    <row r="592" spans="1:6" ht="15" x14ac:dyDescent="0.25">
      <c r="A592" s="14">
        <v>593</v>
      </c>
      <c r="B592" s="15" t="s">
        <v>249</v>
      </c>
      <c r="C592" s="16" t="s">
        <v>250</v>
      </c>
      <c r="D592" s="17">
        <v>44203</v>
      </c>
      <c r="E592" s="18">
        <v>47.29</v>
      </c>
      <c r="F592" s="12">
        <f ca="1">IFERROR(__xludf.DUMMYFUNCTION("GOOGLEFINANCE(C592)"),29.75)</f>
        <v>29.75</v>
      </c>
    </row>
    <row r="593" spans="1:6" ht="15" x14ac:dyDescent="0.25">
      <c r="A593" s="14">
        <v>594</v>
      </c>
      <c r="B593" s="15" t="s">
        <v>567</v>
      </c>
      <c r="C593" s="16" t="s">
        <v>568</v>
      </c>
      <c r="D593" s="17">
        <v>44203</v>
      </c>
      <c r="E593" s="18">
        <v>14.6</v>
      </c>
      <c r="F593" s="12">
        <f ca="1">IFERROR(__xludf.DUMMYFUNCTION("GOOGLEFINANCE(C593)"),15.6)</f>
        <v>15.6</v>
      </c>
    </row>
    <row r="594" spans="1:6" ht="15" x14ac:dyDescent="0.25">
      <c r="A594" s="14">
        <v>595</v>
      </c>
      <c r="B594" s="15" t="s">
        <v>201</v>
      </c>
      <c r="C594" s="16" t="s">
        <v>202</v>
      </c>
      <c r="D594" s="17">
        <v>44203</v>
      </c>
      <c r="E594" s="18">
        <v>13.97</v>
      </c>
      <c r="F594" s="12">
        <f ca="1">IFERROR(__xludf.DUMMYFUNCTION("GOOGLEFINANCE(C594)"),6.25)</f>
        <v>6.25</v>
      </c>
    </row>
    <row r="595" spans="1:6" ht="15" x14ac:dyDescent="0.25">
      <c r="A595" s="14">
        <v>596</v>
      </c>
      <c r="B595" s="15" t="s">
        <v>60</v>
      </c>
      <c r="C595" s="16" t="s">
        <v>61</v>
      </c>
      <c r="D595" s="17">
        <v>44203</v>
      </c>
      <c r="E595" s="18">
        <v>49.77</v>
      </c>
      <c r="F595" s="12">
        <f ca="1">IFERROR(__xludf.DUMMYFUNCTION("GOOGLEFINANCE(C595)"),28.67)</f>
        <v>28.67</v>
      </c>
    </row>
    <row r="596" spans="1:6" ht="15" x14ac:dyDescent="0.25">
      <c r="A596" s="14">
        <v>597</v>
      </c>
      <c r="B596" s="15" t="s">
        <v>539</v>
      </c>
      <c r="C596" s="16" t="s">
        <v>540</v>
      </c>
      <c r="D596" s="17">
        <v>44203</v>
      </c>
      <c r="E596" s="18">
        <v>90.22</v>
      </c>
      <c r="F596" s="12">
        <f ca="1">IFERROR(__xludf.DUMMYFUNCTION("GOOGLEFINANCE(C596)"),113.6)</f>
        <v>113.6</v>
      </c>
    </row>
    <row r="597" spans="1:6" ht="15" x14ac:dyDescent="0.25">
      <c r="A597" s="14">
        <v>598</v>
      </c>
      <c r="B597" s="15" t="s">
        <v>144</v>
      </c>
      <c r="C597" s="16" t="s">
        <v>145</v>
      </c>
      <c r="D597" s="17">
        <v>44203</v>
      </c>
      <c r="E597" s="18">
        <v>152.44999999999999</v>
      </c>
      <c r="F597" s="12">
        <f ca="1">IFERROR(__xludf.DUMMYFUNCTION("GOOGLEFINANCE(C597)"),201.34)</f>
        <v>201.34</v>
      </c>
    </row>
    <row r="598" spans="1:6" ht="15" x14ac:dyDescent="0.25">
      <c r="A598" s="14">
        <v>599</v>
      </c>
      <c r="B598" s="15" t="s">
        <v>237</v>
      </c>
      <c r="C598" s="16" t="s">
        <v>238</v>
      </c>
      <c r="D598" s="17">
        <v>44203</v>
      </c>
      <c r="E598" s="18">
        <v>86.27</v>
      </c>
      <c r="F598" s="12">
        <f ca="1">IFERROR(__xludf.DUMMYFUNCTION("GOOGLEFINANCE(C598)"),124.88)</f>
        <v>124.88</v>
      </c>
    </row>
    <row r="599" spans="1:6" ht="15" x14ac:dyDescent="0.25">
      <c r="A599" s="14">
        <v>600</v>
      </c>
      <c r="B599" s="15" t="s">
        <v>591</v>
      </c>
      <c r="C599" s="16" t="s">
        <v>592</v>
      </c>
      <c r="D599" s="17">
        <v>44203</v>
      </c>
      <c r="E599" s="18">
        <v>18.73</v>
      </c>
      <c r="F599" s="12">
        <f ca="1">IFERROR(__xludf.DUMMYFUNCTION("GOOGLEFINANCE(C599)"),15.98)</f>
        <v>15.98</v>
      </c>
    </row>
    <row r="600" spans="1:6" ht="15" x14ac:dyDescent="0.25">
      <c r="A600" s="14">
        <v>601</v>
      </c>
      <c r="B600" s="15" t="s">
        <v>593</v>
      </c>
      <c r="C600" s="16" t="s">
        <v>594</v>
      </c>
      <c r="D600" s="17">
        <v>44203</v>
      </c>
      <c r="E600" s="18">
        <v>315.2</v>
      </c>
      <c r="F600" s="12">
        <f ca="1">IFERROR(__xludf.DUMMYFUNCTION("GOOGLEFINANCE(C600)"),277.65)</f>
        <v>277.64999999999998</v>
      </c>
    </row>
    <row r="601" spans="1:6" ht="15" x14ac:dyDescent="0.25">
      <c r="A601" s="14">
        <v>602</v>
      </c>
      <c r="B601" s="15" t="s">
        <v>595</v>
      </c>
      <c r="C601" s="16" t="s">
        <v>596</v>
      </c>
      <c r="D601" s="17">
        <v>44203</v>
      </c>
      <c r="E601" s="18">
        <v>477.74</v>
      </c>
      <c r="F601" s="12">
        <f ca="1">IFERROR(__xludf.DUMMYFUNCTION("GOOGLEFINANCE(C601)"),556.64)</f>
        <v>556.64</v>
      </c>
    </row>
    <row r="602" spans="1:6" ht="15" x14ac:dyDescent="0.25">
      <c r="A602" s="14">
        <v>603</v>
      </c>
      <c r="B602" s="15" t="s">
        <v>90</v>
      </c>
      <c r="C602" s="16" t="s">
        <v>91</v>
      </c>
      <c r="D602" s="17">
        <v>44201</v>
      </c>
      <c r="E602" s="18">
        <v>58.58</v>
      </c>
      <c r="F602" s="12">
        <f ca="1">IFERROR(__xludf.DUMMYFUNCTION("GOOGLEFINANCE(C602)"),53.17)</f>
        <v>53.17</v>
      </c>
    </row>
    <row r="603" spans="1:6" ht="15" x14ac:dyDescent="0.25">
      <c r="A603" s="14">
        <v>604</v>
      </c>
      <c r="B603" s="15" t="s">
        <v>597</v>
      </c>
      <c r="C603" s="16" t="s">
        <v>598</v>
      </c>
      <c r="D603" s="17">
        <v>44201</v>
      </c>
      <c r="E603" s="18">
        <v>23.6</v>
      </c>
      <c r="F603" s="12">
        <f ca="1">IFERROR(__xludf.DUMMYFUNCTION("GOOGLEFINANCE(C603)"),16.79)</f>
        <v>16.79</v>
      </c>
    </row>
    <row r="604" spans="1:6" ht="15" x14ac:dyDescent="0.25">
      <c r="A604" s="14">
        <v>605</v>
      </c>
      <c r="B604" s="15" t="s">
        <v>285</v>
      </c>
      <c r="C604" s="16" t="s">
        <v>286</v>
      </c>
      <c r="D604" s="17">
        <v>44201</v>
      </c>
      <c r="E604" s="18">
        <v>234.91</v>
      </c>
      <c r="F604" s="12">
        <f ca="1">IFERROR(__xludf.DUMMYFUNCTION("GOOGLEFINANCE(C604)"),186.2)</f>
        <v>186.2</v>
      </c>
    </row>
    <row r="605" spans="1:6" ht="15" x14ac:dyDescent="0.25">
      <c r="A605" s="14">
        <v>606</v>
      </c>
      <c r="B605" s="15" t="s">
        <v>72</v>
      </c>
      <c r="C605" s="16" t="s">
        <v>73</v>
      </c>
      <c r="D605" s="17">
        <v>44201</v>
      </c>
      <c r="E605" s="18">
        <v>74.77</v>
      </c>
      <c r="F605" s="12">
        <f ca="1">IFERROR(__xludf.DUMMYFUNCTION("GOOGLEFINANCE(C605)"),82.13)</f>
        <v>82.13</v>
      </c>
    </row>
    <row r="606" spans="1:6" ht="15" x14ac:dyDescent="0.25">
      <c r="A606" s="14">
        <v>607</v>
      </c>
      <c r="B606" s="15" t="s">
        <v>527</v>
      </c>
      <c r="C606" s="16" t="s">
        <v>528</v>
      </c>
      <c r="D606" s="17">
        <v>44201</v>
      </c>
      <c r="E606" s="18">
        <v>25.6</v>
      </c>
      <c r="F606" s="12">
        <f ca="1">IFERROR(__xludf.DUMMYFUNCTION("GOOGLEFINANCE(C606)"),14.3)</f>
        <v>14.3</v>
      </c>
    </row>
    <row r="607" spans="1:6" ht="15" x14ac:dyDescent="0.25">
      <c r="A607" s="14">
        <v>608</v>
      </c>
      <c r="B607" s="15" t="s">
        <v>567</v>
      </c>
      <c r="C607" s="16" t="s">
        <v>568</v>
      </c>
      <c r="D607" s="17">
        <v>44201</v>
      </c>
      <c r="E607" s="18">
        <v>13.9</v>
      </c>
      <c r="F607" s="12">
        <f ca="1">IFERROR(__xludf.DUMMYFUNCTION("GOOGLEFINANCE(C607)"),15.6)</f>
        <v>15.6</v>
      </c>
    </row>
    <row r="608" spans="1:6" ht="15" x14ac:dyDescent="0.25">
      <c r="A608" s="14">
        <v>609</v>
      </c>
      <c r="B608" s="15" t="s">
        <v>599</v>
      </c>
      <c r="C608" s="16" t="s">
        <v>600</v>
      </c>
      <c r="D608" s="17">
        <v>44201</v>
      </c>
      <c r="E608" s="18">
        <v>126.14</v>
      </c>
      <c r="F608" s="12">
        <f ca="1">IFERROR(__xludf.DUMMYFUNCTION("GOOGLEFINANCE(C608)"),127.4)</f>
        <v>127.4</v>
      </c>
    </row>
    <row r="609" spans="1:6" ht="15" x14ac:dyDescent="0.25">
      <c r="A609" s="14">
        <v>610</v>
      </c>
      <c r="B609" s="15" t="s">
        <v>601</v>
      </c>
      <c r="C609" s="16" t="s">
        <v>602</v>
      </c>
      <c r="D609" s="17">
        <v>44201</v>
      </c>
      <c r="E609" s="18">
        <v>96.7</v>
      </c>
      <c r="F609" s="12">
        <f ca="1">IFERROR(__xludf.DUMMYFUNCTION("GOOGLEFINANCE(C609)"),109.52)</f>
        <v>109.52</v>
      </c>
    </row>
    <row r="610" spans="1:6" ht="15" x14ac:dyDescent="0.25">
      <c r="A610" s="14">
        <v>611</v>
      </c>
      <c r="B610" s="15" t="s">
        <v>271</v>
      </c>
      <c r="C610" s="16" t="s">
        <v>272</v>
      </c>
      <c r="D610" s="17">
        <v>44201</v>
      </c>
      <c r="E610" s="18">
        <v>55.8</v>
      </c>
      <c r="F610" s="12">
        <f ca="1">IFERROR(__xludf.DUMMYFUNCTION("GOOGLEFINANCE(C610)"),54.1)</f>
        <v>54.1</v>
      </c>
    </row>
    <row r="611" spans="1:6" ht="15" x14ac:dyDescent="0.25">
      <c r="A611" s="14">
        <v>612</v>
      </c>
      <c r="B611" s="15" t="s">
        <v>603</v>
      </c>
      <c r="C611" s="16" t="s">
        <v>604</v>
      </c>
      <c r="D611" s="17">
        <v>44201</v>
      </c>
      <c r="E611" s="18">
        <v>228.5</v>
      </c>
      <c r="F611" s="12">
        <f ca="1">IFERROR(__xludf.DUMMYFUNCTION("GOOGLEFINANCE(C611)"),155.37)</f>
        <v>155.37</v>
      </c>
    </row>
    <row r="612" spans="1:6" ht="15" x14ac:dyDescent="0.25">
      <c r="A612" s="14">
        <v>613</v>
      </c>
      <c r="B612" s="15" t="s">
        <v>605</v>
      </c>
      <c r="C612" s="16" t="s">
        <v>606</v>
      </c>
      <c r="D612" s="17">
        <v>44201</v>
      </c>
      <c r="E612" s="18">
        <v>73</v>
      </c>
      <c r="F612" s="12">
        <f ca="1">IFERROR(__xludf.DUMMYFUNCTION("GOOGLEFINANCE(C612)"),76.63)</f>
        <v>76.63</v>
      </c>
    </row>
    <row r="613" spans="1:6" ht="15" x14ac:dyDescent="0.25">
      <c r="A613" s="14">
        <v>614</v>
      </c>
      <c r="B613" s="15" t="s">
        <v>539</v>
      </c>
      <c r="C613" s="16" t="s">
        <v>540</v>
      </c>
      <c r="D613" s="17">
        <v>44201</v>
      </c>
      <c r="E613" s="18">
        <v>87</v>
      </c>
      <c r="F613" s="12">
        <f ca="1">IFERROR(__xludf.DUMMYFUNCTION("GOOGLEFINANCE(C613)"),113.6)</f>
        <v>113.6</v>
      </c>
    </row>
    <row r="614" spans="1:6" ht="15" x14ac:dyDescent="0.25">
      <c r="A614" s="14">
        <v>615</v>
      </c>
      <c r="B614" s="15" t="s">
        <v>607</v>
      </c>
      <c r="C614" s="16" t="s">
        <v>608</v>
      </c>
      <c r="D614" s="17">
        <v>44201</v>
      </c>
      <c r="E614" s="18">
        <v>26.72</v>
      </c>
      <c r="F614" s="12">
        <f ca="1">IFERROR(__xludf.DUMMYFUNCTION("GOOGLEFINANCE(C614)"),31.2)</f>
        <v>31.2</v>
      </c>
    </row>
    <row r="615" spans="1:6" ht="15" x14ac:dyDescent="0.25">
      <c r="A615" s="14">
        <v>616</v>
      </c>
      <c r="B615" s="15" t="s">
        <v>28</v>
      </c>
      <c r="C615" s="16" t="s">
        <v>29</v>
      </c>
      <c r="D615" s="17">
        <v>44201</v>
      </c>
      <c r="E615" s="18">
        <v>81.430000000000007</v>
      </c>
      <c r="F615" s="12">
        <f ca="1">IFERROR(__xludf.DUMMYFUNCTION("GOOGLEFINANCE(C615)"),86.54)</f>
        <v>86.54</v>
      </c>
    </row>
    <row r="616" spans="1:6" ht="15" x14ac:dyDescent="0.25">
      <c r="A616" s="14">
        <v>617</v>
      </c>
      <c r="B616" s="15" t="s">
        <v>443</v>
      </c>
      <c r="C616" s="16" t="s">
        <v>444</v>
      </c>
      <c r="D616" s="17">
        <v>44201</v>
      </c>
      <c r="E616" s="18">
        <v>106.5</v>
      </c>
      <c r="F616" s="12">
        <f ca="1">IFERROR(__xludf.DUMMYFUNCTION("GOOGLEFINANCE(C616)"),129.53)</f>
        <v>129.53</v>
      </c>
    </row>
    <row r="617" spans="1:6" ht="15" x14ac:dyDescent="0.25">
      <c r="A617" s="14">
        <v>618</v>
      </c>
      <c r="B617" s="15" t="s">
        <v>353</v>
      </c>
      <c r="C617" s="16" t="s">
        <v>354</v>
      </c>
      <c r="D617" s="17">
        <v>44200</v>
      </c>
      <c r="E617" s="18">
        <v>359.98</v>
      </c>
      <c r="F617" s="12">
        <f ca="1">IFERROR(__xludf.DUMMYFUNCTION("GOOGLEFINANCE(C617)"),199.74)</f>
        <v>199.74</v>
      </c>
    </row>
    <row r="619" spans="1:6" ht="12.75" x14ac:dyDescent="0.2">
      <c r="E619" s="27">
        <f t="shared" ref="E619:F619" si="0">SUM(E1:E617)</f>
        <v>103210.38</v>
      </c>
      <c r="F619" s="12">
        <f t="shared" ca="1" si="0"/>
        <v>103384.85010000005</v>
      </c>
    </row>
  </sheetData>
  <hyperlinks>
    <hyperlink ref="H186" r:id="rId1" xr:uid="{00000000-0004-0000-0100-000000000000}"/>
    <hyperlink ref="H213" r:id="rId2" xr:uid="{00000000-0004-0000-0100-000001000000}"/>
    <hyperlink ref="H255" r:id="rId3" xr:uid="{00000000-0004-0000-0100-000002000000}"/>
    <hyperlink ref="K255" r:id="rId4" xr:uid="{00000000-0004-0000-0100-000003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ECBAFB-03F8-40E3-987C-53BA9141C515}">
  <dimension ref="A1:J5"/>
  <sheetViews>
    <sheetView workbookViewId="0">
      <selection activeCell="F14" sqref="F14"/>
    </sheetView>
  </sheetViews>
  <sheetFormatPr defaultRowHeight="12.75" x14ac:dyDescent="0.2"/>
  <cols>
    <col min="1" max="1" width="7.7109375" bestFit="1" customWidth="1"/>
    <col min="3" max="3" width="12.28515625" bestFit="1" customWidth="1"/>
    <col min="4" max="4" width="15.5703125" bestFit="1" customWidth="1"/>
    <col min="5" max="5" width="17.5703125" bestFit="1" customWidth="1"/>
    <col min="6" max="6" width="28.85546875" bestFit="1" customWidth="1"/>
    <col min="7" max="7" width="40.42578125" bestFit="1" customWidth="1"/>
    <col min="8" max="8" width="15.42578125" bestFit="1" customWidth="1"/>
    <col min="9" max="9" width="22" bestFit="1" customWidth="1"/>
    <col min="10" max="10" width="82.7109375" bestFit="1" customWidth="1"/>
  </cols>
  <sheetData>
    <row r="1" spans="1:10" x14ac:dyDescent="0.2">
      <c r="C1" s="38" t="s">
        <v>638</v>
      </c>
      <c r="D1" s="38" t="s">
        <v>640</v>
      </c>
      <c r="E1" s="38" t="s">
        <v>637</v>
      </c>
      <c r="F1" s="38" t="s">
        <v>643</v>
      </c>
      <c r="G1" s="38" t="s">
        <v>644</v>
      </c>
      <c r="H1" s="38" t="s">
        <v>639</v>
      </c>
      <c r="I1" s="38" t="s">
        <v>641</v>
      </c>
      <c r="J1" s="38" t="s">
        <v>642</v>
      </c>
    </row>
    <row r="2" spans="1:10" x14ac:dyDescent="0.2">
      <c r="A2" s="33" t="s">
        <v>635</v>
      </c>
      <c r="B2" s="34">
        <v>1</v>
      </c>
      <c r="C2" s="36">
        <v>0.5</v>
      </c>
      <c r="D2" s="36">
        <f>B2/$B$4</f>
        <v>9.99000999000999E-4</v>
      </c>
      <c r="E2" s="34">
        <f>B2*(1+C2)</f>
        <v>1.5</v>
      </c>
      <c r="F2" s="34">
        <f>E2-B2</f>
        <v>0.5</v>
      </c>
      <c r="I2" s="39">
        <f>D2*C2</f>
        <v>4.995004995004995E-4</v>
      </c>
    </row>
    <row r="3" spans="1:10" x14ac:dyDescent="0.2">
      <c r="A3" s="33" t="s">
        <v>636</v>
      </c>
      <c r="B3" s="34">
        <v>1000</v>
      </c>
      <c r="C3" s="36">
        <v>0.15</v>
      </c>
      <c r="D3" s="36">
        <f>B3/$B$4</f>
        <v>0.99900099900099903</v>
      </c>
      <c r="E3" s="34">
        <f>B3*(1+C3)</f>
        <v>1150</v>
      </c>
      <c r="F3" s="34">
        <f>E3-B3</f>
        <v>150</v>
      </c>
      <c r="I3" s="39">
        <f>D3*C3</f>
        <v>0.14985014985014986</v>
      </c>
    </row>
    <row r="4" spans="1:10" ht="13.5" thickBot="1" x14ac:dyDescent="0.25">
      <c r="B4" s="35">
        <f>SUM(B2:B3)</f>
        <v>1001</v>
      </c>
      <c r="C4" s="37">
        <f>SUM(C2:C3)</f>
        <v>0.65</v>
      </c>
      <c r="D4" s="37">
        <f>SUM(D2:D3)</f>
        <v>1</v>
      </c>
      <c r="E4" s="35">
        <f>SUM(E2:E3)</f>
        <v>1151.5</v>
      </c>
      <c r="F4" s="35">
        <f>SUM(F2:F3)</f>
        <v>150.5</v>
      </c>
      <c r="G4" s="40">
        <f>C4/2</f>
        <v>0.32500000000000001</v>
      </c>
      <c r="H4" s="40">
        <f>(E4-B4)/B4</f>
        <v>0.15034965034965034</v>
      </c>
      <c r="I4" s="37">
        <f>SUM(I2:I3)</f>
        <v>0.15034965034965037</v>
      </c>
      <c r="J4" s="36">
        <f>H4-I4</f>
        <v>0</v>
      </c>
    </row>
    <row r="5" spans="1:10" ht="13.5" thickTop="1" x14ac:dyDescent="0.2"/>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Only Firms With Price Data as o</vt:lpstr>
      <vt:lpstr>Raw Data with All Firms</vt:lpstr>
      <vt:lpstr>Counterfactual Portfolio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 G</dc:creator>
  <cp:lastModifiedBy>Robso</cp:lastModifiedBy>
  <dcterms:created xsi:type="dcterms:W3CDTF">2021-12-19T20:30:46Z</dcterms:created>
  <dcterms:modified xsi:type="dcterms:W3CDTF">2021-12-19T22:16:03Z</dcterms:modified>
</cp:coreProperties>
</file>