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vbaProject.bin" ContentType="application/vnd.ms-office.vbaProject"/>
  <Override PartName="/xl/metadata.xml" ContentType="application/vnd.openxmlformats-officedocument.spreadsheetml.sheetMetadata+xml"/>
  <Override PartName="/xl/tables/table1.xml" ContentType="application/vnd.openxmlformats-officedocument.spreadsheetml.table+xml"/>
  <Override PartName="/xl/activeX/activeX1.xml" ContentType="application/vnd.ms-office.activeX+xml"/>
  <Override PartName="/xl/activeX/activeX1.bin" ContentType="application/vnd.ms-office.activeX"/>
  <Override PartName="/xl/connections.xml" ContentType="application/vnd.openxmlformats-officedocument.spreadsheetml.connections+xml"/>
  <Override PartName="/xl/ctrlProps/ctrlProp1.xml" ContentType="application/vnd.ms-excel.controlproperties+xml"/>
  <Override PartName="/xl/comments1.xml" ContentType="application/vnd.openxmlformats-officedocument.spreadsheetml.comment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6.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queryTables/queryTable1.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ables/table2.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trlProps/ctrlProp6.xml" ContentType="application/vnd.ms-excel.controlproperties+xml"/>
  <Override PartName="/xl/queryTables/queryTable3.xml" ContentType="application/vnd.openxmlformats-officedocument.spreadsheetml.queryTable+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https://rhimagnesita-my.sharepoint.com/personal/paulo_barbosa_rhimagnesita_com/Documents/barbopa_Profile/Desktop/semana/"/>
    </mc:Choice>
  </mc:AlternateContent>
  <xr:revisionPtr revIDLastSave="1" documentId="8_{4346C65C-BC4F-4F0A-B9D4-D07B8B3A6994}" xr6:coauthVersionLast="47" xr6:coauthVersionMax="47" xr10:uidLastSave="{2BEF7B28-1889-4020-A2B4-19AEB1451F66}"/>
  <bookViews>
    <workbookView xWindow="-13980" yWindow="-16320" windowWidth="29040" windowHeight="15840" tabRatio="664" firstSheet="3" activeTab="4" xr2:uid="{00000000-000D-0000-FFFF-FFFF00000000}"/>
  </bookViews>
  <sheets>
    <sheet name="Unidades" sheetId="12" r:id="rId1"/>
    <sheet name="Aplicação do Concreto" sheetId="13" r:id="rId2"/>
    <sheet name="Densidades" sheetId="1" r:id="rId3"/>
    <sheet name="Formatos" sheetId="4" r:id="rId4"/>
    <sheet name="Memória TOTAL" sheetId="26" r:id="rId5"/>
    <sheet name="Recomendadas TOTAL" sheetId="21" r:id="rId6"/>
    <sheet name="FRONT SHEET" sheetId="18" r:id="rId7"/>
    <sheet name="TOTAL" sheetId="10" r:id="rId8"/>
    <sheet name="OVERALL" sheetId="19" r:id="rId9"/>
    <sheet name="FILTER" sheetId="29" r:id="rId10"/>
    <sheet name="SAP_COMPILED" sheetId="28" r:id="rId11"/>
    <sheet name="SAP_FINAL" sheetId="30" r:id="rId12"/>
    <sheet name="ITEM_REFERENCE" sheetId="31" state="hidden" r:id="rId13"/>
    <sheet name="COMPILED" sheetId="27" state="hidden" r:id="rId14"/>
  </sheets>
  <functionGroups builtInGroupCount="19"/>
  <definedNames>
    <definedName name="_xlnm._FilterDatabase" localSheetId="2" hidden="1">Densidades!$A$1:$J$97</definedName>
    <definedName name="_xlnm.Print_Area" localSheetId="13">COMPILED!$A:$Y</definedName>
    <definedName name="_xlnm.Print_Area" localSheetId="6">'FRONT SHEET'!$A$1:$AA$22</definedName>
    <definedName name="_xlnm.Print_Area" localSheetId="4">'Memória TOTAL'!$A$1:$X$644</definedName>
    <definedName name="_xlnm.Print_Area" localSheetId="8">OVERALL!$A:$AA</definedName>
    <definedName name="_xlnm.Print_Area" localSheetId="7">TOTAL!$A:$AA</definedName>
    <definedName name="Classif_Descr">Tabela1[Descrição]</definedName>
    <definedName name="DadosExternos_1" localSheetId="9" hidden="1">FILTER!$A$1:$A$10</definedName>
    <definedName name="DadosExternos_1" localSheetId="12" hidden="1">ITEM_REFERENCE!$A$1:$A$24</definedName>
    <definedName name="DadosExternos_2" localSheetId="9" hidden="1">FILTER!$E$1:$E$13</definedName>
    <definedName name="DadosExternos_2" localSheetId="11" hidden="1">SAP_FINAL!$E$2:$J$3</definedName>
    <definedName name="DadosExternos_3" localSheetId="11" hidden="1">SAP_FINAL!$A$1:$A$576</definedName>
    <definedName name="_xlnm.Print_Titles" localSheetId="13">COMPILED!$1:$11</definedName>
    <definedName name="_xlnm.Print_Titles" localSheetId="6">'FRONT SHEET'!$1:$11</definedName>
    <definedName name="_xlnm.Print_Titles" localSheetId="8">OVERALL!$1:$11</definedName>
    <definedName name="_xlnm.Print_Titles" localSheetId="7">TOTAL!$1:$11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274" i="26" l="1"/>
  <c r="J1274" i="26"/>
  <c r="D1274" i="26"/>
  <c r="C1274" i="26"/>
  <c r="K1268" i="26"/>
  <c r="I1268" i="26"/>
  <c r="G1268" i="26" s="1"/>
  <c r="D1268" i="26"/>
  <c r="C1268" i="26"/>
  <c r="W1268" i="26" s="1"/>
  <c r="K1263" i="26"/>
  <c r="I1263" i="26"/>
  <c r="F1263" i="26" s="1"/>
  <c r="D1263" i="26"/>
  <c r="C1263" i="26"/>
  <c r="W1263" i="26" s="1"/>
  <c r="X1256" i="26"/>
  <c r="H1255" i="26" s="1"/>
  <c r="X1255" i="26"/>
  <c r="V1255" i="26"/>
  <c r="L1254" i="26"/>
  <c r="K1254" i="26"/>
  <c r="J1254" i="26"/>
  <c r="I1254" i="26"/>
  <c r="H1254" i="26"/>
  <c r="G1254" i="26"/>
  <c r="F1254" i="26"/>
  <c r="E1254" i="26"/>
  <c r="D1254" i="26"/>
  <c r="C1254" i="26"/>
  <c r="X1252" i="26"/>
  <c r="E1257" i="26" s="1"/>
  <c r="V1251" i="26"/>
  <c r="P1251" i="26"/>
  <c r="K1258" i="26" s="1"/>
  <c r="K1251" i="26"/>
  <c r="I1251" i="26"/>
  <c r="D1251" i="26"/>
  <c r="C1251" i="26"/>
  <c r="W1251" i="26" s="1"/>
  <c r="B1250" i="26"/>
  <c r="T1247" i="26"/>
  <c r="K1243" i="26"/>
  <c r="J1243" i="26"/>
  <c r="D1243" i="26"/>
  <c r="C1243" i="26"/>
  <c r="C1247" i="26" s="1"/>
  <c r="B1242" i="26"/>
  <c r="K1236" i="26"/>
  <c r="K1237" i="26" s="1"/>
  <c r="K1238" i="26" s="1"/>
  <c r="K1239" i="26" s="1"/>
  <c r="J1236" i="26"/>
  <c r="J1237" i="26" s="1"/>
  <c r="J1238" i="26" s="1"/>
  <c r="J1239" i="26" s="1"/>
  <c r="I1236" i="26"/>
  <c r="I1237" i="26" s="1"/>
  <c r="I1238" i="26" s="1"/>
  <c r="I1239" i="26" s="1"/>
  <c r="H1236" i="26"/>
  <c r="H1237" i="26" s="1"/>
  <c r="H1238" i="26" s="1"/>
  <c r="H1239" i="26" s="1"/>
  <c r="G1236" i="26"/>
  <c r="G1237" i="26" s="1"/>
  <c r="G1238" i="26" s="1"/>
  <c r="G1239" i="26" s="1"/>
  <c r="F1236" i="26"/>
  <c r="F1237" i="26" s="1"/>
  <c r="F1238" i="26" s="1"/>
  <c r="F1239" i="26" s="1"/>
  <c r="E1236" i="26"/>
  <c r="E1237" i="26" s="1"/>
  <c r="E1238" i="26" s="1"/>
  <c r="E1239" i="26" s="1"/>
  <c r="D1236" i="26"/>
  <c r="C1236" i="26"/>
  <c r="W1236" i="26" s="1"/>
  <c r="B1235" i="26"/>
  <c r="V1232" i="26"/>
  <c r="T1232" i="26"/>
  <c r="V1231" i="26"/>
  <c r="T1231" i="26"/>
  <c r="N1229" i="26"/>
  <c r="N1230" i="26" s="1"/>
  <c r="N1232" i="26" s="1"/>
  <c r="K1228" i="26"/>
  <c r="K1229" i="26" s="1"/>
  <c r="K1230" i="26" s="1"/>
  <c r="K1231" i="26" s="1"/>
  <c r="J1228" i="26"/>
  <c r="J1229" i="26" s="1"/>
  <c r="J1230" i="26" s="1"/>
  <c r="J1231" i="26" s="1"/>
  <c r="I1228" i="26"/>
  <c r="I1229" i="26" s="1"/>
  <c r="I1230" i="26" s="1"/>
  <c r="H1228" i="26"/>
  <c r="H1229" i="26" s="1"/>
  <c r="H1230" i="26" s="1"/>
  <c r="G1228" i="26"/>
  <c r="G1229" i="26" s="1"/>
  <c r="G1230" i="26" s="1"/>
  <c r="F1228" i="26"/>
  <c r="F1229" i="26" s="1"/>
  <c r="F1230" i="26" s="1"/>
  <c r="E1228" i="26"/>
  <c r="E1229" i="26" s="1"/>
  <c r="E1230" i="26" s="1"/>
  <c r="D1228" i="26"/>
  <c r="C1228" i="26"/>
  <c r="W1228" i="26" s="1"/>
  <c r="B1227" i="26"/>
  <c r="K1222" i="26"/>
  <c r="I1222" i="26"/>
  <c r="H1222" i="26" s="1"/>
  <c r="D1222" i="26"/>
  <c r="C1222" i="26"/>
  <c r="W1222" i="26" s="1"/>
  <c r="K1217" i="26"/>
  <c r="I1217" i="26"/>
  <c r="G1217" i="26" s="1"/>
  <c r="D1217" i="26"/>
  <c r="C1217" i="26"/>
  <c r="W1217" i="26" s="1"/>
  <c r="O1166" i="26"/>
  <c r="O1167" i="26" s="1"/>
  <c r="O1168" i="26" s="1"/>
  <c r="O1169" i="26" s="1"/>
  <c r="O1170" i="26" s="1"/>
  <c r="O1171" i="26" s="1"/>
  <c r="O1172" i="26" s="1"/>
  <c r="O1173" i="26" s="1"/>
  <c r="O1174" i="26" s="1"/>
  <c r="O1175" i="26" s="1"/>
  <c r="O1176" i="26" s="1"/>
  <c r="O1177" i="26" s="1"/>
  <c r="O1178" i="26" s="1"/>
  <c r="O1179" i="26" s="1"/>
  <c r="O1180" i="26" s="1"/>
  <c r="O1181" i="26" s="1"/>
  <c r="O1182" i="26" s="1"/>
  <c r="O1183" i="26" s="1"/>
  <c r="O1184" i="26" s="1"/>
  <c r="O1185" i="26" s="1"/>
  <c r="O1186" i="26" s="1"/>
  <c r="O1187" i="26" s="1"/>
  <c r="O1188" i="26" s="1"/>
  <c r="O1189" i="26" s="1"/>
  <c r="O1190" i="26" s="1"/>
  <c r="O1191" i="26" s="1"/>
  <c r="O1192" i="26" s="1"/>
  <c r="O1193" i="26" s="1"/>
  <c r="O1194" i="26" s="1"/>
  <c r="O1195" i="26" s="1"/>
  <c r="O1196" i="26" s="1"/>
  <c r="O1197" i="26" s="1"/>
  <c r="O1198" i="26" s="1"/>
  <c r="O1199" i="26" s="1"/>
  <c r="O1200" i="26" s="1"/>
  <c r="O1201" i="26" s="1"/>
  <c r="O1202" i="26" s="1"/>
  <c r="O1203" i="26" s="1"/>
  <c r="O1204" i="26" s="1"/>
  <c r="O1205" i="26" s="1"/>
  <c r="O1206" i="26" s="1"/>
  <c r="O1207" i="26" s="1"/>
  <c r="O1208" i="26" s="1"/>
  <c r="O1209" i="26" s="1"/>
  <c r="O1210" i="26" s="1"/>
  <c r="O1211" i="26" s="1"/>
  <c r="O1212" i="26" s="1"/>
  <c r="O1213" i="26" s="1"/>
  <c r="O1214" i="26" s="1"/>
  <c r="I1165" i="26"/>
  <c r="I1166" i="26" s="1"/>
  <c r="I1167" i="26" s="1"/>
  <c r="I1168" i="26" s="1"/>
  <c r="I1169" i="26" s="1"/>
  <c r="I1170" i="26" s="1"/>
  <c r="I1171" i="26" s="1"/>
  <c r="I1172" i="26" s="1"/>
  <c r="I1173" i="26" s="1"/>
  <c r="I1174" i="26" s="1"/>
  <c r="I1175" i="26" s="1"/>
  <c r="I1176" i="26" s="1"/>
  <c r="I1177" i="26" s="1"/>
  <c r="I1178" i="26" s="1"/>
  <c r="I1179" i="26" s="1"/>
  <c r="I1180" i="26" s="1"/>
  <c r="I1181" i="26" s="1"/>
  <c r="I1182" i="26" s="1"/>
  <c r="I1183" i="26" s="1"/>
  <c r="I1184" i="26" s="1"/>
  <c r="I1185" i="26" s="1"/>
  <c r="I1186" i="26" s="1"/>
  <c r="I1187" i="26" s="1"/>
  <c r="I1188" i="26" s="1"/>
  <c r="I1189" i="26" s="1"/>
  <c r="I1190" i="26" s="1"/>
  <c r="I1191" i="26" s="1"/>
  <c r="I1192" i="26" s="1"/>
  <c r="I1193" i="26" s="1"/>
  <c r="I1194" i="26" s="1"/>
  <c r="I1195" i="26" s="1"/>
  <c r="I1196" i="26" s="1"/>
  <c r="I1197" i="26" s="1"/>
  <c r="I1198" i="26" s="1"/>
  <c r="I1199" i="26" s="1"/>
  <c r="I1200" i="26" s="1"/>
  <c r="I1201" i="26" s="1"/>
  <c r="I1202" i="26" s="1"/>
  <c r="I1203" i="26" s="1"/>
  <c r="I1204" i="26" s="1"/>
  <c r="I1205" i="26" s="1"/>
  <c r="I1206" i="26" s="1"/>
  <c r="I1207" i="26" s="1"/>
  <c r="I1208" i="26" s="1"/>
  <c r="I1209" i="26" s="1"/>
  <c r="I1210" i="26" s="1"/>
  <c r="I1211" i="26" s="1"/>
  <c r="I1212" i="26" s="1"/>
  <c r="I1213" i="26" s="1"/>
  <c r="I1214" i="26" s="1"/>
  <c r="H1165" i="26"/>
  <c r="H1166" i="26" s="1"/>
  <c r="H1167" i="26" s="1"/>
  <c r="H1168" i="26" s="1"/>
  <c r="H1169" i="26" s="1"/>
  <c r="H1170" i="26" s="1"/>
  <c r="H1171" i="26" s="1"/>
  <c r="H1172" i="26" s="1"/>
  <c r="H1173" i="26" s="1"/>
  <c r="H1174" i="26" s="1"/>
  <c r="H1175" i="26" s="1"/>
  <c r="H1176" i="26" s="1"/>
  <c r="H1177" i="26" s="1"/>
  <c r="H1178" i="26" s="1"/>
  <c r="H1179" i="26" s="1"/>
  <c r="H1180" i="26" s="1"/>
  <c r="H1181" i="26" s="1"/>
  <c r="H1182" i="26" s="1"/>
  <c r="H1183" i="26" s="1"/>
  <c r="H1184" i="26" s="1"/>
  <c r="H1185" i="26" s="1"/>
  <c r="H1186" i="26" s="1"/>
  <c r="H1187" i="26" s="1"/>
  <c r="H1188" i="26" s="1"/>
  <c r="H1189" i="26" s="1"/>
  <c r="H1190" i="26" s="1"/>
  <c r="H1191" i="26" s="1"/>
  <c r="H1192" i="26" s="1"/>
  <c r="H1193" i="26" s="1"/>
  <c r="H1194" i="26" s="1"/>
  <c r="H1195" i="26" s="1"/>
  <c r="H1196" i="26" s="1"/>
  <c r="H1197" i="26" s="1"/>
  <c r="H1198" i="26" s="1"/>
  <c r="H1199" i="26" s="1"/>
  <c r="H1200" i="26" s="1"/>
  <c r="H1201" i="26" s="1"/>
  <c r="H1202" i="26" s="1"/>
  <c r="H1203" i="26" s="1"/>
  <c r="H1204" i="26" s="1"/>
  <c r="H1205" i="26" s="1"/>
  <c r="H1206" i="26" s="1"/>
  <c r="H1207" i="26" s="1"/>
  <c r="H1208" i="26" s="1"/>
  <c r="H1209" i="26" s="1"/>
  <c r="H1210" i="26" s="1"/>
  <c r="H1211" i="26" s="1"/>
  <c r="H1212" i="26" s="1"/>
  <c r="H1213" i="26" s="1"/>
  <c r="H1214" i="26" s="1"/>
  <c r="D1165" i="26"/>
  <c r="D1166" i="26" s="1"/>
  <c r="D1167" i="26" s="1"/>
  <c r="D1168" i="26" s="1"/>
  <c r="D1169" i="26" s="1"/>
  <c r="D1170" i="26" s="1"/>
  <c r="D1171" i="26" s="1"/>
  <c r="D1172" i="26" s="1"/>
  <c r="D1173" i="26" s="1"/>
  <c r="D1174" i="26" s="1"/>
  <c r="D1175" i="26" s="1"/>
  <c r="D1176" i="26" s="1"/>
  <c r="D1177" i="26" s="1"/>
  <c r="D1178" i="26" s="1"/>
  <c r="D1179" i="26" s="1"/>
  <c r="D1180" i="26" s="1"/>
  <c r="D1181" i="26" s="1"/>
  <c r="D1182" i="26" s="1"/>
  <c r="D1183" i="26" s="1"/>
  <c r="D1184" i="26" s="1"/>
  <c r="D1185" i="26" s="1"/>
  <c r="D1186" i="26" s="1"/>
  <c r="D1187" i="26" s="1"/>
  <c r="D1188" i="26" s="1"/>
  <c r="D1189" i="26" s="1"/>
  <c r="D1190" i="26" s="1"/>
  <c r="D1191" i="26" s="1"/>
  <c r="D1192" i="26" s="1"/>
  <c r="D1193" i="26" s="1"/>
  <c r="D1194" i="26" s="1"/>
  <c r="D1195" i="26" s="1"/>
  <c r="D1196" i="26" s="1"/>
  <c r="D1197" i="26" s="1"/>
  <c r="D1198" i="26" s="1"/>
  <c r="D1199" i="26" s="1"/>
  <c r="D1200" i="26" s="1"/>
  <c r="D1201" i="26" s="1"/>
  <c r="D1202" i="26" s="1"/>
  <c r="D1203" i="26" s="1"/>
  <c r="D1204" i="26" s="1"/>
  <c r="D1205" i="26" s="1"/>
  <c r="D1206" i="26" s="1"/>
  <c r="D1207" i="26" s="1"/>
  <c r="D1208" i="26" s="1"/>
  <c r="D1209" i="26" s="1"/>
  <c r="D1210" i="26" s="1"/>
  <c r="D1211" i="26" s="1"/>
  <c r="D1212" i="26" s="1"/>
  <c r="D1213" i="26" s="1"/>
  <c r="D1214" i="26" s="1"/>
  <c r="C1165" i="26"/>
  <c r="E1161" i="26"/>
  <c r="K1158" i="26"/>
  <c r="J1158" i="26"/>
  <c r="I1158" i="26"/>
  <c r="H1158" i="26"/>
  <c r="G1158" i="26"/>
  <c r="F1158" i="26"/>
  <c r="E1158" i="26"/>
  <c r="D1158" i="26"/>
  <c r="C1158" i="26"/>
  <c r="L1157" i="26"/>
  <c r="K1157" i="26"/>
  <c r="J1157" i="26"/>
  <c r="I1157" i="26"/>
  <c r="H1157" i="26"/>
  <c r="G1157" i="26"/>
  <c r="F1157" i="26"/>
  <c r="E1157" i="26"/>
  <c r="D1157" i="26"/>
  <c r="C1157" i="26"/>
  <c r="X1155" i="26"/>
  <c r="J1154" i="26" s="1"/>
  <c r="V1154" i="26"/>
  <c r="P1154" i="26"/>
  <c r="K1154" i="26"/>
  <c r="I1154" i="26"/>
  <c r="D1154" i="26"/>
  <c r="C1154" i="26"/>
  <c r="W1154" i="26" s="1"/>
  <c r="U1222" i="26" s="1"/>
  <c r="B1153" i="26"/>
  <c r="K1148" i="26"/>
  <c r="I1148" i="26"/>
  <c r="D1148" i="26"/>
  <c r="C1148" i="26"/>
  <c r="W1148" i="26" s="1"/>
  <c r="K1143" i="26"/>
  <c r="I1143" i="26"/>
  <c r="H1143" i="26" s="1"/>
  <c r="D1143" i="26"/>
  <c r="C1143" i="26"/>
  <c r="W1143" i="26" s="1"/>
  <c r="B1139" i="26"/>
  <c r="E1136" i="26"/>
  <c r="K1133" i="26"/>
  <c r="J1133" i="26"/>
  <c r="I1133" i="26"/>
  <c r="H1133" i="26"/>
  <c r="G1133" i="26"/>
  <c r="F1133" i="26"/>
  <c r="Q1136" i="26" s="1"/>
  <c r="E1133" i="26"/>
  <c r="P1136" i="26" s="1"/>
  <c r="D1133" i="26"/>
  <c r="C1133" i="26"/>
  <c r="L1132" i="26"/>
  <c r="K1132" i="26"/>
  <c r="J1132" i="26"/>
  <c r="I1132" i="26"/>
  <c r="H1132" i="26"/>
  <c r="G1132" i="26"/>
  <c r="F1132" i="26"/>
  <c r="E1132" i="26"/>
  <c r="D1132" i="26"/>
  <c r="C1132" i="26"/>
  <c r="X1130" i="26"/>
  <c r="V1129" i="26"/>
  <c r="T1129" i="26"/>
  <c r="P1129" i="26"/>
  <c r="K1129" i="26"/>
  <c r="I1129" i="26"/>
  <c r="D1129" i="26"/>
  <c r="C1129" i="26"/>
  <c r="B1128" i="26"/>
  <c r="K1123" i="26"/>
  <c r="I1123" i="26"/>
  <c r="F1123" i="26" s="1"/>
  <c r="D1123" i="26"/>
  <c r="C1123" i="26"/>
  <c r="W1123" i="26" s="1"/>
  <c r="K1118" i="26"/>
  <c r="I1118" i="26"/>
  <c r="G1118" i="26" s="1"/>
  <c r="D1118" i="26"/>
  <c r="C1118" i="26"/>
  <c r="W1118" i="26" s="1"/>
  <c r="C1114" i="26"/>
  <c r="T1114" i="26" s="1"/>
  <c r="C1113" i="26"/>
  <c r="C1112" i="26"/>
  <c r="T1112" i="26" s="1"/>
  <c r="C1111" i="26"/>
  <c r="U1111" i="26" s="1"/>
  <c r="C1110" i="26"/>
  <c r="S1110" i="26" s="1"/>
  <c r="C1109" i="26"/>
  <c r="N1109" i="26" s="1"/>
  <c r="C1108" i="26"/>
  <c r="Q1108" i="26" s="1"/>
  <c r="C1107" i="26"/>
  <c r="S1107" i="26" s="1"/>
  <c r="C1106" i="26"/>
  <c r="L1106" i="26" s="1"/>
  <c r="C1105" i="26"/>
  <c r="T1105" i="26" s="1"/>
  <c r="C1104" i="26"/>
  <c r="S1104" i="26" s="1"/>
  <c r="C1103" i="26"/>
  <c r="P1103" i="26" s="1"/>
  <c r="C1102" i="26"/>
  <c r="S1102" i="26" s="1"/>
  <c r="C1101" i="26"/>
  <c r="N1101" i="26" s="1"/>
  <c r="C1100" i="26"/>
  <c r="Q1100" i="26" s="1"/>
  <c r="C1099" i="26"/>
  <c r="S1099" i="26" s="1"/>
  <c r="C1098" i="26"/>
  <c r="T1098" i="26" s="1"/>
  <c r="C1097" i="26"/>
  <c r="U1097" i="26" s="1"/>
  <c r="C1096" i="26"/>
  <c r="P1096" i="26" s="1"/>
  <c r="C1095" i="26"/>
  <c r="P1095" i="26" s="1"/>
  <c r="C1094" i="26"/>
  <c r="S1094" i="26" s="1"/>
  <c r="C1093" i="26"/>
  <c r="C1092" i="26"/>
  <c r="Q1092" i="26" s="1"/>
  <c r="C1091" i="26"/>
  <c r="U1091" i="26" s="1"/>
  <c r="C1090" i="26"/>
  <c r="N1090" i="26" s="1"/>
  <c r="C1089" i="26"/>
  <c r="T1089" i="26" s="1"/>
  <c r="C1088" i="26"/>
  <c r="S1088" i="26" s="1"/>
  <c r="C1087" i="26"/>
  <c r="P1087" i="26" s="1"/>
  <c r="C1086" i="26"/>
  <c r="S1086" i="26" s="1"/>
  <c r="C1085" i="26"/>
  <c r="N1085" i="26" s="1"/>
  <c r="C1084" i="26"/>
  <c r="U1084" i="26" s="1"/>
  <c r="C1083" i="26"/>
  <c r="R1083" i="26" s="1"/>
  <c r="C1082" i="26"/>
  <c r="T1082" i="26" s="1"/>
  <c r="C1081" i="26"/>
  <c r="R1081" i="26" s="1"/>
  <c r="C1080" i="26"/>
  <c r="R1080" i="26" s="1"/>
  <c r="C1079" i="26"/>
  <c r="U1079" i="26" s="1"/>
  <c r="C1078" i="26"/>
  <c r="S1078" i="26" s="1"/>
  <c r="C1077" i="26"/>
  <c r="N1077" i="26" s="1"/>
  <c r="C1076" i="26"/>
  <c r="Q1076" i="26" s="1"/>
  <c r="C1075" i="26"/>
  <c r="S1075" i="26" s="1"/>
  <c r="C1074" i="26"/>
  <c r="C1073" i="26"/>
  <c r="T1073" i="26" s="1"/>
  <c r="C1072" i="26"/>
  <c r="S1072" i="26" s="1"/>
  <c r="C1071" i="26"/>
  <c r="P1071" i="26" s="1"/>
  <c r="C1070" i="26"/>
  <c r="S1070" i="26" s="1"/>
  <c r="C1069" i="26"/>
  <c r="N1069" i="26" s="1"/>
  <c r="C1068" i="26"/>
  <c r="Q1068" i="26" s="1"/>
  <c r="C1067" i="26"/>
  <c r="S1067" i="26" s="1"/>
  <c r="C1066" i="26"/>
  <c r="S1066" i="26" s="1"/>
  <c r="C1065" i="26"/>
  <c r="U1064" i="26"/>
  <c r="T1064" i="26"/>
  <c r="S1064" i="26"/>
  <c r="R1064" i="26"/>
  <c r="Q1064" i="26"/>
  <c r="P1064" i="26"/>
  <c r="S1059" i="26"/>
  <c r="R1059" i="26"/>
  <c r="Q1059" i="26"/>
  <c r="P1059" i="26"/>
  <c r="S1058" i="26"/>
  <c r="R1058" i="26"/>
  <c r="Q1058" i="26"/>
  <c r="P1058" i="26"/>
  <c r="S1057" i="26"/>
  <c r="R1057" i="26"/>
  <c r="Q1057" i="26"/>
  <c r="P1057" i="26"/>
  <c r="X1055" i="26"/>
  <c r="D1055" i="26" s="1"/>
  <c r="L1054" i="26"/>
  <c r="L1058" i="26" s="1"/>
  <c r="K1054" i="26"/>
  <c r="K1058" i="26" s="1"/>
  <c r="J1054" i="26"/>
  <c r="J1058" i="26" s="1"/>
  <c r="I1054" i="26"/>
  <c r="I1058" i="26" s="1"/>
  <c r="H1054" i="26"/>
  <c r="H1058" i="26" s="1"/>
  <c r="G1054" i="26"/>
  <c r="G1058" i="26" s="1"/>
  <c r="F1054" i="26"/>
  <c r="F1058" i="26" s="1"/>
  <c r="E1054" i="26"/>
  <c r="E1058" i="26" s="1"/>
  <c r="D1054" i="26"/>
  <c r="D1058" i="26" s="1"/>
  <c r="C1054" i="26"/>
  <c r="C1058" i="26" s="1"/>
  <c r="X1052" i="26"/>
  <c r="H1051" i="26" s="1"/>
  <c r="K1051" i="26"/>
  <c r="I1051" i="26"/>
  <c r="D1051" i="26"/>
  <c r="C1051" i="26"/>
  <c r="B1050" i="26"/>
  <c r="K1045" i="26"/>
  <c r="I1045" i="26"/>
  <c r="G1045" i="26" s="1"/>
  <c r="D1045" i="26"/>
  <c r="C1045" i="26"/>
  <c r="W1045" i="26" s="1"/>
  <c r="K1040" i="26"/>
  <c r="I1040" i="26"/>
  <c r="F1040" i="26" s="1"/>
  <c r="D1040" i="26"/>
  <c r="C1040" i="26"/>
  <c r="W1040" i="26" s="1"/>
  <c r="S988" i="26"/>
  <c r="S989" i="26" s="1"/>
  <c r="S990" i="26" s="1"/>
  <c r="S991" i="26" s="1"/>
  <c r="S992" i="26" s="1"/>
  <c r="S993" i="26" s="1"/>
  <c r="S994" i="26" s="1"/>
  <c r="S995" i="26" s="1"/>
  <c r="S996" i="26" s="1"/>
  <c r="S997" i="26" s="1"/>
  <c r="S998" i="26" s="1"/>
  <c r="S999" i="26" s="1"/>
  <c r="S1000" i="26" s="1"/>
  <c r="S1001" i="26" s="1"/>
  <c r="S1002" i="26" s="1"/>
  <c r="S1003" i="26" s="1"/>
  <c r="S1004" i="26" s="1"/>
  <c r="S1005" i="26" s="1"/>
  <c r="S1006" i="26" s="1"/>
  <c r="S1007" i="26" s="1"/>
  <c r="S1008" i="26" s="1"/>
  <c r="S1009" i="26" s="1"/>
  <c r="S1010" i="26" s="1"/>
  <c r="S1011" i="26" s="1"/>
  <c r="S1012" i="26" s="1"/>
  <c r="S1013" i="26" s="1"/>
  <c r="S1014" i="26" s="1"/>
  <c r="S1015" i="26" s="1"/>
  <c r="S1016" i="26" s="1"/>
  <c r="S1017" i="26" s="1"/>
  <c r="S1018" i="26" s="1"/>
  <c r="S1019" i="26" s="1"/>
  <c r="S1020" i="26" s="1"/>
  <c r="S1021" i="26" s="1"/>
  <c r="S1022" i="26" s="1"/>
  <c r="S1023" i="26" s="1"/>
  <c r="S1024" i="26" s="1"/>
  <c r="S1025" i="26" s="1"/>
  <c r="S1026" i="26" s="1"/>
  <c r="S1027" i="26" s="1"/>
  <c r="S1028" i="26" s="1"/>
  <c r="S1029" i="26" s="1"/>
  <c r="S1030" i="26" s="1"/>
  <c r="S1031" i="26" s="1"/>
  <c r="S1032" i="26" s="1"/>
  <c r="S1033" i="26" s="1"/>
  <c r="S1034" i="26" s="1"/>
  <c r="S1035" i="26" s="1"/>
  <c r="S1036" i="26" s="1"/>
  <c r="Q988" i="26"/>
  <c r="K988" i="26" s="1"/>
  <c r="O988" i="26"/>
  <c r="M988" i="26"/>
  <c r="G988" i="26" s="1"/>
  <c r="K987" i="26"/>
  <c r="J987" i="26"/>
  <c r="I987" i="26"/>
  <c r="H987" i="26"/>
  <c r="G987" i="26"/>
  <c r="C987" i="26"/>
  <c r="G983" i="26"/>
  <c r="R982" i="26"/>
  <c r="Q982" i="26"/>
  <c r="P982" i="26"/>
  <c r="O982" i="26"/>
  <c r="M982" i="26"/>
  <c r="G982" i="26"/>
  <c r="R981" i="26"/>
  <c r="Q981" i="26"/>
  <c r="P981" i="26"/>
  <c r="O981" i="26"/>
  <c r="N981" i="26"/>
  <c r="G981" i="26"/>
  <c r="G980" i="26"/>
  <c r="V979" i="26"/>
  <c r="U979" i="26"/>
  <c r="T979" i="26"/>
  <c r="S979" i="26"/>
  <c r="Q979" i="26"/>
  <c r="P979" i="26"/>
  <c r="O979" i="26"/>
  <c r="N979" i="26"/>
  <c r="L979" i="26"/>
  <c r="G979" i="26"/>
  <c r="V978" i="26"/>
  <c r="U978" i="26"/>
  <c r="T978" i="26"/>
  <c r="S978" i="26"/>
  <c r="Q978" i="26"/>
  <c r="P978" i="26"/>
  <c r="O978" i="26"/>
  <c r="N978" i="26"/>
  <c r="L978" i="26"/>
  <c r="G978" i="26"/>
  <c r="V977" i="26"/>
  <c r="U977" i="26"/>
  <c r="T977" i="26"/>
  <c r="S977" i="26"/>
  <c r="Q977" i="26"/>
  <c r="P977" i="26"/>
  <c r="O977" i="26"/>
  <c r="N977" i="26"/>
  <c r="L977" i="26"/>
  <c r="G977" i="26"/>
  <c r="V976" i="26"/>
  <c r="U976" i="26"/>
  <c r="T976" i="26"/>
  <c r="S976" i="26"/>
  <c r="Q976" i="26"/>
  <c r="P976" i="26"/>
  <c r="O976" i="26"/>
  <c r="N976" i="26"/>
  <c r="G976" i="26"/>
  <c r="V975" i="26"/>
  <c r="U975" i="26"/>
  <c r="T975" i="26"/>
  <c r="S975" i="26"/>
  <c r="Q975" i="26"/>
  <c r="P975" i="26"/>
  <c r="O975" i="26"/>
  <c r="N975" i="26"/>
  <c r="G975" i="26"/>
  <c r="G974" i="26"/>
  <c r="X937" i="26"/>
  <c r="X938" i="26" s="1"/>
  <c r="H937" i="26" s="1"/>
  <c r="L936" i="26"/>
  <c r="L940" i="26" s="1"/>
  <c r="L944" i="26" s="1"/>
  <c r="L948" i="26" s="1"/>
  <c r="L952" i="26" s="1"/>
  <c r="L956" i="26" s="1"/>
  <c r="L960" i="26" s="1"/>
  <c r="L964" i="26" s="1"/>
  <c r="L968" i="26" s="1"/>
  <c r="K936" i="26"/>
  <c r="K940" i="26" s="1"/>
  <c r="K944" i="26" s="1"/>
  <c r="K948" i="26" s="1"/>
  <c r="K952" i="26" s="1"/>
  <c r="K956" i="26" s="1"/>
  <c r="K960" i="26" s="1"/>
  <c r="K964" i="26" s="1"/>
  <c r="K968" i="26" s="1"/>
  <c r="J936" i="26"/>
  <c r="J940" i="26" s="1"/>
  <c r="J944" i="26" s="1"/>
  <c r="J948" i="26" s="1"/>
  <c r="J952" i="26" s="1"/>
  <c r="J956" i="26" s="1"/>
  <c r="J960" i="26" s="1"/>
  <c r="J964" i="26" s="1"/>
  <c r="J968" i="26" s="1"/>
  <c r="I936" i="26"/>
  <c r="I940" i="26" s="1"/>
  <c r="I944" i="26" s="1"/>
  <c r="I948" i="26" s="1"/>
  <c r="I952" i="26" s="1"/>
  <c r="I956" i="26" s="1"/>
  <c r="I960" i="26" s="1"/>
  <c r="I964" i="26" s="1"/>
  <c r="I968" i="26" s="1"/>
  <c r="H936" i="26"/>
  <c r="H940" i="26" s="1"/>
  <c r="H944" i="26" s="1"/>
  <c r="H948" i="26" s="1"/>
  <c r="H952" i="26" s="1"/>
  <c r="H956" i="26" s="1"/>
  <c r="H960" i="26" s="1"/>
  <c r="H964" i="26" s="1"/>
  <c r="H968" i="26" s="1"/>
  <c r="G936" i="26"/>
  <c r="G940" i="26" s="1"/>
  <c r="G944" i="26" s="1"/>
  <c r="G948" i="26" s="1"/>
  <c r="G952" i="26" s="1"/>
  <c r="G956" i="26" s="1"/>
  <c r="G960" i="26" s="1"/>
  <c r="G964" i="26" s="1"/>
  <c r="G968" i="26" s="1"/>
  <c r="F936" i="26"/>
  <c r="F940" i="26" s="1"/>
  <c r="F944" i="26" s="1"/>
  <c r="F948" i="26" s="1"/>
  <c r="F952" i="26" s="1"/>
  <c r="F956" i="26" s="1"/>
  <c r="F960" i="26" s="1"/>
  <c r="F964" i="26" s="1"/>
  <c r="F968" i="26" s="1"/>
  <c r="E936" i="26"/>
  <c r="E940" i="26" s="1"/>
  <c r="E944" i="26" s="1"/>
  <c r="E948" i="26" s="1"/>
  <c r="E952" i="26" s="1"/>
  <c r="E956" i="26" s="1"/>
  <c r="E960" i="26" s="1"/>
  <c r="E964" i="26" s="1"/>
  <c r="E968" i="26" s="1"/>
  <c r="D936" i="26"/>
  <c r="D940" i="26" s="1"/>
  <c r="D944" i="26" s="1"/>
  <c r="D948" i="26" s="1"/>
  <c r="D952" i="26" s="1"/>
  <c r="D956" i="26" s="1"/>
  <c r="D960" i="26" s="1"/>
  <c r="D964" i="26" s="1"/>
  <c r="D968" i="26" s="1"/>
  <c r="C936" i="26"/>
  <c r="C940" i="26" s="1"/>
  <c r="C944" i="26" s="1"/>
  <c r="C948" i="26" s="1"/>
  <c r="C952" i="26" s="1"/>
  <c r="C956" i="26" s="1"/>
  <c r="C960" i="26" s="1"/>
  <c r="C964" i="26" s="1"/>
  <c r="C968" i="26" s="1"/>
  <c r="X934" i="26"/>
  <c r="F933" i="26" s="1"/>
  <c r="K933" i="26"/>
  <c r="I933" i="26"/>
  <c r="D933" i="26"/>
  <c r="C933" i="26"/>
  <c r="B932" i="26"/>
  <c r="K927" i="26"/>
  <c r="I927" i="26"/>
  <c r="F927" i="26" s="1"/>
  <c r="D927" i="26"/>
  <c r="C927" i="26"/>
  <c r="W927" i="26" s="1"/>
  <c r="K922" i="26"/>
  <c r="I922" i="26"/>
  <c r="F922" i="26" s="1"/>
  <c r="D922" i="26"/>
  <c r="C922" i="26"/>
  <c r="W922" i="26" s="1"/>
  <c r="O871" i="26"/>
  <c r="O872" i="26" s="1"/>
  <c r="O873" i="26" s="1"/>
  <c r="O874" i="26" s="1"/>
  <c r="O875" i="26" s="1"/>
  <c r="O876" i="26" s="1"/>
  <c r="O877" i="26" s="1"/>
  <c r="O878" i="26" s="1"/>
  <c r="O879" i="26" s="1"/>
  <c r="O880" i="26" s="1"/>
  <c r="O881" i="26" s="1"/>
  <c r="O882" i="26" s="1"/>
  <c r="O883" i="26" s="1"/>
  <c r="O884" i="26" s="1"/>
  <c r="O885" i="26" s="1"/>
  <c r="O886" i="26" s="1"/>
  <c r="O887" i="26" s="1"/>
  <c r="O888" i="26" s="1"/>
  <c r="O889" i="26" s="1"/>
  <c r="O890" i="26" s="1"/>
  <c r="O891" i="26" s="1"/>
  <c r="O892" i="26" s="1"/>
  <c r="O893" i="26" s="1"/>
  <c r="O894" i="26" s="1"/>
  <c r="O895" i="26" s="1"/>
  <c r="O896" i="26" s="1"/>
  <c r="O897" i="26" s="1"/>
  <c r="O898" i="26" s="1"/>
  <c r="O899" i="26" s="1"/>
  <c r="O900" i="26" s="1"/>
  <c r="O901" i="26" s="1"/>
  <c r="O902" i="26" s="1"/>
  <c r="O903" i="26" s="1"/>
  <c r="O904" i="26" s="1"/>
  <c r="O905" i="26" s="1"/>
  <c r="O906" i="26" s="1"/>
  <c r="O907" i="26" s="1"/>
  <c r="O908" i="26" s="1"/>
  <c r="O909" i="26" s="1"/>
  <c r="O910" i="26" s="1"/>
  <c r="O911" i="26" s="1"/>
  <c r="O912" i="26" s="1"/>
  <c r="O913" i="26" s="1"/>
  <c r="O914" i="26" s="1"/>
  <c r="O915" i="26" s="1"/>
  <c r="O916" i="26" s="1"/>
  <c r="O917" i="26" s="1"/>
  <c r="O918" i="26" s="1"/>
  <c r="O919" i="26" s="1"/>
  <c r="K870" i="26"/>
  <c r="K871" i="26" s="1"/>
  <c r="K872" i="26" s="1"/>
  <c r="K873" i="26" s="1"/>
  <c r="K874" i="26" s="1"/>
  <c r="K875" i="26" s="1"/>
  <c r="K876" i="26" s="1"/>
  <c r="K877" i="26" s="1"/>
  <c r="K878" i="26" s="1"/>
  <c r="K879" i="26" s="1"/>
  <c r="K880" i="26" s="1"/>
  <c r="K881" i="26" s="1"/>
  <c r="K882" i="26" s="1"/>
  <c r="K883" i="26" s="1"/>
  <c r="K884" i="26" s="1"/>
  <c r="K885" i="26" s="1"/>
  <c r="K886" i="26" s="1"/>
  <c r="K887" i="26" s="1"/>
  <c r="K888" i="26" s="1"/>
  <c r="K889" i="26" s="1"/>
  <c r="K890" i="26" s="1"/>
  <c r="K891" i="26" s="1"/>
  <c r="K892" i="26" s="1"/>
  <c r="K893" i="26" s="1"/>
  <c r="K894" i="26" s="1"/>
  <c r="K895" i="26" s="1"/>
  <c r="K896" i="26" s="1"/>
  <c r="K897" i="26" s="1"/>
  <c r="K898" i="26" s="1"/>
  <c r="K899" i="26" s="1"/>
  <c r="K900" i="26" s="1"/>
  <c r="K901" i="26" s="1"/>
  <c r="K902" i="26" s="1"/>
  <c r="K903" i="26" s="1"/>
  <c r="K904" i="26" s="1"/>
  <c r="K905" i="26" s="1"/>
  <c r="K906" i="26" s="1"/>
  <c r="K907" i="26" s="1"/>
  <c r="K908" i="26" s="1"/>
  <c r="K909" i="26" s="1"/>
  <c r="K910" i="26" s="1"/>
  <c r="K911" i="26" s="1"/>
  <c r="K912" i="26" s="1"/>
  <c r="K913" i="26" s="1"/>
  <c r="K914" i="26" s="1"/>
  <c r="K915" i="26" s="1"/>
  <c r="K916" i="26" s="1"/>
  <c r="K917" i="26" s="1"/>
  <c r="K918" i="26" s="1"/>
  <c r="K919" i="26" s="1"/>
  <c r="J870" i="26"/>
  <c r="J871" i="26" s="1"/>
  <c r="J872" i="26" s="1"/>
  <c r="J873" i="26" s="1"/>
  <c r="J874" i="26" s="1"/>
  <c r="J875" i="26" s="1"/>
  <c r="J876" i="26" s="1"/>
  <c r="J877" i="26" s="1"/>
  <c r="J878" i="26" s="1"/>
  <c r="J879" i="26" s="1"/>
  <c r="J880" i="26" s="1"/>
  <c r="J881" i="26" s="1"/>
  <c r="J882" i="26" s="1"/>
  <c r="J883" i="26" s="1"/>
  <c r="J884" i="26" s="1"/>
  <c r="J885" i="26" s="1"/>
  <c r="J886" i="26" s="1"/>
  <c r="J887" i="26" s="1"/>
  <c r="J888" i="26" s="1"/>
  <c r="J889" i="26" s="1"/>
  <c r="J890" i="26" s="1"/>
  <c r="J891" i="26" s="1"/>
  <c r="J892" i="26" s="1"/>
  <c r="J893" i="26" s="1"/>
  <c r="J894" i="26" s="1"/>
  <c r="J895" i="26" s="1"/>
  <c r="J896" i="26" s="1"/>
  <c r="J897" i="26" s="1"/>
  <c r="J898" i="26" s="1"/>
  <c r="J899" i="26" s="1"/>
  <c r="J900" i="26" s="1"/>
  <c r="J901" i="26" s="1"/>
  <c r="J902" i="26" s="1"/>
  <c r="J903" i="26" s="1"/>
  <c r="J904" i="26" s="1"/>
  <c r="J905" i="26" s="1"/>
  <c r="J906" i="26" s="1"/>
  <c r="J907" i="26" s="1"/>
  <c r="J908" i="26" s="1"/>
  <c r="J909" i="26" s="1"/>
  <c r="J910" i="26" s="1"/>
  <c r="J911" i="26" s="1"/>
  <c r="J912" i="26" s="1"/>
  <c r="J913" i="26" s="1"/>
  <c r="J914" i="26" s="1"/>
  <c r="J915" i="26" s="1"/>
  <c r="J916" i="26" s="1"/>
  <c r="J917" i="26" s="1"/>
  <c r="J918" i="26" s="1"/>
  <c r="J919" i="26" s="1"/>
  <c r="D870" i="26"/>
  <c r="D871" i="26" s="1"/>
  <c r="D872" i="26" s="1"/>
  <c r="D873" i="26" s="1"/>
  <c r="D874" i="26" s="1"/>
  <c r="D875" i="26" s="1"/>
  <c r="D876" i="26" s="1"/>
  <c r="D877" i="26" s="1"/>
  <c r="D878" i="26" s="1"/>
  <c r="D879" i="26" s="1"/>
  <c r="D880" i="26" s="1"/>
  <c r="D881" i="26" s="1"/>
  <c r="D882" i="26" s="1"/>
  <c r="D883" i="26" s="1"/>
  <c r="D884" i="26" s="1"/>
  <c r="D885" i="26" s="1"/>
  <c r="D886" i="26" s="1"/>
  <c r="D887" i="26" s="1"/>
  <c r="D888" i="26" s="1"/>
  <c r="D889" i="26" s="1"/>
  <c r="D890" i="26" s="1"/>
  <c r="D891" i="26" s="1"/>
  <c r="D892" i="26" s="1"/>
  <c r="D893" i="26" s="1"/>
  <c r="D894" i="26" s="1"/>
  <c r="D895" i="26" s="1"/>
  <c r="D896" i="26" s="1"/>
  <c r="D897" i="26" s="1"/>
  <c r="D898" i="26" s="1"/>
  <c r="D899" i="26" s="1"/>
  <c r="D900" i="26" s="1"/>
  <c r="D901" i="26" s="1"/>
  <c r="D902" i="26" s="1"/>
  <c r="D903" i="26" s="1"/>
  <c r="D904" i="26" s="1"/>
  <c r="D905" i="26" s="1"/>
  <c r="D906" i="26" s="1"/>
  <c r="D907" i="26" s="1"/>
  <c r="D908" i="26" s="1"/>
  <c r="D909" i="26" s="1"/>
  <c r="D910" i="26" s="1"/>
  <c r="D911" i="26" s="1"/>
  <c r="D912" i="26" s="1"/>
  <c r="D913" i="26" s="1"/>
  <c r="D914" i="26" s="1"/>
  <c r="D915" i="26" s="1"/>
  <c r="D916" i="26" s="1"/>
  <c r="D917" i="26" s="1"/>
  <c r="D918" i="26" s="1"/>
  <c r="D919" i="26" s="1"/>
  <c r="C870" i="26"/>
  <c r="X864" i="26"/>
  <c r="J863" i="26" s="1"/>
  <c r="X863" i="26"/>
  <c r="D863" i="26" s="1"/>
  <c r="V863" i="26"/>
  <c r="L862" i="26"/>
  <c r="K862" i="26"/>
  <c r="J862" i="26"/>
  <c r="I862" i="26"/>
  <c r="H862" i="26"/>
  <c r="G862" i="26"/>
  <c r="F862" i="26"/>
  <c r="E862" i="26"/>
  <c r="D862" i="26"/>
  <c r="C862" i="26"/>
  <c r="X860" i="26"/>
  <c r="E865" i="26" s="1"/>
  <c r="V859" i="26"/>
  <c r="K859" i="26"/>
  <c r="I859" i="26"/>
  <c r="D859" i="26"/>
  <c r="C859" i="26"/>
  <c r="W859" i="26" s="1"/>
  <c r="B858" i="26"/>
  <c r="K853" i="26"/>
  <c r="I853" i="26"/>
  <c r="H853" i="26" s="1"/>
  <c r="D853" i="26"/>
  <c r="C853" i="26"/>
  <c r="W853" i="26" s="1"/>
  <c r="K848" i="26"/>
  <c r="I848" i="26"/>
  <c r="F848" i="26" s="1"/>
  <c r="D848" i="26"/>
  <c r="C848" i="26"/>
  <c r="W848" i="26" s="1"/>
  <c r="O796" i="26"/>
  <c r="O797" i="26" s="1"/>
  <c r="O798" i="26" s="1"/>
  <c r="O799" i="26" s="1"/>
  <c r="O800" i="26" s="1"/>
  <c r="O801" i="26" s="1"/>
  <c r="O802" i="26" s="1"/>
  <c r="O803" i="26" s="1"/>
  <c r="O804" i="26" s="1"/>
  <c r="O805" i="26" s="1"/>
  <c r="O806" i="26" s="1"/>
  <c r="O807" i="26" s="1"/>
  <c r="O808" i="26" s="1"/>
  <c r="O809" i="26" s="1"/>
  <c r="O810" i="26" s="1"/>
  <c r="O811" i="26" s="1"/>
  <c r="O812" i="26" s="1"/>
  <c r="O813" i="26" s="1"/>
  <c r="O814" i="26" s="1"/>
  <c r="O815" i="26" s="1"/>
  <c r="O816" i="26" s="1"/>
  <c r="O817" i="26" s="1"/>
  <c r="O818" i="26" s="1"/>
  <c r="O819" i="26" s="1"/>
  <c r="O820" i="26" s="1"/>
  <c r="O821" i="26" s="1"/>
  <c r="O822" i="26" s="1"/>
  <c r="O823" i="26" s="1"/>
  <c r="O824" i="26" s="1"/>
  <c r="O825" i="26" s="1"/>
  <c r="O826" i="26" s="1"/>
  <c r="O827" i="26" s="1"/>
  <c r="O828" i="26" s="1"/>
  <c r="O829" i="26" s="1"/>
  <c r="O830" i="26" s="1"/>
  <c r="O831" i="26" s="1"/>
  <c r="O832" i="26" s="1"/>
  <c r="O833" i="26" s="1"/>
  <c r="O834" i="26" s="1"/>
  <c r="O835" i="26" s="1"/>
  <c r="O836" i="26" s="1"/>
  <c r="O837" i="26" s="1"/>
  <c r="O838" i="26" s="1"/>
  <c r="O839" i="26" s="1"/>
  <c r="O840" i="26" s="1"/>
  <c r="O841" i="26" s="1"/>
  <c r="O842" i="26" s="1"/>
  <c r="O843" i="26" s="1"/>
  <c r="O844" i="26" s="1"/>
  <c r="X790" i="26"/>
  <c r="F789" i="26" s="1"/>
  <c r="Q792" i="26" s="1"/>
  <c r="X789" i="26"/>
  <c r="K789" i="26" s="1"/>
  <c r="V789" i="26"/>
  <c r="L788" i="26"/>
  <c r="K788" i="26"/>
  <c r="J788" i="26"/>
  <c r="I788" i="26"/>
  <c r="H788" i="26"/>
  <c r="G788" i="26"/>
  <c r="F788" i="26"/>
  <c r="E788" i="26"/>
  <c r="D788" i="26"/>
  <c r="C788" i="26"/>
  <c r="X786" i="26"/>
  <c r="E791" i="26" s="1"/>
  <c r="V785" i="26"/>
  <c r="P785" i="26"/>
  <c r="Q785" i="26" s="1"/>
  <c r="K785" i="26"/>
  <c r="I785" i="26"/>
  <c r="D785" i="26"/>
  <c r="C785" i="26"/>
  <c r="W785" i="26" s="1"/>
  <c r="B784" i="26"/>
  <c r="K779" i="26"/>
  <c r="I779" i="26"/>
  <c r="F779" i="26" s="1"/>
  <c r="D779" i="26"/>
  <c r="C779" i="26"/>
  <c r="W779" i="26" s="1"/>
  <c r="K774" i="26"/>
  <c r="I774" i="26"/>
  <c r="H774" i="26" s="1"/>
  <c r="D774" i="26"/>
  <c r="C774" i="26"/>
  <c r="W774" i="26" s="1"/>
  <c r="B770" i="26"/>
  <c r="X765" i="26"/>
  <c r="J764" i="26" s="1"/>
  <c r="X764" i="26"/>
  <c r="D764" i="26" s="1"/>
  <c r="V764" i="26"/>
  <c r="L763" i="26"/>
  <c r="K763" i="26"/>
  <c r="J763" i="26"/>
  <c r="I763" i="26"/>
  <c r="H763" i="26"/>
  <c r="G763" i="26"/>
  <c r="F763" i="26"/>
  <c r="E763" i="26"/>
  <c r="D763" i="26"/>
  <c r="C763" i="26"/>
  <c r="X761" i="26"/>
  <c r="V760" i="26"/>
  <c r="T760" i="26"/>
  <c r="P760" i="26"/>
  <c r="Q760" i="26" s="1"/>
  <c r="K760" i="26"/>
  <c r="I760" i="26"/>
  <c r="D760" i="26"/>
  <c r="C760" i="26"/>
  <c r="B759" i="26"/>
  <c r="K754" i="26"/>
  <c r="I754" i="26"/>
  <c r="F754" i="26" s="1"/>
  <c r="D754" i="26"/>
  <c r="C754" i="26"/>
  <c r="W754" i="26" s="1"/>
  <c r="K749" i="26"/>
  <c r="I749" i="26"/>
  <c r="E749" i="26" s="1"/>
  <c r="D749" i="26"/>
  <c r="C749" i="26"/>
  <c r="W749" i="26" s="1"/>
  <c r="V746" i="26"/>
  <c r="T746" i="26"/>
  <c r="V745" i="26"/>
  <c r="T745" i="26"/>
  <c r="N743" i="26"/>
  <c r="N744" i="26" s="1"/>
  <c r="K742" i="26"/>
  <c r="K743" i="26" s="1"/>
  <c r="K744" i="26" s="1"/>
  <c r="J742" i="26"/>
  <c r="J743" i="26" s="1"/>
  <c r="J744" i="26" s="1"/>
  <c r="I742" i="26"/>
  <c r="I743" i="26" s="1"/>
  <c r="I744" i="26" s="1"/>
  <c r="H742" i="26"/>
  <c r="G742" i="26"/>
  <c r="G743" i="26" s="1"/>
  <c r="G744" i="26" s="1"/>
  <c r="G745" i="26" s="1"/>
  <c r="F742" i="26"/>
  <c r="F743" i="26" s="1"/>
  <c r="F744" i="26" s="1"/>
  <c r="F745" i="26" s="1"/>
  <c r="E742" i="26"/>
  <c r="E743" i="26" s="1"/>
  <c r="E744" i="26" s="1"/>
  <c r="D742" i="26"/>
  <c r="C742" i="26"/>
  <c r="W742" i="26" s="1"/>
  <c r="B741" i="26"/>
  <c r="M738" i="26"/>
  <c r="K734" i="26"/>
  <c r="J734" i="26"/>
  <c r="D734" i="26"/>
  <c r="V737" i="26" s="1"/>
  <c r="C734" i="26"/>
  <c r="B733" i="26"/>
  <c r="Q729" i="26"/>
  <c r="S729" i="26" s="1"/>
  <c r="T729" i="26" s="1"/>
  <c r="K728" i="26"/>
  <c r="J728" i="26"/>
  <c r="H728" i="26"/>
  <c r="G728" i="26"/>
  <c r="F728" i="26"/>
  <c r="E728" i="26"/>
  <c r="D728" i="26"/>
  <c r="C728" i="26"/>
  <c r="K723" i="26"/>
  <c r="J723" i="26"/>
  <c r="D723" i="26"/>
  <c r="C723" i="26"/>
  <c r="K719" i="26"/>
  <c r="J719" i="26"/>
  <c r="D719" i="26"/>
  <c r="C719" i="26"/>
  <c r="T716" i="26"/>
  <c r="V716" i="26" s="1"/>
  <c r="M716" i="26"/>
  <c r="T715" i="26"/>
  <c r="V715" i="26" s="1"/>
  <c r="M715" i="26"/>
  <c r="T714" i="26"/>
  <c r="V714" i="26" s="1"/>
  <c r="K711" i="26"/>
  <c r="J711" i="26"/>
  <c r="D711" i="26"/>
  <c r="C711" i="26"/>
  <c r="W711" i="26" s="1"/>
  <c r="B710" i="26"/>
  <c r="T707" i="26"/>
  <c r="V707" i="26" s="1"/>
  <c r="M707" i="26"/>
  <c r="T706" i="26"/>
  <c r="V706" i="26" s="1"/>
  <c r="M706" i="26"/>
  <c r="T705" i="26"/>
  <c r="V705" i="26" s="1"/>
  <c r="K702" i="26"/>
  <c r="J702" i="26"/>
  <c r="D702" i="26"/>
  <c r="C702" i="26"/>
  <c r="W702" i="26" s="1"/>
  <c r="B701" i="26"/>
  <c r="K695" i="26"/>
  <c r="I695" i="26"/>
  <c r="H695" i="26"/>
  <c r="G695" i="26"/>
  <c r="F695" i="26"/>
  <c r="D695" i="26"/>
  <c r="C695" i="26"/>
  <c r="T688" i="26"/>
  <c r="T687" i="26"/>
  <c r="K684" i="26"/>
  <c r="E684" i="26"/>
  <c r="I684" i="26" s="1"/>
  <c r="D684" i="26"/>
  <c r="C684" i="26"/>
  <c r="W684" i="26" s="1"/>
  <c r="T696" i="26" s="1"/>
  <c r="B683" i="26"/>
  <c r="T680" i="26"/>
  <c r="T679" i="26"/>
  <c r="K676" i="26"/>
  <c r="E676" i="26"/>
  <c r="G676" i="26" s="1"/>
  <c r="D676" i="26"/>
  <c r="C676" i="26"/>
  <c r="W676" i="26" s="1"/>
  <c r="B675" i="26"/>
  <c r="K670" i="26"/>
  <c r="I670" i="26"/>
  <c r="E670" i="26" s="1"/>
  <c r="D670" i="26"/>
  <c r="C670" i="26"/>
  <c r="B669" i="26"/>
  <c r="K665" i="26"/>
  <c r="I665" i="26"/>
  <c r="E665" i="26" s="1"/>
  <c r="D665" i="26"/>
  <c r="C665" i="26"/>
  <c r="B664" i="26"/>
  <c r="K660" i="26"/>
  <c r="I660" i="26"/>
  <c r="F660" i="26" s="1"/>
  <c r="D660" i="26"/>
  <c r="C660" i="26"/>
  <c r="W660" i="26" s="1"/>
  <c r="V657" i="26"/>
  <c r="T657" i="26"/>
  <c r="V656" i="26"/>
  <c r="T656" i="26"/>
  <c r="N654" i="26"/>
  <c r="N655" i="26" s="1"/>
  <c r="N656" i="26" s="1"/>
  <c r="K653" i="26"/>
  <c r="K654" i="26" s="1"/>
  <c r="K655" i="26" s="1"/>
  <c r="K656" i="26" s="1"/>
  <c r="J653" i="26"/>
  <c r="J654" i="26" s="1"/>
  <c r="J655" i="26" s="1"/>
  <c r="I653" i="26"/>
  <c r="I654" i="26" s="1"/>
  <c r="I655" i="26" s="1"/>
  <c r="I657" i="26" s="1"/>
  <c r="H653" i="26"/>
  <c r="G653" i="26"/>
  <c r="G654" i="26" s="1"/>
  <c r="G655" i="26" s="1"/>
  <c r="G656" i="26" s="1"/>
  <c r="F653" i="26"/>
  <c r="F654" i="26" s="1"/>
  <c r="F655" i="26" s="1"/>
  <c r="E653" i="26"/>
  <c r="E654" i="26" s="1"/>
  <c r="E655" i="26" s="1"/>
  <c r="D653" i="26"/>
  <c r="C653" i="26"/>
  <c r="W653" i="26" s="1"/>
  <c r="B652" i="26"/>
  <c r="C432" i="26"/>
  <c r="C433" i="26" s="1"/>
  <c r="C431" i="26"/>
  <c r="E863" i="26" l="1"/>
  <c r="G870" i="26" s="1"/>
  <c r="G871" i="26" s="1"/>
  <c r="G872" i="26" s="1"/>
  <c r="G873" i="26" s="1"/>
  <c r="G874" i="26" s="1"/>
  <c r="G875" i="26" s="1"/>
  <c r="G876" i="26" s="1"/>
  <c r="G877" i="26" s="1"/>
  <c r="G878" i="26" s="1"/>
  <c r="G879" i="26" s="1"/>
  <c r="G880" i="26" s="1"/>
  <c r="G881" i="26" s="1"/>
  <c r="G882" i="26" s="1"/>
  <c r="G883" i="26" s="1"/>
  <c r="G884" i="26" s="1"/>
  <c r="G885" i="26" s="1"/>
  <c r="G886" i="26" s="1"/>
  <c r="G887" i="26" s="1"/>
  <c r="G888" i="26" s="1"/>
  <c r="G889" i="26" s="1"/>
  <c r="G890" i="26" s="1"/>
  <c r="G891" i="26" s="1"/>
  <c r="G892" i="26" s="1"/>
  <c r="G893" i="26" s="1"/>
  <c r="G894" i="26" s="1"/>
  <c r="G895" i="26" s="1"/>
  <c r="G896" i="26" s="1"/>
  <c r="G897" i="26" s="1"/>
  <c r="G898" i="26" s="1"/>
  <c r="G899" i="26" s="1"/>
  <c r="G900" i="26" s="1"/>
  <c r="G901" i="26" s="1"/>
  <c r="G902" i="26" s="1"/>
  <c r="G903" i="26" s="1"/>
  <c r="G904" i="26" s="1"/>
  <c r="G905" i="26" s="1"/>
  <c r="G906" i="26" s="1"/>
  <c r="G907" i="26" s="1"/>
  <c r="G908" i="26" s="1"/>
  <c r="G909" i="26" s="1"/>
  <c r="G910" i="26" s="1"/>
  <c r="G911" i="26" s="1"/>
  <c r="G912" i="26" s="1"/>
  <c r="G913" i="26" s="1"/>
  <c r="G914" i="26" s="1"/>
  <c r="G915" i="26" s="1"/>
  <c r="G916" i="26" s="1"/>
  <c r="G917" i="26" s="1"/>
  <c r="G918" i="26" s="1"/>
  <c r="G919" i="26" s="1"/>
  <c r="M1071" i="26"/>
  <c r="H863" i="26"/>
  <c r="L1090" i="26"/>
  <c r="N1096" i="26"/>
  <c r="L1071" i="26"/>
  <c r="M1090" i="26"/>
  <c r="M1067" i="26"/>
  <c r="F764" i="26"/>
  <c r="Q767" i="26" s="1"/>
  <c r="N1067" i="26"/>
  <c r="N1080" i="26"/>
  <c r="U1087" i="26"/>
  <c r="J1255" i="26"/>
  <c r="H660" i="26"/>
  <c r="I1055" i="26"/>
  <c r="R1096" i="26"/>
  <c r="T1102" i="26"/>
  <c r="X1056" i="26"/>
  <c r="F1055" i="26" s="1"/>
  <c r="Q1089" i="26"/>
  <c r="L1097" i="26"/>
  <c r="V749" i="26"/>
  <c r="F749" i="26"/>
  <c r="D937" i="26"/>
  <c r="Q1067" i="26"/>
  <c r="M1085" i="26"/>
  <c r="L1095" i="26"/>
  <c r="R1067" i="26"/>
  <c r="R1085" i="26"/>
  <c r="U1095" i="26"/>
  <c r="M1081" i="26"/>
  <c r="L1096" i="26"/>
  <c r="F853" i="26"/>
  <c r="X941" i="26"/>
  <c r="K941" i="26" s="1"/>
  <c r="J1051" i="26"/>
  <c r="X1059" i="26"/>
  <c r="D1059" i="26" s="1"/>
  <c r="L1068" i="26"/>
  <c r="N1070" i="26"/>
  <c r="P1075" i="26"/>
  <c r="L1087" i="26"/>
  <c r="T1094" i="26"/>
  <c r="M1102" i="26"/>
  <c r="U1068" i="26"/>
  <c r="Q1087" i="26"/>
  <c r="R1102" i="26"/>
  <c r="L1069" i="26"/>
  <c r="M1082" i="26"/>
  <c r="Q1110" i="26"/>
  <c r="P1067" i="26"/>
  <c r="M1069" i="26"/>
  <c r="N1082" i="26"/>
  <c r="M1086" i="26"/>
  <c r="L1088" i="26"/>
  <c r="Q1099" i="26"/>
  <c r="G1263" i="26"/>
  <c r="C679" i="26"/>
  <c r="C680" i="26" s="1"/>
  <c r="V680" i="26" s="1"/>
  <c r="G785" i="26"/>
  <c r="R1069" i="26"/>
  <c r="N1086" i="26"/>
  <c r="G1251" i="26"/>
  <c r="F1255" i="26"/>
  <c r="Q1258" i="26" s="1"/>
  <c r="H1263" i="26"/>
  <c r="K657" i="26"/>
  <c r="H785" i="26"/>
  <c r="F1051" i="26"/>
  <c r="U1069" i="26"/>
  <c r="Q1086" i="26"/>
  <c r="S1080" i="26"/>
  <c r="M1094" i="26"/>
  <c r="V1217" i="26"/>
  <c r="E1268" i="26"/>
  <c r="G660" i="26"/>
  <c r="V738" i="26"/>
  <c r="W734" i="26" s="1"/>
  <c r="G764" i="26"/>
  <c r="F863" i="26"/>
  <c r="H870" i="26" s="1"/>
  <c r="H871" i="26" s="1"/>
  <c r="H872" i="26" s="1"/>
  <c r="H873" i="26" s="1"/>
  <c r="H874" i="26" s="1"/>
  <c r="H875" i="26" s="1"/>
  <c r="H876" i="26" s="1"/>
  <c r="H877" i="26" s="1"/>
  <c r="H878" i="26" s="1"/>
  <c r="H879" i="26" s="1"/>
  <c r="H880" i="26" s="1"/>
  <c r="H881" i="26" s="1"/>
  <c r="H882" i="26" s="1"/>
  <c r="H883" i="26" s="1"/>
  <c r="H884" i="26" s="1"/>
  <c r="H885" i="26" s="1"/>
  <c r="H886" i="26" s="1"/>
  <c r="H887" i="26" s="1"/>
  <c r="H888" i="26" s="1"/>
  <c r="H889" i="26" s="1"/>
  <c r="H890" i="26" s="1"/>
  <c r="H891" i="26" s="1"/>
  <c r="H892" i="26" s="1"/>
  <c r="H893" i="26" s="1"/>
  <c r="H894" i="26" s="1"/>
  <c r="H895" i="26" s="1"/>
  <c r="H896" i="26" s="1"/>
  <c r="H897" i="26" s="1"/>
  <c r="H898" i="26" s="1"/>
  <c r="H899" i="26" s="1"/>
  <c r="H900" i="26" s="1"/>
  <c r="H901" i="26" s="1"/>
  <c r="H902" i="26" s="1"/>
  <c r="H903" i="26" s="1"/>
  <c r="H904" i="26" s="1"/>
  <c r="H905" i="26" s="1"/>
  <c r="H906" i="26" s="1"/>
  <c r="H907" i="26" s="1"/>
  <c r="H908" i="26" s="1"/>
  <c r="H909" i="26" s="1"/>
  <c r="H910" i="26" s="1"/>
  <c r="H911" i="26" s="1"/>
  <c r="H912" i="26" s="1"/>
  <c r="H913" i="26" s="1"/>
  <c r="H914" i="26" s="1"/>
  <c r="H915" i="26" s="1"/>
  <c r="H916" i="26" s="1"/>
  <c r="H917" i="26" s="1"/>
  <c r="H918" i="26" s="1"/>
  <c r="H919" i="26" s="1"/>
  <c r="C1055" i="26"/>
  <c r="Q1070" i="26"/>
  <c r="L1072" i="26"/>
  <c r="R1076" i="26"/>
  <c r="Q1080" i="26"/>
  <c r="S1087" i="26"/>
  <c r="M1099" i="26"/>
  <c r="P1102" i="26"/>
  <c r="M1106" i="26"/>
  <c r="P1109" i="26"/>
  <c r="J1251" i="26"/>
  <c r="E1255" i="26"/>
  <c r="P1258" i="26" s="1"/>
  <c r="H1268" i="26"/>
  <c r="I764" i="26"/>
  <c r="P1072" i="26"/>
  <c r="P1099" i="26"/>
  <c r="R1106" i="26"/>
  <c r="Q1109" i="26"/>
  <c r="E1123" i="26"/>
  <c r="E1222" i="26"/>
  <c r="Q1251" i="26"/>
  <c r="G749" i="26"/>
  <c r="G779" i="26"/>
  <c r="C789" i="26"/>
  <c r="W789" i="26" s="1"/>
  <c r="U853" i="26" s="1"/>
  <c r="E922" i="26"/>
  <c r="Q1071" i="26"/>
  <c r="Q1079" i="26"/>
  <c r="P1081" i="26"/>
  <c r="Q1088" i="26"/>
  <c r="Q1090" i="26"/>
  <c r="M1108" i="26"/>
  <c r="G1222" i="26"/>
  <c r="J1232" i="26"/>
  <c r="J785" i="26"/>
  <c r="D789" i="26"/>
  <c r="S1071" i="26"/>
  <c r="U1081" i="26"/>
  <c r="T1088" i="26"/>
  <c r="U1090" i="26"/>
  <c r="N1108" i="26"/>
  <c r="W1129" i="26"/>
  <c r="U1148" i="26" s="1"/>
  <c r="I789" i="26"/>
  <c r="P1068" i="26"/>
  <c r="M1070" i="26"/>
  <c r="U1071" i="26"/>
  <c r="R1075" i="26"/>
  <c r="L1080" i="26"/>
  <c r="P1085" i="26"/>
  <c r="M1087" i="26"/>
  <c r="Q1095" i="26"/>
  <c r="L1102" i="26"/>
  <c r="R1108" i="26"/>
  <c r="L1112" i="26"/>
  <c r="H1251" i="26"/>
  <c r="E1258" i="26"/>
  <c r="E1251" i="26" s="1"/>
  <c r="L1066" i="26"/>
  <c r="S1076" i="26"/>
  <c r="L1078" i="26"/>
  <c r="M1083" i="26"/>
  <c r="L1092" i="26"/>
  <c r="U1094" i="26"/>
  <c r="P1098" i="26"/>
  <c r="L1101" i="26"/>
  <c r="L1103" i="26"/>
  <c r="L1104" i="26"/>
  <c r="R1110" i="26"/>
  <c r="G789" i="26"/>
  <c r="G657" i="26"/>
  <c r="G684" i="26"/>
  <c r="R754" i="26"/>
  <c r="T754" i="26" s="1"/>
  <c r="G746" i="26"/>
  <c r="H749" i="26"/>
  <c r="W760" i="26"/>
  <c r="H764" i="26"/>
  <c r="G863" i="26"/>
  <c r="L975" i="26"/>
  <c r="N987" i="26"/>
  <c r="E987" i="26" s="1"/>
  <c r="E1040" i="26"/>
  <c r="P1066" i="26"/>
  <c r="Q1069" i="26"/>
  <c r="P1070" i="26"/>
  <c r="N1071" i="26"/>
  <c r="Q1072" i="26"/>
  <c r="U1076" i="26"/>
  <c r="M1078" i="26"/>
  <c r="L1079" i="26"/>
  <c r="P1080" i="26"/>
  <c r="Q1081" i="26"/>
  <c r="U1083" i="26"/>
  <c r="Q1085" i="26"/>
  <c r="P1086" i="26"/>
  <c r="N1087" i="26"/>
  <c r="P1090" i="26"/>
  <c r="M1092" i="26"/>
  <c r="L1094" i="26"/>
  <c r="Q1096" i="26"/>
  <c r="R1098" i="26"/>
  <c r="R1099" i="26"/>
  <c r="M1101" i="26"/>
  <c r="N1102" i="26"/>
  <c r="M1103" i="26"/>
  <c r="P1104" i="26"/>
  <c r="U1106" i="26"/>
  <c r="P1108" i="26"/>
  <c r="U1109" i="26"/>
  <c r="U1110" i="26"/>
  <c r="K1232" i="26"/>
  <c r="T1239" i="26"/>
  <c r="V1239" i="26" s="1"/>
  <c r="G1255" i="26"/>
  <c r="U1078" i="26"/>
  <c r="J789" i="26"/>
  <c r="T1066" i="26"/>
  <c r="N1078" i="26"/>
  <c r="N1092" i="26"/>
  <c r="S1098" i="26"/>
  <c r="Q1101" i="26"/>
  <c r="N1103" i="26"/>
  <c r="Q1104" i="26"/>
  <c r="F774" i="26"/>
  <c r="H779" i="26"/>
  <c r="G848" i="26"/>
  <c r="G922" i="26"/>
  <c r="Q989" i="26"/>
  <c r="K989" i="26" s="1"/>
  <c r="K1055" i="26"/>
  <c r="N1068" i="26"/>
  <c r="S1069" i="26"/>
  <c r="R1070" i="26"/>
  <c r="R1071" i="26"/>
  <c r="M1073" i="26"/>
  <c r="L1076" i="26"/>
  <c r="L1077" i="26"/>
  <c r="P1078" i="26"/>
  <c r="S1079" i="26"/>
  <c r="S1084" i="26"/>
  <c r="S1085" i="26"/>
  <c r="R1086" i="26"/>
  <c r="R1087" i="26"/>
  <c r="R1090" i="26"/>
  <c r="P1092" i="26"/>
  <c r="N1094" i="26"/>
  <c r="N1095" i="26"/>
  <c r="S1096" i="26"/>
  <c r="L1100" i="26"/>
  <c r="R1101" i="26"/>
  <c r="Q1102" i="26"/>
  <c r="Q1103" i="26"/>
  <c r="P1107" i="26"/>
  <c r="S1108" i="26"/>
  <c r="L1110" i="26"/>
  <c r="L1111" i="26"/>
  <c r="F1222" i="26"/>
  <c r="V1247" i="26"/>
  <c r="W1243" i="26" s="1"/>
  <c r="F684" i="26"/>
  <c r="H684" i="26"/>
  <c r="E774" i="26"/>
  <c r="F670" i="26"/>
  <c r="G774" i="26"/>
  <c r="H848" i="26"/>
  <c r="H922" i="26"/>
  <c r="J988" i="26"/>
  <c r="E1051" i="26"/>
  <c r="T1070" i="26"/>
  <c r="N1073" i="26"/>
  <c r="M1076" i="26"/>
  <c r="P1077" i="26"/>
  <c r="Q1078" i="26"/>
  <c r="T1079" i="26"/>
  <c r="T1084" i="26"/>
  <c r="U1085" i="26"/>
  <c r="T1086" i="26"/>
  <c r="R1092" i="26"/>
  <c r="P1094" i="26"/>
  <c r="N1100" i="26"/>
  <c r="S1101" i="26"/>
  <c r="R1103" i="26"/>
  <c r="U1107" i="26"/>
  <c r="U1108" i="26"/>
  <c r="M1110" i="26"/>
  <c r="M1111" i="26"/>
  <c r="U1070" i="26"/>
  <c r="N1076" i="26"/>
  <c r="Q1077" i="26"/>
  <c r="R1078" i="26"/>
  <c r="U1086" i="26"/>
  <c r="S1092" i="26"/>
  <c r="Q1094" i="26"/>
  <c r="P1100" i="26"/>
  <c r="U1101" i="26"/>
  <c r="S1103" i="26"/>
  <c r="N1110" i="26"/>
  <c r="E1143" i="26"/>
  <c r="G670" i="26"/>
  <c r="V696" i="26"/>
  <c r="W695" i="26" s="1"/>
  <c r="T670" i="26"/>
  <c r="V670" i="26" s="1"/>
  <c r="W670" i="26" s="1"/>
  <c r="H670" i="26"/>
  <c r="E764" i="26"/>
  <c r="P767" i="26" s="1"/>
  <c r="E767" i="26"/>
  <c r="F1045" i="26"/>
  <c r="G1051" i="26"/>
  <c r="L1070" i="26"/>
  <c r="P1076" i="26"/>
  <c r="U1077" i="26"/>
  <c r="T1078" i="26"/>
  <c r="L1081" i="26"/>
  <c r="L1085" i="26"/>
  <c r="L1086" i="26"/>
  <c r="N1091" i="26"/>
  <c r="U1092" i="26"/>
  <c r="R1094" i="26"/>
  <c r="T1097" i="26"/>
  <c r="N1099" i="26"/>
  <c r="U1100" i="26"/>
  <c r="U1102" i="26"/>
  <c r="U1103" i="26"/>
  <c r="L1108" i="26"/>
  <c r="L1109" i="26"/>
  <c r="P1110" i="26"/>
  <c r="G1143" i="26"/>
  <c r="E657" i="26"/>
  <c r="E656" i="26"/>
  <c r="I745" i="26"/>
  <c r="I746" i="26"/>
  <c r="F656" i="26"/>
  <c r="F657" i="26"/>
  <c r="K746" i="26"/>
  <c r="K745" i="26"/>
  <c r="C687" i="26"/>
  <c r="C688" i="26" s="1"/>
  <c r="V688" i="26" s="1"/>
  <c r="I656" i="26"/>
  <c r="T665" i="26"/>
  <c r="V665" i="26" s="1"/>
  <c r="W665" i="26" s="1"/>
  <c r="F676" i="26"/>
  <c r="J746" i="26"/>
  <c r="J745" i="26"/>
  <c r="T660" i="26"/>
  <c r="V660" i="26" s="1"/>
  <c r="I676" i="26"/>
  <c r="X696" i="26"/>
  <c r="J695" i="26" s="1"/>
  <c r="H743" i="26"/>
  <c r="H744" i="26" s="1"/>
  <c r="U754" i="26"/>
  <c r="E746" i="26"/>
  <c r="E745" i="26"/>
  <c r="H654" i="26"/>
  <c r="H655" i="26" s="1"/>
  <c r="N657" i="26"/>
  <c r="N746" i="26"/>
  <c r="N745" i="26"/>
  <c r="J859" i="26"/>
  <c r="H859" i="26"/>
  <c r="G859" i="26"/>
  <c r="F746" i="26"/>
  <c r="J760" i="26"/>
  <c r="H760" i="26"/>
  <c r="G760" i="26"/>
  <c r="H665" i="26"/>
  <c r="G665" i="26"/>
  <c r="F665" i="26"/>
  <c r="U729" i="26"/>
  <c r="V729" i="26" s="1"/>
  <c r="W728" i="26" s="1"/>
  <c r="W719" i="26"/>
  <c r="W723" i="26" s="1"/>
  <c r="E754" i="26"/>
  <c r="H754" i="26"/>
  <c r="G754" i="26"/>
  <c r="J657" i="26"/>
  <c r="J656" i="26"/>
  <c r="H676" i="26"/>
  <c r="E766" i="26"/>
  <c r="H789" i="26"/>
  <c r="N982" i="26"/>
  <c r="E792" i="26"/>
  <c r="F785" i="26" s="1"/>
  <c r="O792" i="26" s="1"/>
  <c r="E853" i="26"/>
  <c r="E927" i="26"/>
  <c r="H927" i="26"/>
  <c r="G927" i="26"/>
  <c r="G937" i="26"/>
  <c r="F937" i="26"/>
  <c r="E937" i="26"/>
  <c r="J937" i="26"/>
  <c r="G853" i="26"/>
  <c r="I863" i="26"/>
  <c r="E866" i="26"/>
  <c r="E859" i="26" s="1"/>
  <c r="E870" i="26" s="1"/>
  <c r="E933" i="26"/>
  <c r="J933" i="26"/>
  <c r="H933" i="26"/>
  <c r="G933" i="26"/>
  <c r="D987" i="26"/>
  <c r="L987" i="26" s="1"/>
  <c r="E660" i="26"/>
  <c r="C764" i="26"/>
  <c r="W764" i="26" s="1"/>
  <c r="K764" i="26"/>
  <c r="E779" i="26"/>
  <c r="E789" i="26"/>
  <c r="P792" i="26" s="1"/>
  <c r="E848" i="26"/>
  <c r="C863" i="26"/>
  <c r="W863" i="26" s="1"/>
  <c r="U927" i="26" s="1"/>
  <c r="K863" i="26"/>
  <c r="I937" i="26"/>
  <c r="C937" i="26"/>
  <c r="K937" i="26"/>
  <c r="C988" i="26"/>
  <c r="L976" i="26"/>
  <c r="M989" i="26"/>
  <c r="N988" i="26"/>
  <c r="T988" i="26" s="1"/>
  <c r="O989" i="26"/>
  <c r="I988" i="26"/>
  <c r="H988" i="26"/>
  <c r="T1065" i="26"/>
  <c r="L1065" i="26"/>
  <c r="R1065" i="26"/>
  <c r="Q1065" i="26"/>
  <c r="P1065" i="26"/>
  <c r="U1065" i="26"/>
  <c r="S1065" i="26"/>
  <c r="N1065" i="26"/>
  <c r="M1065" i="26"/>
  <c r="N1093" i="26"/>
  <c r="R1093" i="26"/>
  <c r="P1093" i="26"/>
  <c r="M1093" i="26"/>
  <c r="T1093" i="26"/>
  <c r="S1093" i="26"/>
  <c r="Q1093" i="26"/>
  <c r="L1093" i="26"/>
  <c r="O1065" i="26"/>
  <c r="U1093" i="26"/>
  <c r="H1040" i="26"/>
  <c r="G1040" i="26"/>
  <c r="S1074" i="26"/>
  <c r="Q1074" i="26"/>
  <c r="P1074" i="26"/>
  <c r="N1074" i="26"/>
  <c r="T1074" i="26"/>
  <c r="R1074" i="26"/>
  <c r="M1074" i="26"/>
  <c r="L1074" i="26"/>
  <c r="H1045" i="26"/>
  <c r="E1045" i="26"/>
  <c r="U1074" i="26"/>
  <c r="R1113" i="26"/>
  <c r="N1113" i="26"/>
  <c r="S1113" i="26"/>
  <c r="P1113" i="26"/>
  <c r="M1113" i="26"/>
  <c r="U1113" i="26"/>
  <c r="T1113" i="26"/>
  <c r="Q1113" i="26"/>
  <c r="L1113" i="26"/>
  <c r="U1114" i="26"/>
  <c r="L1114" i="26"/>
  <c r="R1114" i="26"/>
  <c r="P1114" i="26"/>
  <c r="N1114" i="26"/>
  <c r="M1114" i="26"/>
  <c r="S1114" i="26"/>
  <c r="Q1114" i="26"/>
  <c r="R1066" i="26"/>
  <c r="T1075" i="26"/>
  <c r="L1075" i="26"/>
  <c r="Q1075" i="26"/>
  <c r="N1075" i="26"/>
  <c r="M1075" i="26"/>
  <c r="N1083" i="26"/>
  <c r="P1091" i="26"/>
  <c r="M1097" i="26"/>
  <c r="S1106" i="26"/>
  <c r="Q1106" i="26"/>
  <c r="P1106" i="26"/>
  <c r="N1106" i="26"/>
  <c r="R1107" i="26"/>
  <c r="R1112" i="26"/>
  <c r="U1082" i="26"/>
  <c r="L1082" i="26"/>
  <c r="S1082" i="26"/>
  <c r="R1082" i="26"/>
  <c r="Q1082" i="26"/>
  <c r="R1089" i="26"/>
  <c r="P1089" i="26"/>
  <c r="N1089" i="26"/>
  <c r="M1089" i="26"/>
  <c r="U1089" i="26"/>
  <c r="L1089" i="26"/>
  <c r="Q1097" i="26"/>
  <c r="P1111" i="26"/>
  <c r="R1111" i="26"/>
  <c r="T1111" i="26"/>
  <c r="Q1111" i="26"/>
  <c r="N1111" i="26"/>
  <c r="Q1084" i="26"/>
  <c r="R1084" i="26"/>
  <c r="N1084" i="26"/>
  <c r="M1084" i="26"/>
  <c r="R1105" i="26"/>
  <c r="U1105" i="26"/>
  <c r="L1105" i="26"/>
  <c r="S1105" i="26"/>
  <c r="Q1105" i="26"/>
  <c r="P1105" i="26"/>
  <c r="U1075" i="26"/>
  <c r="P1079" i="26"/>
  <c r="R1079" i="26"/>
  <c r="N1079" i="26"/>
  <c r="M1079" i="26"/>
  <c r="P1082" i="26"/>
  <c r="L1084" i="26"/>
  <c r="U1088" i="26"/>
  <c r="M1088" i="26"/>
  <c r="R1088" i="26"/>
  <c r="P1088" i="26"/>
  <c r="N1088" i="26"/>
  <c r="S1089" i="26"/>
  <c r="Q1098" i="26"/>
  <c r="N1098" i="26"/>
  <c r="M1098" i="26"/>
  <c r="U1098" i="26"/>
  <c r="L1098" i="26"/>
  <c r="M1105" i="26"/>
  <c r="T1106" i="26"/>
  <c r="S1111" i="26"/>
  <c r="Q1066" i="26"/>
  <c r="O1066" i="26"/>
  <c r="O1067" i="26" s="1"/>
  <c r="O1068" i="26" s="1"/>
  <c r="O1069" i="26" s="1"/>
  <c r="O1070" i="26" s="1"/>
  <c r="O1071" i="26" s="1"/>
  <c r="O1072" i="26" s="1"/>
  <c r="O1073" i="26" s="1"/>
  <c r="O1074" i="26" s="1"/>
  <c r="O1075" i="26" s="1"/>
  <c r="O1076" i="26" s="1"/>
  <c r="O1077" i="26" s="1"/>
  <c r="O1078" i="26" s="1"/>
  <c r="O1079" i="26" s="1"/>
  <c r="O1080" i="26" s="1"/>
  <c r="O1081" i="26" s="1"/>
  <c r="O1082" i="26" s="1"/>
  <c r="O1083" i="26" s="1"/>
  <c r="O1084" i="26" s="1"/>
  <c r="O1085" i="26" s="1"/>
  <c r="O1086" i="26" s="1"/>
  <c r="O1087" i="26" s="1"/>
  <c r="O1088" i="26" s="1"/>
  <c r="O1089" i="26" s="1"/>
  <c r="O1090" i="26" s="1"/>
  <c r="O1091" i="26" s="1"/>
  <c r="O1092" i="26" s="1"/>
  <c r="O1093" i="26" s="1"/>
  <c r="O1094" i="26" s="1"/>
  <c r="O1095" i="26" s="1"/>
  <c r="O1096" i="26" s="1"/>
  <c r="O1097" i="26" s="1"/>
  <c r="O1098" i="26" s="1"/>
  <c r="O1099" i="26" s="1"/>
  <c r="O1100" i="26" s="1"/>
  <c r="O1101" i="26" s="1"/>
  <c r="O1102" i="26" s="1"/>
  <c r="O1103" i="26" s="1"/>
  <c r="O1104" i="26" s="1"/>
  <c r="O1105" i="26" s="1"/>
  <c r="O1106" i="26" s="1"/>
  <c r="O1107" i="26" s="1"/>
  <c r="O1108" i="26" s="1"/>
  <c r="O1109" i="26" s="1"/>
  <c r="O1110" i="26" s="1"/>
  <c r="O1111" i="26" s="1"/>
  <c r="O1112" i="26" s="1"/>
  <c r="O1113" i="26" s="1"/>
  <c r="O1114" i="26" s="1"/>
  <c r="N1066" i="26"/>
  <c r="U1066" i="26"/>
  <c r="M1066" i="26"/>
  <c r="R1073" i="26"/>
  <c r="U1073" i="26"/>
  <c r="L1073" i="26"/>
  <c r="S1073" i="26"/>
  <c r="Q1073" i="26"/>
  <c r="P1073" i="26"/>
  <c r="P1084" i="26"/>
  <c r="T1091" i="26"/>
  <c r="L1091" i="26"/>
  <c r="M1091" i="26"/>
  <c r="S1091" i="26"/>
  <c r="R1091" i="26"/>
  <c r="Q1091" i="26"/>
  <c r="N1105" i="26"/>
  <c r="T1083" i="26"/>
  <c r="L1083" i="26"/>
  <c r="S1083" i="26"/>
  <c r="Q1083" i="26"/>
  <c r="P1083" i="26"/>
  <c r="R1097" i="26"/>
  <c r="S1097" i="26"/>
  <c r="P1097" i="26"/>
  <c r="N1097" i="26"/>
  <c r="T1107" i="26"/>
  <c r="L1107" i="26"/>
  <c r="Q1107" i="26"/>
  <c r="N1107" i="26"/>
  <c r="M1107" i="26"/>
  <c r="U1112" i="26"/>
  <c r="M1112" i="26"/>
  <c r="P1112" i="26"/>
  <c r="S1112" i="26"/>
  <c r="Q1112" i="26"/>
  <c r="N1112" i="26"/>
  <c r="H1118" i="26"/>
  <c r="F1118" i="26"/>
  <c r="E1118" i="26"/>
  <c r="R1068" i="26"/>
  <c r="P1069" i="26"/>
  <c r="T1071" i="26"/>
  <c r="R1072" i="26"/>
  <c r="T1076" i="26"/>
  <c r="R1077" i="26"/>
  <c r="U1080" i="26"/>
  <c r="M1080" i="26"/>
  <c r="T1080" i="26"/>
  <c r="S1081" i="26"/>
  <c r="T1085" i="26"/>
  <c r="S1090" i="26"/>
  <c r="R1095" i="26"/>
  <c r="R1100" i="26"/>
  <c r="P1101" i="26"/>
  <c r="T1103" i="26"/>
  <c r="R1104" i="26"/>
  <c r="T1108" i="26"/>
  <c r="R1109" i="26"/>
  <c r="H1129" i="26"/>
  <c r="J1129" i="26"/>
  <c r="T1067" i="26"/>
  <c r="L1067" i="26"/>
  <c r="U1067" i="26"/>
  <c r="S1068" i="26"/>
  <c r="S1077" i="26"/>
  <c r="T1081" i="26"/>
  <c r="T1090" i="26"/>
  <c r="S1095" i="26"/>
  <c r="T1099" i="26"/>
  <c r="L1099" i="26"/>
  <c r="U1099" i="26"/>
  <c r="S1100" i="26"/>
  <c r="S1109" i="26"/>
  <c r="G1129" i="26"/>
  <c r="T1068" i="26"/>
  <c r="U1072" i="26"/>
  <c r="M1072" i="26"/>
  <c r="T1072" i="26"/>
  <c r="T1077" i="26"/>
  <c r="T1095" i="26"/>
  <c r="T1100" i="26"/>
  <c r="U1104" i="26"/>
  <c r="M1104" i="26"/>
  <c r="T1104" i="26"/>
  <c r="T1109" i="26"/>
  <c r="M1068" i="26"/>
  <c r="T1069" i="26"/>
  <c r="N1072" i="26"/>
  <c r="M1077" i="26"/>
  <c r="N1081" i="26"/>
  <c r="T1087" i="26"/>
  <c r="T1092" i="26"/>
  <c r="M1095" i="26"/>
  <c r="U1096" i="26"/>
  <c r="M1096" i="26"/>
  <c r="T1096" i="26"/>
  <c r="M1100" i="26"/>
  <c r="T1101" i="26"/>
  <c r="N1104" i="26"/>
  <c r="M1109" i="26"/>
  <c r="E1135" i="26"/>
  <c r="H1123" i="26"/>
  <c r="G1123" i="26"/>
  <c r="Q1129" i="26"/>
  <c r="E1148" i="26"/>
  <c r="G1148" i="26"/>
  <c r="I1232" i="26"/>
  <c r="I1231" i="26"/>
  <c r="E1232" i="26"/>
  <c r="E1231" i="26"/>
  <c r="F1232" i="26"/>
  <c r="F1231" i="26"/>
  <c r="F1148" i="26"/>
  <c r="G1232" i="26"/>
  <c r="G1231" i="26"/>
  <c r="T1110" i="26"/>
  <c r="H1148" i="26"/>
  <c r="H1154" i="26"/>
  <c r="E1160" i="26"/>
  <c r="G1154" i="26"/>
  <c r="H1232" i="26"/>
  <c r="H1231" i="26"/>
  <c r="K1255" i="26"/>
  <c r="C1255" i="26"/>
  <c r="W1255" i="26" s="1"/>
  <c r="I1255" i="26"/>
  <c r="D1255" i="26"/>
  <c r="N1231" i="26"/>
  <c r="F1143" i="26"/>
  <c r="E1217" i="26"/>
  <c r="F1217" i="26"/>
  <c r="H1217" i="26"/>
  <c r="F1268" i="26"/>
  <c r="E1263" i="26"/>
  <c r="C434" i="26"/>
  <c r="F1251" i="26" l="1"/>
  <c r="O1258" i="26" s="1"/>
  <c r="X942" i="26"/>
  <c r="G941" i="26" s="1"/>
  <c r="D941" i="26"/>
  <c r="H1055" i="26"/>
  <c r="V1143" i="26"/>
  <c r="V1263" i="26"/>
  <c r="T987" i="26"/>
  <c r="C941" i="26"/>
  <c r="Q990" i="26"/>
  <c r="J990" i="26" s="1"/>
  <c r="J989" i="26"/>
  <c r="X685" i="26"/>
  <c r="J684" i="26" s="1"/>
  <c r="X1264" i="26"/>
  <c r="J1263" i="26" s="1"/>
  <c r="V679" i="26"/>
  <c r="X1269" i="26"/>
  <c r="J1268" i="26" s="1"/>
  <c r="X661" i="26"/>
  <c r="J660" i="26" s="1"/>
  <c r="X1144" i="26"/>
  <c r="J1143" i="26" s="1"/>
  <c r="I1059" i="26"/>
  <c r="X780" i="26"/>
  <c r="J779" i="26" s="1"/>
  <c r="U779" i="26"/>
  <c r="X750" i="26"/>
  <c r="J749" i="26" s="1"/>
  <c r="X775" i="26"/>
  <c r="J774" i="26" s="1"/>
  <c r="C1059" i="26"/>
  <c r="X1041" i="26"/>
  <c r="J1040" i="26" s="1"/>
  <c r="X849" i="26"/>
  <c r="J848" i="26" s="1"/>
  <c r="K1059" i="26"/>
  <c r="X1060" i="26"/>
  <c r="E1059" i="26" s="1"/>
  <c r="V848" i="26"/>
  <c r="X923" i="26"/>
  <c r="J922" i="26" s="1"/>
  <c r="V754" i="26"/>
  <c r="J1055" i="26"/>
  <c r="E1055" i="26"/>
  <c r="G1055" i="26"/>
  <c r="R1123" i="26"/>
  <c r="T1123" i="26" s="1"/>
  <c r="I941" i="26"/>
  <c r="X945" i="26"/>
  <c r="X854" i="26"/>
  <c r="J853" i="26" s="1"/>
  <c r="V687" i="26"/>
  <c r="N1258" i="26"/>
  <c r="R1268" i="26"/>
  <c r="T1268" i="26" s="1"/>
  <c r="X1223" i="26"/>
  <c r="J1222" i="26" s="1"/>
  <c r="X671" i="26"/>
  <c r="J670" i="26" s="1"/>
  <c r="U1268" i="26"/>
  <c r="R1045" i="26"/>
  <c r="T1045" i="26" s="1"/>
  <c r="X755" i="26"/>
  <c r="J754" i="26" s="1"/>
  <c r="V922" i="26"/>
  <c r="V774" i="26"/>
  <c r="X1218" i="26"/>
  <c r="J1217" i="26" s="1"/>
  <c r="E871" i="26"/>
  <c r="G1165" i="26"/>
  <c r="G1166" i="26" s="1"/>
  <c r="X1046" i="26"/>
  <c r="J1045" i="26" s="1"/>
  <c r="V1059" i="26"/>
  <c r="W1059" i="26" s="1"/>
  <c r="R927" i="26"/>
  <c r="T927" i="26" s="1"/>
  <c r="V927" i="26" s="1"/>
  <c r="I870" i="26"/>
  <c r="I871" i="26" s="1"/>
  <c r="X677" i="26"/>
  <c r="J676" i="26" s="1"/>
  <c r="H657" i="26"/>
  <c r="H656" i="26"/>
  <c r="E1154" i="26"/>
  <c r="E1165" i="26" s="1"/>
  <c r="F1154" i="26"/>
  <c r="F1165" i="26" s="1"/>
  <c r="X1119" i="26"/>
  <c r="J1118" i="26" s="1"/>
  <c r="I989" i="26"/>
  <c r="H989" i="26"/>
  <c r="O990" i="26"/>
  <c r="X666" i="26"/>
  <c r="J665" i="26" s="1"/>
  <c r="D988" i="26"/>
  <c r="L988" i="26" s="1"/>
  <c r="C989" i="26"/>
  <c r="E988" i="26"/>
  <c r="E785" i="26"/>
  <c r="F859" i="26"/>
  <c r="F870" i="26" s="1"/>
  <c r="F987" i="26"/>
  <c r="P987" i="26" s="1"/>
  <c r="U987" i="26" s="1"/>
  <c r="E760" i="26"/>
  <c r="N767" i="26" s="1"/>
  <c r="F760" i="26"/>
  <c r="O767" i="26" s="1"/>
  <c r="V1051" i="26"/>
  <c r="W1051" i="26" s="1"/>
  <c r="X1149" i="26"/>
  <c r="J1148" i="26" s="1"/>
  <c r="X1124" i="26"/>
  <c r="J1123" i="26" s="1"/>
  <c r="G989" i="26"/>
  <c r="M990" i="26"/>
  <c r="N989" i="26"/>
  <c r="T989" i="26" s="1"/>
  <c r="X928" i="26"/>
  <c r="J927" i="26" s="1"/>
  <c r="V1055" i="26"/>
  <c r="W1055" i="26" s="1"/>
  <c r="H746" i="26"/>
  <c r="H745" i="26"/>
  <c r="F1129" i="26"/>
  <c r="E1129" i="26"/>
  <c r="H941" i="26"/>
  <c r="C435" i="26"/>
  <c r="J941" i="26" l="1"/>
  <c r="E941" i="26"/>
  <c r="F941" i="26"/>
  <c r="Q991" i="26"/>
  <c r="K991" i="26" s="1"/>
  <c r="K990" i="26"/>
  <c r="H1258" i="26"/>
  <c r="I1258" i="26" s="1"/>
  <c r="I1259" i="26" s="1"/>
  <c r="S1258" i="26" s="1"/>
  <c r="F1059" i="26"/>
  <c r="V1268" i="26"/>
  <c r="H1059" i="26"/>
  <c r="J1059" i="26"/>
  <c r="V1118" i="26" s="1"/>
  <c r="G1059" i="26"/>
  <c r="X946" i="26"/>
  <c r="I945" i="26"/>
  <c r="D945" i="26"/>
  <c r="C945" i="26"/>
  <c r="K945" i="26"/>
  <c r="X949" i="26"/>
  <c r="F1166" i="26"/>
  <c r="N1136" i="26"/>
  <c r="H1136" i="26"/>
  <c r="U1139" i="26" s="1"/>
  <c r="U1123" i="26"/>
  <c r="V1123" i="26" s="1"/>
  <c r="K1165" i="26"/>
  <c r="P1165" i="26" s="1"/>
  <c r="E1166" i="26"/>
  <c r="O1136" i="26"/>
  <c r="R779" i="26"/>
  <c r="T779" i="26" s="1"/>
  <c r="V779" i="26" s="1"/>
  <c r="R1148" i="26"/>
  <c r="T1148" i="26" s="1"/>
  <c r="V1148" i="26" s="1"/>
  <c r="Q992" i="26"/>
  <c r="G1167" i="26"/>
  <c r="G1168" i="26" s="1"/>
  <c r="G1169" i="26" s="1"/>
  <c r="G1170" i="26" s="1"/>
  <c r="G1171" i="26" s="1"/>
  <c r="G1172" i="26" s="1"/>
  <c r="G1173" i="26" s="1"/>
  <c r="G1174" i="26" s="1"/>
  <c r="G1175" i="26" s="1"/>
  <c r="G1176" i="26" s="1"/>
  <c r="G1177" i="26" s="1"/>
  <c r="G1178" i="26" s="1"/>
  <c r="G1179" i="26" s="1"/>
  <c r="G1180" i="26" s="1"/>
  <c r="G1181" i="26" s="1"/>
  <c r="G1182" i="26" s="1"/>
  <c r="G1183" i="26" s="1"/>
  <c r="G1184" i="26" s="1"/>
  <c r="G1185" i="26" s="1"/>
  <c r="G1186" i="26" s="1"/>
  <c r="G1187" i="26" s="1"/>
  <c r="G1188" i="26" s="1"/>
  <c r="G1189" i="26" s="1"/>
  <c r="G1190" i="26" s="1"/>
  <c r="G1191" i="26" s="1"/>
  <c r="G1192" i="26" s="1"/>
  <c r="G1193" i="26" s="1"/>
  <c r="G1194" i="26" s="1"/>
  <c r="G1195" i="26" s="1"/>
  <c r="G1196" i="26" s="1"/>
  <c r="G1197" i="26" s="1"/>
  <c r="G1198" i="26" s="1"/>
  <c r="G1199" i="26" s="1"/>
  <c r="G1200" i="26" s="1"/>
  <c r="G1201" i="26" s="1"/>
  <c r="G1202" i="26" s="1"/>
  <c r="G1203" i="26" s="1"/>
  <c r="G1204" i="26" s="1"/>
  <c r="G1205" i="26" s="1"/>
  <c r="G1206" i="26" s="1"/>
  <c r="G1207" i="26" s="1"/>
  <c r="G1208" i="26" s="1"/>
  <c r="G1209" i="26" s="1"/>
  <c r="G1210" i="26" s="1"/>
  <c r="G1211" i="26" s="1"/>
  <c r="G1212" i="26" s="1"/>
  <c r="G1213" i="26" s="1"/>
  <c r="G1214" i="26" s="1"/>
  <c r="C1166" i="26"/>
  <c r="F871" i="26"/>
  <c r="R1222" i="26"/>
  <c r="T1222" i="26" s="1"/>
  <c r="V1222" i="26" s="1"/>
  <c r="H767" i="26"/>
  <c r="N792" i="26"/>
  <c r="H792" i="26" s="1"/>
  <c r="R853" i="26"/>
  <c r="T853" i="26" s="1"/>
  <c r="V853" i="26" s="1"/>
  <c r="O991" i="26"/>
  <c r="I990" i="26"/>
  <c r="H990" i="26"/>
  <c r="R987" i="26"/>
  <c r="V987" i="26" s="1"/>
  <c r="F988" i="26"/>
  <c r="P988" i="26" s="1"/>
  <c r="U988" i="26" s="1"/>
  <c r="C871" i="26"/>
  <c r="I872" i="26"/>
  <c r="I873" i="26" s="1"/>
  <c r="I874" i="26" s="1"/>
  <c r="I875" i="26" s="1"/>
  <c r="I876" i="26" s="1"/>
  <c r="I877" i="26" s="1"/>
  <c r="I878" i="26" s="1"/>
  <c r="I879" i="26" s="1"/>
  <c r="I880" i="26" s="1"/>
  <c r="I881" i="26" s="1"/>
  <c r="I882" i="26" s="1"/>
  <c r="I883" i="26" s="1"/>
  <c r="I884" i="26" s="1"/>
  <c r="I885" i="26" s="1"/>
  <c r="I886" i="26" s="1"/>
  <c r="I887" i="26" s="1"/>
  <c r="I888" i="26" s="1"/>
  <c r="I889" i="26" s="1"/>
  <c r="I890" i="26" s="1"/>
  <c r="I891" i="26" s="1"/>
  <c r="I892" i="26" s="1"/>
  <c r="I893" i="26" s="1"/>
  <c r="I894" i="26" s="1"/>
  <c r="I895" i="26" s="1"/>
  <c r="I896" i="26" s="1"/>
  <c r="I897" i="26" s="1"/>
  <c r="I898" i="26" s="1"/>
  <c r="I899" i="26" s="1"/>
  <c r="I900" i="26" s="1"/>
  <c r="I901" i="26" s="1"/>
  <c r="I902" i="26" s="1"/>
  <c r="I903" i="26" s="1"/>
  <c r="I904" i="26" s="1"/>
  <c r="I905" i="26" s="1"/>
  <c r="I906" i="26" s="1"/>
  <c r="I907" i="26" s="1"/>
  <c r="I908" i="26" s="1"/>
  <c r="I909" i="26" s="1"/>
  <c r="I910" i="26" s="1"/>
  <c r="I911" i="26" s="1"/>
  <c r="I912" i="26" s="1"/>
  <c r="I913" i="26" s="1"/>
  <c r="I914" i="26" s="1"/>
  <c r="I915" i="26" s="1"/>
  <c r="I916" i="26" s="1"/>
  <c r="I917" i="26" s="1"/>
  <c r="I918" i="26" s="1"/>
  <c r="I919" i="26" s="1"/>
  <c r="L870" i="26"/>
  <c r="C990" i="26"/>
  <c r="E989" i="26"/>
  <c r="D989" i="26"/>
  <c r="L989" i="26" s="1"/>
  <c r="E872" i="26"/>
  <c r="M991" i="26"/>
  <c r="N990" i="26"/>
  <c r="T990" i="26" s="1"/>
  <c r="G990" i="26"/>
  <c r="C436" i="26"/>
  <c r="J991" i="26" l="1"/>
  <c r="R988" i="26"/>
  <c r="V988" i="26" s="1"/>
  <c r="H976" i="26" s="1"/>
  <c r="V941" i="26" s="1"/>
  <c r="W941" i="26" s="1"/>
  <c r="H945" i="26"/>
  <c r="G945" i="26"/>
  <c r="F945" i="26"/>
  <c r="E945" i="26"/>
  <c r="J945" i="26"/>
  <c r="K949" i="26"/>
  <c r="I949" i="26"/>
  <c r="X950" i="26"/>
  <c r="X953" i="26"/>
  <c r="C949" i="26"/>
  <c r="D949" i="26"/>
  <c r="H1259" i="26"/>
  <c r="R1258" i="26" s="1"/>
  <c r="S1165" i="26"/>
  <c r="R1136" i="26"/>
  <c r="P1139" i="26" s="1"/>
  <c r="I1136" i="26"/>
  <c r="S1136" i="26" s="1"/>
  <c r="T1139" i="26"/>
  <c r="K1166" i="26"/>
  <c r="P1166" i="26" s="1"/>
  <c r="C1167" i="26"/>
  <c r="F989" i="26"/>
  <c r="P989" i="26" s="1"/>
  <c r="U989" i="26" s="1"/>
  <c r="M870" i="26"/>
  <c r="Q870" i="26" s="1"/>
  <c r="I991" i="26"/>
  <c r="H991" i="26"/>
  <c r="O992" i="26"/>
  <c r="C872" i="26"/>
  <c r="I792" i="26"/>
  <c r="R792" i="26"/>
  <c r="H795" i="26"/>
  <c r="G991" i="26"/>
  <c r="M992" i="26"/>
  <c r="N991" i="26"/>
  <c r="T991" i="26" s="1"/>
  <c r="K992" i="26"/>
  <c r="J992" i="26"/>
  <c r="Q993" i="26"/>
  <c r="L871" i="26"/>
  <c r="E1167" i="26"/>
  <c r="F1167" i="26"/>
  <c r="E990" i="26"/>
  <c r="D990" i="26"/>
  <c r="L990" i="26" s="1"/>
  <c r="C991" i="26"/>
  <c r="R767" i="26"/>
  <c r="I767" i="26"/>
  <c r="P770" i="26" s="1"/>
  <c r="H978" i="26"/>
  <c r="V949" i="26" s="1"/>
  <c r="W949" i="26" s="1"/>
  <c r="E873" i="26"/>
  <c r="F872" i="26"/>
  <c r="T1165" i="26"/>
  <c r="C437" i="26"/>
  <c r="H981" i="26" l="1"/>
  <c r="V961" i="26" s="1"/>
  <c r="W961" i="26" s="1"/>
  <c r="H982" i="26"/>
  <c r="V965" i="26" s="1"/>
  <c r="W965" i="26" s="1"/>
  <c r="H983" i="26"/>
  <c r="V969" i="26" s="1"/>
  <c r="W969" i="26" s="1"/>
  <c r="H977" i="26"/>
  <c r="V945" i="26" s="1"/>
  <c r="W945" i="26" s="1"/>
  <c r="H980" i="26"/>
  <c r="V957" i="26" s="1"/>
  <c r="W957" i="26" s="1"/>
  <c r="T1166" i="26"/>
  <c r="E949" i="26"/>
  <c r="J949" i="26"/>
  <c r="H949" i="26"/>
  <c r="G949" i="26"/>
  <c r="F949" i="26"/>
  <c r="C953" i="26"/>
  <c r="X957" i="26"/>
  <c r="X954" i="26"/>
  <c r="K953" i="26"/>
  <c r="D953" i="26"/>
  <c r="I953" i="26"/>
  <c r="L872" i="26"/>
  <c r="M872" i="26" s="1"/>
  <c r="S1166" i="26"/>
  <c r="P870" i="26"/>
  <c r="S870" i="26" s="1"/>
  <c r="R989" i="26"/>
  <c r="V989" i="26" s="1"/>
  <c r="F1168" i="26"/>
  <c r="H796" i="26"/>
  <c r="Q994" i="26"/>
  <c r="J993" i="26"/>
  <c r="K993" i="26"/>
  <c r="C992" i="26"/>
  <c r="E991" i="26"/>
  <c r="D991" i="26"/>
  <c r="L991" i="26" s="1"/>
  <c r="I795" i="26"/>
  <c r="P795" i="26" s="1"/>
  <c r="S792" i="26"/>
  <c r="O993" i="26"/>
  <c r="I992" i="26"/>
  <c r="H992" i="26"/>
  <c r="C1168" i="26"/>
  <c r="K1167" i="26"/>
  <c r="P1167" i="26" s="1"/>
  <c r="M993" i="26"/>
  <c r="N992" i="26"/>
  <c r="T992" i="26" s="1"/>
  <c r="G992" i="26"/>
  <c r="E874" i="26"/>
  <c r="Q770" i="26"/>
  <c r="S767" i="26"/>
  <c r="C873" i="26"/>
  <c r="E1168" i="26"/>
  <c r="F873" i="26"/>
  <c r="F990" i="26"/>
  <c r="P990" i="26" s="1"/>
  <c r="U990" i="26" s="1"/>
  <c r="R990" i="26"/>
  <c r="V990" i="26" s="1"/>
  <c r="M871" i="26"/>
  <c r="C438" i="26"/>
  <c r="T870" i="26" l="1"/>
  <c r="G953" i="26"/>
  <c r="F953" i="26"/>
  <c r="E953" i="26"/>
  <c r="H953" i="26"/>
  <c r="J953" i="26"/>
  <c r="K957" i="26"/>
  <c r="C957" i="26"/>
  <c r="X961" i="26"/>
  <c r="I957" i="26"/>
  <c r="D957" i="26"/>
  <c r="X958" i="26"/>
  <c r="S1167" i="26"/>
  <c r="Q871" i="26"/>
  <c r="E1169" i="26"/>
  <c r="G993" i="26"/>
  <c r="M994" i="26"/>
  <c r="N993" i="26"/>
  <c r="T993" i="26" s="1"/>
  <c r="F874" i="26"/>
  <c r="C874" i="26"/>
  <c r="P871" i="26"/>
  <c r="I796" i="26"/>
  <c r="P796" i="26" s="1"/>
  <c r="Q795" i="26"/>
  <c r="K994" i="26"/>
  <c r="Q995" i="26"/>
  <c r="J994" i="26"/>
  <c r="Q872" i="26"/>
  <c r="K1168" i="26"/>
  <c r="P1168" i="26" s="1"/>
  <c r="C1169" i="26"/>
  <c r="H797" i="26"/>
  <c r="L873" i="26"/>
  <c r="F991" i="26"/>
  <c r="P991" i="26" s="1"/>
  <c r="U991" i="26" s="1"/>
  <c r="F1169" i="26"/>
  <c r="E875" i="26"/>
  <c r="C993" i="26"/>
  <c r="E992" i="26"/>
  <c r="D992" i="26"/>
  <c r="L992" i="26" s="1"/>
  <c r="T1167" i="26"/>
  <c r="I993" i="26"/>
  <c r="H993" i="26"/>
  <c r="O994" i="26"/>
  <c r="P872" i="26"/>
  <c r="C439" i="26"/>
  <c r="L874" i="26" l="1"/>
  <c r="M874" i="26" s="1"/>
  <c r="K961" i="26"/>
  <c r="D961" i="26"/>
  <c r="X965" i="26"/>
  <c r="I961" i="26"/>
  <c r="X962" i="26"/>
  <c r="C961" i="26"/>
  <c r="H957" i="26"/>
  <c r="E957" i="26"/>
  <c r="G957" i="26"/>
  <c r="F957" i="26"/>
  <c r="J957" i="26"/>
  <c r="T871" i="26"/>
  <c r="R991" i="26"/>
  <c r="V991" i="26" s="1"/>
  <c r="T872" i="26"/>
  <c r="C994" i="26"/>
  <c r="E993" i="26"/>
  <c r="D993" i="26"/>
  <c r="L993" i="26" s="1"/>
  <c r="I797" i="26"/>
  <c r="P797" i="26" s="1"/>
  <c r="Q796" i="26"/>
  <c r="O995" i="26"/>
  <c r="I994" i="26"/>
  <c r="H994" i="26"/>
  <c r="M873" i="26"/>
  <c r="Q873" i="26" s="1"/>
  <c r="S871" i="26"/>
  <c r="T1168" i="26"/>
  <c r="S872" i="26"/>
  <c r="F992" i="26"/>
  <c r="P992" i="26" s="1"/>
  <c r="U992" i="26" s="1"/>
  <c r="H798" i="26"/>
  <c r="E876" i="26"/>
  <c r="C1170" i="26"/>
  <c r="K1169" i="26"/>
  <c r="P1169" i="26" s="1"/>
  <c r="C875" i="26"/>
  <c r="F1170" i="26"/>
  <c r="Q996" i="26"/>
  <c r="J995" i="26"/>
  <c r="K995" i="26"/>
  <c r="F875" i="26"/>
  <c r="M995" i="26"/>
  <c r="N994" i="26"/>
  <c r="T994" i="26" s="1"/>
  <c r="G994" i="26"/>
  <c r="E1170" i="26"/>
  <c r="S1168" i="26"/>
  <c r="C440" i="26"/>
  <c r="T1169" i="26" l="1"/>
  <c r="S1169" i="26"/>
  <c r="L875" i="26"/>
  <c r="M875" i="26" s="1"/>
  <c r="Q875" i="26" s="1"/>
  <c r="F961" i="26"/>
  <c r="E961" i="26"/>
  <c r="J961" i="26"/>
  <c r="H961" i="26"/>
  <c r="G961" i="26"/>
  <c r="X969" i="26"/>
  <c r="D965" i="26"/>
  <c r="C965" i="26"/>
  <c r="I965" i="26"/>
  <c r="K965" i="26"/>
  <c r="X966" i="26"/>
  <c r="Q797" i="26"/>
  <c r="I798" i="26"/>
  <c r="P798" i="26" s="1"/>
  <c r="F1171" i="26"/>
  <c r="G995" i="26"/>
  <c r="M996" i="26"/>
  <c r="N995" i="26"/>
  <c r="T995" i="26" s="1"/>
  <c r="C876" i="26"/>
  <c r="C1171" i="26"/>
  <c r="K1170" i="26"/>
  <c r="P1170" i="26" s="1"/>
  <c r="Q874" i="26"/>
  <c r="H799" i="26"/>
  <c r="P873" i="26"/>
  <c r="T873" i="26" s="1"/>
  <c r="E1171" i="26"/>
  <c r="K996" i="26"/>
  <c r="Q997" i="26"/>
  <c r="J996" i="26"/>
  <c r="I995" i="26"/>
  <c r="H995" i="26"/>
  <c r="O996" i="26"/>
  <c r="F876" i="26"/>
  <c r="E877" i="26"/>
  <c r="P874" i="26"/>
  <c r="F993" i="26"/>
  <c r="P993" i="26" s="1"/>
  <c r="U993" i="26" s="1"/>
  <c r="R992" i="26"/>
  <c r="V992" i="26" s="1"/>
  <c r="E994" i="26"/>
  <c r="D994" i="26"/>
  <c r="L994" i="26" s="1"/>
  <c r="C995" i="26"/>
  <c r="C441" i="26"/>
  <c r="D969" i="26" l="1"/>
  <c r="K969" i="26"/>
  <c r="X970" i="26"/>
  <c r="C969" i="26"/>
  <c r="I969" i="26"/>
  <c r="F965" i="26"/>
  <c r="J965" i="26"/>
  <c r="H965" i="26"/>
  <c r="G965" i="26"/>
  <c r="E965" i="26"/>
  <c r="T874" i="26"/>
  <c r="S1170" i="26"/>
  <c r="F994" i="26"/>
  <c r="P994" i="26" s="1"/>
  <c r="U994" i="26" s="1"/>
  <c r="I996" i="26"/>
  <c r="H996" i="26"/>
  <c r="O997" i="26"/>
  <c r="S874" i="26"/>
  <c r="S873" i="26"/>
  <c r="C1172" i="26"/>
  <c r="K1171" i="26"/>
  <c r="P1171" i="26" s="1"/>
  <c r="F877" i="26"/>
  <c r="E1172" i="26"/>
  <c r="C877" i="26"/>
  <c r="P799" i="26"/>
  <c r="H800" i="26"/>
  <c r="N996" i="26"/>
  <c r="T996" i="26" s="1"/>
  <c r="M997" i="26"/>
  <c r="G996" i="26"/>
  <c r="C996" i="26"/>
  <c r="E995" i="26"/>
  <c r="D995" i="26"/>
  <c r="L995" i="26" s="1"/>
  <c r="L876" i="26"/>
  <c r="M876" i="26" s="1"/>
  <c r="Q876" i="26" s="1"/>
  <c r="J997" i="26"/>
  <c r="K997" i="26"/>
  <c r="Q998" i="26"/>
  <c r="F1172" i="26"/>
  <c r="I799" i="26"/>
  <c r="Q798" i="26"/>
  <c r="R993" i="26"/>
  <c r="V993" i="26" s="1"/>
  <c r="E878" i="26"/>
  <c r="T1170" i="26"/>
  <c r="P875" i="26"/>
  <c r="T875" i="26" s="1"/>
  <c r="C442" i="26"/>
  <c r="E969" i="26" l="1"/>
  <c r="J969" i="26"/>
  <c r="H969" i="26"/>
  <c r="G969" i="26"/>
  <c r="F969" i="26"/>
  <c r="S1171" i="26"/>
  <c r="T1171" i="26"/>
  <c r="C878" i="26"/>
  <c r="F995" i="26"/>
  <c r="P995" i="26" s="1"/>
  <c r="U995" i="26" s="1"/>
  <c r="P876" i="26"/>
  <c r="T876" i="26" s="1"/>
  <c r="S875" i="26"/>
  <c r="F1173" i="26"/>
  <c r="C997" i="26"/>
  <c r="E996" i="26"/>
  <c r="D996" i="26"/>
  <c r="L996" i="26" s="1"/>
  <c r="E1173" i="26"/>
  <c r="H997" i="26"/>
  <c r="O998" i="26"/>
  <c r="I997" i="26"/>
  <c r="I800" i="26"/>
  <c r="P800" i="26" s="1"/>
  <c r="Q799" i="26"/>
  <c r="J998" i="26"/>
  <c r="Q999" i="26"/>
  <c r="K998" i="26"/>
  <c r="N997" i="26"/>
  <c r="T997" i="26" s="1"/>
  <c r="G997" i="26"/>
  <c r="M998" i="26"/>
  <c r="L877" i="26"/>
  <c r="F878" i="26"/>
  <c r="R994" i="26"/>
  <c r="V994" i="26" s="1"/>
  <c r="K1172" i="26"/>
  <c r="P1172" i="26" s="1"/>
  <c r="C1173" i="26"/>
  <c r="E879" i="26"/>
  <c r="H801" i="26"/>
  <c r="C443" i="26"/>
  <c r="S1172" i="26" l="1"/>
  <c r="S876" i="26"/>
  <c r="Q1000" i="26"/>
  <c r="J999" i="26"/>
  <c r="K999" i="26"/>
  <c r="E1174" i="26"/>
  <c r="C1174" i="26"/>
  <c r="K1173" i="26"/>
  <c r="P1173" i="26" s="1"/>
  <c r="H998" i="26"/>
  <c r="I998" i="26"/>
  <c r="O999" i="26"/>
  <c r="H802" i="26"/>
  <c r="F996" i="26"/>
  <c r="P996" i="26" s="1"/>
  <c r="U996" i="26" s="1"/>
  <c r="R995" i="26"/>
  <c r="V995" i="26" s="1"/>
  <c r="Q800" i="26"/>
  <c r="I801" i="26"/>
  <c r="P801" i="26" s="1"/>
  <c r="C879" i="26"/>
  <c r="F1174" i="26"/>
  <c r="F879" i="26"/>
  <c r="L878" i="26"/>
  <c r="D997" i="26"/>
  <c r="L997" i="26" s="1"/>
  <c r="E997" i="26"/>
  <c r="C998" i="26"/>
  <c r="E880" i="26"/>
  <c r="M999" i="26"/>
  <c r="G998" i="26"/>
  <c r="N998" i="26"/>
  <c r="T998" i="26" s="1"/>
  <c r="T1172" i="26"/>
  <c r="M877" i="26"/>
  <c r="C444" i="26"/>
  <c r="S1173" i="26" l="1"/>
  <c r="T1173" i="26"/>
  <c r="F880" i="26"/>
  <c r="E998" i="26"/>
  <c r="D998" i="26"/>
  <c r="L998" i="26" s="1"/>
  <c r="C999" i="26"/>
  <c r="R996" i="26"/>
  <c r="V996" i="26" s="1"/>
  <c r="E1175" i="26"/>
  <c r="Q877" i="26"/>
  <c r="C880" i="26"/>
  <c r="H803" i="26"/>
  <c r="E881" i="26"/>
  <c r="F997" i="26"/>
  <c r="P997" i="26" s="1"/>
  <c r="U997" i="26" s="1"/>
  <c r="F1175" i="26"/>
  <c r="N999" i="26"/>
  <c r="T999" i="26" s="1"/>
  <c r="M1000" i="26"/>
  <c r="G999" i="26"/>
  <c r="I802" i="26"/>
  <c r="P802" i="26" s="1"/>
  <c r="Q801" i="26"/>
  <c r="K1000" i="26"/>
  <c r="J1000" i="26"/>
  <c r="Q1001" i="26"/>
  <c r="C1175" i="26"/>
  <c r="K1174" i="26"/>
  <c r="P1174" i="26" s="1"/>
  <c r="O1000" i="26"/>
  <c r="I999" i="26"/>
  <c r="H999" i="26"/>
  <c r="P877" i="26"/>
  <c r="M878" i="26"/>
  <c r="Q878" i="26" s="1"/>
  <c r="L879" i="26"/>
  <c r="C445" i="26"/>
  <c r="L880" i="26" l="1"/>
  <c r="M880" i="26" s="1"/>
  <c r="Q880" i="26" s="1"/>
  <c r="S877" i="26"/>
  <c r="C1176" i="26"/>
  <c r="K1175" i="26"/>
  <c r="P1175" i="26" s="1"/>
  <c r="M1001" i="26"/>
  <c r="N1000" i="26"/>
  <c r="T1000" i="26" s="1"/>
  <c r="G1000" i="26"/>
  <c r="E882" i="26"/>
  <c r="S1174" i="26"/>
  <c r="H804" i="26"/>
  <c r="C1000" i="26"/>
  <c r="D999" i="26"/>
  <c r="L999" i="26" s="1"/>
  <c r="E999" i="26"/>
  <c r="E1176" i="26"/>
  <c r="T1174" i="26"/>
  <c r="R997" i="26"/>
  <c r="V997" i="26" s="1"/>
  <c r="M879" i="26"/>
  <c r="Q879" i="26" s="1"/>
  <c r="F998" i="26"/>
  <c r="P998" i="26" s="1"/>
  <c r="U998" i="26" s="1"/>
  <c r="T877" i="26"/>
  <c r="Q1002" i="26"/>
  <c r="K1001" i="26"/>
  <c r="J1001" i="26"/>
  <c r="F1176" i="26"/>
  <c r="C881" i="26"/>
  <c r="O1001" i="26"/>
  <c r="I1000" i="26"/>
  <c r="H1000" i="26"/>
  <c r="Q802" i="26"/>
  <c r="I803" i="26"/>
  <c r="P803" i="26" s="1"/>
  <c r="P878" i="26"/>
  <c r="T878" i="26" s="1"/>
  <c r="F881" i="26"/>
  <c r="M445" i="26"/>
  <c r="C446" i="26"/>
  <c r="R445" i="26"/>
  <c r="Q445" i="26"/>
  <c r="P445" i="26"/>
  <c r="N445" i="26"/>
  <c r="S1175" i="26" l="1"/>
  <c r="T1175" i="26"/>
  <c r="S878" i="26"/>
  <c r="L881" i="26"/>
  <c r="M881" i="26" s="1"/>
  <c r="Q881" i="26" s="1"/>
  <c r="P879" i="26"/>
  <c r="S879" i="26" s="1"/>
  <c r="F1177" i="26"/>
  <c r="R998" i="26"/>
  <c r="V998" i="26" s="1"/>
  <c r="F999" i="26"/>
  <c r="P999" i="26" s="1"/>
  <c r="U999" i="26" s="1"/>
  <c r="E883" i="26"/>
  <c r="D1000" i="26"/>
  <c r="L1000" i="26" s="1"/>
  <c r="C1001" i="26"/>
  <c r="E1000" i="26"/>
  <c r="P880" i="26"/>
  <c r="S880" i="26" s="1"/>
  <c r="F882" i="26"/>
  <c r="K1002" i="26"/>
  <c r="J1002" i="26"/>
  <c r="Q1003" i="26"/>
  <c r="G1001" i="26"/>
  <c r="N1001" i="26"/>
  <c r="T1001" i="26" s="1"/>
  <c r="M1002" i="26"/>
  <c r="I804" i="26"/>
  <c r="P804" i="26" s="1"/>
  <c r="Q803" i="26"/>
  <c r="I1001" i="26"/>
  <c r="H1001" i="26"/>
  <c r="O1002" i="26"/>
  <c r="E1177" i="26"/>
  <c r="H805" i="26"/>
  <c r="C882" i="26"/>
  <c r="C1177" i="26"/>
  <c r="K1176" i="26"/>
  <c r="P1176" i="26" s="1"/>
  <c r="P446" i="26"/>
  <c r="N446" i="26"/>
  <c r="M446" i="26"/>
  <c r="C447" i="26"/>
  <c r="R446" i="26"/>
  <c r="Q446" i="26"/>
  <c r="T879" i="26" l="1"/>
  <c r="R999" i="26"/>
  <c r="V999" i="26" s="1"/>
  <c r="T880" i="26"/>
  <c r="F1000" i="26"/>
  <c r="P1000" i="26" s="1"/>
  <c r="U1000" i="26" s="1"/>
  <c r="E1178" i="26"/>
  <c r="C883" i="26"/>
  <c r="Q1004" i="26"/>
  <c r="J1003" i="26"/>
  <c r="K1003" i="26"/>
  <c r="C1002" i="26"/>
  <c r="E1001" i="26"/>
  <c r="D1001" i="26"/>
  <c r="L1001" i="26" s="1"/>
  <c r="T1176" i="26"/>
  <c r="O1003" i="26"/>
  <c r="I1002" i="26"/>
  <c r="H1002" i="26"/>
  <c r="F1178" i="26"/>
  <c r="M1003" i="26"/>
  <c r="N1002" i="26"/>
  <c r="T1002" i="26" s="1"/>
  <c r="G1002" i="26"/>
  <c r="C1178" i="26"/>
  <c r="K1177" i="26"/>
  <c r="P1177" i="26" s="1"/>
  <c r="L882" i="26"/>
  <c r="M882" i="26" s="1"/>
  <c r="H806" i="26"/>
  <c r="S1176" i="26"/>
  <c r="I805" i="26"/>
  <c r="Q804" i="26"/>
  <c r="F883" i="26"/>
  <c r="E884" i="26"/>
  <c r="P881" i="26"/>
  <c r="T881" i="26" s="1"/>
  <c r="R447" i="26"/>
  <c r="Q447" i="26"/>
  <c r="P447" i="26"/>
  <c r="N447" i="26"/>
  <c r="M447" i="26"/>
  <c r="C448" i="26"/>
  <c r="Q882" i="26" l="1"/>
  <c r="K1178" i="26"/>
  <c r="P1178" i="26" s="1"/>
  <c r="C1179" i="26"/>
  <c r="H1003" i="26"/>
  <c r="O1004" i="26"/>
  <c r="I1003" i="26"/>
  <c r="C884" i="26"/>
  <c r="Q805" i="26"/>
  <c r="I806" i="26"/>
  <c r="P806" i="26" s="1"/>
  <c r="E1179" i="26"/>
  <c r="K1004" i="26"/>
  <c r="J1004" i="26"/>
  <c r="Q1005" i="26"/>
  <c r="L883" i="26"/>
  <c r="M883" i="26" s="1"/>
  <c r="Q883" i="26" s="1"/>
  <c r="P805" i="26"/>
  <c r="G1003" i="26"/>
  <c r="N1003" i="26"/>
  <c r="T1003" i="26" s="1"/>
  <c r="M1004" i="26"/>
  <c r="F1001" i="26"/>
  <c r="P1001" i="26" s="1"/>
  <c r="U1001" i="26" s="1"/>
  <c r="S1177" i="26"/>
  <c r="S881" i="26"/>
  <c r="F1179" i="26"/>
  <c r="H807" i="26"/>
  <c r="E885" i="26"/>
  <c r="P882" i="26"/>
  <c r="T1177" i="26"/>
  <c r="R1000" i="26"/>
  <c r="V1000" i="26" s="1"/>
  <c r="C1003" i="26"/>
  <c r="E1002" i="26"/>
  <c r="D1002" i="26"/>
  <c r="L1002" i="26" s="1"/>
  <c r="F884" i="26"/>
  <c r="C449" i="26"/>
  <c r="R448" i="26"/>
  <c r="Q448" i="26"/>
  <c r="P448" i="26"/>
  <c r="N448" i="26"/>
  <c r="M448" i="26"/>
  <c r="S1178" i="26" l="1"/>
  <c r="T1178" i="26"/>
  <c r="L884" i="26"/>
  <c r="M884" i="26" s="1"/>
  <c r="Q884" i="26" s="1"/>
  <c r="T882" i="26"/>
  <c r="R1001" i="26"/>
  <c r="V1001" i="26" s="1"/>
  <c r="Q1006" i="26"/>
  <c r="K1005" i="26"/>
  <c r="J1005" i="26"/>
  <c r="O1005" i="26"/>
  <c r="I1004" i="26"/>
  <c r="H1004" i="26"/>
  <c r="E886" i="26"/>
  <c r="M1005" i="26"/>
  <c r="G1004" i="26"/>
  <c r="N1004" i="26"/>
  <c r="T1004" i="26" s="1"/>
  <c r="E1180" i="26"/>
  <c r="C1004" i="26"/>
  <c r="E1003" i="26"/>
  <c r="D1003" i="26"/>
  <c r="L1003" i="26" s="1"/>
  <c r="H808" i="26"/>
  <c r="C1180" i="26"/>
  <c r="K1179" i="26"/>
  <c r="P1179" i="26" s="1"/>
  <c r="I807" i="26"/>
  <c r="P807" i="26" s="1"/>
  <c r="Q806" i="26"/>
  <c r="F885" i="26"/>
  <c r="S882" i="26"/>
  <c r="F1180" i="26"/>
  <c r="F1002" i="26"/>
  <c r="P1002" i="26" s="1"/>
  <c r="U1002" i="26" s="1"/>
  <c r="P883" i="26"/>
  <c r="T883" i="26" s="1"/>
  <c r="C885" i="26"/>
  <c r="M449" i="26"/>
  <c r="C450" i="26"/>
  <c r="R449" i="26"/>
  <c r="Q449" i="26"/>
  <c r="P449" i="26"/>
  <c r="N449" i="26"/>
  <c r="S883" i="26" l="1"/>
  <c r="R1002" i="26"/>
  <c r="V1002" i="26" s="1"/>
  <c r="O1006" i="26"/>
  <c r="I1005" i="26"/>
  <c r="H1005" i="26"/>
  <c r="C1181" i="26"/>
  <c r="K1180" i="26"/>
  <c r="P1180" i="26" s="1"/>
  <c r="C886" i="26"/>
  <c r="F1181" i="26"/>
  <c r="H809" i="26"/>
  <c r="G1005" i="26"/>
  <c r="N1005" i="26"/>
  <c r="T1005" i="26" s="1"/>
  <c r="M1006" i="26"/>
  <c r="K1006" i="26"/>
  <c r="J1006" i="26"/>
  <c r="Q1007" i="26"/>
  <c r="F886" i="26"/>
  <c r="F1003" i="26"/>
  <c r="P1003" i="26" s="1"/>
  <c r="U1003" i="26" s="1"/>
  <c r="L885" i="26"/>
  <c r="T1179" i="26"/>
  <c r="D1004" i="26"/>
  <c r="L1004" i="26" s="1"/>
  <c r="E1004" i="26"/>
  <c r="C1005" i="26"/>
  <c r="E887" i="26"/>
  <c r="E1181" i="26"/>
  <c r="I808" i="26"/>
  <c r="P808" i="26" s="1"/>
  <c r="Q807" i="26"/>
  <c r="S1179" i="26"/>
  <c r="P884" i="26"/>
  <c r="S884" i="26" s="1"/>
  <c r="P450" i="26"/>
  <c r="N450" i="26"/>
  <c r="M450" i="26"/>
  <c r="C451" i="26"/>
  <c r="R450" i="26"/>
  <c r="Q450" i="26"/>
  <c r="L886" i="26" l="1"/>
  <c r="M886" i="26" s="1"/>
  <c r="Q886" i="26" s="1"/>
  <c r="T1180" i="26"/>
  <c r="S1180" i="26"/>
  <c r="T884" i="26"/>
  <c r="C887" i="26"/>
  <c r="R1003" i="26"/>
  <c r="V1003" i="26" s="1"/>
  <c r="M1007" i="26"/>
  <c r="G1006" i="26"/>
  <c r="N1006" i="26"/>
  <c r="T1006" i="26" s="1"/>
  <c r="M885" i="26"/>
  <c r="Q885" i="26" s="1"/>
  <c r="E888" i="26"/>
  <c r="C1182" i="26"/>
  <c r="K1181" i="26"/>
  <c r="P1181" i="26" s="1"/>
  <c r="C1006" i="26"/>
  <c r="E1005" i="26"/>
  <c r="D1005" i="26"/>
  <c r="L1005" i="26" s="1"/>
  <c r="F887" i="26"/>
  <c r="Q808" i="26"/>
  <c r="I809" i="26"/>
  <c r="P809" i="26" s="1"/>
  <c r="F1004" i="26"/>
  <c r="P1004" i="26" s="1"/>
  <c r="U1004" i="26" s="1"/>
  <c r="Q1008" i="26"/>
  <c r="J1007" i="26"/>
  <c r="K1007" i="26"/>
  <c r="H810" i="26"/>
  <c r="E1182" i="26"/>
  <c r="F1182" i="26"/>
  <c r="O1007" i="26"/>
  <c r="I1006" i="26"/>
  <c r="H1006" i="26"/>
  <c r="R451" i="26"/>
  <c r="Q451" i="26"/>
  <c r="P451" i="26"/>
  <c r="N451" i="26"/>
  <c r="M451" i="26"/>
  <c r="C452" i="26"/>
  <c r="L887" i="26" l="1"/>
  <c r="M887" i="26" s="1"/>
  <c r="Q887" i="26" s="1"/>
  <c r="T1181" i="26"/>
  <c r="P886" i="26"/>
  <c r="T886" i="26" s="1"/>
  <c r="S1181" i="26"/>
  <c r="H811" i="26"/>
  <c r="F888" i="26"/>
  <c r="P885" i="26"/>
  <c r="T885" i="26" s="1"/>
  <c r="F1183" i="26"/>
  <c r="Q1009" i="26"/>
  <c r="K1008" i="26"/>
  <c r="J1008" i="26"/>
  <c r="F1005" i="26"/>
  <c r="P1005" i="26" s="1"/>
  <c r="U1005" i="26" s="1"/>
  <c r="E889" i="26"/>
  <c r="C888" i="26"/>
  <c r="K1182" i="26"/>
  <c r="P1182" i="26" s="1"/>
  <c r="C1183" i="26"/>
  <c r="I1007" i="26"/>
  <c r="O1008" i="26"/>
  <c r="H1007" i="26"/>
  <c r="E1183" i="26"/>
  <c r="R1004" i="26"/>
  <c r="V1004" i="26" s="1"/>
  <c r="G1007" i="26"/>
  <c r="N1007" i="26"/>
  <c r="T1007" i="26" s="1"/>
  <c r="M1008" i="26"/>
  <c r="C1007" i="26"/>
  <c r="E1006" i="26"/>
  <c r="D1006" i="26"/>
  <c r="L1006" i="26" s="1"/>
  <c r="I810" i="26"/>
  <c r="P810" i="26" s="1"/>
  <c r="Q809" i="26"/>
  <c r="C453" i="26"/>
  <c r="R452" i="26"/>
  <c r="Q452" i="26"/>
  <c r="P452" i="26"/>
  <c r="N452" i="26"/>
  <c r="M452" i="26"/>
  <c r="S886" i="26" l="1"/>
  <c r="P887" i="26"/>
  <c r="T887" i="26" s="1"/>
  <c r="G1008" i="26"/>
  <c r="N1008" i="26"/>
  <c r="T1008" i="26" s="1"/>
  <c r="M1009" i="26"/>
  <c r="R1005" i="26"/>
  <c r="V1005" i="26" s="1"/>
  <c r="S885" i="26"/>
  <c r="C889" i="26"/>
  <c r="F889" i="26"/>
  <c r="S1182" i="26"/>
  <c r="Q1010" i="26"/>
  <c r="K1009" i="26"/>
  <c r="J1009" i="26"/>
  <c r="H812" i="26"/>
  <c r="H1008" i="26"/>
  <c r="O1009" i="26"/>
  <c r="I1008" i="26"/>
  <c r="E890" i="26"/>
  <c r="C1184" i="26"/>
  <c r="K1183" i="26"/>
  <c r="P1183" i="26" s="1"/>
  <c r="E1184" i="26"/>
  <c r="T1182" i="26"/>
  <c r="C1008" i="26"/>
  <c r="E1007" i="26"/>
  <c r="D1007" i="26"/>
  <c r="L1007" i="26" s="1"/>
  <c r="Q810" i="26"/>
  <c r="I811" i="26"/>
  <c r="P811" i="26" s="1"/>
  <c r="F1006" i="26"/>
  <c r="P1006" i="26" s="1"/>
  <c r="U1006" i="26" s="1"/>
  <c r="L888" i="26"/>
  <c r="M888" i="26" s="1"/>
  <c r="Q888" i="26" s="1"/>
  <c r="F1184" i="26"/>
  <c r="M453" i="26"/>
  <c r="C454" i="26"/>
  <c r="R453" i="26"/>
  <c r="Q453" i="26"/>
  <c r="P453" i="26"/>
  <c r="N453" i="26"/>
  <c r="L889" i="26" l="1"/>
  <c r="M889" i="26" s="1"/>
  <c r="Q889" i="26" s="1"/>
  <c r="S887" i="26"/>
  <c r="R1006" i="26"/>
  <c r="V1006" i="26" s="1"/>
  <c r="E1185" i="26"/>
  <c r="C890" i="26"/>
  <c r="K1184" i="26"/>
  <c r="P1184" i="26" s="1"/>
  <c r="C1185" i="26"/>
  <c r="H813" i="26"/>
  <c r="I812" i="26"/>
  <c r="Q811" i="26"/>
  <c r="F1185" i="26"/>
  <c r="F1007" i="26"/>
  <c r="P1007" i="26" s="1"/>
  <c r="U1007" i="26" s="1"/>
  <c r="T1183" i="26"/>
  <c r="C1009" i="26"/>
  <c r="E1008" i="26"/>
  <c r="D1008" i="26"/>
  <c r="L1008" i="26" s="1"/>
  <c r="E891" i="26"/>
  <c r="Q1011" i="26"/>
  <c r="J1010" i="26"/>
  <c r="K1010" i="26"/>
  <c r="G1009" i="26"/>
  <c r="N1009" i="26"/>
  <c r="T1009" i="26" s="1"/>
  <c r="M1010" i="26"/>
  <c r="F890" i="26"/>
  <c r="P888" i="26"/>
  <c r="S888" i="26" s="1"/>
  <c r="S1183" i="26"/>
  <c r="O1010" i="26"/>
  <c r="H1009" i="26"/>
  <c r="I1009" i="26"/>
  <c r="P454" i="26"/>
  <c r="N454" i="26"/>
  <c r="M454" i="26"/>
  <c r="C455" i="26"/>
  <c r="R454" i="26"/>
  <c r="Q454" i="26"/>
  <c r="T1184" i="26" l="1"/>
  <c r="R1007" i="26"/>
  <c r="V1007" i="26" s="1"/>
  <c r="T888" i="26"/>
  <c r="F891" i="26"/>
  <c r="L890" i="26"/>
  <c r="M890" i="26" s="1"/>
  <c r="Q890" i="26" s="1"/>
  <c r="F1186" i="26"/>
  <c r="C891" i="26"/>
  <c r="Q1012" i="26"/>
  <c r="J1011" i="26"/>
  <c r="K1011" i="26"/>
  <c r="G1010" i="26"/>
  <c r="N1010" i="26"/>
  <c r="T1010" i="26" s="1"/>
  <c r="M1011" i="26"/>
  <c r="E1186" i="26"/>
  <c r="C1186" i="26"/>
  <c r="K1185" i="26"/>
  <c r="P1185" i="26" s="1"/>
  <c r="H1010" i="26"/>
  <c r="I1010" i="26"/>
  <c r="O1011" i="26"/>
  <c r="F1008" i="26"/>
  <c r="P1008" i="26" s="1"/>
  <c r="U1008" i="26" s="1"/>
  <c r="I813" i="26"/>
  <c r="P813" i="26" s="1"/>
  <c r="Q812" i="26"/>
  <c r="S1184" i="26"/>
  <c r="E892" i="26"/>
  <c r="D1009" i="26"/>
  <c r="L1009" i="26" s="1"/>
  <c r="E1009" i="26"/>
  <c r="C1010" i="26"/>
  <c r="P812" i="26"/>
  <c r="H814" i="26"/>
  <c r="P889" i="26"/>
  <c r="T889" i="26" s="1"/>
  <c r="R455" i="26"/>
  <c r="Q455" i="26"/>
  <c r="P455" i="26"/>
  <c r="N455" i="26"/>
  <c r="M455" i="26"/>
  <c r="C456" i="26"/>
  <c r="L891" i="26" l="1"/>
  <c r="M891" i="26" s="1"/>
  <c r="Q891" i="26" s="1"/>
  <c r="T1185" i="26"/>
  <c r="N1011" i="26"/>
  <c r="T1011" i="26" s="1"/>
  <c r="G1011" i="26"/>
  <c r="M1012" i="26"/>
  <c r="I1011" i="26"/>
  <c r="H1011" i="26"/>
  <c r="O1012" i="26"/>
  <c r="F1187" i="26"/>
  <c r="F1009" i="26"/>
  <c r="P1009" i="26" s="1"/>
  <c r="U1009" i="26" s="1"/>
  <c r="R1008" i="26"/>
  <c r="V1008" i="26" s="1"/>
  <c r="E1187" i="26"/>
  <c r="P890" i="26"/>
  <c r="T890" i="26" s="1"/>
  <c r="H815" i="26"/>
  <c r="E893" i="26"/>
  <c r="S889" i="26"/>
  <c r="F892" i="26"/>
  <c r="C1187" i="26"/>
  <c r="K1186" i="26"/>
  <c r="P1186" i="26" s="1"/>
  <c r="K1012" i="26"/>
  <c r="J1012" i="26"/>
  <c r="Q1013" i="26"/>
  <c r="E1010" i="26"/>
  <c r="D1010" i="26"/>
  <c r="L1010" i="26" s="1"/>
  <c r="C1011" i="26"/>
  <c r="Q813" i="26"/>
  <c r="I814" i="26"/>
  <c r="S1185" i="26"/>
  <c r="C892" i="26"/>
  <c r="C457" i="26"/>
  <c r="R456" i="26"/>
  <c r="Q456" i="26"/>
  <c r="P456" i="26"/>
  <c r="N456" i="26"/>
  <c r="M456" i="26"/>
  <c r="L892" i="26" l="1"/>
  <c r="M892" i="26" s="1"/>
  <c r="Q892" i="26" s="1"/>
  <c r="P891" i="26"/>
  <c r="T891" i="26" s="1"/>
  <c r="T1186" i="26"/>
  <c r="S890" i="26"/>
  <c r="H1012" i="26"/>
  <c r="I1012" i="26"/>
  <c r="O1013" i="26"/>
  <c r="F1010" i="26"/>
  <c r="P1010" i="26" s="1"/>
  <c r="U1010" i="26" s="1"/>
  <c r="J1013" i="26"/>
  <c r="K1013" i="26"/>
  <c r="Q1014" i="26"/>
  <c r="S1186" i="26"/>
  <c r="C893" i="26"/>
  <c r="E1188" i="26"/>
  <c r="I815" i="26"/>
  <c r="Q814" i="26"/>
  <c r="E894" i="26"/>
  <c r="M1013" i="26"/>
  <c r="G1012" i="26"/>
  <c r="N1012" i="26"/>
  <c r="T1012" i="26" s="1"/>
  <c r="F893" i="26"/>
  <c r="D1011" i="26"/>
  <c r="L1011" i="26" s="1"/>
  <c r="C1012" i="26"/>
  <c r="E1011" i="26"/>
  <c r="C1188" i="26"/>
  <c r="K1187" i="26"/>
  <c r="P1187" i="26" s="1"/>
  <c r="P814" i="26"/>
  <c r="R1009" i="26"/>
  <c r="V1009" i="26" s="1"/>
  <c r="H816" i="26"/>
  <c r="F1188" i="26"/>
  <c r="M457" i="26"/>
  <c r="C458" i="26"/>
  <c r="R457" i="26"/>
  <c r="Q457" i="26"/>
  <c r="P457" i="26"/>
  <c r="N457" i="26"/>
  <c r="S891" i="26" l="1"/>
  <c r="E1189" i="26"/>
  <c r="R1010" i="26"/>
  <c r="V1010" i="26" s="1"/>
  <c r="F1189" i="26"/>
  <c r="K1188" i="26"/>
  <c r="P1188" i="26" s="1"/>
  <c r="C1189" i="26"/>
  <c r="M1014" i="26"/>
  <c r="G1013" i="26"/>
  <c r="N1013" i="26"/>
  <c r="T1013" i="26" s="1"/>
  <c r="C894" i="26"/>
  <c r="I1013" i="26"/>
  <c r="H1013" i="26"/>
  <c r="O1014" i="26"/>
  <c r="F894" i="26"/>
  <c r="I816" i="26"/>
  <c r="P816" i="26" s="1"/>
  <c r="Q815" i="26"/>
  <c r="S1187" i="26"/>
  <c r="T1187" i="26"/>
  <c r="H817" i="26"/>
  <c r="C1013" i="26"/>
  <c r="D1012" i="26"/>
  <c r="L1012" i="26" s="1"/>
  <c r="E1012" i="26"/>
  <c r="L893" i="26"/>
  <c r="P815" i="26"/>
  <c r="E895" i="26"/>
  <c r="K1014" i="26"/>
  <c r="J1014" i="26"/>
  <c r="Q1015" i="26"/>
  <c r="F1011" i="26"/>
  <c r="P1011" i="26" s="1"/>
  <c r="U1011" i="26" s="1"/>
  <c r="P892" i="26"/>
  <c r="S892" i="26" s="1"/>
  <c r="P458" i="26"/>
  <c r="N458" i="26"/>
  <c r="M458" i="26"/>
  <c r="C459" i="26"/>
  <c r="R458" i="26"/>
  <c r="Q458" i="26"/>
  <c r="L894" i="26" l="1"/>
  <c r="M894" i="26" s="1"/>
  <c r="Q894" i="26" s="1"/>
  <c r="D1013" i="26"/>
  <c r="L1013" i="26" s="1"/>
  <c r="C1014" i="26"/>
  <c r="E1013" i="26"/>
  <c r="H1014" i="26"/>
  <c r="I1014" i="26"/>
  <c r="O1015" i="26"/>
  <c r="C1190" i="26"/>
  <c r="K1189" i="26"/>
  <c r="P1189" i="26" s="1"/>
  <c r="M1015" i="26"/>
  <c r="G1014" i="26"/>
  <c r="N1014" i="26"/>
  <c r="T1014" i="26" s="1"/>
  <c r="T892" i="26"/>
  <c r="H818" i="26"/>
  <c r="E896" i="26"/>
  <c r="T1188" i="26"/>
  <c r="R1011" i="26"/>
  <c r="V1011" i="26" s="1"/>
  <c r="C895" i="26"/>
  <c r="F1190" i="26"/>
  <c r="M893" i="26"/>
  <c r="Q893" i="26" s="1"/>
  <c r="F895" i="26"/>
  <c r="K1015" i="26"/>
  <c r="J1015" i="26"/>
  <c r="Q1016" i="26"/>
  <c r="F1012" i="26"/>
  <c r="P1012" i="26" s="1"/>
  <c r="U1012" i="26" s="1"/>
  <c r="Q816" i="26"/>
  <c r="I817" i="26"/>
  <c r="P817" i="26" s="1"/>
  <c r="S1188" i="26"/>
  <c r="E1190" i="26"/>
  <c r="R459" i="26"/>
  <c r="Q459" i="26"/>
  <c r="P459" i="26"/>
  <c r="N459" i="26"/>
  <c r="M459" i="26"/>
  <c r="C460" i="26"/>
  <c r="S1189" i="26" l="1"/>
  <c r="C896" i="26"/>
  <c r="H819" i="26"/>
  <c r="F1191" i="26"/>
  <c r="E1191" i="26"/>
  <c r="F896" i="26"/>
  <c r="F1013" i="26"/>
  <c r="P1013" i="26" s="1"/>
  <c r="U1013" i="26" s="1"/>
  <c r="C1015" i="26"/>
  <c r="D1014" i="26"/>
  <c r="L1014" i="26" s="1"/>
  <c r="E1014" i="26"/>
  <c r="O1016" i="26"/>
  <c r="I1015" i="26"/>
  <c r="H1015" i="26"/>
  <c r="I818" i="26"/>
  <c r="Q817" i="26"/>
  <c r="G1015" i="26"/>
  <c r="N1015" i="26"/>
  <c r="T1015" i="26" s="1"/>
  <c r="M1016" i="26"/>
  <c r="R1012" i="26"/>
  <c r="V1012" i="26" s="1"/>
  <c r="L895" i="26"/>
  <c r="P893" i="26"/>
  <c r="T893" i="26" s="1"/>
  <c r="K1016" i="26"/>
  <c r="J1016" i="26"/>
  <c r="Q1017" i="26"/>
  <c r="T1189" i="26"/>
  <c r="E897" i="26"/>
  <c r="C1191" i="26"/>
  <c r="K1190" i="26"/>
  <c r="P1190" i="26" s="1"/>
  <c r="P894" i="26"/>
  <c r="T894" i="26" s="1"/>
  <c r="C461" i="26"/>
  <c r="R460" i="26"/>
  <c r="Q460" i="26"/>
  <c r="P460" i="26"/>
  <c r="N460" i="26"/>
  <c r="M460" i="26"/>
  <c r="L896" i="26" l="1"/>
  <c r="M896" i="26" s="1"/>
  <c r="Q896" i="26" s="1"/>
  <c r="F1014" i="26"/>
  <c r="P1014" i="26" s="1"/>
  <c r="U1014" i="26" s="1"/>
  <c r="S1190" i="26"/>
  <c r="H1016" i="26"/>
  <c r="O1017" i="26"/>
  <c r="I1016" i="26"/>
  <c r="F1192" i="26"/>
  <c r="M1017" i="26"/>
  <c r="N1016" i="26"/>
  <c r="T1016" i="26" s="1"/>
  <c r="G1016" i="26"/>
  <c r="Q1018" i="26"/>
  <c r="K1017" i="26"/>
  <c r="J1017" i="26"/>
  <c r="S893" i="26"/>
  <c r="D1015" i="26"/>
  <c r="L1015" i="26" s="1"/>
  <c r="C1016" i="26"/>
  <c r="E1015" i="26"/>
  <c r="T1190" i="26"/>
  <c r="H820" i="26"/>
  <c r="S894" i="26"/>
  <c r="Q818" i="26"/>
  <c r="I819" i="26"/>
  <c r="P819" i="26" s="1"/>
  <c r="R1013" i="26"/>
  <c r="V1013" i="26" s="1"/>
  <c r="P818" i="26"/>
  <c r="C897" i="26"/>
  <c r="E1192" i="26"/>
  <c r="C1192" i="26"/>
  <c r="K1191" i="26"/>
  <c r="P1191" i="26" s="1"/>
  <c r="E898" i="26"/>
  <c r="F897" i="26"/>
  <c r="M895" i="26"/>
  <c r="Q895" i="26" s="1"/>
  <c r="M461" i="26"/>
  <c r="C462" i="26"/>
  <c r="R461" i="26"/>
  <c r="Q461" i="26"/>
  <c r="P461" i="26"/>
  <c r="N461" i="26"/>
  <c r="E899" i="26" l="1"/>
  <c r="O1018" i="26"/>
  <c r="I1017" i="26"/>
  <c r="H1017" i="26"/>
  <c r="C898" i="26"/>
  <c r="P896" i="26"/>
  <c r="T896" i="26" s="1"/>
  <c r="H821" i="26"/>
  <c r="K1018" i="26"/>
  <c r="Q1019" i="26"/>
  <c r="J1018" i="26"/>
  <c r="L897" i="26"/>
  <c r="M897" i="26" s="1"/>
  <c r="Q897" i="26" s="1"/>
  <c r="P895" i="26"/>
  <c r="S895" i="26" s="1"/>
  <c r="C1193" i="26"/>
  <c r="K1192" i="26"/>
  <c r="P1192" i="26" s="1"/>
  <c r="F1015" i="26"/>
  <c r="P1015" i="26" s="1"/>
  <c r="U1015" i="26" s="1"/>
  <c r="E1193" i="26"/>
  <c r="C1017" i="26"/>
  <c r="E1016" i="26"/>
  <c r="D1016" i="26"/>
  <c r="L1016" i="26" s="1"/>
  <c r="N1017" i="26"/>
  <c r="T1017" i="26" s="1"/>
  <c r="M1018" i="26"/>
  <c r="G1017" i="26"/>
  <c r="R1014" i="26"/>
  <c r="V1014" i="26" s="1"/>
  <c r="F1193" i="26"/>
  <c r="F898" i="26"/>
  <c r="S1191" i="26"/>
  <c r="I820" i="26"/>
  <c r="Q819" i="26"/>
  <c r="T1191" i="26"/>
  <c r="P462" i="26"/>
  <c r="N462" i="26"/>
  <c r="M462" i="26"/>
  <c r="C463" i="26"/>
  <c r="R462" i="26"/>
  <c r="Q462" i="26"/>
  <c r="T1192" i="26" l="1"/>
  <c r="S896" i="26"/>
  <c r="Q1020" i="26"/>
  <c r="K1019" i="26"/>
  <c r="J1019" i="26"/>
  <c r="I821" i="26"/>
  <c r="Q820" i="26"/>
  <c r="N1018" i="26"/>
  <c r="T1018" i="26" s="1"/>
  <c r="M1019" i="26"/>
  <c r="G1018" i="26"/>
  <c r="R1015" i="26"/>
  <c r="V1015" i="26" s="1"/>
  <c r="P820" i="26"/>
  <c r="H1018" i="26"/>
  <c r="O1019" i="26"/>
  <c r="I1018" i="26"/>
  <c r="E1194" i="26"/>
  <c r="H822" i="26"/>
  <c r="T895" i="26"/>
  <c r="F899" i="26"/>
  <c r="F1016" i="26"/>
  <c r="P1016" i="26" s="1"/>
  <c r="U1016" i="26" s="1"/>
  <c r="C1194" i="26"/>
  <c r="K1193" i="26"/>
  <c r="P1193" i="26" s="1"/>
  <c r="L898" i="26"/>
  <c r="M898" i="26" s="1"/>
  <c r="Q898" i="26" s="1"/>
  <c r="D1017" i="26"/>
  <c r="L1017" i="26" s="1"/>
  <c r="E1017" i="26"/>
  <c r="C1018" i="26"/>
  <c r="F1194" i="26"/>
  <c r="S1192" i="26"/>
  <c r="P897" i="26"/>
  <c r="S897" i="26" s="1"/>
  <c r="C899" i="26"/>
  <c r="E900" i="26"/>
  <c r="R463" i="26"/>
  <c r="Q463" i="26"/>
  <c r="P463" i="26"/>
  <c r="N463" i="26"/>
  <c r="M463" i="26"/>
  <c r="C464" i="26"/>
  <c r="L899" i="26" l="1"/>
  <c r="M899" i="26" s="1"/>
  <c r="Q899" i="26" s="1"/>
  <c r="T1193" i="26"/>
  <c r="T897" i="26"/>
  <c r="S1193" i="26"/>
  <c r="K1194" i="26"/>
  <c r="P1194" i="26" s="1"/>
  <c r="C1195" i="26"/>
  <c r="E1195" i="26"/>
  <c r="G1019" i="26"/>
  <c r="N1019" i="26"/>
  <c r="T1019" i="26" s="1"/>
  <c r="M1020" i="26"/>
  <c r="R1016" i="26"/>
  <c r="V1016" i="26" s="1"/>
  <c r="E901" i="26"/>
  <c r="E1018" i="26"/>
  <c r="D1018" i="26"/>
  <c r="L1018" i="26" s="1"/>
  <c r="C1019" i="26"/>
  <c r="C900" i="26"/>
  <c r="F1017" i="26"/>
  <c r="P1017" i="26" s="1"/>
  <c r="U1017" i="26" s="1"/>
  <c r="F900" i="26"/>
  <c r="I1019" i="26"/>
  <c r="O1020" i="26"/>
  <c r="H1019" i="26"/>
  <c r="Q821" i="26"/>
  <c r="I822" i="26"/>
  <c r="F1195" i="26"/>
  <c r="P898" i="26"/>
  <c r="T898" i="26" s="1"/>
  <c r="H823" i="26"/>
  <c r="P821" i="26"/>
  <c r="Q1021" i="26"/>
  <c r="K1020" i="26"/>
  <c r="J1020" i="26"/>
  <c r="C465" i="26"/>
  <c r="R464" i="26"/>
  <c r="Q464" i="26"/>
  <c r="P464" i="26"/>
  <c r="N464" i="26"/>
  <c r="M464" i="26"/>
  <c r="T1194" i="26" l="1"/>
  <c r="S1194" i="26"/>
  <c r="F901" i="26"/>
  <c r="F1018" i="26"/>
  <c r="P1018" i="26" s="1"/>
  <c r="U1018" i="26" s="1"/>
  <c r="D1019" i="26"/>
  <c r="L1019" i="26" s="1"/>
  <c r="E1019" i="26"/>
  <c r="C1020" i="26"/>
  <c r="F1196" i="26"/>
  <c r="R1017" i="26"/>
  <c r="V1017" i="26" s="1"/>
  <c r="E1196" i="26"/>
  <c r="L900" i="26"/>
  <c r="M900" i="26" s="1"/>
  <c r="Q900" i="26" s="1"/>
  <c r="C901" i="26"/>
  <c r="E902" i="26"/>
  <c r="C1196" i="26"/>
  <c r="K1195" i="26"/>
  <c r="P1195" i="26" s="1"/>
  <c r="S898" i="26"/>
  <c r="G1020" i="26"/>
  <c r="N1020" i="26"/>
  <c r="T1020" i="26" s="1"/>
  <c r="M1021" i="26"/>
  <c r="I823" i="26"/>
  <c r="P823" i="26" s="1"/>
  <c r="Q822" i="26"/>
  <c r="P899" i="26"/>
  <c r="T899" i="26" s="1"/>
  <c r="Q1022" i="26"/>
  <c r="J1021" i="26"/>
  <c r="K1021" i="26"/>
  <c r="P822" i="26"/>
  <c r="H824" i="26"/>
  <c r="H1020" i="26"/>
  <c r="O1021" i="26"/>
  <c r="I1020" i="26"/>
  <c r="M465" i="26"/>
  <c r="C466" i="26"/>
  <c r="R465" i="26"/>
  <c r="Q465" i="26"/>
  <c r="P465" i="26"/>
  <c r="N465" i="26"/>
  <c r="S899" i="26" l="1"/>
  <c r="C902" i="26"/>
  <c r="E1020" i="26"/>
  <c r="D1020" i="26"/>
  <c r="L1020" i="26" s="1"/>
  <c r="C1021" i="26"/>
  <c r="F1019" i="26"/>
  <c r="P1019" i="26" s="1"/>
  <c r="U1019" i="26" s="1"/>
  <c r="F1197" i="26"/>
  <c r="J1022" i="26"/>
  <c r="Q1023" i="26"/>
  <c r="K1022" i="26"/>
  <c r="S1195" i="26"/>
  <c r="R1018" i="26"/>
  <c r="V1018" i="26" s="1"/>
  <c r="E903" i="26"/>
  <c r="P900" i="26"/>
  <c r="T900" i="26" s="1"/>
  <c r="I1021" i="26"/>
  <c r="H1021" i="26"/>
  <c r="O1022" i="26"/>
  <c r="C1197" i="26"/>
  <c r="K1196" i="26"/>
  <c r="P1196" i="26" s="1"/>
  <c r="M1022" i="26"/>
  <c r="G1021" i="26"/>
  <c r="N1021" i="26"/>
  <c r="T1021" i="26" s="1"/>
  <c r="E1197" i="26"/>
  <c r="H825" i="26"/>
  <c r="I824" i="26"/>
  <c r="P824" i="26" s="1"/>
  <c r="Q823" i="26"/>
  <c r="L901" i="26"/>
  <c r="T1195" i="26"/>
  <c r="F902" i="26"/>
  <c r="P466" i="26"/>
  <c r="N466" i="26"/>
  <c r="M466" i="26"/>
  <c r="C467" i="26"/>
  <c r="R466" i="26"/>
  <c r="Q466" i="26"/>
  <c r="L902" i="26" l="1"/>
  <c r="M902" i="26" s="1"/>
  <c r="Q902" i="26" s="1"/>
  <c r="C1198" i="26"/>
  <c r="K1197" i="26"/>
  <c r="P1197" i="26" s="1"/>
  <c r="E904" i="26"/>
  <c r="E1198" i="26"/>
  <c r="H1022" i="26"/>
  <c r="I1022" i="26"/>
  <c r="O1023" i="26"/>
  <c r="R1019" i="26"/>
  <c r="V1019" i="26" s="1"/>
  <c r="H826" i="26"/>
  <c r="F903" i="26"/>
  <c r="S1196" i="26"/>
  <c r="D1021" i="26"/>
  <c r="L1021" i="26" s="1"/>
  <c r="E1021" i="26"/>
  <c r="C1022" i="26"/>
  <c r="T1196" i="26"/>
  <c r="S900" i="26"/>
  <c r="K1023" i="26"/>
  <c r="J1023" i="26"/>
  <c r="Q1024" i="26"/>
  <c r="F1020" i="26"/>
  <c r="P1020" i="26" s="1"/>
  <c r="U1020" i="26" s="1"/>
  <c r="G1022" i="26"/>
  <c r="N1022" i="26"/>
  <c r="T1022" i="26" s="1"/>
  <c r="M1023" i="26"/>
  <c r="C903" i="26"/>
  <c r="Q824" i="26"/>
  <c r="I825" i="26"/>
  <c r="P825" i="26" s="1"/>
  <c r="F1198" i="26"/>
  <c r="M901" i="26"/>
  <c r="R467" i="26"/>
  <c r="Q467" i="26"/>
  <c r="P467" i="26"/>
  <c r="N467" i="26"/>
  <c r="M467" i="26"/>
  <c r="C468" i="26"/>
  <c r="T1197" i="26" l="1"/>
  <c r="S1197" i="26"/>
  <c r="Q901" i="26"/>
  <c r="F904" i="26"/>
  <c r="E1199" i="26"/>
  <c r="P901" i="26"/>
  <c r="H827" i="26"/>
  <c r="I826" i="26"/>
  <c r="Q825" i="26"/>
  <c r="R1020" i="26"/>
  <c r="V1020" i="26" s="1"/>
  <c r="D1022" i="26"/>
  <c r="L1022" i="26" s="1"/>
  <c r="E1022" i="26"/>
  <c r="C1023" i="26"/>
  <c r="P902" i="26"/>
  <c r="L903" i="26"/>
  <c r="M903" i="26" s="1"/>
  <c r="Q903" i="26" s="1"/>
  <c r="F1199" i="26"/>
  <c r="Q1025" i="26"/>
  <c r="J1024" i="26"/>
  <c r="K1024" i="26"/>
  <c r="F1021" i="26"/>
  <c r="P1021" i="26" s="1"/>
  <c r="U1021" i="26" s="1"/>
  <c r="E905" i="26"/>
  <c r="I1023" i="26"/>
  <c r="H1023" i="26"/>
  <c r="O1024" i="26"/>
  <c r="G1023" i="26"/>
  <c r="N1023" i="26"/>
  <c r="T1023" i="26" s="1"/>
  <c r="M1024" i="26"/>
  <c r="C904" i="26"/>
  <c r="K1198" i="26"/>
  <c r="P1198" i="26" s="1"/>
  <c r="C1199" i="26"/>
  <c r="C469" i="26"/>
  <c r="R468" i="26"/>
  <c r="Q468" i="26"/>
  <c r="P468" i="26"/>
  <c r="N468" i="26"/>
  <c r="M468" i="26"/>
  <c r="T901" i="26" l="1"/>
  <c r="F1022" i="26"/>
  <c r="P1022" i="26" s="1"/>
  <c r="U1022" i="26" s="1"/>
  <c r="S1198" i="26"/>
  <c r="H1024" i="26"/>
  <c r="I1024" i="26"/>
  <c r="O1025" i="26"/>
  <c r="E1200" i="26"/>
  <c r="D1023" i="26"/>
  <c r="L1023" i="26" s="1"/>
  <c r="E1023" i="26"/>
  <c r="C1024" i="26"/>
  <c r="T1198" i="26"/>
  <c r="F905" i="26"/>
  <c r="C905" i="26"/>
  <c r="L904" i="26"/>
  <c r="M904" i="26" s="1"/>
  <c r="Q904" i="26" s="1"/>
  <c r="F1200" i="26"/>
  <c r="Q826" i="26"/>
  <c r="I827" i="26"/>
  <c r="P827" i="26" s="1"/>
  <c r="S901" i="26"/>
  <c r="K1025" i="26"/>
  <c r="J1025" i="26"/>
  <c r="Q1026" i="26"/>
  <c r="M1025" i="26"/>
  <c r="G1024" i="26"/>
  <c r="N1024" i="26"/>
  <c r="T1024" i="26" s="1"/>
  <c r="E906" i="26"/>
  <c r="P903" i="26"/>
  <c r="S903" i="26" s="1"/>
  <c r="H828" i="26"/>
  <c r="C1200" i="26"/>
  <c r="K1199" i="26"/>
  <c r="P1199" i="26" s="1"/>
  <c r="R1021" i="26"/>
  <c r="V1021" i="26" s="1"/>
  <c r="S902" i="26"/>
  <c r="T902" i="26"/>
  <c r="P826" i="26"/>
  <c r="M469" i="26"/>
  <c r="C470" i="26"/>
  <c r="R469" i="26"/>
  <c r="Q469" i="26"/>
  <c r="P469" i="26"/>
  <c r="N469" i="26"/>
  <c r="L905" i="26" l="1"/>
  <c r="M905" i="26" s="1"/>
  <c r="Q905" i="26" s="1"/>
  <c r="S1199" i="26"/>
  <c r="E907" i="26"/>
  <c r="E1201" i="26"/>
  <c r="I828" i="26"/>
  <c r="P828" i="26" s="1"/>
  <c r="Q827" i="26"/>
  <c r="F906" i="26"/>
  <c r="O1026" i="26"/>
  <c r="H1025" i="26"/>
  <c r="I1025" i="26"/>
  <c r="F1201" i="26"/>
  <c r="T903" i="26"/>
  <c r="K1200" i="26"/>
  <c r="P1200" i="26" s="1"/>
  <c r="C1201" i="26"/>
  <c r="H829" i="26"/>
  <c r="M1026" i="26"/>
  <c r="G1025" i="26"/>
  <c r="N1025" i="26"/>
  <c r="T1025" i="26" s="1"/>
  <c r="T1199" i="26"/>
  <c r="D1024" i="26"/>
  <c r="L1024" i="26" s="1"/>
  <c r="C1025" i="26"/>
  <c r="E1024" i="26"/>
  <c r="K1026" i="26"/>
  <c r="J1026" i="26"/>
  <c r="Q1027" i="26"/>
  <c r="P904" i="26"/>
  <c r="T904" i="26" s="1"/>
  <c r="F1023" i="26"/>
  <c r="P1023" i="26" s="1"/>
  <c r="U1023" i="26" s="1"/>
  <c r="C906" i="26"/>
  <c r="R1022" i="26"/>
  <c r="V1022" i="26" s="1"/>
  <c r="P470" i="26"/>
  <c r="N470" i="26"/>
  <c r="M470" i="26"/>
  <c r="Q470" i="26"/>
  <c r="C471" i="26"/>
  <c r="R470" i="26"/>
  <c r="L906" i="26" l="1"/>
  <c r="M906" i="26" s="1"/>
  <c r="Q906" i="26" s="1"/>
  <c r="S904" i="26"/>
  <c r="T1200" i="26"/>
  <c r="S1200" i="26"/>
  <c r="M1027" i="26"/>
  <c r="N1026" i="26"/>
  <c r="T1026" i="26" s="1"/>
  <c r="G1026" i="26"/>
  <c r="P905" i="26"/>
  <c r="S905" i="26" s="1"/>
  <c r="K1027" i="26"/>
  <c r="J1027" i="26"/>
  <c r="Q1028" i="26"/>
  <c r="E1202" i="26"/>
  <c r="F1024" i="26"/>
  <c r="P1024" i="26" s="1"/>
  <c r="U1024" i="26" s="1"/>
  <c r="H830" i="26"/>
  <c r="H1026" i="26"/>
  <c r="O1027" i="26"/>
  <c r="I1026" i="26"/>
  <c r="D1025" i="26"/>
  <c r="L1025" i="26" s="1"/>
  <c r="C1026" i="26"/>
  <c r="E1025" i="26"/>
  <c r="C1202" i="26"/>
  <c r="K1201" i="26"/>
  <c r="P1201" i="26" s="1"/>
  <c r="C907" i="26"/>
  <c r="R1023" i="26"/>
  <c r="V1023" i="26" s="1"/>
  <c r="F907" i="26"/>
  <c r="E908" i="26"/>
  <c r="F1202" i="26"/>
  <c r="I829" i="26"/>
  <c r="P829" i="26" s="1"/>
  <c r="Q828" i="26"/>
  <c r="R471" i="26"/>
  <c r="C472" i="26"/>
  <c r="Q471" i="26"/>
  <c r="P471" i="26"/>
  <c r="N471" i="26"/>
  <c r="M471" i="26"/>
  <c r="T905" i="26" l="1"/>
  <c r="L907" i="26"/>
  <c r="M907" i="26" s="1"/>
  <c r="Q907" i="26" s="1"/>
  <c r="H831" i="26"/>
  <c r="F1025" i="26"/>
  <c r="P1025" i="26" s="1"/>
  <c r="U1025" i="26" s="1"/>
  <c r="F908" i="26"/>
  <c r="C1027" i="26"/>
  <c r="D1026" i="26"/>
  <c r="L1026" i="26" s="1"/>
  <c r="E1026" i="26"/>
  <c r="R1024" i="26"/>
  <c r="V1024" i="26" s="1"/>
  <c r="C1203" i="26"/>
  <c r="K1202" i="26"/>
  <c r="P1202" i="26" s="1"/>
  <c r="Q829" i="26"/>
  <c r="I830" i="26"/>
  <c r="S1201" i="26"/>
  <c r="N1027" i="26"/>
  <c r="T1027" i="26" s="1"/>
  <c r="M1028" i="26"/>
  <c r="G1027" i="26"/>
  <c r="E909" i="26"/>
  <c r="T1201" i="26"/>
  <c r="E1203" i="26"/>
  <c r="F1203" i="26"/>
  <c r="C908" i="26"/>
  <c r="O1028" i="26"/>
  <c r="I1027" i="26"/>
  <c r="H1027" i="26"/>
  <c r="K1028" i="26"/>
  <c r="J1028" i="26"/>
  <c r="Q1029" i="26"/>
  <c r="P906" i="26"/>
  <c r="T906" i="26" s="1"/>
  <c r="C473" i="26"/>
  <c r="R472" i="26"/>
  <c r="Q472" i="26"/>
  <c r="P472" i="26"/>
  <c r="N472" i="26"/>
  <c r="M472" i="26"/>
  <c r="L908" i="26" l="1"/>
  <c r="M908" i="26" s="1"/>
  <c r="Q908" i="26" s="1"/>
  <c r="I831" i="26"/>
  <c r="P831" i="26" s="1"/>
  <c r="Q830" i="26"/>
  <c r="E1204" i="26"/>
  <c r="C909" i="26"/>
  <c r="F909" i="26"/>
  <c r="F1204" i="26"/>
  <c r="T1202" i="26"/>
  <c r="E910" i="26"/>
  <c r="C1204" i="26"/>
  <c r="K1203" i="26"/>
  <c r="P1203" i="26" s="1"/>
  <c r="R1025" i="26"/>
  <c r="V1025" i="26" s="1"/>
  <c r="D1027" i="26"/>
  <c r="L1027" i="26" s="1"/>
  <c r="C1028" i="26"/>
  <c r="E1027" i="26"/>
  <c r="J1029" i="26"/>
  <c r="Q1030" i="26"/>
  <c r="K1029" i="26"/>
  <c r="P907" i="26"/>
  <c r="S907" i="26" s="1"/>
  <c r="P830" i="26"/>
  <c r="H1028" i="26"/>
  <c r="O1029" i="26"/>
  <c r="I1028" i="26"/>
  <c r="S906" i="26"/>
  <c r="N1028" i="26"/>
  <c r="T1028" i="26" s="1"/>
  <c r="M1029" i="26"/>
  <c r="G1028" i="26"/>
  <c r="F1026" i="26"/>
  <c r="P1026" i="26" s="1"/>
  <c r="U1026" i="26" s="1"/>
  <c r="H832" i="26"/>
  <c r="S1202" i="26"/>
  <c r="M473" i="26"/>
  <c r="N473" i="26"/>
  <c r="C474" i="26"/>
  <c r="R473" i="26"/>
  <c r="Q473" i="26"/>
  <c r="P473" i="26"/>
  <c r="O1030" i="26" l="1"/>
  <c r="H1029" i="26"/>
  <c r="I1029" i="26"/>
  <c r="E1028" i="26"/>
  <c r="D1028" i="26"/>
  <c r="L1028" i="26" s="1"/>
  <c r="C1029" i="26"/>
  <c r="E1205" i="26"/>
  <c r="E911" i="26"/>
  <c r="P908" i="26"/>
  <c r="T908" i="26" s="1"/>
  <c r="S1203" i="26"/>
  <c r="F1205" i="26"/>
  <c r="T907" i="26"/>
  <c r="T1203" i="26"/>
  <c r="F1027" i="26"/>
  <c r="P1027" i="26" s="1"/>
  <c r="U1027" i="26" s="1"/>
  <c r="R1026" i="26"/>
  <c r="V1026" i="26" s="1"/>
  <c r="K1204" i="26"/>
  <c r="P1204" i="26" s="1"/>
  <c r="C1205" i="26"/>
  <c r="I832" i="26"/>
  <c r="Q831" i="26"/>
  <c r="C910" i="26"/>
  <c r="H833" i="26"/>
  <c r="N1029" i="26"/>
  <c r="T1029" i="26" s="1"/>
  <c r="M1030" i="26"/>
  <c r="G1029" i="26"/>
  <c r="J1030" i="26"/>
  <c r="Q1031" i="26"/>
  <c r="K1030" i="26"/>
  <c r="L909" i="26"/>
  <c r="M909" i="26" s="1"/>
  <c r="Q909" i="26" s="1"/>
  <c r="F910" i="26"/>
  <c r="P474" i="26"/>
  <c r="N474" i="26"/>
  <c r="M474" i="26"/>
  <c r="Q474" i="26"/>
  <c r="C475" i="26"/>
  <c r="R474" i="26"/>
  <c r="S1204" i="26" l="1"/>
  <c r="S908" i="26"/>
  <c r="M1031" i="26"/>
  <c r="G1030" i="26"/>
  <c r="N1030" i="26"/>
  <c r="T1030" i="26" s="1"/>
  <c r="T1204" i="26"/>
  <c r="E1206" i="26"/>
  <c r="C1206" i="26"/>
  <c r="K1205" i="26"/>
  <c r="P1205" i="26" s="1"/>
  <c r="F1206" i="26"/>
  <c r="D1029" i="26"/>
  <c r="L1029" i="26" s="1"/>
  <c r="E1029" i="26"/>
  <c r="C1030" i="26"/>
  <c r="Q832" i="26"/>
  <c r="I833" i="26"/>
  <c r="P833" i="26" s="1"/>
  <c r="P832" i="26"/>
  <c r="F1028" i="26"/>
  <c r="P1028" i="26" s="1"/>
  <c r="U1028" i="26" s="1"/>
  <c r="F911" i="26"/>
  <c r="L910" i="26"/>
  <c r="H834" i="26"/>
  <c r="C911" i="26"/>
  <c r="K1031" i="26"/>
  <c r="Q1032" i="26"/>
  <c r="J1031" i="26"/>
  <c r="R1027" i="26"/>
  <c r="V1027" i="26" s="1"/>
  <c r="E912" i="26"/>
  <c r="P909" i="26"/>
  <c r="T909" i="26" s="1"/>
  <c r="H1030" i="26"/>
  <c r="I1030" i="26"/>
  <c r="O1031" i="26"/>
  <c r="R475" i="26"/>
  <c r="Q475" i="26"/>
  <c r="P475" i="26"/>
  <c r="N475" i="26"/>
  <c r="M475" i="26"/>
  <c r="C476" i="26"/>
  <c r="L911" i="26" l="1"/>
  <c r="M911" i="26" s="1"/>
  <c r="Q911" i="26" s="1"/>
  <c r="S909" i="26"/>
  <c r="S1205" i="26"/>
  <c r="T1205" i="26"/>
  <c r="E913" i="26"/>
  <c r="H835" i="26"/>
  <c r="D1030" i="26"/>
  <c r="L1030" i="26" s="1"/>
  <c r="E1030" i="26"/>
  <c r="C1031" i="26"/>
  <c r="H1031" i="26"/>
  <c r="O1032" i="26"/>
  <c r="I1031" i="26"/>
  <c r="F1029" i="26"/>
  <c r="P1029" i="26" s="1"/>
  <c r="U1029" i="26" s="1"/>
  <c r="E1207" i="26"/>
  <c r="I834" i="26"/>
  <c r="P834" i="26" s="1"/>
  <c r="Q833" i="26"/>
  <c r="Q1033" i="26"/>
  <c r="K1032" i="26"/>
  <c r="J1032" i="26"/>
  <c r="C1207" i="26"/>
  <c r="K1206" i="26"/>
  <c r="P1206" i="26" s="1"/>
  <c r="M910" i="26"/>
  <c r="Q910" i="26" s="1"/>
  <c r="R1028" i="26"/>
  <c r="V1028" i="26" s="1"/>
  <c r="F1207" i="26"/>
  <c r="F912" i="26"/>
  <c r="C912" i="26"/>
  <c r="M1032" i="26"/>
  <c r="G1031" i="26"/>
  <c r="N1031" i="26"/>
  <c r="T1031" i="26" s="1"/>
  <c r="C477" i="26"/>
  <c r="R476" i="26"/>
  <c r="Q476" i="26"/>
  <c r="P476" i="26"/>
  <c r="N476" i="26"/>
  <c r="M476" i="26"/>
  <c r="P910" i="26" l="1"/>
  <c r="T910" i="26" s="1"/>
  <c r="T1206" i="26"/>
  <c r="K1033" i="26"/>
  <c r="Q1034" i="26"/>
  <c r="J1033" i="26"/>
  <c r="H1032" i="26"/>
  <c r="O1033" i="26"/>
  <c r="I1032" i="26"/>
  <c r="H836" i="26"/>
  <c r="F913" i="26"/>
  <c r="E1208" i="26"/>
  <c r="P911" i="26"/>
  <c r="T911" i="26" s="1"/>
  <c r="F1208" i="26"/>
  <c r="Q834" i="26"/>
  <c r="I835" i="26"/>
  <c r="P835" i="26" s="1"/>
  <c r="S1206" i="26"/>
  <c r="D1031" i="26"/>
  <c r="L1031" i="26" s="1"/>
  <c r="C1032" i="26"/>
  <c r="E1031" i="26"/>
  <c r="L912" i="26"/>
  <c r="N1032" i="26"/>
  <c r="T1032" i="26" s="1"/>
  <c r="G1032" i="26"/>
  <c r="M1033" i="26"/>
  <c r="C913" i="26"/>
  <c r="C1208" i="26"/>
  <c r="K1207" i="26"/>
  <c r="P1207" i="26" s="1"/>
  <c r="R1029" i="26"/>
  <c r="V1029" i="26" s="1"/>
  <c r="F1030" i="26"/>
  <c r="P1030" i="26" s="1"/>
  <c r="U1030" i="26" s="1"/>
  <c r="E914" i="26"/>
  <c r="M477" i="26"/>
  <c r="C478" i="26"/>
  <c r="R477" i="26"/>
  <c r="N477" i="26"/>
  <c r="Q477" i="26"/>
  <c r="P477" i="26"/>
  <c r="L913" i="26" l="1"/>
  <c r="M913" i="26" s="1"/>
  <c r="Q913" i="26" s="1"/>
  <c r="S910" i="26"/>
  <c r="R1030" i="26"/>
  <c r="V1030" i="26" s="1"/>
  <c r="T1207" i="26"/>
  <c r="H837" i="26"/>
  <c r="F1209" i="26"/>
  <c r="H1033" i="26"/>
  <c r="O1034" i="26"/>
  <c r="I1033" i="26"/>
  <c r="S911" i="26"/>
  <c r="D1032" i="26"/>
  <c r="L1032" i="26" s="1"/>
  <c r="C1033" i="26"/>
  <c r="E1032" i="26"/>
  <c r="E1209" i="26"/>
  <c r="S1207" i="26"/>
  <c r="F1031" i="26"/>
  <c r="P1031" i="26" s="1"/>
  <c r="U1031" i="26" s="1"/>
  <c r="E915" i="26"/>
  <c r="C914" i="26"/>
  <c r="M912" i="26"/>
  <c r="Q912" i="26" s="1"/>
  <c r="Q1035" i="26"/>
  <c r="K1034" i="26"/>
  <c r="J1034" i="26"/>
  <c r="C1209" i="26"/>
  <c r="K1208" i="26"/>
  <c r="P1208" i="26" s="1"/>
  <c r="N1033" i="26"/>
  <c r="T1033" i="26" s="1"/>
  <c r="M1034" i="26"/>
  <c r="G1033" i="26"/>
  <c r="I836" i="26"/>
  <c r="P836" i="26" s="1"/>
  <c r="Q835" i="26"/>
  <c r="F914" i="26"/>
  <c r="P478" i="26"/>
  <c r="N478" i="26"/>
  <c r="M478" i="26"/>
  <c r="C479" i="26"/>
  <c r="R478" i="26"/>
  <c r="Q478" i="26"/>
  <c r="L914" i="26" l="1"/>
  <c r="M914" i="26" s="1"/>
  <c r="Q914" i="26" s="1"/>
  <c r="T1208" i="26"/>
  <c r="F1032" i="26"/>
  <c r="P1032" i="26" s="1"/>
  <c r="U1032" i="26" s="1"/>
  <c r="E916" i="26"/>
  <c r="D1033" i="26"/>
  <c r="L1033" i="26" s="1"/>
  <c r="E1033" i="26"/>
  <c r="C1034" i="26"/>
  <c r="F1210" i="26"/>
  <c r="C1210" i="26"/>
  <c r="K1209" i="26"/>
  <c r="P1209" i="26" s="1"/>
  <c r="P912" i="26"/>
  <c r="M1035" i="26"/>
  <c r="G1034" i="26"/>
  <c r="N1034" i="26"/>
  <c r="T1034" i="26" s="1"/>
  <c r="R1031" i="26"/>
  <c r="V1031" i="26" s="1"/>
  <c r="P913" i="26"/>
  <c r="T913" i="26" s="1"/>
  <c r="E1210" i="26"/>
  <c r="F915" i="26"/>
  <c r="Q1036" i="26"/>
  <c r="K1035" i="26"/>
  <c r="J1035" i="26"/>
  <c r="H838" i="26"/>
  <c r="I837" i="26"/>
  <c r="P837" i="26" s="1"/>
  <c r="Q836" i="26"/>
  <c r="C915" i="26"/>
  <c r="S1208" i="26"/>
  <c r="H1034" i="26"/>
  <c r="O1035" i="26"/>
  <c r="I1034" i="26"/>
  <c r="R479" i="26"/>
  <c r="Q479" i="26"/>
  <c r="P479" i="26"/>
  <c r="N479" i="26"/>
  <c r="M479" i="26"/>
  <c r="S913" i="26" l="1"/>
  <c r="L915" i="26"/>
  <c r="M915" i="26" s="1"/>
  <c r="Q915" i="26" s="1"/>
  <c r="S1209" i="26"/>
  <c r="H839" i="26"/>
  <c r="E1211" i="26"/>
  <c r="T912" i="26"/>
  <c r="S912" i="26"/>
  <c r="H1035" i="26"/>
  <c r="O1036" i="26"/>
  <c r="I1035" i="26"/>
  <c r="K1210" i="26"/>
  <c r="P1210" i="26" s="1"/>
  <c r="C1211" i="26"/>
  <c r="E917" i="26"/>
  <c r="Q837" i="26"/>
  <c r="I838" i="26"/>
  <c r="P838" i="26" s="1"/>
  <c r="F1211" i="26"/>
  <c r="F916" i="26"/>
  <c r="T1209" i="26"/>
  <c r="R1032" i="26"/>
  <c r="V1032" i="26" s="1"/>
  <c r="C916" i="26"/>
  <c r="J1036" i="26"/>
  <c r="K1036" i="26"/>
  <c r="D1034" i="26"/>
  <c r="L1034" i="26" s="1"/>
  <c r="E1034" i="26"/>
  <c r="C1035" i="26"/>
  <c r="N1035" i="26"/>
  <c r="T1035" i="26" s="1"/>
  <c r="G1035" i="26"/>
  <c r="M1036" i="26"/>
  <c r="F1033" i="26"/>
  <c r="P1033" i="26" s="1"/>
  <c r="U1033" i="26" s="1"/>
  <c r="P914" i="26"/>
  <c r="T914" i="26" s="1"/>
  <c r="S424" i="26"/>
  <c r="S423" i="26"/>
  <c r="S422" i="26"/>
  <c r="R424" i="26"/>
  <c r="R423" i="26"/>
  <c r="R422" i="26"/>
  <c r="U429" i="26"/>
  <c r="T429" i="26"/>
  <c r="S429" i="26"/>
  <c r="R429" i="26"/>
  <c r="Q429" i="26"/>
  <c r="P429" i="26"/>
  <c r="C430" i="26"/>
  <c r="L916" i="26" l="1"/>
  <c r="M916" i="26" s="1"/>
  <c r="T1210" i="26"/>
  <c r="F1034" i="26"/>
  <c r="P1034" i="26" s="1"/>
  <c r="U1034" i="26" s="1"/>
  <c r="E918" i="26"/>
  <c r="E1212" i="26"/>
  <c r="F917" i="26"/>
  <c r="C1212" i="26"/>
  <c r="K1211" i="26"/>
  <c r="P1211" i="26" s="1"/>
  <c r="S1210" i="26"/>
  <c r="D1035" i="26"/>
  <c r="L1035" i="26" s="1"/>
  <c r="E1035" i="26"/>
  <c r="C1036" i="26"/>
  <c r="G1036" i="26"/>
  <c r="N1036" i="26"/>
  <c r="T1036" i="26" s="1"/>
  <c r="H974" i="26"/>
  <c r="V933" i="26" s="1"/>
  <c r="W933" i="26" s="1"/>
  <c r="H975" i="26"/>
  <c r="V937" i="26" s="1"/>
  <c r="W937" i="26" s="1"/>
  <c r="H979" i="26"/>
  <c r="V953" i="26" s="1"/>
  <c r="W953" i="26" s="1"/>
  <c r="F1212" i="26"/>
  <c r="H840" i="26"/>
  <c r="I839" i="26"/>
  <c r="P839" i="26" s="1"/>
  <c r="Q838" i="26"/>
  <c r="H1036" i="26"/>
  <c r="I1036" i="26"/>
  <c r="S914" i="26"/>
  <c r="R1033" i="26"/>
  <c r="V1033" i="26" s="1"/>
  <c r="C917" i="26"/>
  <c r="P915" i="26"/>
  <c r="T915" i="26" s="1"/>
  <c r="Q430" i="26"/>
  <c r="N430" i="26"/>
  <c r="P430" i="26" s="1"/>
  <c r="M430" i="26"/>
  <c r="O430" i="26"/>
  <c r="O431" i="26" s="1"/>
  <c r="L430" i="26"/>
  <c r="X417" i="26"/>
  <c r="E416" i="26" s="1"/>
  <c r="Q422" i="26"/>
  <c r="P422" i="26"/>
  <c r="K488" i="26"/>
  <c r="I488" i="26"/>
  <c r="H488" i="26" s="1"/>
  <c r="D488" i="26"/>
  <c r="C488" i="26"/>
  <c r="W488" i="26" s="1"/>
  <c r="K483" i="26"/>
  <c r="I483" i="26"/>
  <c r="F483" i="26" s="1"/>
  <c r="D483" i="26"/>
  <c r="C483" i="26"/>
  <c r="Q424" i="26"/>
  <c r="P424" i="26"/>
  <c r="Q423" i="26"/>
  <c r="P423" i="26"/>
  <c r="X420" i="26"/>
  <c r="X421" i="26" s="1"/>
  <c r="L419" i="26"/>
  <c r="L423" i="26" s="1"/>
  <c r="K419" i="26"/>
  <c r="K423" i="26" s="1"/>
  <c r="J419" i="26"/>
  <c r="J423" i="26" s="1"/>
  <c r="I419" i="26"/>
  <c r="I423" i="26" s="1"/>
  <c r="H419" i="26"/>
  <c r="H423" i="26" s="1"/>
  <c r="G419" i="26"/>
  <c r="G423" i="26" s="1"/>
  <c r="F419" i="26"/>
  <c r="F423" i="26" s="1"/>
  <c r="E419" i="26"/>
  <c r="E423" i="26" s="1"/>
  <c r="D419" i="26"/>
  <c r="D423" i="26" s="1"/>
  <c r="C419" i="26"/>
  <c r="C423" i="26" s="1"/>
  <c r="K416" i="26"/>
  <c r="I416" i="26"/>
  <c r="D416" i="26"/>
  <c r="C416" i="26"/>
  <c r="B415" i="26"/>
  <c r="N2" i="28"/>
  <c r="N3" i="28"/>
  <c r="N4" i="28"/>
  <c r="N5" i="28"/>
  <c r="N6" i="28"/>
  <c r="N7" i="28"/>
  <c r="N8" i="28"/>
  <c r="N9" i="28"/>
  <c r="N10" i="28"/>
  <c r="N11" i="28"/>
  <c r="N12" i="28"/>
  <c r="N13" i="28"/>
  <c r="N14" i="28"/>
  <c r="N15" i="28"/>
  <c r="N16" i="28"/>
  <c r="N17" i="28"/>
  <c r="N18" i="28"/>
  <c r="N19" i="28"/>
  <c r="N20" i="28"/>
  <c r="N21" i="28"/>
  <c r="N22" i="28"/>
  <c r="N23" i="28"/>
  <c r="N24" i="28"/>
  <c r="M2" i="28"/>
  <c r="M3" i="28"/>
  <c r="M4" i="28"/>
  <c r="M5" i="28"/>
  <c r="M6" i="28"/>
  <c r="M7" i="28"/>
  <c r="M8" i="28"/>
  <c r="M9" i="28"/>
  <c r="M10" i="28"/>
  <c r="M11" i="28"/>
  <c r="M12" i="28"/>
  <c r="M13" i="28"/>
  <c r="M14" i="28"/>
  <c r="M15" i="28"/>
  <c r="M16" i="28"/>
  <c r="M17" i="28"/>
  <c r="M18" i="28"/>
  <c r="M19" i="28"/>
  <c r="M20" i="28"/>
  <c r="M21" i="28"/>
  <c r="M22" i="28"/>
  <c r="M23" i="28"/>
  <c r="M24" i="28"/>
  <c r="I2" i="28"/>
  <c r="D2" i="28"/>
  <c r="K2" i="28" s="1" a="1"/>
  <c r="K2" i="28" s="1"/>
  <c r="D3" i="28"/>
  <c r="K3" i="28" s="1" a="1"/>
  <c r="D4" i="28"/>
  <c r="D5" i="28"/>
  <c r="L5" i="28" s="1" a="1"/>
  <c r="L5" i="28" s="1"/>
  <c r="D6" i="28"/>
  <c r="L6" i="28" s="1" a="1"/>
  <c r="D7" i="28"/>
  <c r="L7" i="28" s="1" a="1"/>
  <c r="D8" i="28"/>
  <c r="K8" i="28" s="1" a="1"/>
  <c r="D9" i="28"/>
  <c r="L9" i="28" s="1" a="1"/>
  <c r="D10" i="28"/>
  <c r="L10" i="28" s="1" a="1"/>
  <c r="L10" i="28" s="1"/>
  <c r="D11" i="28"/>
  <c r="D12" i="28"/>
  <c r="L12" i="28" s="1" a="1"/>
  <c r="D13" i="28"/>
  <c r="L13" i="28" s="1" a="1"/>
  <c r="D14" i="28"/>
  <c r="K14" i="28" s="1" a="1"/>
  <c r="D15" i="28"/>
  <c r="L15" i="28" s="1" a="1"/>
  <c r="L15" i="28" s="1"/>
  <c r="D16" i="28"/>
  <c r="K16" i="28" s="1" a="1"/>
  <c r="D17" i="28"/>
  <c r="K17" i="28" s="1" a="1"/>
  <c r="D18" i="28"/>
  <c r="L18" i="28" s="1" a="1"/>
  <c r="D19" i="28"/>
  <c r="L19" i="28" s="1" a="1"/>
  <c r="D20" i="28"/>
  <c r="K20" i="28" s="1" a="1"/>
  <c r="D21" i="28"/>
  <c r="L21" i="28" s="1" a="1"/>
  <c r="D22" i="28"/>
  <c r="K22" i="28" s="1" a="1"/>
  <c r="D23" i="28"/>
  <c r="L23" i="28" s="1" a="1"/>
  <c r="D24" i="28"/>
  <c r="K24" i="28" s="1" a="1"/>
  <c r="C2" i="28"/>
  <c r="A2" i="28" s="1" a="1"/>
  <c r="A2" i="28" s="1"/>
  <c r="R2" i="28" s="1"/>
  <c r="C3" i="28"/>
  <c r="C4" i="28"/>
  <c r="C5" i="28"/>
  <c r="A5" i="28" s="1" a="1"/>
  <c r="A5" i="28" s="1"/>
  <c r="C6" i="28"/>
  <c r="C7" i="28"/>
  <c r="C8" i="28"/>
  <c r="C9" i="28"/>
  <c r="C10" i="28"/>
  <c r="A10" i="28" s="1" a="1"/>
  <c r="A10" i="28" s="1"/>
  <c r="C11" i="28"/>
  <c r="C12" i="28"/>
  <c r="C13" i="28"/>
  <c r="C14" i="28"/>
  <c r="C15" i="28"/>
  <c r="A15" i="28" s="1" a="1"/>
  <c r="A15" i="28" s="1"/>
  <c r="C16" i="28"/>
  <c r="C17" i="28"/>
  <c r="C18" i="28"/>
  <c r="C19" i="28"/>
  <c r="C20" i="28"/>
  <c r="C21" i="28"/>
  <c r="C22" i="28"/>
  <c r="C23" i="28"/>
  <c r="C24" i="28"/>
  <c r="B24" i="28"/>
  <c r="I24" i="28"/>
  <c r="J24" i="28"/>
  <c r="B23" i="28"/>
  <c r="I23" i="28"/>
  <c r="J23" i="28"/>
  <c r="B22" i="28"/>
  <c r="I22" i="28"/>
  <c r="J22" i="28"/>
  <c r="B21" i="28"/>
  <c r="I21" i="28"/>
  <c r="J21" i="28"/>
  <c r="B20" i="28"/>
  <c r="I20" i="28"/>
  <c r="J20" i="28"/>
  <c r="B19" i="28"/>
  <c r="I19" i="28"/>
  <c r="J19" i="28"/>
  <c r="B18" i="28"/>
  <c r="I18" i="28"/>
  <c r="J18" i="28"/>
  <c r="B17" i="28"/>
  <c r="I17" i="28"/>
  <c r="J17" i="28"/>
  <c r="B16" i="28"/>
  <c r="I16" i="28"/>
  <c r="J16" i="28"/>
  <c r="B15" i="28"/>
  <c r="I15" i="28"/>
  <c r="J15" i="28"/>
  <c r="B14" i="28"/>
  <c r="I14" i="28"/>
  <c r="J14" i="28"/>
  <c r="B13" i="28"/>
  <c r="I13" i="28"/>
  <c r="J13" i="28"/>
  <c r="B12" i="28"/>
  <c r="I12" i="28"/>
  <c r="J12" i="28"/>
  <c r="B11" i="28"/>
  <c r="I11" i="28"/>
  <c r="J11" i="28"/>
  <c r="B10" i="28"/>
  <c r="I10" i="28"/>
  <c r="J10" i="28"/>
  <c r="B9" i="28"/>
  <c r="I9" i="28"/>
  <c r="J9" i="28"/>
  <c r="B8" i="28"/>
  <c r="I8" i="28"/>
  <c r="J8" i="28"/>
  <c r="B7" i="28"/>
  <c r="I7" i="28"/>
  <c r="J7" i="28"/>
  <c r="B6" i="28"/>
  <c r="I6" i="28"/>
  <c r="J6" i="28"/>
  <c r="B5" i="28"/>
  <c r="I5" i="28"/>
  <c r="J5" i="28"/>
  <c r="B4" i="28"/>
  <c r="I4" i="28"/>
  <c r="J4" i="28"/>
  <c r="B3" i="28"/>
  <c r="I3" i="28"/>
  <c r="J3" i="28"/>
  <c r="J2" i="28"/>
  <c r="B2" i="28"/>
  <c r="O2" i="28" s="1" a="1"/>
  <c r="O2" i="28" s="1"/>
  <c r="K13" i="28" a="1"/>
  <c r="L11" i="28" a="1"/>
  <c r="L4" i="28" a="1"/>
  <c r="P19" i="28" l="1"/>
  <c r="P24" i="28"/>
  <c r="L917" i="26"/>
  <c r="M917" i="26" s="1"/>
  <c r="Q917" i="26" s="1"/>
  <c r="T1211" i="26"/>
  <c r="S1211" i="26"/>
  <c r="D1036" i="26"/>
  <c r="L1036" i="26" s="1"/>
  <c r="E1036" i="26"/>
  <c r="F1035" i="26"/>
  <c r="P1035" i="26" s="1"/>
  <c r="U1035" i="26" s="1"/>
  <c r="E1213" i="26"/>
  <c r="S915" i="26"/>
  <c r="F1213" i="26"/>
  <c r="E919" i="26"/>
  <c r="V1040" i="26"/>
  <c r="U1045" i="26"/>
  <c r="V1045" i="26" s="1"/>
  <c r="C1213" i="26"/>
  <c r="K1212" i="26"/>
  <c r="P1212" i="26" s="1"/>
  <c r="C918" i="26"/>
  <c r="I840" i="26"/>
  <c r="P840" i="26" s="1"/>
  <c r="Q839" i="26"/>
  <c r="R1034" i="26"/>
  <c r="V1034" i="26" s="1"/>
  <c r="Q916" i="26"/>
  <c r="H841" i="26"/>
  <c r="F918" i="26"/>
  <c r="P916" i="26"/>
  <c r="O432" i="26"/>
  <c r="L431" i="26"/>
  <c r="W483" i="26"/>
  <c r="J420" i="26"/>
  <c r="H483" i="26"/>
  <c r="C420" i="26"/>
  <c r="D420" i="26"/>
  <c r="I420" i="26"/>
  <c r="E483" i="26"/>
  <c r="K420" i="26"/>
  <c r="X424" i="26"/>
  <c r="X425" i="26" s="1"/>
  <c r="G483" i="26"/>
  <c r="H416" i="26"/>
  <c r="E420" i="26"/>
  <c r="F416" i="26"/>
  <c r="G416" i="26"/>
  <c r="H420" i="26"/>
  <c r="G420" i="26"/>
  <c r="F420" i="26"/>
  <c r="K424" i="26"/>
  <c r="J416" i="26"/>
  <c r="E488" i="26"/>
  <c r="F488" i="26"/>
  <c r="G488" i="26"/>
  <c r="K21" i="28" a="1"/>
  <c r="K21" i="28" s="1"/>
  <c r="K12" i="28" a="1"/>
  <c r="K12" i="28" s="1"/>
  <c r="P23" i="28"/>
  <c r="K6" i="28" a="1"/>
  <c r="K6" i="28" s="1"/>
  <c r="L14" i="28" a="1"/>
  <c r="L14" i="28" s="1"/>
  <c r="L17" i="28" a="1"/>
  <c r="L17" i="28" s="1"/>
  <c r="K18" i="28" a="1"/>
  <c r="K18" i="28" s="1"/>
  <c r="L24" i="28" a="1"/>
  <c r="L24" i="28" s="1"/>
  <c r="L22" i="28" a="1"/>
  <c r="L22" i="28" s="1"/>
  <c r="L3" i="28" a="1"/>
  <c r="L3" i="28" s="1"/>
  <c r="L16" i="28" a="1"/>
  <c r="L16" i="28" s="1"/>
  <c r="K7" i="28" a="1"/>
  <c r="K7" i="28" s="1"/>
  <c r="K23" i="28" a="1"/>
  <c r="K23" i="28" s="1"/>
  <c r="Q23" i="28" s="1"/>
  <c r="K19" i="28" a="1"/>
  <c r="K19" i="28" s="1"/>
  <c r="K9" i="28" a="1"/>
  <c r="K9" i="28" s="1"/>
  <c r="L2" i="28" a="1"/>
  <c r="L2" i="28" s="1"/>
  <c r="K24" i="28"/>
  <c r="L23" i="28"/>
  <c r="P22" i="28"/>
  <c r="P15" i="28"/>
  <c r="K22" i="28"/>
  <c r="P21" i="28"/>
  <c r="L21" i="28"/>
  <c r="P20" i="28"/>
  <c r="K20" i="28"/>
  <c r="P18" i="28"/>
  <c r="L19" i="28"/>
  <c r="P8" i="28"/>
  <c r="A16" i="28" a="1"/>
  <c r="A16" i="28" s="1"/>
  <c r="A17" i="28" s="1" a="1"/>
  <c r="A17" i="28" s="1"/>
  <c r="L18" i="28"/>
  <c r="P17" i="28"/>
  <c r="P10" i="28"/>
  <c r="K17" i="28"/>
  <c r="P16" i="28"/>
  <c r="K16" i="28"/>
  <c r="A11" i="28" a="1"/>
  <c r="A11" i="28" s="1"/>
  <c r="O11" i="28" s="1" a="1"/>
  <c r="O11" i="28" s="1"/>
  <c r="P14" i="28"/>
  <c r="K15" i="28" a="1"/>
  <c r="K15" i="28" s="1"/>
  <c r="Q15" i="28" s="1"/>
  <c r="R15" i="28"/>
  <c r="O15" i="28" a="1"/>
  <c r="O15" i="28" s="1"/>
  <c r="K14" i="28"/>
  <c r="P13" i="28"/>
  <c r="K13" i="28"/>
  <c r="L13" i="28"/>
  <c r="P12" i="28"/>
  <c r="P5" i="28"/>
  <c r="L12" i="28"/>
  <c r="P11" i="28"/>
  <c r="L11" i="28"/>
  <c r="P3" i="28"/>
  <c r="K10" i="28" a="1"/>
  <c r="K10" i="28" s="1"/>
  <c r="Q10" i="28" s="1"/>
  <c r="R10" i="28"/>
  <c r="O10" i="28" a="1"/>
  <c r="O10" i="28" s="1"/>
  <c r="P9" i="28"/>
  <c r="L9" i="28"/>
  <c r="K8" i="28"/>
  <c r="P7" i="28"/>
  <c r="L7" i="28"/>
  <c r="A6" i="28" a="1"/>
  <c r="A6" i="28" s="1"/>
  <c r="A7" i="28" s="1" a="1"/>
  <c r="A7" i="28" s="1"/>
  <c r="A8" i="28" s="1" a="1"/>
  <c r="A8" i="28" s="1"/>
  <c r="A9" i="28" s="1" a="1"/>
  <c r="A9" i="28" s="1"/>
  <c r="P6" i="28"/>
  <c r="L6" i="28"/>
  <c r="K5" i="28" a="1"/>
  <c r="K5" i="28" s="1"/>
  <c r="Q5" i="28" s="1"/>
  <c r="R5" i="28"/>
  <c r="O5" i="28" a="1"/>
  <c r="O5" i="28" s="1"/>
  <c r="L4" i="28"/>
  <c r="A3" i="28" a="1"/>
  <c r="A3" i="28" s="1"/>
  <c r="A4" i="28" s="1" a="1"/>
  <c r="A4" i="28" s="1"/>
  <c r="P4" i="28"/>
  <c r="P2" i="28"/>
  <c r="K3" i="28"/>
  <c r="S2" i="28"/>
  <c r="Q2" i="28"/>
  <c r="T21" i="26"/>
  <c r="T22" i="26"/>
  <c r="H93" i="26"/>
  <c r="G93" i="26"/>
  <c r="F93" i="26"/>
  <c r="E93" i="26"/>
  <c r="V596" i="26"/>
  <c r="V110" i="26"/>
  <c r="T596" i="26"/>
  <c r="T110" i="26"/>
  <c r="T111" i="26"/>
  <c r="P519" i="26"/>
  <c r="O531" i="26"/>
  <c r="H530" i="26"/>
  <c r="H531" i="26" s="1"/>
  <c r="H532" i="26" s="1"/>
  <c r="H533" i="26" s="1"/>
  <c r="H534" i="26" s="1"/>
  <c r="H535" i="26" s="1"/>
  <c r="H536" i="26" s="1"/>
  <c r="H537" i="26" s="1"/>
  <c r="H538" i="26" s="1"/>
  <c r="H539" i="26" s="1"/>
  <c r="H540" i="26" s="1"/>
  <c r="H541" i="26" s="1"/>
  <c r="H542" i="26" s="1"/>
  <c r="H543" i="26" s="1"/>
  <c r="H544" i="26" s="1"/>
  <c r="H545" i="26" s="1"/>
  <c r="H546" i="26" s="1"/>
  <c r="H547" i="26" s="1"/>
  <c r="H548" i="26" s="1"/>
  <c r="H549" i="26" s="1"/>
  <c r="H550" i="26" s="1"/>
  <c r="H551" i="26" s="1"/>
  <c r="H552" i="26" s="1"/>
  <c r="H553" i="26" s="1"/>
  <c r="H554" i="26" s="1"/>
  <c r="H555" i="26" s="1"/>
  <c r="H556" i="26" s="1"/>
  <c r="H557" i="26" s="1"/>
  <c r="H558" i="26" s="1"/>
  <c r="H559" i="26" s="1"/>
  <c r="H560" i="26" s="1"/>
  <c r="H561" i="26" s="1"/>
  <c r="H562" i="26" s="1"/>
  <c r="H563" i="26" s="1"/>
  <c r="H564" i="26" s="1"/>
  <c r="H565" i="26" s="1"/>
  <c r="H566" i="26" s="1"/>
  <c r="H567" i="26" s="1"/>
  <c r="H568" i="26" s="1"/>
  <c r="H569" i="26" s="1"/>
  <c r="H570" i="26" s="1"/>
  <c r="H571" i="26" s="1"/>
  <c r="H572" i="26" s="1"/>
  <c r="H573" i="26" s="1"/>
  <c r="H574" i="26" s="1"/>
  <c r="H575" i="26" s="1"/>
  <c r="H576" i="26" s="1"/>
  <c r="H577" i="26" s="1"/>
  <c r="H578" i="26" s="1"/>
  <c r="H579" i="26" s="1"/>
  <c r="D530" i="26"/>
  <c r="D531" i="26" s="1"/>
  <c r="D532" i="26" s="1"/>
  <c r="D533" i="26" s="1"/>
  <c r="D534" i="26" s="1"/>
  <c r="D535" i="26" s="1"/>
  <c r="D536" i="26" s="1"/>
  <c r="D537" i="26" s="1"/>
  <c r="D538" i="26" s="1"/>
  <c r="D539" i="26" s="1"/>
  <c r="D540" i="26" s="1"/>
  <c r="D541" i="26" s="1"/>
  <c r="D542" i="26" s="1"/>
  <c r="D543" i="26" s="1"/>
  <c r="D544" i="26" s="1"/>
  <c r="D545" i="26" s="1"/>
  <c r="D546" i="26" s="1"/>
  <c r="D547" i="26" s="1"/>
  <c r="D548" i="26" s="1"/>
  <c r="D549" i="26" s="1"/>
  <c r="D550" i="26" s="1"/>
  <c r="D551" i="26" s="1"/>
  <c r="D552" i="26" s="1"/>
  <c r="D553" i="26" s="1"/>
  <c r="D554" i="26" s="1"/>
  <c r="D555" i="26" s="1"/>
  <c r="D556" i="26" s="1"/>
  <c r="D557" i="26" s="1"/>
  <c r="D558" i="26" s="1"/>
  <c r="D559" i="26" s="1"/>
  <c r="D560" i="26" s="1"/>
  <c r="D561" i="26" s="1"/>
  <c r="D562" i="26" s="1"/>
  <c r="D563" i="26" s="1"/>
  <c r="D564" i="26" s="1"/>
  <c r="D565" i="26" s="1"/>
  <c r="D566" i="26" s="1"/>
  <c r="D567" i="26" s="1"/>
  <c r="D568" i="26" s="1"/>
  <c r="D569" i="26" s="1"/>
  <c r="D570" i="26" s="1"/>
  <c r="D571" i="26" s="1"/>
  <c r="D572" i="26" s="1"/>
  <c r="D573" i="26" s="1"/>
  <c r="D574" i="26" s="1"/>
  <c r="D575" i="26" s="1"/>
  <c r="D576" i="26" s="1"/>
  <c r="D577" i="26" s="1"/>
  <c r="D578" i="26" s="1"/>
  <c r="D579" i="26" s="1"/>
  <c r="J235" i="26"/>
  <c r="J236" i="26" s="1"/>
  <c r="J237" i="26" s="1"/>
  <c r="J238" i="26" s="1"/>
  <c r="J239" i="26" s="1"/>
  <c r="J240" i="26" s="1"/>
  <c r="J241" i="26" s="1"/>
  <c r="J242" i="26" s="1"/>
  <c r="J243" i="26" s="1"/>
  <c r="J244" i="26" s="1"/>
  <c r="J245" i="26" s="1"/>
  <c r="J246" i="26" s="1"/>
  <c r="J247" i="26" s="1"/>
  <c r="J248" i="26" s="1"/>
  <c r="J249" i="26" s="1"/>
  <c r="J250" i="26" s="1"/>
  <c r="J251" i="26" s="1"/>
  <c r="J252" i="26" s="1"/>
  <c r="J253" i="26" s="1"/>
  <c r="J254" i="26" s="1"/>
  <c r="J255" i="26" s="1"/>
  <c r="J256" i="26" s="1"/>
  <c r="J257" i="26" s="1"/>
  <c r="J258" i="26" s="1"/>
  <c r="J259" i="26" s="1"/>
  <c r="J260" i="26" s="1"/>
  <c r="J261" i="26" s="1"/>
  <c r="J262" i="26" s="1"/>
  <c r="J263" i="26" s="1"/>
  <c r="J264" i="26" s="1"/>
  <c r="J265" i="26" s="1"/>
  <c r="J266" i="26" s="1"/>
  <c r="J267" i="26" s="1"/>
  <c r="J268" i="26" s="1"/>
  <c r="J269" i="26" s="1"/>
  <c r="J270" i="26" s="1"/>
  <c r="J271" i="26" s="1"/>
  <c r="J272" i="26" s="1"/>
  <c r="J273" i="26" s="1"/>
  <c r="J274" i="26" s="1"/>
  <c r="J275" i="26" s="1"/>
  <c r="J276" i="26" s="1"/>
  <c r="J277" i="26" s="1"/>
  <c r="J278" i="26" s="1"/>
  <c r="J279" i="26" s="1"/>
  <c r="J280" i="26" s="1"/>
  <c r="J281" i="26" s="1"/>
  <c r="J282" i="26" s="1"/>
  <c r="J283" i="26" s="1"/>
  <c r="J284" i="26" s="1"/>
  <c r="D235" i="26"/>
  <c r="D236" i="26" s="1"/>
  <c r="D237" i="26" s="1"/>
  <c r="D238" i="26" s="1"/>
  <c r="D239" i="26" s="1"/>
  <c r="D240" i="26" s="1"/>
  <c r="D241" i="26" s="1"/>
  <c r="D242" i="26" s="1"/>
  <c r="D243" i="26" s="1"/>
  <c r="D244" i="26" s="1"/>
  <c r="D245" i="26" s="1"/>
  <c r="D246" i="26" s="1"/>
  <c r="D247" i="26" s="1"/>
  <c r="D248" i="26" s="1"/>
  <c r="D249" i="26" s="1"/>
  <c r="D250" i="26" s="1"/>
  <c r="D251" i="26" s="1"/>
  <c r="D252" i="26" s="1"/>
  <c r="D253" i="26" s="1"/>
  <c r="D254" i="26" s="1"/>
  <c r="D255" i="26" s="1"/>
  <c r="D256" i="26" s="1"/>
  <c r="D257" i="26" s="1"/>
  <c r="D258" i="26" s="1"/>
  <c r="D259" i="26" s="1"/>
  <c r="D260" i="26" s="1"/>
  <c r="D261" i="26" s="1"/>
  <c r="D262" i="26" s="1"/>
  <c r="D263" i="26" s="1"/>
  <c r="D264" i="26" s="1"/>
  <c r="D265" i="26" s="1"/>
  <c r="D266" i="26" s="1"/>
  <c r="D267" i="26" s="1"/>
  <c r="D268" i="26" s="1"/>
  <c r="D269" i="26" s="1"/>
  <c r="D270" i="26" s="1"/>
  <c r="D271" i="26" s="1"/>
  <c r="D272" i="26" s="1"/>
  <c r="D273" i="26" s="1"/>
  <c r="D274" i="26" s="1"/>
  <c r="D275" i="26" s="1"/>
  <c r="D276" i="26" s="1"/>
  <c r="D277" i="26" s="1"/>
  <c r="D278" i="26" s="1"/>
  <c r="D279" i="26" s="1"/>
  <c r="D280" i="26" s="1"/>
  <c r="D281" i="26" s="1"/>
  <c r="D282" i="26" s="1"/>
  <c r="D283" i="26" s="1"/>
  <c r="D284" i="26" s="1"/>
  <c r="G1877" i="4"/>
  <c r="G1876" i="4"/>
  <c r="G1875" i="4"/>
  <c r="G1874" i="4"/>
  <c r="G1872" i="4"/>
  <c r="G1871" i="4"/>
  <c r="G1870" i="4"/>
  <c r="G1868" i="4"/>
  <c r="G1867" i="4"/>
  <c r="G1866" i="4"/>
  <c r="G1864" i="4"/>
  <c r="G1863" i="4"/>
  <c r="G1862" i="4"/>
  <c r="G1861" i="4"/>
  <c r="G1859" i="4"/>
  <c r="G1858" i="4"/>
  <c r="G1857" i="4"/>
  <c r="G1856" i="4"/>
  <c r="G1854" i="4"/>
  <c r="G1853" i="4"/>
  <c r="G1852" i="4"/>
  <c r="G1850" i="4"/>
  <c r="G1849" i="4"/>
  <c r="G1848" i="4"/>
  <c r="G1847" i="4"/>
  <c r="G1845" i="4"/>
  <c r="G1844" i="4"/>
  <c r="G1843" i="4"/>
  <c r="G1351" i="4"/>
  <c r="G1350" i="4"/>
  <c r="G1349" i="4"/>
  <c r="G1348" i="4"/>
  <c r="G1347" i="4"/>
  <c r="G1346" i="4"/>
  <c r="G1345" i="4"/>
  <c r="G1344" i="4"/>
  <c r="G1343" i="4"/>
  <c r="G1341" i="4"/>
  <c r="G1340" i="4"/>
  <c r="G1339" i="4"/>
  <c r="G1338" i="4"/>
  <c r="G1337" i="4"/>
  <c r="G1336" i="4"/>
  <c r="G1335" i="4"/>
  <c r="G1334" i="4"/>
  <c r="G1333" i="4"/>
  <c r="G1332" i="4"/>
  <c r="G1331" i="4"/>
  <c r="G1330" i="4"/>
  <c r="G1329" i="4"/>
  <c r="G1328" i="4"/>
  <c r="G1327" i="4"/>
  <c r="G1326" i="4"/>
  <c r="G1325" i="4"/>
  <c r="G1324" i="4"/>
  <c r="G1323" i="4"/>
  <c r="G1322" i="4"/>
  <c r="G1321" i="4"/>
  <c r="G1320" i="4"/>
  <c r="G1319" i="4"/>
  <c r="G1318" i="4"/>
  <c r="G1317" i="4"/>
  <c r="G1316" i="4"/>
  <c r="G1315" i="4"/>
  <c r="G1314" i="4"/>
  <c r="G1312" i="4"/>
  <c r="G1311" i="4"/>
  <c r="G1310" i="4"/>
  <c r="G1309" i="4"/>
  <c r="G1308" i="4"/>
  <c r="G1307" i="4"/>
  <c r="G1306" i="4"/>
  <c r="G1305" i="4"/>
  <c r="G1304" i="4"/>
  <c r="G1303" i="4"/>
  <c r="G1302" i="4"/>
  <c r="G1301" i="4"/>
  <c r="G1300" i="4"/>
  <c r="G1299" i="4"/>
  <c r="G1298" i="4"/>
  <c r="G1297" i="4"/>
  <c r="G1296" i="4"/>
  <c r="G1295" i="4"/>
  <c r="G1294" i="4"/>
  <c r="G1293" i="4"/>
  <c r="G1292" i="4"/>
  <c r="G1291" i="4"/>
  <c r="G1290" i="4"/>
  <c r="G1289" i="4"/>
  <c r="G1288" i="4"/>
  <c r="G1287" i="4"/>
  <c r="G1286" i="4"/>
  <c r="G1285" i="4"/>
  <c r="G1284" i="4"/>
  <c r="G1283" i="4"/>
  <c r="G1282" i="4"/>
  <c r="G1281" i="4"/>
  <c r="G1280" i="4"/>
  <c r="G1279" i="4"/>
  <c r="G1278" i="4"/>
  <c r="G1277" i="4"/>
  <c r="G1276" i="4"/>
  <c r="G1275" i="4"/>
  <c r="G1274" i="4"/>
  <c r="G1273" i="4"/>
  <c r="G1272" i="4"/>
  <c r="G1271" i="4"/>
  <c r="G1270" i="4"/>
  <c r="G1269" i="4"/>
  <c r="G1268" i="4"/>
  <c r="G1267" i="4"/>
  <c r="G1266" i="4"/>
  <c r="G1265" i="4"/>
  <c r="G1264" i="4"/>
  <c r="G1263" i="4"/>
  <c r="G1262" i="4"/>
  <c r="G1261" i="4"/>
  <c r="G1260" i="4"/>
  <c r="G1259" i="4"/>
  <c r="G1258" i="4"/>
  <c r="G1257" i="4"/>
  <c r="G1256" i="4"/>
  <c r="G1255" i="4"/>
  <c r="G1254" i="4"/>
  <c r="G1253" i="4"/>
  <c r="G1252" i="4"/>
  <c r="G1251" i="4"/>
  <c r="G1250" i="4"/>
  <c r="G1249" i="4"/>
  <c r="G1248" i="4"/>
  <c r="G1247" i="4"/>
  <c r="G1246" i="4"/>
  <c r="G1245" i="4"/>
  <c r="G1244" i="4"/>
  <c r="G1243" i="4"/>
  <c r="G1242" i="4"/>
  <c r="G1241" i="4"/>
  <c r="G1240" i="4"/>
  <c r="G1239" i="4"/>
  <c r="G1238" i="4"/>
  <c r="G1237" i="4"/>
  <c r="G1236" i="4"/>
  <c r="G1235" i="4"/>
  <c r="G1234" i="4"/>
  <c r="G1233" i="4"/>
  <c r="G1232" i="4"/>
  <c r="G1231" i="4"/>
  <c r="G1230" i="4"/>
  <c r="G1229" i="4"/>
  <c r="G1228" i="4"/>
  <c r="G1227" i="4"/>
  <c r="G1226" i="4"/>
  <c r="G1225" i="4"/>
  <c r="G1224" i="4"/>
  <c r="G1223" i="4"/>
  <c r="G1222" i="4"/>
  <c r="G1218" i="4"/>
  <c r="G1217" i="4"/>
  <c r="G1216" i="4"/>
  <c r="G1215" i="4"/>
  <c r="G1214" i="4"/>
  <c r="G1213" i="4"/>
  <c r="G1212" i="4"/>
  <c r="G1211" i="4"/>
  <c r="G1210" i="4"/>
  <c r="G1209" i="4"/>
  <c r="G1208" i="4"/>
  <c r="G1207" i="4"/>
  <c r="G1205" i="4"/>
  <c r="G1204" i="4"/>
  <c r="G1203" i="4"/>
  <c r="G1202" i="4"/>
  <c r="G1201" i="4"/>
  <c r="G1200" i="4"/>
  <c r="G1199" i="4"/>
  <c r="G1198" i="4"/>
  <c r="G1197" i="4"/>
  <c r="G1196" i="4"/>
  <c r="G1195" i="4"/>
  <c r="G1194" i="4"/>
  <c r="G1192" i="4"/>
  <c r="G1191" i="4"/>
  <c r="G1190" i="4"/>
  <c r="G1189" i="4"/>
  <c r="G1188" i="4"/>
  <c r="G1187" i="4"/>
  <c r="G1186" i="4"/>
  <c r="G1185" i="4"/>
  <c r="G1184" i="4"/>
  <c r="G1183" i="4"/>
  <c r="G1182" i="4"/>
  <c r="G1181" i="4"/>
  <c r="G1180" i="4"/>
  <c r="G1179" i="4"/>
  <c r="G1178" i="4"/>
  <c r="G1177" i="4"/>
  <c r="G1174" i="4"/>
  <c r="G1173" i="4"/>
  <c r="G1172" i="4"/>
  <c r="G1171" i="4"/>
  <c r="G1170" i="4"/>
  <c r="G1169" i="4"/>
  <c r="G1168" i="4"/>
  <c r="G1167" i="4"/>
  <c r="G1166" i="4"/>
  <c r="G1165" i="4"/>
  <c r="G1163" i="4"/>
  <c r="G1162" i="4"/>
  <c r="G1161" i="4"/>
  <c r="G1160" i="4"/>
  <c r="G1159" i="4"/>
  <c r="G1158" i="4"/>
  <c r="G1157" i="4"/>
  <c r="G1156" i="4"/>
  <c r="G1155" i="4"/>
  <c r="G1154" i="4"/>
  <c r="G1153" i="4"/>
  <c r="G1152" i="4"/>
  <c r="G1151" i="4"/>
  <c r="G1150" i="4"/>
  <c r="G1149" i="4"/>
  <c r="G1148" i="4"/>
  <c r="G1147" i="4"/>
  <c r="G1146" i="4"/>
  <c r="G1145" i="4"/>
  <c r="G1144" i="4"/>
  <c r="G1143" i="4"/>
  <c r="G1142" i="4"/>
  <c r="G1140" i="4"/>
  <c r="G1139" i="4"/>
  <c r="G1138" i="4"/>
  <c r="G1137" i="4"/>
  <c r="G1136" i="4"/>
  <c r="G1135" i="4"/>
  <c r="G1134" i="4"/>
  <c r="G1133" i="4"/>
  <c r="G1132" i="4"/>
  <c r="G1131" i="4"/>
  <c r="G1130" i="4"/>
  <c r="G1129" i="4"/>
  <c r="G1128" i="4"/>
  <c r="G1127" i="4"/>
  <c r="G1126" i="4"/>
  <c r="G1125" i="4"/>
  <c r="G1124" i="4"/>
  <c r="G1123" i="4"/>
  <c r="G1122" i="4"/>
  <c r="G1121" i="4"/>
  <c r="G1120" i="4"/>
  <c r="G1119" i="4"/>
  <c r="G1118" i="4"/>
  <c r="G1117" i="4"/>
  <c r="G1116" i="4"/>
  <c r="G1115" i="4"/>
  <c r="G1114" i="4"/>
  <c r="G1113" i="4"/>
  <c r="G1112" i="4"/>
  <c r="G1111" i="4"/>
  <c r="G1110" i="4"/>
  <c r="G1109" i="4"/>
  <c r="G1052" i="4"/>
  <c r="G768" i="4"/>
  <c r="G767" i="4"/>
  <c r="G766" i="4"/>
  <c r="G765" i="4"/>
  <c r="G764" i="4"/>
  <c r="G763" i="4"/>
  <c r="G762" i="4"/>
  <c r="G761" i="4"/>
  <c r="G760" i="4"/>
  <c r="G759" i="4"/>
  <c r="G758" i="4"/>
  <c r="G757" i="4"/>
  <c r="G756" i="4"/>
  <c r="G755" i="4"/>
  <c r="G754" i="4"/>
  <c r="G753" i="4"/>
  <c r="G752" i="4"/>
  <c r="G751" i="4"/>
  <c r="G750" i="4"/>
  <c r="G749" i="4"/>
  <c r="G748" i="4"/>
  <c r="G747" i="4"/>
  <c r="G746" i="4"/>
  <c r="G745" i="4"/>
  <c r="G744" i="4"/>
  <c r="G743" i="4"/>
  <c r="G742" i="4"/>
  <c r="G741" i="4"/>
  <c r="G740" i="4"/>
  <c r="G739" i="4"/>
  <c r="G738" i="4"/>
  <c r="G737" i="4"/>
  <c r="G736" i="4"/>
  <c r="G262" i="4"/>
  <c r="G260" i="4"/>
  <c r="G259" i="4"/>
  <c r="G258" i="4"/>
  <c r="G257" i="4"/>
  <c r="G256" i="4"/>
  <c r="G255" i="4"/>
  <c r="G254"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193"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26"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68"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4" i="4"/>
  <c r="S353" i="26"/>
  <c r="S354" i="26" s="1"/>
  <c r="S355" i="26" s="1"/>
  <c r="S356" i="26" s="1"/>
  <c r="S357" i="26" s="1"/>
  <c r="S358" i="26" s="1"/>
  <c r="S359" i="26" s="1"/>
  <c r="S360" i="26" s="1"/>
  <c r="S361" i="26" s="1"/>
  <c r="S362" i="26" s="1"/>
  <c r="S363" i="26" s="1"/>
  <c r="S364" i="26" s="1"/>
  <c r="S365" i="26" s="1"/>
  <c r="S366" i="26" s="1"/>
  <c r="S367" i="26" s="1"/>
  <c r="S368" i="26" s="1"/>
  <c r="S369" i="26" s="1"/>
  <c r="S370" i="26" s="1"/>
  <c r="S371" i="26" s="1"/>
  <c r="S372" i="26" s="1"/>
  <c r="S373" i="26" s="1"/>
  <c r="S374" i="26" s="1"/>
  <c r="S375" i="26" s="1"/>
  <c r="S376" i="26" s="1"/>
  <c r="S377" i="26" s="1"/>
  <c r="S378" i="26" s="1"/>
  <c r="S379" i="26" s="1"/>
  <c r="S380" i="26" s="1"/>
  <c r="S381" i="26" s="1"/>
  <c r="S382" i="26" s="1"/>
  <c r="S383" i="26" s="1"/>
  <c r="S384" i="26" s="1"/>
  <c r="S385" i="26" s="1"/>
  <c r="S386" i="26" s="1"/>
  <c r="S387" i="26" s="1"/>
  <c r="S388" i="26" s="1"/>
  <c r="S389" i="26" s="1"/>
  <c r="S390" i="26" s="1"/>
  <c r="S391" i="26" s="1"/>
  <c r="S392" i="26" s="1"/>
  <c r="S393" i="26" s="1"/>
  <c r="S394" i="26" s="1"/>
  <c r="S395" i="26" s="1"/>
  <c r="S396" i="26" s="1"/>
  <c r="S397" i="26" s="1"/>
  <c r="S398" i="26" s="1"/>
  <c r="S399" i="26" s="1"/>
  <c r="S400" i="26" s="1"/>
  <c r="S401" i="26" s="1"/>
  <c r="O236" i="26"/>
  <c r="O237" i="26" s="1"/>
  <c r="O238" i="26" s="1"/>
  <c r="O239" i="26" s="1"/>
  <c r="O240" i="26" s="1"/>
  <c r="O241" i="26" s="1"/>
  <c r="O242" i="26" s="1"/>
  <c r="O243" i="26" s="1"/>
  <c r="O244" i="26" s="1"/>
  <c r="O245" i="26" s="1"/>
  <c r="O246" i="26" s="1"/>
  <c r="O247" i="26" s="1"/>
  <c r="O248" i="26" s="1"/>
  <c r="O249" i="26" s="1"/>
  <c r="O250" i="26" s="1"/>
  <c r="O251" i="26" s="1"/>
  <c r="O252" i="26" s="1"/>
  <c r="O253" i="26" s="1"/>
  <c r="O254" i="26" s="1"/>
  <c r="O255" i="26" s="1"/>
  <c r="O256" i="26" s="1"/>
  <c r="O257" i="26" s="1"/>
  <c r="O258" i="26" s="1"/>
  <c r="O259" i="26" s="1"/>
  <c r="O260" i="26" s="1"/>
  <c r="O261" i="26" s="1"/>
  <c r="O262" i="26" s="1"/>
  <c r="O263" i="26" s="1"/>
  <c r="O264" i="26" s="1"/>
  <c r="O265" i="26" s="1"/>
  <c r="O266" i="26" s="1"/>
  <c r="O267" i="26" s="1"/>
  <c r="O268" i="26" s="1"/>
  <c r="O269" i="26" s="1"/>
  <c r="O270" i="26" s="1"/>
  <c r="O271" i="26" s="1"/>
  <c r="O272" i="26" s="1"/>
  <c r="O273" i="26" s="1"/>
  <c r="O274" i="26" s="1"/>
  <c r="O275" i="26" s="1"/>
  <c r="O276" i="26" s="1"/>
  <c r="O277" i="26" s="1"/>
  <c r="O278" i="26" s="1"/>
  <c r="O279" i="26" s="1"/>
  <c r="O280" i="26" s="1"/>
  <c r="O281" i="26" s="1"/>
  <c r="O282" i="26" s="1"/>
  <c r="O283" i="26" s="1"/>
  <c r="O284" i="26" s="1"/>
  <c r="T344" i="26"/>
  <c r="S344" i="26"/>
  <c r="T343" i="26"/>
  <c r="S343" i="26"/>
  <c r="T342" i="26"/>
  <c r="S342" i="26"/>
  <c r="T341" i="26"/>
  <c r="S341" i="26"/>
  <c r="T340" i="26"/>
  <c r="S340" i="26"/>
  <c r="O341" i="26"/>
  <c r="O342" i="26"/>
  <c r="O343" i="26"/>
  <c r="O344" i="26"/>
  <c r="O340" i="26"/>
  <c r="N341" i="26"/>
  <c r="N342" i="26"/>
  <c r="N343" i="26"/>
  <c r="N344" i="26"/>
  <c r="N340" i="26"/>
  <c r="L8" i="28" a="1"/>
  <c r="K11" i="28" a="1"/>
  <c r="L20" i="28" a="1"/>
  <c r="K4" i="28" a="1"/>
  <c r="S916" i="26" l="1"/>
  <c r="L918" i="26"/>
  <c r="M918" i="26" s="1"/>
  <c r="Q918" i="26" s="1"/>
  <c r="S1212" i="26"/>
  <c r="R1035" i="26"/>
  <c r="V1035" i="26" s="1"/>
  <c r="Q840" i="26"/>
  <c r="I841" i="26"/>
  <c r="F919" i="26"/>
  <c r="C919" i="26"/>
  <c r="F1036" i="26"/>
  <c r="P1036" i="26" s="1"/>
  <c r="U1036" i="26" s="1"/>
  <c r="F1214" i="26"/>
  <c r="H842" i="26"/>
  <c r="T1212" i="26"/>
  <c r="T916" i="26"/>
  <c r="C1214" i="26"/>
  <c r="K1213" i="26"/>
  <c r="P1213" i="26" s="1"/>
  <c r="E1214" i="26"/>
  <c r="P917" i="26"/>
  <c r="T917" i="26" s="1"/>
  <c r="M431" i="26"/>
  <c r="P431" i="26" s="1"/>
  <c r="N431" i="26"/>
  <c r="Q431" i="26"/>
  <c r="O433" i="26"/>
  <c r="T431" i="26"/>
  <c r="L432" i="26"/>
  <c r="T430" i="26"/>
  <c r="X484" i="26"/>
  <c r="J483" i="26" s="1"/>
  <c r="X489" i="26"/>
  <c r="J488" i="26" s="1"/>
  <c r="R488" i="26"/>
  <c r="T488" i="26" s="1"/>
  <c r="C424" i="26"/>
  <c r="I424" i="26"/>
  <c r="D424" i="26"/>
  <c r="L8" i="28"/>
  <c r="L20" i="28"/>
  <c r="K11" i="28"/>
  <c r="Q11" i="28" s="1"/>
  <c r="R11" i="28" s="1"/>
  <c r="S11" i="28" s="1"/>
  <c r="Q22" i="28"/>
  <c r="Q24" i="28"/>
  <c r="Q17" i="28"/>
  <c r="R17" i="28" s="1"/>
  <c r="Q19" i="28"/>
  <c r="A12" i="28" a="1"/>
  <c r="A12" i="28" s="1"/>
  <c r="O12" i="28" s="1" a="1"/>
  <c r="O12" i="28" s="1"/>
  <c r="Q21" i="28"/>
  <c r="Q20" i="28"/>
  <c r="Q18" i="28"/>
  <c r="O16" i="28" a="1"/>
  <c r="O16" i="28" s="1"/>
  <c r="Q16" i="28"/>
  <c r="R16" i="28" s="1"/>
  <c r="A18" i="28" a="1"/>
  <c r="A18" i="28" s="1"/>
  <c r="A19" i="28" s="1" a="1"/>
  <c r="A19" i="28" s="1"/>
  <c r="A20" i="28" s="1" a="1"/>
  <c r="A20" i="28" s="1"/>
  <c r="A21" i="28" s="1" a="1"/>
  <c r="A21" i="28" s="1"/>
  <c r="A22" i="28" s="1" a="1"/>
  <c r="A22" i="28" s="1"/>
  <c r="A23" i="28" s="1" a="1"/>
  <c r="A23" i="28" s="1"/>
  <c r="A24" i="28" s="1" a="1"/>
  <c r="A24" i="28" s="1"/>
  <c r="O17" i="28" a="1"/>
  <c r="O17" i="28" s="1"/>
  <c r="S15" i="28"/>
  <c r="Q14" i="28"/>
  <c r="S10" i="28"/>
  <c r="Q13" i="28"/>
  <c r="Q12" i="28"/>
  <c r="Q9" i="28"/>
  <c r="R9" i="28" s="1"/>
  <c r="Q8" i="28"/>
  <c r="Q6" i="28"/>
  <c r="R6" i="28" s="1"/>
  <c r="O9" i="28" a="1"/>
  <c r="O9" i="28" s="1"/>
  <c r="Q7" i="28"/>
  <c r="R7" i="28" s="1"/>
  <c r="R8" i="28"/>
  <c r="O8" i="28" a="1"/>
  <c r="O8" i="28" s="1"/>
  <c r="S5" i="28"/>
  <c r="O7" i="28" a="1"/>
  <c r="O7" i="28" s="1"/>
  <c r="O6" i="28" a="1"/>
  <c r="O6" i="28" s="1"/>
  <c r="O3" i="28" a="1"/>
  <c r="O3" i="28" s="1"/>
  <c r="K4" i="28"/>
  <c r="Q4" i="28" s="1"/>
  <c r="R4" i="28"/>
  <c r="O4" i="28" a="1"/>
  <c r="O4" i="28" s="1"/>
  <c r="Q3" i="28"/>
  <c r="R3" i="28" s="1"/>
  <c r="V597" i="26"/>
  <c r="V111" i="26"/>
  <c r="T597" i="26"/>
  <c r="O532" i="26"/>
  <c r="M347" i="26"/>
  <c r="V344" i="26"/>
  <c r="U344" i="26"/>
  <c r="V343" i="26"/>
  <c r="U343" i="26"/>
  <c r="V342" i="26"/>
  <c r="U342" i="26"/>
  <c r="V341" i="26"/>
  <c r="U341" i="26"/>
  <c r="V340" i="26"/>
  <c r="U340" i="26"/>
  <c r="Q344" i="26"/>
  <c r="P344" i="26"/>
  <c r="Q343" i="26"/>
  <c r="P343" i="26"/>
  <c r="Q342" i="26"/>
  <c r="P342" i="26"/>
  <c r="Q341" i="26"/>
  <c r="P341" i="26"/>
  <c r="Q340" i="26"/>
  <c r="P340" i="26"/>
  <c r="V1894" i="4"/>
  <c r="V1893" i="4"/>
  <c r="V1892" i="4"/>
  <c r="U1892" i="4"/>
  <c r="T1892" i="4" s="1"/>
  <c r="V1890" i="4"/>
  <c r="U1890" i="4"/>
  <c r="T1890" i="4"/>
  <c r="V1889" i="4"/>
  <c r="U1889" i="4"/>
  <c r="T1889" i="4"/>
  <c r="V1888" i="4"/>
  <c r="U1888" i="4"/>
  <c r="T1888" i="4" s="1"/>
  <c r="V1886" i="4"/>
  <c r="U1886" i="4"/>
  <c r="T1886" i="4" s="1"/>
  <c r="V1885" i="4"/>
  <c r="U1885" i="4"/>
  <c r="T1885" i="4"/>
  <c r="V1884" i="4"/>
  <c r="U1884" i="4"/>
  <c r="T1884" i="4" s="1"/>
  <c r="V1882" i="4"/>
  <c r="U1882" i="4"/>
  <c r="T1882" i="4"/>
  <c r="V1881" i="4"/>
  <c r="U1881" i="4"/>
  <c r="T1881" i="4" s="1"/>
  <c r="V1880" i="4"/>
  <c r="U1880" i="4"/>
  <c r="U1893" i="4" s="1"/>
  <c r="T1893" i="4" s="1"/>
  <c r="T1880" i="4"/>
  <c r="V1879" i="4"/>
  <c r="U1879" i="4"/>
  <c r="T1879" i="4"/>
  <c r="C628" i="26"/>
  <c r="C616" i="26"/>
  <c r="W616" i="26" s="1"/>
  <c r="I49" i="1"/>
  <c r="I48" i="1"/>
  <c r="I47" i="1"/>
  <c r="I46" i="1"/>
  <c r="I45" i="1"/>
  <c r="I44" i="1"/>
  <c r="I43" i="1"/>
  <c r="I42" i="1"/>
  <c r="I41" i="1"/>
  <c r="I25" i="1"/>
  <c r="I24" i="1"/>
  <c r="I23" i="1"/>
  <c r="I22" i="1"/>
  <c r="I21" i="1"/>
  <c r="I20" i="1"/>
  <c r="I19" i="1"/>
  <c r="I18" i="1"/>
  <c r="I17" i="1"/>
  <c r="I16" i="1"/>
  <c r="I166" i="1"/>
  <c r="I167" i="1"/>
  <c r="I168" i="1"/>
  <c r="I169" i="1"/>
  <c r="I170" i="1"/>
  <c r="I171" i="1"/>
  <c r="I172" i="1"/>
  <c r="I173" i="1"/>
  <c r="I165"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99" i="1"/>
  <c r="I98" i="1"/>
  <c r="I97" i="1"/>
  <c r="I96" i="1"/>
  <c r="I95" i="1"/>
  <c r="I94" i="1"/>
  <c r="I93" i="1"/>
  <c r="I92" i="1"/>
  <c r="I91" i="1"/>
  <c r="I90" i="1"/>
  <c r="I89" i="1"/>
  <c r="I88" i="1"/>
  <c r="I87" i="1"/>
  <c r="I86" i="1"/>
  <c r="I85" i="1"/>
  <c r="I84" i="1"/>
  <c r="I83" i="1"/>
  <c r="I82" i="1"/>
  <c r="I81" i="1"/>
  <c r="I80" i="1"/>
  <c r="I79" i="1"/>
  <c r="I78" i="1"/>
  <c r="I77" i="1"/>
  <c r="I73" i="1"/>
  <c r="I72" i="1"/>
  <c r="I71" i="1"/>
  <c r="I70" i="1"/>
  <c r="I69" i="1"/>
  <c r="I68" i="1"/>
  <c r="I67" i="1"/>
  <c r="I66" i="1"/>
  <c r="I65" i="1"/>
  <c r="I64" i="1"/>
  <c r="I63" i="1"/>
  <c r="I62" i="1"/>
  <c r="I61" i="1"/>
  <c r="I60" i="1"/>
  <c r="I56" i="1"/>
  <c r="I55" i="1"/>
  <c r="I54" i="1"/>
  <c r="I53" i="1"/>
  <c r="I37" i="1"/>
  <c r="I36" i="1"/>
  <c r="I35" i="1"/>
  <c r="I34" i="1"/>
  <c r="I33" i="1"/>
  <c r="I32" i="1"/>
  <c r="I31" i="1"/>
  <c r="I30" i="1"/>
  <c r="I29" i="1"/>
  <c r="I4" i="1"/>
  <c r="I5" i="1"/>
  <c r="I6" i="1"/>
  <c r="I7" i="1"/>
  <c r="I8" i="1"/>
  <c r="I9" i="1"/>
  <c r="I10" i="1"/>
  <c r="I11" i="1"/>
  <c r="I12" i="1"/>
  <c r="I3" i="1"/>
  <c r="S917" i="26" l="1"/>
  <c r="L919" i="26"/>
  <c r="M919" i="26" s="1"/>
  <c r="Q919" i="26" s="1"/>
  <c r="S1213" i="26"/>
  <c r="T1213" i="26"/>
  <c r="I842" i="26"/>
  <c r="Q841" i="26"/>
  <c r="H843" i="26"/>
  <c r="K1214" i="26"/>
  <c r="P1214" i="26" s="1"/>
  <c r="R1036" i="26"/>
  <c r="V1036" i="26" s="1"/>
  <c r="P841" i="26"/>
  <c r="P918" i="26"/>
  <c r="T918" i="26" s="1"/>
  <c r="O434" i="26"/>
  <c r="R431" i="26"/>
  <c r="M432" i="26"/>
  <c r="N432" i="26"/>
  <c r="S431" i="26"/>
  <c r="S430" i="26"/>
  <c r="R430" i="26" s="1"/>
  <c r="F424" i="26"/>
  <c r="E424" i="26"/>
  <c r="J424" i="26"/>
  <c r="H424" i="26"/>
  <c r="G424" i="26"/>
  <c r="A13" i="28" a="1"/>
  <c r="A13" i="28" s="1"/>
  <c r="A14" i="28" s="1" a="1"/>
  <c r="A14" i="28" s="1"/>
  <c r="R14" i="28" s="1"/>
  <c r="S4" i="28"/>
  <c r="S17" i="28"/>
  <c r="S9" i="28"/>
  <c r="R12" i="28"/>
  <c r="S12" i="28" s="1"/>
  <c r="S3" i="28"/>
  <c r="S6" i="28"/>
  <c r="S7" i="28"/>
  <c r="S16" i="28"/>
  <c r="S8" i="28"/>
  <c r="R24" i="28"/>
  <c r="O24" i="28" a="1"/>
  <c r="O24" i="28" s="1"/>
  <c r="R23" i="28"/>
  <c r="O23" i="28" a="1"/>
  <c r="O23" i="28" s="1"/>
  <c r="R22" i="28"/>
  <c r="O22" i="28" a="1"/>
  <c r="O22" i="28" s="1"/>
  <c r="R21" i="28"/>
  <c r="O21" i="28" a="1"/>
  <c r="O21" i="28" s="1"/>
  <c r="R20" i="28"/>
  <c r="O20" i="28" a="1"/>
  <c r="O20" i="28" s="1"/>
  <c r="R19" i="28"/>
  <c r="O19" i="28" a="1"/>
  <c r="O19" i="28" s="1"/>
  <c r="R18" i="28"/>
  <c r="O18" i="28" a="1"/>
  <c r="O18" i="28" s="1"/>
  <c r="O533" i="26"/>
  <c r="U1894" i="4"/>
  <c r="T1894" i="4" s="1"/>
  <c r="W6" i="27"/>
  <c r="T6" i="27"/>
  <c r="I6" i="27"/>
  <c r="W7" i="27"/>
  <c r="T7" i="27"/>
  <c r="I7" i="27"/>
  <c r="I3" i="27"/>
  <c r="I1" i="27"/>
  <c r="O353" i="26"/>
  <c r="O354" i="26" s="1"/>
  <c r="O355" i="26" s="1"/>
  <c r="O356" i="26" s="1"/>
  <c r="O357" i="26" s="1"/>
  <c r="O358" i="26" s="1"/>
  <c r="O359" i="26" s="1"/>
  <c r="O360" i="26" s="1"/>
  <c r="O361" i="26" s="1"/>
  <c r="O362" i="26" s="1"/>
  <c r="O363" i="26" s="1"/>
  <c r="O364" i="26" s="1"/>
  <c r="O365" i="26" s="1"/>
  <c r="O366" i="26" s="1"/>
  <c r="O367" i="26" s="1"/>
  <c r="O368" i="26" s="1"/>
  <c r="O369" i="26" s="1"/>
  <c r="O370" i="26" s="1"/>
  <c r="O371" i="26" s="1"/>
  <c r="O372" i="26" s="1"/>
  <c r="O373" i="26" s="1"/>
  <c r="O374" i="26" s="1"/>
  <c r="O375" i="26" s="1"/>
  <c r="O376" i="26" s="1"/>
  <c r="O377" i="26" s="1"/>
  <c r="O378" i="26" s="1"/>
  <c r="O379" i="26" s="1"/>
  <c r="O380" i="26" s="1"/>
  <c r="O381" i="26" s="1"/>
  <c r="O382" i="26" s="1"/>
  <c r="O383" i="26" s="1"/>
  <c r="O384" i="26" s="1"/>
  <c r="O385" i="26" s="1"/>
  <c r="O386" i="26" s="1"/>
  <c r="O387" i="26" s="1"/>
  <c r="O388" i="26" s="1"/>
  <c r="O389" i="26" s="1"/>
  <c r="O390" i="26" s="1"/>
  <c r="O391" i="26" s="1"/>
  <c r="O392" i="26" s="1"/>
  <c r="O393" i="26" s="1"/>
  <c r="O394" i="26" s="1"/>
  <c r="O395" i="26" s="1"/>
  <c r="O396" i="26" s="1"/>
  <c r="O397" i="26" s="1"/>
  <c r="O398" i="26" s="1"/>
  <c r="O399" i="26" s="1"/>
  <c r="O400" i="26" s="1"/>
  <c r="O401" i="26" s="1"/>
  <c r="M1672" i="4"/>
  <c r="K1672" i="4"/>
  <c r="G1672" i="4" s="1"/>
  <c r="A1672" i="4"/>
  <c r="M1671" i="4"/>
  <c r="K1671" i="4"/>
  <c r="G1671" i="4" s="1"/>
  <c r="A1671" i="4"/>
  <c r="M1670" i="4"/>
  <c r="K1670" i="4"/>
  <c r="G1670" i="4" s="1"/>
  <c r="A1670" i="4"/>
  <c r="U1352" i="4"/>
  <c r="J1351" i="4"/>
  <c r="I1351" i="4"/>
  <c r="H1351" i="4"/>
  <c r="J1350" i="4"/>
  <c r="I1350" i="4"/>
  <c r="H1350" i="4"/>
  <c r="J1349" i="4"/>
  <c r="I1349" i="4"/>
  <c r="H1349" i="4"/>
  <c r="J1348" i="4"/>
  <c r="I1348" i="4"/>
  <c r="H1348" i="4"/>
  <c r="J1347" i="4"/>
  <c r="I1347" i="4"/>
  <c r="H1347" i="4"/>
  <c r="J1346" i="4"/>
  <c r="I1346" i="4"/>
  <c r="H1346" i="4"/>
  <c r="J1345" i="4"/>
  <c r="I1345" i="4"/>
  <c r="H1345" i="4"/>
  <c r="J1344" i="4"/>
  <c r="I1344" i="4"/>
  <c r="H1344" i="4"/>
  <c r="J1343" i="4"/>
  <c r="I1343" i="4"/>
  <c r="H1343" i="4"/>
  <c r="J1342" i="4"/>
  <c r="I1342" i="4"/>
  <c r="H1342" i="4"/>
  <c r="G1342" i="4"/>
  <c r="J1341" i="4"/>
  <c r="I1341" i="4"/>
  <c r="H1341" i="4"/>
  <c r="J1340" i="4"/>
  <c r="I1340" i="4"/>
  <c r="H1340" i="4"/>
  <c r="J1339" i="4"/>
  <c r="I1339" i="4"/>
  <c r="H1339" i="4"/>
  <c r="J1338" i="4"/>
  <c r="I1338" i="4"/>
  <c r="H1338" i="4"/>
  <c r="J1337" i="4"/>
  <c r="I1337" i="4"/>
  <c r="H1337" i="4"/>
  <c r="J1336" i="4"/>
  <c r="I1336" i="4"/>
  <c r="H1336" i="4"/>
  <c r="J1335" i="4"/>
  <c r="I1335" i="4"/>
  <c r="H1335" i="4"/>
  <c r="J1334" i="4"/>
  <c r="I1334" i="4"/>
  <c r="H1334" i="4"/>
  <c r="J1333" i="4"/>
  <c r="I1333" i="4"/>
  <c r="H1333" i="4"/>
  <c r="J1332" i="4"/>
  <c r="I1332" i="4"/>
  <c r="H1332" i="4"/>
  <c r="J1331" i="4"/>
  <c r="I1331" i="4"/>
  <c r="H1331" i="4"/>
  <c r="J1330" i="4"/>
  <c r="I1330" i="4"/>
  <c r="H1330" i="4"/>
  <c r="J1329" i="4"/>
  <c r="I1329" i="4"/>
  <c r="H1329" i="4"/>
  <c r="J1328" i="4"/>
  <c r="I1328" i="4"/>
  <c r="H1328" i="4"/>
  <c r="J1327" i="4"/>
  <c r="I1327" i="4"/>
  <c r="H1327" i="4"/>
  <c r="J1326" i="4"/>
  <c r="I1326" i="4"/>
  <c r="H1326" i="4"/>
  <c r="J1325" i="4"/>
  <c r="I1325" i="4"/>
  <c r="H1325" i="4"/>
  <c r="J1324" i="4"/>
  <c r="I1324" i="4"/>
  <c r="H1324" i="4"/>
  <c r="J1323" i="4"/>
  <c r="I1323" i="4"/>
  <c r="H1323" i="4"/>
  <c r="J1322" i="4"/>
  <c r="I1322" i="4"/>
  <c r="H1322" i="4"/>
  <c r="J1321" i="4"/>
  <c r="I1321" i="4"/>
  <c r="H1321" i="4"/>
  <c r="J1320" i="4"/>
  <c r="I1320" i="4"/>
  <c r="H1320" i="4"/>
  <c r="J1319" i="4"/>
  <c r="I1319" i="4"/>
  <c r="H1319" i="4"/>
  <c r="J1318" i="4"/>
  <c r="I1318" i="4"/>
  <c r="H1318" i="4"/>
  <c r="J1317" i="4"/>
  <c r="I1317" i="4"/>
  <c r="H1317" i="4"/>
  <c r="J1316" i="4"/>
  <c r="I1316" i="4"/>
  <c r="H1316" i="4"/>
  <c r="J1315" i="4"/>
  <c r="I1315" i="4"/>
  <c r="H1315" i="4"/>
  <c r="J1314" i="4"/>
  <c r="I1314" i="4"/>
  <c r="H1314" i="4"/>
  <c r="J1313" i="4"/>
  <c r="I1313" i="4"/>
  <c r="H1313" i="4"/>
  <c r="G1313" i="4"/>
  <c r="J1312" i="4"/>
  <c r="I1312" i="4"/>
  <c r="H1312" i="4"/>
  <c r="J1311" i="4"/>
  <c r="I1311" i="4"/>
  <c r="H1311" i="4"/>
  <c r="J1310" i="4"/>
  <c r="I1310" i="4"/>
  <c r="H1310" i="4"/>
  <c r="J1309" i="4"/>
  <c r="I1309" i="4"/>
  <c r="H1309" i="4"/>
  <c r="J1308" i="4"/>
  <c r="I1308" i="4"/>
  <c r="H1308" i="4"/>
  <c r="J1307" i="4"/>
  <c r="I1307" i="4"/>
  <c r="H1307" i="4"/>
  <c r="J1306" i="4"/>
  <c r="I1306" i="4"/>
  <c r="H1306" i="4"/>
  <c r="J1305" i="4"/>
  <c r="I1305" i="4"/>
  <c r="H1305" i="4"/>
  <c r="J1304" i="4"/>
  <c r="I1304" i="4"/>
  <c r="H1304" i="4"/>
  <c r="J1303" i="4"/>
  <c r="I1303" i="4"/>
  <c r="H1303" i="4"/>
  <c r="J1302" i="4"/>
  <c r="I1302" i="4"/>
  <c r="H1302" i="4"/>
  <c r="J1301" i="4"/>
  <c r="I1301" i="4"/>
  <c r="H1301" i="4"/>
  <c r="J1300" i="4"/>
  <c r="I1300" i="4"/>
  <c r="H1300" i="4"/>
  <c r="J1299" i="4"/>
  <c r="I1299" i="4"/>
  <c r="H1299" i="4"/>
  <c r="U1298" i="4"/>
  <c r="J1298" i="4"/>
  <c r="I1298" i="4"/>
  <c r="H1298" i="4"/>
  <c r="U1297" i="4"/>
  <c r="J1297" i="4"/>
  <c r="I1297" i="4"/>
  <c r="H1297" i="4"/>
  <c r="J1296" i="4"/>
  <c r="I1296" i="4"/>
  <c r="H1296" i="4"/>
  <c r="J1295" i="4"/>
  <c r="I1295" i="4"/>
  <c r="H1295" i="4"/>
  <c r="J1294" i="4"/>
  <c r="I1294" i="4"/>
  <c r="H1294" i="4"/>
  <c r="J1293" i="4"/>
  <c r="I1293" i="4"/>
  <c r="H1293" i="4"/>
  <c r="J1292" i="4"/>
  <c r="I1292" i="4"/>
  <c r="H1292" i="4"/>
  <c r="J1291" i="4"/>
  <c r="I1291" i="4"/>
  <c r="H1291" i="4"/>
  <c r="J1290" i="4"/>
  <c r="I1290" i="4"/>
  <c r="H1290" i="4"/>
  <c r="J1289" i="4"/>
  <c r="I1289" i="4"/>
  <c r="H1289" i="4"/>
  <c r="J1288" i="4"/>
  <c r="I1288" i="4"/>
  <c r="H1288" i="4"/>
  <c r="J1287" i="4"/>
  <c r="I1287" i="4"/>
  <c r="H1287" i="4"/>
  <c r="J1286" i="4"/>
  <c r="I1286" i="4"/>
  <c r="H1286" i="4"/>
  <c r="J1285" i="4"/>
  <c r="I1285" i="4"/>
  <c r="H1285" i="4"/>
  <c r="J1284" i="4"/>
  <c r="I1284" i="4"/>
  <c r="H1284" i="4"/>
  <c r="J1283" i="4"/>
  <c r="I1283" i="4"/>
  <c r="H1283" i="4"/>
  <c r="J1282" i="4"/>
  <c r="I1282" i="4"/>
  <c r="H1282" i="4"/>
  <c r="J1281" i="4"/>
  <c r="I1281" i="4"/>
  <c r="H1281" i="4"/>
  <c r="U1280" i="4"/>
  <c r="J1280" i="4"/>
  <c r="I1280" i="4"/>
  <c r="H1280" i="4"/>
  <c r="U1279" i="4"/>
  <c r="J1279" i="4"/>
  <c r="I1279" i="4"/>
  <c r="H1279" i="4"/>
  <c r="J1278" i="4"/>
  <c r="I1278" i="4"/>
  <c r="H1278" i="4"/>
  <c r="J1277" i="4"/>
  <c r="I1277" i="4"/>
  <c r="H1277" i="4"/>
  <c r="J1276" i="4"/>
  <c r="I1276" i="4"/>
  <c r="H1276" i="4"/>
  <c r="J1275" i="4"/>
  <c r="I1275" i="4"/>
  <c r="H1275" i="4"/>
  <c r="J1274" i="4"/>
  <c r="I1274" i="4"/>
  <c r="H1274" i="4"/>
  <c r="J1273" i="4"/>
  <c r="I1273" i="4"/>
  <c r="H1273" i="4"/>
  <c r="J1272" i="4"/>
  <c r="I1272" i="4"/>
  <c r="H1272" i="4"/>
  <c r="J1271" i="4"/>
  <c r="I1271" i="4"/>
  <c r="H1271" i="4"/>
  <c r="U1270" i="4"/>
  <c r="J1270" i="4"/>
  <c r="I1270" i="4"/>
  <c r="H1270" i="4"/>
  <c r="U1269" i="4"/>
  <c r="J1269" i="4"/>
  <c r="I1269" i="4"/>
  <c r="H1269" i="4"/>
  <c r="J1268" i="4"/>
  <c r="I1268" i="4"/>
  <c r="H1268" i="4"/>
  <c r="J1267" i="4"/>
  <c r="I1267" i="4"/>
  <c r="H1267" i="4"/>
  <c r="J1266" i="4"/>
  <c r="I1266" i="4"/>
  <c r="H1266" i="4"/>
  <c r="J1265" i="4"/>
  <c r="I1265" i="4"/>
  <c r="H1265" i="4"/>
  <c r="J1264" i="4"/>
  <c r="I1264" i="4"/>
  <c r="H1264" i="4"/>
  <c r="J1263" i="4"/>
  <c r="I1263" i="4"/>
  <c r="H1263" i="4"/>
  <c r="J1262" i="4"/>
  <c r="I1262" i="4"/>
  <c r="H1262" i="4"/>
  <c r="J1261" i="4"/>
  <c r="I1261" i="4"/>
  <c r="H1261" i="4"/>
  <c r="U1260" i="4"/>
  <c r="J1260" i="4"/>
  <c r="I1260" i="4"/>
  <c r="H1260" i="4"/>
  <c r="U1259" i="4"/>
  <c r="J1259" i="4"/>
  <c r="I1259" i="4"/>
  <c r="H1259" i="4"/>
  <c r="J1258" i="4"/>
  <c r="I1258" i="4"/>
  <c r="H1258" i="4"/>
  <c r="J1257" i="4"/>
  <c r="I1257" i="4"/>
  <c r="H1257" i="4"/>
  <c r="J1256" i="4"/>
  <c r="I1256" i="4"/>
  <c r="H1256" i="4"/>
  <c r="J1255" i="4"/>
  <c r="I1255" i="4"/>
  <c r="H1255" i="4"/>
  <c r="J1254" i="4"/>
  <c r="I1254" i="4"/>
  <c r="H1254" i="4"/>
  <c r="J1253" i="4"/>
  <c r="I1253" i="4"/>
  <c r="H1253" i="4"/>
  <c r="J1252" i="4"/>
  <c r="I1252" i="4"/>
  <c r="H1252" i="4"/>
  <c r="J1251" i="4"/>
  <c r="I1251" i="4"/>
  <c r="H1251" i="4"/>
  <c r="U1250" i="4"/>
  <c r="J1250" i="4"/>
  <c r="I1250" i="4"/>
  <c r="H1250" i="4"/>
  <c r="U1249" i="4"/>
  <c r="J1249" i="4"/>
  <c r="I1249" i="4"/>
  <c r="H1249" i="4"/>
  <c r="J1248" i="4"/>
  <c r="I1248" i="4"/>
  <c r="H1248" i="4"/>
  <c r="J1247" i="4"/>
  <c r="I1247" i="4"/>
  <c r="H1247" i="4"/>
  <c r="J1246" i="4"/>
  <c r="I1246" i="4"/>
  <c r="H1246" i="4"/>
  <c r="J1245" i="4"/>
  <c r="I1245" i="4"/>
  <c r="H1245" i="4"/>
  <c r="J1244" i="4"/>
  <c r="I1244" i="4"/>
  <c r="H1244" i="4"/>
  <c r="J1243" i="4"/>
  <c r="I1243" i="4"/>
  <c r="H1243" i="4"/>
  <c r="J1242" i="4"/>
  <c r="I1242" i="4"/>
  <c r="H1242" i="4"/>
  <c r="J1241" i="4"/>
  <c r="I1241" i="4"/>
  <c r="H1241" i="4"/>
  <c r="J1240" i="4"/>
  <c r="I1240" i="4"/>
  <c r="H1240" i="4"/>
  <c r="U1239" i="4"/>
  <c r="J1239" i="4"/>
  <c r="I1239" i="4"/>
  <c r="H1239" i="4"/>
  <c r="U1238" i="4"/>
  <c r="J1238" i="4"/>
  <c r="I1238" i="4"/>
  <c r="H1238" i="4"/>
  <c r="J1237" i="4"/>
  <c r="I1237" i="4"/>
  <c r="H1237" i="4"/>
  <c r="U1236" i="4"/>
  <c r="U1237" i="4" s="1"/>
  <c r="J1236" i="4"/>
  <c r="I1236" i="4"/>
  <c r="H1236" i="4"/>
  <c r="U1235" i="4"/>
  <c r="J1235" i="4"/>
  <c r="I1235" i="4"/>
  <c r="H1235" i="4"/>
  <c r="J1234" i="4"/>
  <c r="I1234" i="4"/>
  <c r="H1234" i="4"/>
  <c r="J1233" i="4"/>
  <c r="I1233" i="4"/>
  <c r="H1233" i="4"/>
  <c r="J1232" i="4"/>
  <c r="I1232" i="4"/>
  <c r="H1232" i="4"/>
  <c r="J1231" i="4"/>
  <c r="I1231" i="4"/>
  <c r="H1231" i="4"/>
  <c r="J1230" i="4"/>
  <c r="I1230" i="4"/>
  <c r="H1230" i="4"/>
  <c r="U1229" i="4"/>
  <c r="U1230" i="4" s="1"/>
  <c r="U1231" i="4" s="1"/>
  <c r="U1232" i="4" s="1"/>
  <c r="U1233" i="4" s="1"/>
  <c r="J1229" i="4"/>
  <c r="I1229" i="4"/>
  <c r="H1229" i="4"/>
  <c r="U1228" i="4"/>
  <c r="J1228" i="4"/>
  <c r="I1228" i="4"/>
  <c r="H1228" i="4"/>
  <c r="U1227" i="4"/>
  <c r="J1227" i="4"/>
  <c r="I1227" i="4"/>
  <c r="H1227" i="4"/>
  <c r="U1226" i="4"/>
  <c r="J1226" i="4"/>
  <c r="I1226" i="4"/>
  <c r="H1226" i="4"/>
  <c r="U1225" i="4"/>
  <c r="J1225" i="4"/>
  <c r="I1225" i="4"/>
  <c r="H1225" i="4"/>
  <c r="U1224" i="4"/>
  <c r="J1224" i="4"/>
  <c r="I1224" i="4"/>
  <c r="H1224" i="4"/>
  <c r="U1223" i="4"/>
  <c r="J1223" i="4"/>
  <c r="I1223" i="4"/>
  <c r="H1223" i="4"/>
  <c r="U1222" i="4"/>
  <c r="J1222" i="4"/>
  <c r="I1222" i="4"/>
  <c r="H1222" i="4"/>
  <c r="V768" i="4"/>
  <c r="U768" i="4"/>
  <c r="T768" i="4" s="1"/>
  <c r="J768" i="4"/>
  <c r="I768" i="4"/>
  <c r="H768" i="4"/>
  <c r="V767" i="4"/>
  <c r="U767" i="4"/>
  <c r="T767" i="4" s="1"/>
  <c r="J767" i="4"/>
  <c r="I767" i="4"/>
  <c r="H767" i="4"/>
  <c r="V766" i="4"/>
  <c r="U766" i="4"/>
  <c r="T766" i="4" s="1"/>
  <c r="J766" i="4"/>
  <c r="I766" i="4"/>
  <c r="H766" i="4"/>
  <c r="V765" i="4"/>
  <c r="U765" i="4"/>
  <c r="T765" i="4" s="1"/>
  <c r="J765" i="4"/>
  <c r="I765" i="4"/>
  <c r="H765" i="4"/>
  <c r="V764" i="4"/>
  <c r="U764" i="4"/>
  <c r="T764" i="4" s="1"/>
  <c r="J764" i="4"/>
  <c r="I764" i="4"/>
  <c r="H764" i="4"/>
  <c r="V763" i="4"/>
  <c r="J763" i="4"/>
  <c r="I763" i="4"/>
  <c r="H763" i="4"/>
  <c r="V762" i="4"/>
  <c r="J762" i="4"/>
  <c r="I762" i="4"/>
  <c r="H762" i="4"/>
  <c r="V761" i="4"/>
  <c r="J761" i="4"/>
  <c r="I761" i="4"/>
  <c r="H761" i="4"/>
  <c r="V760" i="4"/>
  <c r="J760" i="4"/>
  <c r="I760" i="4"/>
  <c r="H760" i="4"/>
  <c r="V759" i="4"/>
  <c r="J759" i="4"/>
  <c r="I759" i="4"/>
  <c r="H759" i="4"/>
  <c r="V758" i="4"/>
  <c r="J758" i="4"/>
  <c r="I758" i="4"/>
  <c r="H758" i="4"/>
  <c r="V757" i="4"/>
  <c r="J757" i="4"/>
  <c r="I757" i="4"/>
  <c r="H757" i="4"/>
  <c r="V756" i="4"/>
  <c r="J756" i="4"/>
  <c r="I756" i="4"/>
  <c r="H756" i="4"/>
  <c r="V755" i="4"/>
  <c r="J755" i="4"/>
  <c r="I755" i="4"/>
  <c r="H755" i="4"/>
  <c r="V754" i="4"/>
  <c r="J754" i="4"/>
  <c r="I754" i="4"/>
  <c r="H754" i="4"/>
  <c r="V753" i="4"/>
  <c r="J753" i="4"/>
  <c r="I753" i="4"/>
  <c r="H753" i="4"/>
  <c r="V752" i="4"/>
  <c r="U752" i="4"/>
  <c r="T752" i="4" s="1"/>
  <c r="J752" i="4"/>
  <c r="I752" i="4"/>
  <c r="H752" i="4"/>
  <c r="V751" i="4"/>
  <c r="U751" i="4"/>
  <c r="T751" i="4" s="1"/>
  <c r="J751" i="4"/>
  <c r="I751" i="4"/>
  <c r="H751" i="4"/>
  <c r="V750" i="4"/>
  <c r="U750" i="4"/>
  <c r="T750" i="4" s="1"/>
  <c r="J750" i="4"/>
  <c r="I750" i="4"/>
  <c r="H750" i="4"/>
  <c r="V749" i="4"/>
  <c r="U749" i="4"/>
  <c r="U759" i="4" s="1"/>
  <c r="T759" i="4" s="1"/>
  <c r="J749" i="4"/>
  <c r="I749" i="4"/>
  <c r="H749" i="4"/>
  <c r="V748" i="4"/>
  <c r="U748" i="4"/>
  <c r="T748" i="4" s="1"/>
  <c r="J748" i="4"/>
  <c r="I748" i="4"/>
  <c r="H748" i="4"/>
  <c r="V747" i="4"/>
  <c r="U747" i="4"/>
  <c r="T747" i="4" s="1"/>
  <c r="J747" i="4"/>
  <c r="I747" i="4"/>
  <c r="H747" i="4"/>
  <c r="V746" i="4"/>
  <c r="U746" i="4"/>
  <c r="T746" i="4" s="1"/>
  <c r="J746" i="4"/>
  <c r="I746" i="4"/>
  <c r="H746" i="4"/>
  <c r="V745" i="4"/>
  <c r="U745" i="4"/>
  <c r="T745" i="4" s="1"/>
  <c r="J745" i="4"/>
  <c r="I745" i="4"/>
  <c r="H745" i="4"/>
  <c r="V744" i="4"/>
  <c r="U744" i="4"/>
  <c r="T744" i="4" s="1"/>
  <c r="J744" i="4"/>
  <c r="I744" i="4"/>
  <c r="H744" i="4"/>
  <c r="V743" i="4"/>
  <c r="U743" i="4"/>
  <c r="U762" i="4" s="1"/>
  <c r="T762" i="4" s="1"/>
  <c r="J743" i="4"/>
  <c r="I743" i="4"/>
  <c r="H743" i="4"/>
  <c r="V742" i="4"/>
  <c r="U742" i="4"/>
  <c r="T742" i="4" s="1"/>
  <c r="J742" i="4"/>
  <c r="I742" i="4"/>
  <c r="H742" i="4"/>
  <c r="V741" i="4"/>
  <c r="U741" i="4"/>
  <c r="U761" i="4" s="1"/>
  <c r="T761" i="4" s="1"/>
  <c r="J741" i="4"/>
  <c r="I741" i="4"/>
  <c r="H741" i="4"/>
  <c r="V740" i="4"/>
  <c r="U740" i="4"/>
  <c r="T740" i="4" s="1"/>
  <c r="J740" i="4"/>
  <c r="I740" i="4"/>
  <c r="H740" i="4"/>
  <c r="V739" i="4"/>
  <c r="U739" i="4"/>
  <c r="U760" i="4" s="1"/>
  <c r="T760" i="4" s="1"/>
  <c r="J739" i="4"/>
  <c r="I739" i="4"/>
  <c r="H739" i="4"/>
  <c r="V738" i="4"/>
  <c r="U738" i="4"/>
  <c r="T738" i="4" s="1"/>
  <c r="J738" i="4"/>
  <c r="I738" i="4"/>
  <c r="H738" i="4"/>
  <c r="V737" i="4"/>
  <c r="U737" i="4"/>
  <c r="U753" i="4" s="1"/>
  <c r="T753" i="4" s="1"/>
  <c r="J737" i="4"/>
  <c r="I737" i="4"/>
  <c r="H737" i="4"/>
  <c r="V736" i="4"/>
  <c r="U736" i="4"/>
  <c r="T736" i="4" s="1"/>
  <c r="J736" i="4"/>
  <c r="I736" i="4"/>
  <c r="H736" i="4"/>
  <c r="T191" i="4"/>
  <c r="R191" i="4"/>
  <c r="J191" i="4"/>
  <c r="I191" i="4"/>
  <c r="H191" i="4"/>
  <c r="U190" i="4"/>
  <c r="T190" i="4" s="1"/>
  <c r="J190" i="4"/>
  <c r="I190" i="4"/>
  <c r="H190" i="4"/>
  <c r="U189" i="4"/>
  <c r="T189" i="4" s="1"/>
  <c r="J189" i="4"/>
  <c r="I189" i="4"/>
  <c r="H189" i="4"/>
  <c r="U188" i="4"/>
  <c r="T188" i="4" s="1"/>
  <c r="J188" i="4"/>
  <c r="I188" i="4"/>
  <c r="H188" i="4"/>
  <c r="U187" i="4"/>
  <c r="T187" i="4" s="1"/>
  <c r="J187" i="4"/>
  <c r="I187" i="4"/>
  <c r="H187" i="4"/>
  <c r="U186" i="4"/>
  <c r="T186" i="4" s="1"/>
  <c r="J186" i="4"/>
  <c r="I186" i="4"/>
  <c r="H186" i="4"/>
  <c r="U185" i="4"/>
  <c r="T185" i="4" s="1"/>
  <c r="J185" i="4"/>
  <c r="I185" i="4"/>
  <c r="H185" i="4"/>
  <c r="U184" i="4"/>
  <c r="T184" i="4" s="1"/>
  <c r="J184" i="4"/>
  <c r="I184" i="4"/>
  <c r="H184" i="4"/>
  <c r="U183" i="4"/>
  <c r="T183" i="4" s="1"/>
  <c r="J183" i="4"/>
  <c r="I183" i="4"/>
  <c r="H183" i="4"/>
  <c r="T182" i="4"/>
  <c r="R182" i="4"/>
  <c r="J182" i="4"/>
  <c r="I182" i="4"/>
  <c r="H182" i="4"/>
  <c r="T181" i="4"/>
  <c r="R181" i="4"/>
  <c r="J181" i="4"/>
  <c r="I181" i="4"/>
  <c r="H181" i="4"/>
  <c r="U180" i="4"/>
  <c r="T180" i="4" s="1"/>
  <c r="J180" i="4"/>
  <c r="I180" i="4"/>
  <c r="H180" i="4"/>
  <c r="U179" i="4"/>
  <c r="T179" i="4" s="1"/>
  <c r="J179" i="4"/>
  <c r="I179" i="4"/>
  <c r="H179" i="4"/>
  <c r="U178" i="4"/>
  <c r="T178" i="4" s="1"/>
  <c r="J178" i="4"/>
  <c r="I178" i="4"/>
  <c r="H178" i="4"/>
  <c r="U177" i="4"/>
  <c r="T177" i="4" s="1"/>
  <c r="J177" i="4"/>
  <c r="I177" i="4"/>
  <c r="H177" i="4"/>
  <c r="U176" i="4"/>
  <c r="T176" i="4" s="1"/>
  <c r="J176" i="4"/>
  <c r="I176" i="4"/>
  <c r="H176" i="4"/>
  <c r="U175" i="4"/>
  <c r="T175" i="4" s="1"/>
  <c r="J175" i="4"/>
  <c r="I175" i="4"/>
  <c r="H175" i="4"/>
  <c r="U174" i="4"/>
  <c r="T174" i="4" s="1"/>
  <c r="J174" i="4"/>
  <c r="I174" i="4"/>
  <c r="H174" i="4"/>
  <c r="U173" i="4"/>
  <c r="T173" i="4" s="1"/>
  <c r="J173" i="4"/>
  <c r="I173" i="4"/>
  <c r="H173" i="4"/>
  <c r="T172" i="4"/>
  <c r="R172" i="4"/>
  <c r="J172" i="4"/>
  <c r="I172" i="4"/>
  <c r="H172" i="4"/>
  <c r="T171" i="4"/>
  <c r="R171" i="4"/>
  <c r="J171" i="4"/>
  <c r="I171" i="4"/>
  <c r="H171" i="4"/>
  <c r="T170" i="4"/>
  <c r="R170" i="4"/>
  <c r="J170" i="4"/>
  <c r="I170" i="4"/>
  <c r="H170" i="4"/>
  <c r="T169" i="4"/>
  <c r="R169" i="4"/>
  <c r="J169" i="4"/>
  <c r="I169" i="4"/>
  <c r="H169" i="4"/>
  <c r="T168" i="4"/>
  <c r="R168" i="4"/>
  <c r="J168" i="4"/>
  <c r="I168" i="4"/>
  <c r="H168" i="4"/>
  <c r="T167" i="4"/>
  <c r="R167" i="4"/>
  <c r="J167" i="4"/>
  <c r="I167" i="4"/>
  <c r="H167" i="4"/>
  <c r="T166" i="4"/>
  <c r="R166" i="4"/>
  <c r="J166" i="4"/>
  <c r="I166" i="4"/>
  <c r="H166" i="4"/>
  <c r="T165" i="4"/>
  <c r="R165" i="4"/>
  <c r="J165" i="4"/>
  <c r="I165" i="4"/>
  <c r="H165" i="4"/>
  <c r="U164" i="4"/>
  <c r="T164" i="4" s="1"/>
  <c r="J164" i="4"/>
  <c r="I164" i="4"/>
  <c r="H164" i="4"/>
  <c r="U163" i="4"/>
  <c r="T163" i="4" s="1"/>
  <c r="J163" i="4"/>
  <c r="I163" i="4"/>
  <c r="H163" i="4"/>
  <c r="U162" i="4"/>
  <c r="T162" i="4" s="1"/>
  <c r="J162" i="4"/>
  <c r="I162" i="4"/>
  <c r="H162" i="4"/>
  <c r="U161" i="4"/>
  <c r="T161" i="4" s="1"/>
  <c r="J161" i="4"/>
  <c r="I161" i="4"/>
  <c r="H161" i="4"/>
  <c r="U160" i="4"/>
  <c r="T160" i="4" s="1"/>
  <c r="J160" i="4"/>
  <c r="I160" i="4"/>
  <c r="H160" i="4"/>
  <c r="U159" i="4"/>
  <c r="T159" i="4" s="1"/>
  <c r="J159" i="4"/>
  <c r="I159" i="4"/>
  <c r="H159" i="4"/>
  <c r="U158" i="4"/>
  <c r="T158" i="4" s="1"/>
  <c r="J158" i="4"/>
  <c r="I158" i="4"/>
  <c r="H158" i="4"/>
  <c r="U157" i="4"/>
  <c r="T157" i="4" s="1"/>
  <c r="J157" i="4"/>
  <c r="I157" i="4"/>
  <c r="H157" i="4"/>
  <c r="U156" i="4"/>
  <c r="T156" i="4" s="1"/>
  <c r="J156" i="4"/>
  <c r="I156" i="4"/>
  <c r="H156" i="4"/>
  <c r="U155" i="4"/>
  <c r="T155" i="4" s="1"/>
  <c r="J155" i="4"/>
  <c r="I155" i="4"/>
  <c r="H155" i="4"/>
  <c r="U154" i="4"/>
  <c r="T154" i="4" s="1"/>
  <c r="J154" i="4"/>
  <c r="I154" i="4"/>
  <c r="H154" i="4"/>
  <c r="U153" i="4"/>
  <c r="T153" i="4" s="1"/>
  <c r="J153" i="4"/>
  <c r="I153" i="4"/>
  <c r="H153" i="4"/>
  <c r="U152" i="4"/>
  <c r="T152" i="4" s="1"/>
  <c r="J152" i="4"/>
  <c r="I152" i="4"/>
  <c r="H152" i="4"/>
  <c r="U151" i="4"/>
  <c r="T151" i="4" s="1"/>
  <c r="J151" i="4"/>
  <c r="I151" i="4"/>
  <c r="H151" i="4"/>
  <c r="U150" i="4"/>
  <c r="T150" i="4" s="1"/>
  <c r="J150" i="4"/>
  <c r="I150" i="4"/>
  <c r="H150" i="4"/>
  <c r="U149" i="4"/>
  <c r="T149" i="4" s="1"/>
  <c r="J149" i="4"/>
  <c r="I149" i="4"/>
  <c r="H149" i="4"/>
  <c r="U148" i="4"/>
  <c r="T148" i="4" s="1"/>
  <c r="J148" i="4"/>
  <c r="I148" i="4"/>
  <c r="H148" i="4"/>
  <c r="T147" i="4"/>
  <c r="R147" i="4"/>
  <c r="J147" i="4"/>
  <c r="I147" i="4"/>
  <c r="H147" i="4"/>
  <c r="T146" i="4"/>
  <c r="R146" i="4"/>
  <c r="J146" i="4"/>
  <c r="I146" i="4"/>
  <c r="H146" i="4"/>
  <c r="T145" i="4"/>
  <c r="R145" i="4"/>
  <c r="J145" i="4"/>
  <c r="I145" i="4"/>
  <c r="H145" i="4"/>
  <c r="T144" i="4"/>
  <c r="R144" i="4"/>
  <c r="J144" i="4"/>
  <c r="I144" i="4"/>
  <c r="H144" i="4"/>
  <c r="T143" i="4"/>
  <c r="R143" i="4"/>
  <c r="J143" i="4"/>
  <c r="I143" i="4"/>
  <c r="H143" i="4"/>
  <c r="T142" i="4"/>
  <c r="R142" i="4"/>
  <c r="J142" i="4"/>
  <c r="I142" i="4"/>
  <c r="H142" i="4"/>
  <c r="T141" i="4"/>
  <c r="R141" i="4"/>
  <c r="J141" i="4"/>
  <c r="I141" i="4"/>
  <c r="H141" i="4"/>
  <c r="T140" i="4"/>
  <c r="R140" i="4"/>
  <c r="J140" i="4"/>
  <c r="I140" i="4"/>
  <c r="H140" i="4"/>
  <c r="T139" i="4"/>
  <c r="R139" i="4"/>
  <c r="J139" i="4"/>
  <c r="I139" i="4"/>
  <c r="H139" i="4"/>
  <c r="T138" i="4"/>
  <c r="R138" i="4"/>
  <c r="J138" i="4"/>
  <c r="I138" i="4"/>
  <c r="H138" i="4"/>
  <c r="U137" i="4"/>
  <c r="T137" i="4" s="1"/>
  <c r="J137" i="4"/>
  <c r="I137" i="4"/>
  <c r="H137" i="4"/>
  <c r="U136" i="4"/>
  <c r="T136" i="4" s="1"/>
  <c r="J136" i="4"/>
  <c r="I136" i="4"/>
  <c r="H136" i="4"/>
  <c r="U135" i="4"/>
  <c r="T135" i="4" s="1"/>
  <c r="J135" i="4"/>
  <c r="I135" i="4"/>
  <c r="H135" i="4"/>
  <c r="U134" i="4"/>
  <c r="T134" i="4" s="1"/>
  <c r="J134" i="4"/>
  <c r="I134" i="4"/>
  <c r="H134" i="4"/>
  <c r="U133" i="4"/>
  <c r="T133" i="4" s="1"/>
  <c r="J133" i="4"/>
  <c r="I133" i="4"/>
  <c r="H133" i="4"/>
  <c r="U132" i="4"/>
  <c r="T132" i="4" s="1"/>
  <c r="J132" i="4"/>
  <c r="I132" i="4"/>
  <c r="H132" i="4"/>
  <c r="U131" i="4"/>
  <c r="T131" i="4" s="1"/>
  <c r="J131" i="4"/>
  <c r="I131" i="4"/>
  <c r="H131" i="4"/>
  <c r="U130" i="4"/>
  <c r="T130" i="4" s="1"/>
  <c r="J130" i="4"/>
  <c r="I130" i="4"/>
  <c r="H130" i="4"/>
  <c r="U129" i="4"/>
  <c r="T129" i="4" s="1"/>
  <c r="J129" i="4"/>
  <c r="I129" i="4"/>
  <c r="H129" i="4"/>
  <c r="U128" i="4"/>
  <c r="T128" i="4" s="1"/>
  <c r="J128" i="4"/>
  <c r="I128" i="4"/>
  <c r="H128" i="4"/>
  <c r="U127" i="4"/>
  <c r="T127" i="4" s="1"/>
  <c r="J127" i="4"/>
  <c r="I127" i="4"/>
  <c r="H127" i="4"/>
  <c r="U126" i="4"/>
  <c r="T126" i="4" s="1"/>
  <c r="J126" i="4"/>
  <c r="I126" i="4"/>
  <c r="H126" i="4"/>
  <c r="R124" i="4"/>
  <c r="J124" i="4"/>
  <c r="I124" i="4"/>
  <c r="H124" i="4"/>
  <c r="R123" i="4"/>
  <c r="J123" i="4"/>
  <c r="I123" i="4"/>
  <c r="H123" i="4"/>
  <c r="R122" i="4"/>
  <c r="J122" i="4"/>
  <c r="I122" i="4"/>
  <c r="H122" i="4"/>
  <c r="R121" i="4"/>
  <c r="J121" i="4"/>
  <c r="I121" i="4"/>
  <c r="H121" i="4"/>
  <c r="R120" i="4"/>
  <c r="J120" i="4"/>
  <c r="I120" i="4"/>
  <c r="H120" i="4"/>
  <c r="R119" i="4"/>
  <c r="J119" i="4"/>
  <c r="I119" i="4"/>
  <c r="H119" i="4"/>
  <c r="R118" i="4"/>
  <c r="J118" i="4"/>
  <c r="I118" i="4"/>
  <c r="H118" i="4"/>
  <c r="R117" i="4"/>
  <c r="J117" i="4"/>
  <c r="I117" i="4"/>
  <c r="H117" i="4"/>
  <c r="R116" i="4"/>
  <c r="J116" i="4"/>
  <c r="I116" i="4"/>
  <c r="H116" i="4"/>
  <c r="R115" i="4"/>
  <c r="J115" i="4"/>
  <c r="I115" i="4"/>
  <c r="H115" i="4"/>
  <c r="R114" i="4"/>
  <c r="J114" i="4"/>
  <c r="I114" i="4"/>
  <c r="H114" i="4"/>
  <c r="R113" i="4"/>
  <c r="J113" i="4"/>
  <c r="I113" i="4"/>
  <c r="H113" i="4"/>
  <c r="R112" i="4"/>
  <c r="J112" i="4"/>
  <c r="I112" i="4"/>
  <c r="H112" i="4"/>
  <c r="R111" i="4"/>
  <c r="J111" i="4"/>
  <c r="I111" i="4"/>
  <c r="H111" i="4"/>
  <c r="R110" i="4"/>
  <c r="J110" i="4"/>
  <c r="I110" i="4"/>
  <c r="H110" i="4"/>
  <c r="R109" i="4"/>
  <c r="J109" i="4"/>
  <c r="I109" i="4"/>
  <c r="H109" i="4"/>
  <c r="R108" i="4"/>
  <c r="J108" i="4"/>
  <c r="I108" i="4"/>
  <c r="H108" i="4"/>
  <c r="R107" i="4"/>
  <c r="J107" i="4"/>
  <c r="I107" i="4"/>
  <c r="H107" i="4"/>
  <c r="R106" i="4"/>
  <c r="J106" i="4"/>
  <c r="I106" i="4"/>
  <c r="H106" i="4"/>
  <c r="R105" i="4"/>
  <c r="J105" i="4"/>
  <c r="I105" i="4"/>
  <c r="H105" i="4"/>
  <c r="R104" i="4"/>
  <c r="J104" i="4"/>
  <c r="I104" i="4"/>
  <c r="H104" i="4"/>
  <c r="R103" i="4"/>
  <c r="J103" i="4"/>
  <c r="I103" i="4"/>
  <c r="H103" i="4"/>
  <c r="R102" i="4"/>
  <c r="J102" i="4"/>
  <c r="I102" i="4"/>
  <c r="H102" i="4"/>
  <c r="R101" i="4"/>
  <c r="J101" i="4"/>
  <c r="I101" i="4"/>
  <c r="H101" i="4"/>
  <c r="R100" i="4"/>
  <c r="J100" i="4"/>
  <c r="I100" i="4"/>
  <c r="H100" i="4"/>
  <c r="R99" i="4"/>
  <c r="J99" i="4"/>
  <c r="I99" i="4"/>
  <c r="H99" i="4"/>
  <c r="R98" i="4"/>
  <c r="J98" i="4"/>
  <c r="I98" i="4"/>
  <c r="H98" i="4"/>
  <c r="R97" i="4"/>
  <c r="J97" i="4"/>
  <c r="I97" i="4"/>
  <c r="H97" i="4"/>
  <c r="R96" i="4"/>
  <c r="J96" i="4"/>
  <c r="I96" i="4"/>
  <c r="H96" i="4"/>
  <c r="R95" i="4"/>
  <c r="J95" i="4"/>
  <c r="I95" i="4"/>
  <c r="H95" i="4"/>
  <c r="R94" i="4"/>
  <c r="J94" i="4"/>
  <c r="I94" i="4"/>
  <c r="H94" i="4"/>
  <c r="R93" i="4"/>
  <c r="J93" i="4"/>
  <c r="I93" i="4"/>
  <c r="H93" i="4"/>
  <c r="R92" i="4"/>
  <c r="J92" i="4"/>
  <c r="I92" i="4"/>
  <c r="H92" i="4"/>
  <c r="R91" i="4"/>
  <c r="J91" i="4"/>
  <c r="I91" i="4"/>
  <c r="H91" i="4"/>
  <c r="R90" i="4"/>
  <c r="J90" i="4"/>
  <c r="I90" i="4"/>
  <c r="H90" i="4"/>
  <c r="R89" i="4"/>
  <c r="J89" i="4"/>
  <c r="I89" i="4"/>
  <c r="H89" i="4"/>
  <c r="R88" i="4"/>
  <c r="J88" i="4"/>
  <c r="I88" i="4"/>
  <c r="H88" i="4"/>
  <c r="R87" i="4"/>
  <c r="J87" i="4"/>
  <c r="I87" i="4"/>
  <c r="H87" i="4"/>
  <c r="R86" i="4"/>
  <c r="J86" i="4"/>
  <c r="I86" i="4"/>
  <c r="H86" i="4"/>
  <c r="R85" i="4"/>
  <c r="J85" i="4"/>
  <c r="I85" i="4"/>
  <c r="H85" i="4"/>
  <c r="R84" i="4"/>
  <c r="J84" i="4"/>
  <c r="I84" i="4"/>
  <c r="H84" i="4"/>
  <c r="R83" i="4"/>
  <c r="J83" i="4"/>
  <c r="I83" i="4"/>
  <c r="H83" i="4"/>
  <c r="R82" i="4"/>
  <c r="J82" i="4"/>
  <c r="I82" i="4"/>
  <c r="H82" i="4"/>
  <c r="R81" i="4"/>
  <c r="J81" i="4"/>
  <c r="I81" i="4"/>
  <c r="H81" i="4"/>
  <c r="R80" i="4"/>
  <c r="J80" i="4"/>
  <c r="I80" i="4"/>
  <c r="H80" i="4"/>
  <c r="R79" i="4"/>
  <c r="J79" i="4"/>
  <c r="I79" i="4"/>
  <c r="H79" i="4"/>
  <c r="R78" i="4"/>
  <c r="J78" i="4"/>
  <c r="I78" i="4"/>
  <c r="H78" i="4"/>
  <c r="R77" i="4"/>
  <c r="J77" i="4"/>
  <c r="I77" i="4"/>
  <c r="H77" i="4"/>
  <c r="R76" i="4"/>
  <c r="J76" i="4"/>
  <c r="I76" i="4"/>
  <c r="H76" i="4"/>
  <c r="R75" i="4"/>
  <c r="J75" i="4"/>
  <c r="I75" i="4"/>
  <c r="H75" i="4"/>
  <c r="R74" i="4"/>
  <c r="J74" i="4"/>
  <c r="I74" i="4"/>
  <c r="H74" i="4"/>
  <c r="R73" i="4"/>
  <c r="J73" i="4"/>
  <c r="I73" i="4"/>
  <c r="H73" i="4"/>
  <c r="R72" i="4"/>
  <c r="J72" i="4"/>
  <c r="I72" i="4"/>
  <c r="H72" i="4"/>
  <c r="R71" i="4"/>
  <c r="J71" i="4"/>
  <c r="I71" i="4"/>
  <c r="H71" i="4"/>
  <c r="R70" i="4"/>
  <c r="J70" i="4"/>
  <c r="I70" i="4"/>
  <c r="H70" i="4"/>
  <c r="R69" i="4"/>
  <c r="J69" i="4"/>
  <c r="I69" i="4"/>
  <c r="H69" i="4"/>
  <c r="R68" i="4"/>
  <c r="J68" i="4"/>
  <c r="I68" i="4"/>
  <c r="H68" i="4"/>
  <c r="V66" i="4"/>
  <c r="R66" i="4"/>
  <c r="H66" i="4"/>
  <c r="F66" i="4"/>
  <c r="J66" i="4" s="1"/>
  <c r="V65" i="4"/>
  <c r="R65" i="4"/>
  <c r="H65" i="4"/>
  <c r="F65" i="4"/>
  <c r="J65" i="4" s="1"/>
  <c r="V64" i="4"/>
  <c r="R64" i="4"/>
  <c r="H64" i="4"/>
  <c r="F64" i="4"/>
  <c r="J64" i="4" s="1"/>
  <c r="V63" i="4"/>
  <c r="R63" i="4"/>
  <c r="H63" i="4"/>
  <c r="F63" i="4"/>
  <c r="I63" i="4" s="1"/>
  <c r="V62" i="4"/>
  <c r="R62" i="4"/>
  <c r="H62" i="4"/>
  <c r="F62" i="4"/>
  <c r="J62" i="4" s="1"/>
  <c r="V61" i="4"/>
  <c r="R61" i="4"/>
  <c r="H61" i="4"/>
  <c r="F61" i="4"/>
  <c r="J61" i="4" s="1"/>
  <c r="V60" i="4"/>
  <c r="R60" i="4"/>
  <c r="H60" i="4"/>
  <c r="F60" i="4"/>
  <c r="J60" i="4" s="1"/>
  <c r="V59" i="4"/>
  <c r="R59" i="4"/>
  <c r="H59" i="4"/>
  <c r="F59" i="4"/>
  <c r="J59" i="4" s="1"/>
  <c r="V58" i="4"/>
  <c r="R58" i="4"/>
  <c r="H58" i="4"/>
  <c r="F58" i="4"/>
  <c r="J58" i="4" s="1"/>
  <c r="V57" i="4"/>
  <c r="R57" i="4"/>
  <c r="H57" i="4"/>
  <c r="F57" i="4"/>
  <c r="J57" i="4" s="1"/>
  <c r="V56" i="4"/>
  <c r="R56" i="4"/>
  <c r="H56" i="4"/>
  <c r="F56" i="4"/>
  <c r="I56" i="4" s="1"/>
  <c r="V55" i="4"/>
  <c r="R55" i="4"/>
  <c r="H55" i="4"/>
  <c r="F55" i="4"/>
  <c r="I55" i="4" s="1"/>
  <c r="V54" i="4"/>
  <c r="R54" i="4"/>
  <c r="H54" i="4"/>
  <c r="F54" i="4"/>
  <c r="J54" i="4" s="1"/>
  <c r="V53" i="4"/>
  <c r="R53" i="4"/>
  <c r="H53" i="4"/>
  <c r="F53" i="4"/>
  <c r="J53" i="4" s="1"/>
  <c r="V52" i="4"/>
  <c r="R52" i="4"/>
  <c r="H52" i="4"/>
  <c r="F52" i="4"/>
  <c r="J52" i="4" s="1"/>
  <c r="V51" i="4"/>
  <c r="R51" i="4"/>
  <c r="H51" i="4"/>
  <c r="F51" i="4"/>
  <c r="J51" i="4" s="1"/>
  <c r="V50" i="4"/>
  <c r="R50" i="4"/>
  <c r="H50" i="4"/>
  <c r="F50" i="4"/>
  <c r="J50" i="4" s="1"/>
  <c r="V49" i="4"/>
  <c r="R49" i="4"/>
  <c r="H49" i="4"/>
  <c r="F49" i="4"/>
  <c r="J49" i="4" s="1"/>
  <c r="V48" i="4"/>
  <c r="R48" i="4"/>
  <c r="H48" i="4"/>
  <c r="F48" i="4"/>
  <c r="I48" i="4" s="1"/>
  <c r="V47" i="4"/>
  <c r="R47" i="4"/>
  <c r="H47" i="4"/>
  <c r="F47" i="4"/>
  <c r="I47" i="4" s="1"/>
  <c r="V46" i="4"/>
  <c r="R46" i="4"/>
  <c r="H46" i="4"/>
  <c r="F46" i="4"/>
  <c r="J46" i="4" s="1"/>
  <c r="V45" i="4"/>
  <c r="R45" i="4"/>
  <c r="H45" i="4"/>
  <c r="F45" i="4"/>
  <c r="J45" i="4" s="1"/>
  <c r="V44" i="4"/>
  <c r="R44" i="4"/>
  <c r="H44" i="4"/>
  <c r="F44" i="4"/>
  <c r="J44" i="4" s="1"/>
  <c r="V43" i="4"/>
  <c r="R43" i="4"/>
  <c r="H43" i="4"/>
  <c r="F43" i="4"/>
  <c r="J43" i="4" s="1"/>
  <c r="V42" i="4"/>
  <c r="R42" i="4"/>
  <c r="H42" i="4"/>
  <c r="F42" i="4"/>
  <c r="J42" i="4" s="1"/>
  <c r="V41" i="4"/>
  <c r="R41" i="4"/>
  <c r="H41" i="4"/>
  <c r="F41" i="4"/>
  <c r="J41" i="4" s="1"/>
  <c r="V40" i="4"/>
  <c r="R40" i="4"/>
  <c r="H40" i="4"/>
  <c r="F40" i="4"/>
  <c r="I40" i="4" s="1"/>
  <c r="V39" i="4"/>
  <c r="R39" i="4"/>
  <c r="H39" i="4"/>
  <c r="F39" i="4"/>
  <c r="I39" i="4" s="1"/>
  <c r="V38" i="4"/>
  <c r="R38" i="4"/>
  <c r="H38" i="4"/>
  <c r="F38" i="4"/>
  <c r="J38" i="4" s="1"/>
  <c r="V37" i="4"/>
  <c r="R37" i="4"/>
  <c r="H37" i="4"/>
  <c r="F37" i="4"/>
  <c r="J37" i="4" s="1"/>
  <c r="V36" i="4"/>
  <c r="R36" i="4"/>
  <c r="H36" i="4"/>
  <c r="F36" i="4"/>
  <c r="J36" i="4" s="1"/>
  <c r="V35" i="4"/>
  <c r="R35" i="4"/>
  <c r="H35" i="4"/>
  <c r="F35" i="4"/>
  <c r="J35" i="4" s="1"/>
  <c r="V34" i="4"/>
  <c r="R34" i="4"/>
  <c r="H34" i="4"/>
  <c r="F34" i="4"/>
  <c r="J34" i="4" s="1"/>
  <c r="V33" i="4"/>
  <c r="R33" i="4"/>
  <c r="H33" i="4"/>
  <c r="F33" i="4"/>
  <c r="J33" i="4" s="1"/>
  <c r="V32" i="4"/>
  <c r="T32" i="4"/>
  <c r="T43" i="4" s="1"/>
  <c r="T45" i="4" s="1"/>
  <c r="T47" i="4" s="1"/>
  <c r="T36" i="4" s="1"/>
  <c r="R32" i="4"/>
  <c r="H32" i="4"/>
  <c r="F32" i="4"/>
  <c r="J32" i="4" s="1"/>
  <c r="V31" i="4"/>
  <c r="R31" i="4"/>
  <c r="H31" i="4"/>
  <c r="F31" i="4"/>
  <c r="J31" i="4" s="1"/>
  <c r="V30" i="4"/>
  <c r="R30" i="4"/>
  <c r="H30" i="4"/>
  <c r="F30" i="4"/>
  <c r="I30" i="4" s="1"/>
  <c r="V29" i="4"/>
  <c r="R29" i="4"/>
  <c r="H29" i="4"/>
  <c r="F29" i="4"/>
  <c r="J29" i="4" s="1"/>
  <c r="V28" i="4"/>
  <c r="R28" i="4"/>
  <c r="H28" i="4"/>
  <c r="F28" i="4"/>
  <c r="I28" i="4" s="1"/>
  <c r="V27" i="4"/>
  <c r="R27" i="4"/>
  <c r="H27" i="4"/>
  <c r="F27" i="4"/>
  <c r="J27" i="4" s="1"/>
  <c r="V26" i="4"/>
  <c r="R26" i="4"/>
  <c r="H26" i="4"/>
  <c r="F26" i="4"/>
  <c r="J26" i="4" s="1"/>
  <c r="V25" i="4"/>
  <c r="R25" i="4"/>
  <c r="H25" i="4"/>
  <c r="F25" i="4"/>
  <c r="J25" i="4" s="1"/>
  <c r="V24" i="4"/>
  <c r="R24" i="4"/>
  <c r="H24" i="4"/>
  <c r="F24" i="4"/>
  <c r="J24" i="4" s="1"/>
  <c r="V23" i="4"/>
  <c r="R23" i="4"/>
  <c r="H23" i="4"/>
  <c r="F23" i="4"/>
  <c r="J23" i="4" s="1"/>
  <c r="V22" i="4"/>
  <c r="R22" i="4"/>
  <c r="H22" i="4"/>
  <c r="F22" i="4"/>
  <c r="I22" i="4" s="1"/>
  <c r="V21" i="4"/>
  <c r="R21" i="4"/>
  <c r="H21" i="4"/>
  <c r="F21" i="4"/>
  <c r="J21" i="4" s="1"/>
  <c r="V20" i="4"/>
  <c r="R20" i="4"/>
  <c r="H20" i="4"/>
  <c r="F20" i="4"/>
  <c r="I20" i="4" s="1"/>
  <c r="V19" i="4"/>
  <c r="R19" i="4"/>
  <c r="H19" i="4"/>
  <c r="F19" i="4"/>
  <c r="J19" i="4" s="1"/>
  <c r="V18" i="4"/>
  <c r="R18" i="4"/>
  <c r="H18" i="4"/>
  <c r="F18" i="4"/>
  <c r="J18" i="4" s="1"/>
  <c r="V17" i="4"/>
  <c r="R17" i="4"/>
  <c r="H17" i="4"/>
  <c r="F17" i="4"/>
  <c r="I17" i="4" s="1"/>
  <c r="V16" i="4"/>
  <c r="R16" i="4"/>
  <c r="H16" i="4"/>
  <c r="F16" i="4"/>
  <c r="J16" i="4" s="1"/>
  <c r="V15" i="4"/>
  <c r="R15" i="4"/>
  <c r="H15" i="4"/>
  <c r="F15" i="4"/>
  <c r="J15" i="4" s="1"/>
  <c r="V14" i="4"/>
  <c r="R14" i="4"/>
  <c r="H14" i="4"/>
  <c r="F14" i="4"/>
  <c r="I14" i="4" s="1"/>
  <c r="V13" i="4"/>
  <c r="T13" i="4"/>
  <c r="T5" i="4" s="1"/>
  <c r="R13" i="4"/>
  <c r="H13" i="4"/>
  <c r="F13" i="4"/>
  <c r="I13" i="4" s="1"/>
  <c r="V12" i="4"/>
  <c r="T12" i="4"/>
  <c r="T14" i="4" s="1"/>
  <c r="R12" i="4"/>
  <c r="H12" i="4"/>
  <c r="F12" i="4"/>
  <c r="I12" i="4" s="1"/>
  <c r="V11" i="4"/>
  <c r="T11" i="4"/>
  <c r="R11" i="4"/>
  <c r="H11" i="4"/>
  <c r="F11" i="4"/>
  <c r="I11" i="4" s="1"/>
  <c r="V10" i="4"/>
  <c r="R10" i="4"/>
  <c r="H10" i="4"/>
  <c r="F10" i="4"/>
  <c r="I10" i="4" s="1"/>
  <c r="V9" i="4"/>
  <c r="R9" i="4"/>
  <c r="H9" i="4"/>
  <c r="F9" i="4"/>
  <c r="J9" i="4" s="1"/>
  <c r="V8" i="4"/>
  <c r="R8" i="4"/>
  <c r="H8" i="4"/>
  <c r="F8" i="4"/>
  <c r="I8" i="4" s="1"/>
  <c r="V7" i="4"/>
  <c r="R7" i="4"/>
  <c r="H7" i="4"/>
  <c r="F7" i="4"/>
  <c r="J7" i="4" s="1"/>
  <c r="V6" i="4"/>
  <c r="R6" i="4"/>
  <c r="H6" i="4"/>
  <c r="F6" i="4"/>
  <c r="J6" i="4" s="1"/>
  <c r="V5" i="4"/>
  <c r="R5" i="4"/>
  <c r="H5" i="4"/>
  <c r="F5" i="4"/>
  <c r="I5" i="4" s="1"/>
  <c r="V4" i="4"/>
  <c r="R4" i="4"/>
  <c r="H4" i="4"/>
  <c r="F4" i="4"/>
  <c r="I4" i="4" s="1"/>
  <c r="V1877" i="4"/>
  <c r="J1877" i="4"/>
  <c r="I1877" i="4"/>
  <c r="H1877" i="4"/>
  <c r="V1876" i="4"/>
  <c r="J1876" i="4"/>
  <c r="I1876" i="4"/>
  <c r="H1876" i="4"/>
  <c r="V1875" i="4"/>
  <c r="J1875" i="4"/>
  <c r="I1875" i="4"/>
  <c r="H1875" i="4"/>
  <c r="V1874" i="4"/>
  <c r="J1874" i="4"/>
  <c r="I1874" i="4"/>
  <c r="H1874" i="4"/>
  <c r="V1872" i="4"/>
  <c r="U1872" i="4"/>
  <c r="J1872" i="4"/>
  <c r="I1872" i="4"/>
  <c r="H1872" i="4"/>
  <c r="V1871" i="4"/>
  <c r="J1871" i="4"/>
  <c r="I1871" i="4"/>
  <c r="H1871" i="4"/>
  <c r="V1870" i="4"/>
  <c r="J1870" i="4"/>
  <c r="I1870" i="4"/>
  <c r="H1870" i="4"/>
  <c r="V1868" i="4"/>
  <c r="J1868" i="4"/>
  <c r="I1868" i="4"/>
  <c r="H1868" i="4"/>
  <c r="V1867" i="4"/>
  <c r="J1867" i="4"/>
  <c r="I1867" i="4"/>
  <c r="H1867" i="4"/>
  <c r="V1866" i="4"/>
  <c r="U1866" i="4"/>
  <c r="T1866" i="4" s="1"/>
  <c r="J1866" i="4"/>
  <c r="I1866" i="4"/>
  <c r="H1866" i="4"/>
  <c r="V1864" i="4"/>
  <c r="J1864" i="4"/>
  <c r="I1864" i="4"/>
  <c r="H1864" i="4"/>
  <c r="V1863" i="4"/>
  <c r="J1863" i="4"/>
  <c r="I1863" i="4"/>
  <c r="H1863" i="4"/>
  <c r="V1862" i="4"/>
  <c r="J1862" i="4"/>
  <c r="I1862" i="4"/>
  <c r="H1862" i="4"/>
  <c r="V1861" i="4"/>
  <c r="U1861" i="4"/>
  <c r="T1861" i="4" s="1"/>
  <c r="J1861" i="4"/>
  <c r="I1861" i="4"/>
  <c r="H1861" i="4"/>
  <c r="V1859" i="4"/>
  <c r="J1859" i="4"/>
  <c r="I1859" i="4"/>
  <c r="H1859" i="4"/>
  <c r="V1858" i="4"/>
  <c r="J1858" i="4"/>
  <c r="I1858" i="4"/>
  <c r="H1858" i="4"/>
  <c r="V1857" i="4"/>
  <c r="J1857" i="4"/>
  <c r="I1857" i="4"/>
  <c r="H1857" i="4"/>
  <c r="V1856" i="4"/>
  <c r="J1856" i="4"/>
  <c r="I1856" i="4"/>
  <c r="H1856" i="4"/>
  <c r="V1854" i="4"/>
  <c r="J1854" i="4"/>
  <c r="I1854" i="4"/>
  <c r="H1854" i="4"/>
  <c r="V1853" i="4"/>
  <c r="U1853" i="4"/>
  <c r="T1853" i="4" s="1"/>
  <c r="J1853" i="4"/>
  <c r="I1853" i="4"/>
  <c r="H1853" i="4"/>
  <c r="V1852" i="4"/>
  <c r="U1852" i="4"/>
  <c r="U1862" i="4" s="1"/>
  <c r="J1852" i="4"/>
  <c r="I1852" i="4"/>
  <c r="H1852" i="4"/>
  <c r="V1850" i="4"/>
  <c r="J1850" i="4"/>
  <c r="I1850" i="4"/>
  <c r="H1850" i="4"/>
  <c r="V1849" i="4"/>
  <c r="U1849" i="4"/>
  <c r="T1849" i="4" s="1"/>
  <c r="J1849" i="4"/>
  <c r="I1849" i="4"/>
  <c r="H1849" i="4"/>
  <c r="V1848" i="4"/>
  <c r="J1848" i="4"/>
  <c r="I1848" i="4"/>
  <c r="H1848" i="4"/>
  <c r="V1847" i="4"/>
  <c r="J1847" i="4"/>
  <c r="I1847" i="4"/>
  <c r="H1847" i="4"/>
  <c r="V1845" i="4"/>
  <c r="U1845" i="4"/>
  <c r="T1845" i="4" s="1"/>
  <c r="J1845" i="4"/>
  <c r="I1845" i="4"/>
  <c r="H1845" i="4"/>
  <c r="V1844" i="4"/>
  <c r="U1844" i="4"/>
  <c r="U1850" i="4" s="1"/>
  <c r="J1844" i="4"/>
  <c r="I1844" i="4"/>
  <c r="H1844" i="4"/>
  <c r="V1843" i="4"/>
  <c r="U1843" i="4"/>
  <c r="T1843" i="4" s="1"/>
  <c r="J1843" i="4"/>
  <c r="I1843" i="4"/>
  <c r="H1843" i="4"/>
  <c r="S1214" i="26" l="1"/>
  <c r="S918" i="26"/>
  <c r="Q842" i="26"/>
  <c r="I843" i="26"/>
  <c r="P843" i="26" s="1"/>
  <c r="T1214" i="26"/>
  <c r="H844" i="26"/>
  <c r="P842" i="26"/>
  <c r="P919" i="26"/>
  <c r="T919" i="26" s="1"/>
  <c r="Q432" i="26"/>
  <c r="T432" i="26" s="1"/>
  <c r="U431" i="26"/>
  <c r="L433" i="26"/>
  <c r="O435" i="26"/>
  <c r="U430" i="26"/>
  <c r="O13" i="28" a="1"/>
  <c r="O13" i="28" s="1"/>
  <c r="O14" i="28" a="1"/>
  <c r="O14" i="28" s="1"/>
  <c r="S14" i="28" s="1"/>
  <c r="R13" i="28"/>
  <c r="S18" i="28"/>
  <c r="S22" i="28"/>
  <c r="S19" i="28"/>
  <c r="S23" i="28"/>
  <c r="S21" i="28"/>
  <c r="S20" i="28"/>
  <c r="S24" i="28"/>
  <c r="O534" i="26"/>
  <c r="T741" i="4"/>
  <c r="U1234" i="4"/>
  <c r="U1241" i="4" s="1"/>
  <c r="U1313" i="4" s="1"/>
  <c r="U1314" i="4" s="1"/>
  <c r="U1315" i="4" s="1"/>
  <c r="U1240" i="4"/>
  <c r="T737" i="4"/>
  <c r="T749" i="4"/>
  <c r="T739" i="4"/>
  <c r="T743" i="4"/>
  <c r="U756" i="4"/>
  <c r="T756" i="4" s="1"/>
  <c r="U758" i="4"/>
  <c r="T758" i="4" s="1"/>
  <c r="U757" i="4"/>
  <c r="T757" i="4" s="1"/>
  <c r="U755" i="4"/>
  <c r="T755" i="4" s="1"/>
  <c r="U763" i="4"/>
  <c r="T763" i="4" s="1"/>
  <c r="U754" i="4"/>
  <c r="T754" i="4" s="1"/>
  <c r="I9" i="4"/>
  <c r="I15" i="4"/>
  <c r="J28" i="4"/>
  <c r="I53" i="4"/>
  <c r="J63" i="4"/>
  <c r="J39" i="4"/>
  <c r="J11" i="4"/>
  <c r="J47" i="4"/>
  <c r="T10" i="4"/>
  <c r="T20" i="4" s="1"/>
  <c r="T24" i="4" s="1"/>
  <c r="J20" i="4"/>
  <c r="I44" i="4"/>
  <c r="I61" i="4"/>
  <c r="J17" i="4"/>
  <c r="I25" i="4"/>
  <c r="I7" i="4"/>
  <c r="J22" i="4"/>
  <c r="J30" i="4"/>
  <c r="I58" i="4"/>
  <c r="I19" i="4"/>
  <c r="I37" i="4"/>
  <c r="I45" i="4"/>
  <c r="I50" i="4"/>
  <c r="J12" i="4"/>
  <c r="I34" i="4"/>
  <c r="I42" i="4"/>
  <c r="J55" i="4"/>
  <c r="J8" i="4"/>
  <c r="J14" i="4"/>
  <c r="I21" i="4"/>
  <c r="I27" i="4"/>
  <c r="J40" i="4"/>
  <c r="I46" i="4"/>
  <c r="J56" i="4"/>
  <c r="J13" i="4"/>
  <c r="I36" i="4"/>
  <c r="I52" i="4"/>
  <c r="I62" i="4"/>
  <c r="I65" i="4"/>
  <c r="T1872" i="4"/>
  <c r="J10" i="4"/>
  <c r="I29" i="4"/>
  <c r="I38" i="4"/>
  <c r="J48" i="4"/>
  <c r="I54" i="4"/>
  <c r="I60" i="4"/>
  <c r="J5" i="4"/>
  <c r="U1874" i="4"/>
  <c r="T1874" i="4" s="1"/>
  <c r="I16" i="4"/>
  <c r="I24" i="4"/>
  <c r="I32" i="4"/>
  <c r="I33" i="4"/>
  <c r="I41" i="4"/>
  <c r="I49" i="4"/>
  <c r="I57" i="4"/>
  <c r="T4" i="4"/>
  <c r="I23" i="4"/>
  <c r="I31" i="4"/>
  <c r="I64" i="4"/>
  <c r="J4" i="4"/>
  <c r="I6" i="4"/>
  <c r="I18" i="4"/>
  <c r="I26" i="4"/>
  <c r="I35" i="4"/>
  <c r="I43" i="4"/>
  <c r="I51" i="4"/>
  <c r="I59" i="4"/>
  <c r="T21" i="4"/>
  <c r="T15" i="4"/>
  <c r="T6" i="4"/>
  <c r="T49" i="4"/>
  <c r="T37" i="4"/>
  <c r="T50" i="4" s="1"/>
  <c r="I66" i="4"/>
  <c r="T1852" i="4"/>
  <c r="T1844" i="4"/>
  <c r="U1848" i="4"/>
  <c r="U1857" i="4" s="1"/>
  <c r="T1857" i="4" s="1"/>
  <c r="T42" i="4"/>
  <c r="U1858" i="4"/>
  <c r="U1870" i="4" s="1"/>
  <c r="T1870" i="4" s="1"/>
  <c r="U1856" i="4"/>
  <c r="U1859" i="4"/>
  <c r="T1850" i="4"/>
  <c r="U1875" i="4"/>
  <c r="T1862" i="4"/>
  <c r="U1847" i="4"/>
  <c r="U1863" i="4"/>
  <c r="A1422" i="4"/>
  <c r="A1423" i="4"/>
  <c r="A1424" i="4"/>
  <c r="A1425" i="4"/>
  <c r="A1426" i="4"/>
  <c r="A1427" i="4"/>
  <c r="A1428"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356" i="4"/>
  <c r="A1357" i="4"/>
  <c r="A1358" i="4"/>
  <c r="A1359" i="4"/>
  <c r="A1360" i="4"/>
  <c r="A1361" i="4"/>
  <c r="A1355" i="4"/>
  <c r="G734" i="4"/>
  <c r="G733" i="4"/>
  <c r="G732" i="4"/>
  <c r="G731" i="4"/>
  <c r="G730" i="4"/>
  <c r="G729" i="4"/>
  <c r="G728" i="4"/>
  <c r="G727" i="4"/>
  <c r="G726" i="4"/>
  <c r="G725"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G629" i="4"/>
  <c r="S919" i="26" l="1"/>
  <c r="I844" i="26"/>
  <c r="Q844" i="26" s="1"/>
  <c r="Q843" i="26"/>
  <c r="O436" i="26"/>
  <c r="M433" i="26"/>
  <c r="Q433" i="26" s="1"/>
  <c r="T433" i="26" s="1"/>
  <c r="N433" i="26"/>
  <c r="P432" i="26"/>
  <c r="S432" i="26" s="1"/>
  <c r="S13" i="28"/>
  <c r="O535" i="26"/>
  <c r="T23" i="4"/>
  <c r="T26" i="4" s="1"/>
  <c r="T29" i="4" s="1"/>
  <c r="U1868" i="4"/>
  <c r="T1868" i="4" s="1"/>
  <c r="T1858" i="4"/>
  <c r="T1848" i="4"/>
  <c r="T40" i="4"/>
  <c r="T64" i="4" s="1"/>
  <c r="T27" i="4"/>
  <c r="T22" i="4"/>
  <c r="T25" i="4" s="1"/>
  <c r="T28" i="4" s="1"/>
  <c r="T16" i="4"/>
  <c r="T7" i="4"/>
  <c r="U1871" i="4"/>
  <c r="T1859" i="4"/>
  <c r="U1867" i="4"/>
  <c r="T1856" i="4"/>
  <c r="T1875" i="4"/>
  <c r="T1863" i="4"/>
  <c r="U1876" i="4"/>
  <c r="U1854" i="4"/>
  <c r="T1847" i="4"/>
  <c r="U194" i="4"/>
  <c r="T194" i="4" s="1"/>
  <c r="J194" i="4"/>
  <c r="I194" i="4"/>
  <c r="H194" i="4"/>
  <c r="V773" i="4"/>
  <c r="P844" i="26" l="1"/>
  <c r="L434" i="26"/>
  <c r="P433" i="26"/>
  <c r="S433" i="26" s="1"/>
  <c r="R433" i="26" s="1"/>
  <c r="R432" i="26"/>
  <c r="U432" i="26" s="1"/>
  <c r="O437" i="26"/>
  <c r="O536" i="26"/>
  <c r="T19" i="4"/>
  <c r="T52" i="4"/>
  <c r="T31" i="4"/>
  <c r="T18" i="4"/>
  <c r="T9" i="4" s="1"/>
  <c r="T17" i="4"/>
  <c r="T8" i="4"/>
  <c r="T51" i="4"/>
  <c r="T54" i="4" s="1"/>
  <c r="T57" i="4" s="1"/>
  <c r="T30" i="4"/>
  <c r="T55" i="4"/>
  <c r="T58" i="4" s="1"/>
  <c r="T53" i="4"/>
  <c r="T56" i="4" s="1"/>
  <c r="T33" i="4"/>
  <c r="T1871" i="4"/>
  <c r="T1876" i="4"/>
  <c r="U1864" i="4"/>
  <c r="T1854" i="4"/>
  <c r="T1867" i="4"/>
  <c r="O438" i="26" l="1"/>
  <c r="N434" i="26"/>
  <c r="M434" i="26"/>
  <c r="Q434" i="26"/>
  <c r="T434" i="26" s="1"/>
  <c r="U433" i="26"/>
  <c r="O537" i="26"/>
  <c r="T35" i="4"/>
  <c r="T48" i="4" s="1"/>
  <c r="T34" i="4"/>
  <c r="T60" i="4"/>
  <c r="T63" i="4" s="1"/>
  <c r="T66" i="4" s="1"/>
  <c r="T39" i="4"/>
  <c r="T62" i="4"/>
  <c r="T65" i="4" s="1"/>
  <c r="T41" i="4"/>
  <c r="T44" i="4" s="1"/>
  <c r="T46" i="4" s="1"/>
  <c r="T38" i="4"/>
  <c r="T61" i="4"/>
  <c r="T59" i="4"/>
  <c r="T1864" i="4"/>
  <c r="U1877" i="4"/>
  <c r="B493" i="26"/>
  <c r="K513" i="26"/>
  <c r="I513" i="26"/>
  <c r="G513" i="26" s="1"/>
  <c r="D513" i="26"/>
  <c r="C513" i="26"/>
  <c r="K508" i="26"/>
  <c r="I508" i="26"/>
  <c r="G508" i="26" s="1"/>
  <c r="D508" i="26"/>
  <c r="C508" i="26"/>
  <c r="B504" i="26"/>
  <c r="K498" i="26"/>
  <c r="I498" i="26"/>
  <c r="D498" i="26"/>
  <c r="C498" i="26"/>
  <c r="L497" i="26"/>
  <c r="K497" i="26"/>
  <c r="J497" i="26"/>
  <c r="I497" i="26"/>
  <c r="H497" i="26"/>
  <c r="G497" i="26"/>
  <c r="F497" i="26"/>
  <c r="E497" i="26"/>
  <c r="D497" i="26"/>
  <c r="C497" i="26"/>
  <c r="X495" i="26"/>
  <c r="T494" i="26"/>
  <c r="P494" i="26"/>
  <c r="Q494" i="26" s="1"/>
  <c r="K494" i="26"/>
  <c r="I494" i="26"/>
  <c r="D494" i="26"/>
  <c r="C494" i="26"/>
  <c r="V1079" i="4"/>
  <c r="V1077" i="4"/>
  <c r="V1069" i="4"/>
  <c r="V1073" i="4"/>
  <c r="V1078" i="4"/>
  <c r="V1083" i="4"/>
  <c r="V1087" i="4"/>
  <c r="V1091" i="4"/>
  <c r="V1095" i="4"/>
  <c r="V1099" i="4"/>
  <c r="V1103" i="4"/>
  <c r="V1065" i="4"/>
  <c r="V1068" i="4"/>
  <c r="V1072" i="4"/>
  <c r="V1076" i="4"/>
  <c r="V1082" i="4"/>
  <c r="V1086" i="4"/>
  <c r="V1090" i="4"/>
  <c r="V1094" i="4"/>
  <c r="V1098" i="4"/>
  <c r="V1102" i="4"/>
  <c r="B518" i="26"/>
  <c r="V1105" i="4"/>
  <c r="V1104" i="4"/>
  <c r="V1101" i="4"/>
  <c r="V1100" i="4"/>
  <c r="V1097" i="4"/>
  <c r="V1096" i="4"/>
  <c r="V1093" i="4"/>
  <c r="V1092" i="4"/>
  <c r="V1089" i="4"/>
  <c r="V1088" i="4"/>
  <c r="V1085" i="4"/>
  <c r="V1084" i="4"/>
  <c r="V1081" i="4"/>
  <c r="V1080" i="4"/>
  <c r="V1075" i="4"/>
  <c r="V1074" i="4"/>
  <c r="V1071" i="4"/>
  <c r="V1070" i="4"/>
  <c r="U1067" i="4"/>
  <c r="C1067" i="4"/>
  <c r="V1067" i="4" s="1"/>
  <c r="C1066" i="4"/>
  <c r="V1107" i="4"/>
  <c r="J1107" i="4"/>
  <c r="I1107" i="4"/>
  <c r="H1107" i="4"/>
  <c r="G1107" i="4"/>
  <c r="U1107" i="4"/>
  <c r="T1107" i="4" s="1"/>
  <c r="U1068" i="4"/>
  <c r="T1068" i="4" s="1"/>
  <c r="U1066" i="4"/>
  <c r="U1065" i="4"/>
  <c r="T1065" i="4" s="1"/>
  <c r="K587" i="26"/>
  <c r="I587" i="26"/>
  <c r="F587" i="26" s="1"/>
  <c r="D587" i="26"/>
  <c r="C587" i="26"/>
  <c r="K582" i="26"/>
  <c r="I582" i="26"/>
  <c r="F582" i="26" s="1"/>
  <c r="D582" i="26"/>
  <c r="C582" i="26"/>
  <c r="I530" i="26"/>
  <c r="I531" i="26" s="1"/>
  <c r="I532" i="26" s="1"/>
  <c r="I533" i="26" s="1"/>
  <c r="I534" i="26" s="1"/>
  <c r="I535" i="26" s="1"/>
  <c r="I536" i="26" s="1"/>
  <c r="I537" i="26" s="1"/>
  <c r="I538" i="26" s="1"/>
  <c r="I539" i="26" s="1"/>
  <c r="I540" i="26" s="1"/>
  <c r="I541" i="26" s="1"/>
  <c r="I542" i="26" s="1"/>
  <c r="I543" i="26" s="1"/>
  <c r="I544" i="26" s="1"/>
  <c r="I545" i="26" s="1"/>
  <c r="I546" i="26" s="1"/>
  <c r="I547" i="26" s="1"/>
  <c r="I548" i="26" s="1"/>
  <c r="I549" i="26" s="1"/>
  <c r="I550" i="26" s="1"/>
  <c r="I551" i="26" s="1"/>
  <c r="I552" i="26" s="1"/>
  <c r="I553" i="26" s="1"/>
  <c r="I554" i="26" s="1"/>
  <c r="I555" i="26" s="1"/>
  <c r="I556" i="26" s="1"/>
  <c r="I557" i="26" s="1"/>
  <c r="I558" i="26" s="1"/>
  <c r="I559" i="26" s="1"/>
  <c r="I560" i="26" s="1"/>
  <c r="I561" i="26" s="1"/>
  <c r="I562" i="26" s="1"/>
  <c r="I563" i="26" s="1"/>
  <c r="I564" i="26" s="1"/>
  <c r="I565" i="26" s="1"/>
  <c r="I566" i="26" s="1"/>
  <c r="I567" i="26" s="1"/>
  <c r="I568" i="26" s="1"/>
  <c r="I569" i="26" s="1"/>
  <c r="I570" i="26" s="1"/>
  <c r="I571" i="26" s="1"/>
  <c r="I572" i="26" s="1"/>
  <c r="I573" i="26" s="1"/>
  <c r="I574" i="26" s="1"/>
  <c r="I575" i="26" s="1"/>
  <c r="I576" i="26" s="1"/>
  <c r="I577" i="26" s="1"/>
  <c r="I578" i="26" s="1"/>
  <c r="I579" i="26" s="1"/>
  <c r="C530" i="26"/>
  <c r="K523" i="26"/>
  <c r="I523" i="26"/>
  <c r="D523" i="26"/>
  <c r="C523" i="26"/>
  <c r="L522" i="26"/>
  <c r="K522" i="26"/>
  <c r="J522" i="26"/>
  <c r="I522" i="26"/>
  <c r="H522" i="26"/>
  <c r="G522" i="26"/>
  <c r="F522" i="26"/>
  <c r="E522" i="26"/>
  <c r="D522" i="26"/>
  <c r="C522" i="26"/>
  <c r="X520" i="26"/>
  <c r="K519" i="26"/>
  <c r="I519" i="26"/>
  <c r="D519" i="26"/>
  <c r="C519" i="26"/>
  <c r="W519" i="26" s="1"/>
  <c r="G1614" i="4"/>
  <c r="P434" i="26" l="1"/>
  <c r="S434" i="26" s="1"/>
  <c r="R434" i="26" s="1"/>
  <c r="L435" i="26"/>
  <c r="O439" i="26"/>
  <c r="W494" i="26"/>
  <c r="O538" i="26"/>
  <c r="T1877" i="4"/>
  <c r="T1067" i="4"/>
  <c r="H513" i="26"/>
  <c r="H582" i="26"/>
  <c r="F508" i="26"/>
  <c r="H508" i="26"/>
  <c r="E513" i="26"/>
  <c r="E587" i="26"/>
  <c r="E582" i="26"/>
  <c r="G587" i="26"/>
  <c r="G582" i="26"/>
  <c r="H587" i="26"/>
  <c r="E508" i="26"/>
  <c r="F513" i="26"/>
  <c r="T1066" i="4"/>
  <c r="V1066" i="4"/>
  <c r="U587" i="26"/>
  <c r="O440" i="26" l="1"/>
  <c r="N435" i="26"/>
  <c r="M435" i="26"/>
  <c r="Q435" i="26"/>
  <c r="T435" i="26" s="1"/>
  <c r="U434" i="26"/>
  <c r="O539" i="26"/>
  <c r="X514" i="26"/>
  <c r="X509" i="26"/>
  <c r="X583" i="26"/>
  <c r="X588" i="26"/>
  <c r="B297" i="26"/>
  <c r="B223" i="26"/>
  <c r="K35" i="26"/>
  <c r="I35" i="26"/>
  <c r="F35" i="26" s="1"/>
  <c r="D35" i="26"/>
  <c r="C35" i="26"/>
  <c r="B34" i="26"/>
  <c r="P435" i="26" l="1"/>
  <c r="S435" i="26" s="1"/>
  <c r="R435" i="26" s="1"/>
  <c r="L436" i="26"/>
  <c r="O441" i="26"/>
  <c r="O540" i="26"/>
  <c r="H35" i="26"/>
  <c r="G35" i="26"/>
  <c r="E35" i="26"/>
  <c r="O442" i="26" l="1"/>
  <c r="M436" i="26"/>
  <c r="N436" i="26"/>
  <c r="Q436" i="26"/>
  <c r="T436" i="26" s="1"/>
  <c r="U435" i="26"/>
  <c r="O541" i="26"/>
  <c r="X36" i="26"/>
  <c r="B29" i="26"/>
  <c r="K30" i="26"/>
  <c r="I30" i="26"/>
  <c r="F30" i="26" s="1"/>
  <c r="D30" i="26"/>
  <c r="C30" i="26"/>
  <c r="B106" i="26"/>
  <c r="B17" i="26"/>
  <c r="K119" i="26"/>
  <c r="I119" i="26"/>
  <c r="H119" i="26" s="1"/>
  <c r="D119" i="26"/>
  <c r="C119" i="26"/>
  <c r="W119" i="26" s="1"/>
  <c r="K114" i="26"/>
  <c r="I114" i="26"/>
  <c r="H114" i="26" s="1"/>
  <c r="D114" i="26"/>
  <c r="C114" i="26"/>
  <c r="W114" i="26" s="1"/>
  <c r="N108" i="26"/>
  <c r="N109" i="26" s="1"/>
  <c r="K107" i="26"/>
  <c r="K108" i="26" s="1"/>
  <c r="K109" i="26" s="1"/>
  <c r="I107" i="26"/>
  <c r="I108" i="26" s="1"/>
  <c r="I109" i="26" s="1"/>
  <c r="D107" i="26"/>
  <c r="C107" i="26"/>
  <c r="O161" i="26"/>
  <c r="O162" i="26" s="1"/>
  <c r="K218" i="26"/>
  <c r="I218" i="26"/>
  <c r="H218" i="26" s="1"/>
  <c r="D218" i="26"/>
  <c r="C218" i="26"/>
  <c r="K213" i="26"/>
  <c r="I213" i="26"/>
  <c r="F213" i="26" s="1"/>
  <c r="D213" i="26"/>
  <c r="C213" i="26"/>
  <c r="X155" i="26"/>
  <c r="X154" i="26"/>
  <c r="K154" i="26" s="1"/>
  <c r="L153" i="26"/>
  <c r="K153" i="26"/>
  <c r="J153" i="26"/>
  <c r="I153" i="26"/>
  <c r="H153" i="26"/>
  <c r="G153" i="26"/>
  <c r="F153" i="26"/>
  <c r="E153" i="26"/>
  <c r="D153" i="26"/>
  <c r="C153" i="26"/>
  <c r="X151" i="26"/>
  <c r="P150" i="26"/>
  <c r="K150" i="26"/>
  <c r="I150" i="26"/>
  <c r="D150" i="26"/>
  <c r="C150" i="26"/>
  <c r="W150" i="26" s="1"/>
  <c r="B149" i="26"/>
  <c r="L437" i="26" l="1"/>
  <c r="P436" i="26"/>
  <c r="S436" i="26" s="1"/>
  <c r="R436" i="26" s="1"/>
  <c r="U436" i="26" s="1"/>
  <c r="O443" i="26"/>
  <c r="O542" i="26"/>
  <c r="W107" i="26"/>
  <c r="E30" i="26"/>
  <c r="G30" i="26"/>
  <c r="H30" i="26"/>
  <c r="G114" i="26"/>
  <c r="E119" i="26"/>
  <c r="E114" i="26"/>
  <c r="F119" i="26"/>
  <c r="F114" i="26"/>
  <c r="G119" i="26"/>
  <c r="I111" i="26"/>
  <c r="I110" i="26"/>
  <c r="N110" i="26"/>
  <c r="N111" i="26"/>
  <c r="K110" i="26"/>
  <c r="K111" i="26"/>
  <c r="O163" i="26"/>
  <c r="O164" i="26" s="1"/>
  <c r="I154" i="26"/>
  <c r="C154" i="26"/>
  <c r="W154" i="26" s="1"/>
  <c r="E218" i="26"/>
  <c r="G218" i="26"/>
  <c r="E213" i="26"/>
  <c r="G213" i="26"/>
  <c r="H213" i="26"/>
  <c r="Q150" i="26"/>
  <c r="D154" i="26"/>
  <c r="F218" i="26"/>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548" i="4"/>
  <c r="G523" i="4"/>
  <c r="G503" i="4"/>
  <c r="O444" i="26" l="1"/>
  <c r="M437" i="26"/>
  <c r="Q437" i="26" s="1"/>
  <c r="T437" i="26" s="1"/>
  <c r="N437" i="26"/>
  <c r="O543" i="26"/>
  <c r="U119" i="26"/>
  <c r="X115" i="26"/>
  <c r="X31" i="26"/>
  <c r="X120" i="26"/>
  <c r="X219" i="26"/>
  <c r="O165" i="26"/>
  <c r="X214" i="26"/>
  <c r="G1442" i="4"/>
  <c r="G1443" i="4"/>
  <c r="G1444" i="4"/>
  <c r="G1445" i="4"/>
  <c r="G1446" i="4"/>
  <c r="G1447" i="4"/>
  <c r="F1447" i="4"/>
  <c r="F1446" i="4"/>
  <c r="F1445" i="4"/>
  <c r="F1444" i="4"/>
  <c r="F1443" i="4"/>
  <c r="F1442" i="4"/>
  <c r="G1441" i="4"/>
  <c r="F1441" i="4"/>
  <c r="G1440" i="4"/>
  <c r="F1440" i="4"/>
  <c r="G1439" i="4"/>
  <c r="F1439" i="4"/>
  <c r="G1438" i="4"/>
  <c r="F1438" i="4"/>
  <c r="G1437" i="4"/>
  <c r="F1437" i="4"/>
  <c r="G1436" i="4"/>
  <c r="F1436" i="4"/>
  <c r="G1435" i="4"/>
  <c r="F1435" i="4"/>
  <c r="G1434" i="4"/>
  <c r="F1434" i="4"/>
  <c r="G1433" i="4"/>
  <c r="F1433" i="4"/>
  <c r="G1432" i="4"/>
  <c r="G1431" i="4"/>
  <c r="G1430"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F1428" i="4"/>
  <c r="F1427" i="4"/>
  <c r="F1426" i="4"/>
  <c r="F1425" i="4"/>
  <c r="F1424" i="4"/>
  <c r="F1423" i="4"/>
  <c r="F1422" i="4"/>
  <c r="F1419" i="4"/>
  <c r="F1418" i="4"/>
  <c r="F1417" i="4"/>
  <c r="F1416" i="4"/>
  <c r="F1415" i="4"/>
  <c r="F1414" i="4"/>
  <c r="F1413" i="4"/>
  <c r="F1401" i="4"/>
  <c r="F1400" i="4"/>
  <c r="F1399" i="4"/>
  <c r="F1398" i="4"/>
  <c r="F1397" i="4"/>
  <c r="F1396" i="4"/>
  <c r="F1395" i="4"/>
  <c r="F1394" i="4"/>
  <c r="F1412" i="4"/>
  <c r="F1411" i="4"/>
  <c r="F1410" i="4"/>
  <c r="F1409" i="4"/>
  <c r="F1408" i="4"/>
  <c r="F1421" i="4"/>
  <c r="F1420" i="4"/>
  <c r="F1407" i="4"/>
  <c r="F1406" i="4"/>
  <c r="F1405" i="4"/>
  <c r="F1404" i="4"/>
  <c r="F1403" i="4"/>
  <c r="F1402" i="4"/>
  <c r="F1393" i="4"/>
  <c r="F1392" i="4"/>
  <c r="F1391" i="4"/>
  <c r="F1390" i="4"/>
  <c r="F1389" i="4"/>
  <c r="F1388" i="4"/>
  <c r="F1387" i="4"/>
  <c r="F1386" i="4"/>
  <c r="F1385" i="4"/>
  <c r="F1384" i="4"/>
  <c r="F1383" i="4"/>
  <c r="F1382" i="4"/>
  <c r="F1381" i="4"/>
  <c r="F1380" i="4"/>
  <c r="F1379" i="4"/>
  <c r="F1378" i="4"/>
  <c r="F1377" i="4"/>
  <c r="F1376" i="4"/>
  <c r="F1375" i="4"/>
  <c r="F1374" i="4"/>
  <c r="F1360" i="4"/>
  <c r="K1683" i="4"/>
  <c r="K1682" i="4"/>
  <c r="K1680" i="4"/>
  <c r="K1679" i="4"/>
  <c r="K1677" i="4"/>
  <c r="K1676" i="4"/>
  <c r="K1681" i="4"/>
  <c r="K1678" i="4"/>
  <c r="K1675" i="4"/>
  <c r="A1683" i="4"/>
  <c r="A1682" i="4"/>
  <c r="A1680" i="4"/>
  <c r="A1679" i="4"/>
  <c r="A1677" i="4"/>
  <c r="A1676" i="4"/>
  <c r="A1681" i="4"/>
  <c r="A1678" i="4"/>
  <c r="A1675" i="4"/>
  <c r="K1665" i="4"/>
  <c r="K1664" i="4"/>
  <c r="K1663" i="4"/>
  <c r="K1662" i="4"/>
  <c r="K1661" i="4"/>
  <c r="K1659" i="4"/>
  <c r="K1658" i="4"/>
  <c r="K1660" i="4"/>
  <c r="K1657" i="4"/>
  <c r="K1656" i="4"/>
  <c r="K1655" i="4"/>
  <c r="K1654" i="4"/>
  <c r="K1653" i="4"/>
  <c r="K1652" i="4"/>
  <c r="K1651" i="4"/>
  <c r="K1650" i="4"/>
  <c r="K1649" i="4"/>
  <c r="K1648" i="4"/>
  <c r="K1647" i="4"/>
  <c r="K1646" i="4"/>
  <c r="K1645" i="4"/>
  <c r="K1644" i="4"/>
  <c r="K1643" i="4"/>
  <c r="K1642" i="4"/>
  <c r="K1641" i="4"/>
  <c r="K1640" i="4"/>
  <c r="K1639" i="4"/>
  <c r="K1638" i="4"/>
  <c r="K1637" i="4"/>
  <c r="K1636" i="4"/>
  <c r="K1635" i="4"/>
  <c r="K1634" i="4"/>
  <c r="K1633" i="4"/>
  <c r="K1632" i="4"/>
  <c r="K1631" i="4"/>
  <c r="K1629" i="4"/>
  <c r="K1628" i="4"/>
  <c r="K1627" i="4"/>
  <c r="K1630"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H1178" i="4"/>
  <c r="I1178" i="4"/>
  <c r="J1178" i="4"/>
  <c r="H1179" i="4"/>
  <c r="I1179" i="4"/>
  <c r="J1179" i="4"/>
  <c r="H1180" i="4"/>
  <c r="I1180" i="4"/>
  <c r="J1180" i="4"/>
  <c r="H1181" i="4"/>
  <c r="I1181" i="4"/>
  <c r="J1181" i="4"/>
  <c r="H1182" i="4"/>
  <c r="I1182" i="4"/>
  <c r="J1182" i="4"/>
  <c r="H1183" i="4"/>
  <c r="I1183" i="4"/>
  <c r="J1183" i="4"/>
  <c r="H1184" i="4"/>
  <c r="I1184" i="4"/>
  <c r="J1184" i="4"/>
  <c r="H1185" i="4"/>
  <c r="I1185" i="4"/>
  <c r="J1185" i="4"/>
  <c r="H1186" i="4"/>
  <c r="I1186" i="4"/>
  <c r="J1186" i="4"/>
  <c r="H1187" i="4"/>
  <c r="I1187" i="4"/>
  <c r="J1187" i="4"/>
  <c r="H1188" i="4"/>
  <c r="I1188" i="4"/>
  <c r="J1188" i="4"/>
  <c r="H1189" i="4"/>
  <c r="I1189" i="4"/>
  <c r="J1189" i="4"/>
  <c r="H1190" i="4"/>
  <c r="I1190" i="4"/>
  <c r="J1190" i="4"/>
  <c r="H1191" i="4"/>
  <c r="I1191" i="4"/>
  <c r="J1191" i="4"/>
  <c r="H1192" i="4"/>
  <c r="I1192" i="4"/>
  <c r="J1192" i="4"/>
  <c r="H1193" i="4"/>
  <c r="I1193" i="4"/>
  <c r="G1193" i="4" s="1"/>
  <c r="J1193" i="4"/>
  <c r="H1194" i="4"/>
  <c r="I1194" i="4"/>
  <c r="J1194" i="4"/>
  <c r="H1195" i="4"/>
  <c r="I1195" i="4"/>
  <c r="J1195" i="4"/>
  <c r="H1196" i="4"/>
  <c r="I1196" i="4"/>
  <c r="J1196" i="4"/>
  <c r="H1197" i="4"/>
  <c r="I1197" i="4"/>
  <c r="J1197" i="4"/>
  <c r="H1198" i="4"/>
  <c r="I1198" i="4"/>
  <c r="J1198" i="4"/>
  <c r="H1199" i="4"/>
  <c r="I1199" i="4"/>
  <c r="J1199" i="4"/>
  <c r="H1200" i="4"/>
  <c r="I1200" i="4"/>
  <c r="J1200" i="4"/>
  <c r="H1201" i="4"/>
  <c r="I1201" i="4"/>
  <c r="J1201" i="4"/>
  <c r="H1202" i="4"/>
  <c r="I1202" i="4"/>
  <c r="J1202" i="4"/>
  <c r="H1203" i="4"/>
  <c r="I1203" i="4"/>
  <c r="J1203" i="4"/>
  <c r="H1204" i="4"/>
  <c r="I1204" i="4"/>
  <c r="J1204" i="4"/>
  <c r="H1205" i="4"/>
  <c r="I1205" i="4"/>
  <c r="J1205" i="4"/>
  <c r="H1206" i="4"/>
  <c r="I1206" i="4"/>
  <c r="G1206" i="4" s="1"/>
  <c r="J1206" i="4"/>
  <c r="H1207" i="4"/>
  <c r="I1207" i="4"/>
  <c r="J1207" i="4"/>
  <c r="H1208" i="4"/>
  <c r="I1208" i="4"/>
  <c r="J1208" i="4"/>
  <c r="H1209" i="4"/>
  <c r="I1209" i="4"/>
  <c r="J1209" i="4"/>
  <c r="H1210" i="4"/>
  <c r="I1210" i="4"/>
  <c r="J1210" i="4"/>
  <c r="H1211" i="4"/>
  <c r="I1211" i="4"/>
  <c r="J1211" i="4"/>
  <c r="H1212" i="4"/>
  <c r="I1212" i="4"/>
  <c r="J1212" i="4"/>
  <c r="H1213" i="4"/>
  <c r="I1213" i="4"/>
  <c r="J1213" i="4"/>
  <c r="H1214" i="4"/>
  <c r="I1214" i="4"/>
  <c r="J1214" i="4"/>
  <c r="H1215" i="4"/>
  <c r="I1215" i="4"/>
  <c r="J1215" i="4"/>
  <c r="H1216" i="4"/>
  <c r="I1216" i="4"/>
  <c r="J1216" i="4"/>
  <c r="H1217" i="4"/>
  <c r="I1217" i="4"/>
  <c r="J1217" i="4"/>
  <c r="H1218" i="4"/>
  <c r="I1218" i="4"/>
  <c r="J1218" i="4"/>
  <c r="J1177" i="4"/>
  <c r="I1177" i="4"/>
  <c r="H1177" i="4"/>
  <c r="H1120" i="4"/>
  <c r="I1120" i="4"/>
  <c r="J1120" i="4"/>
  <c r="H1121" i="4"/>
  <c r="I1121" i="4"/>
  <c r="J1121" i="4"/>
  <c r="H1122" i="4"/>
  <c r="I1122" i="4"/>
  <c r="J1122" i="4"/>
  <c r="H1123" i="4"/>
  <c r="I1123" i="4"/>
  <c r="J1123" i="4"/>
  <c r="H1124" i="4"/>
  <c r="I1124" i="4"/>
  <c r="J1124" i="4"/>
  <c r="H1125" i="4"/>
  <c r="I1125" i="4"/>
  <c r="J1125" i="4"/>
  <c r="H1126" i="4"/>
  <c r="I1126" i="4"/>
  <c r="J1126" i="4"/>
  <c r="H1127" i="4"/>
  <c r="I1127" i="4"/>
  <c r="J1127" i="4"/>
  <c r="H1128" i="4"/>
  <c r="I1128" i="4"/>
  <c r="J1128" i="4"/>
  <c r="H1129" i="4"/>
  <c r="I1129" i="4"/>
  <c r="J1129" i="4"/>
  <c r="H1130" i="4"/>
  <c r="I1130" i="4"/>
  <c r="J1130" i="4"/>
  <c r="H1131" i="4"/>
  <c r="I1131" i="4"/>
  <c r="J1131" i="4"/>
  <c r="H1132" i="4"/>
  <c r="I1132" i="4"/>
  <c r="J1132" i="4"/>
  <c r="H1133" i="4"/>
  <c r="I1133" i="4"/>
  <c r="J1133" i="4"/>
  <c r="H1134" i="4"/>
  <c r="I1134" i="4"/>
  <c r="J1134" i="4"/>
  <c r="H1135" i="4"/>
  <c r="I1135" i="4"/>
  <c r="J1135" i="4"/>
  <c r="H1136" i="4"/>
  <c r="I1136" i="4"/>
  <c r="J1136" i="4"/>
  <c r="H1137" i="4"/>
  <c r="I1137" i="4"/>
  <c r="J1137" i="4"/>
  <c r="H1138" i="4"/>
  <c r="I1138" i="4"/>
  <c r="J1138" i="4"/>
  <c r="H1139" i="4"/>
  <c r="I1139" i="4"/>
  <c r="J1139" i="4"/>
  <c r="H1140" i="4"/>
  <c r="I1140" i="4"/>
  <c r="J1140" i="4"/>
  <c r="H1141" i="4"/>
  <c r="I1141" i="4"/>
  <c r="G1141" i="4" s="1"/>
  <c r="J1141" i="4"/>
  <c r="H1142" i="4"/>
  <c r="I1142" i="4"/>
  <c r="J1142" i="4"/>
  <c r="H1143" i="4"/>
  <c r="I1143" i="4"/>
  <c r="J1143" i="4"/>
  <c r="H1144" i="4"/>
  <c r="I1144" i="4"/>
  <c r="J1144" i="4"/>
  <c r="H1145" i="4"/>
  <c r="I1145" i="4"/>
  <c r="J1145" i="4"/>
  <c r="H1146" i="4"/>
  <c r="I1146" i="4"/>
  <c r="J1146" i="4"/>
  <c r="H1147" i="4"/>
  <c r="I1147" i="4"/>
  <c r="J1147" i="4"/>
  <c r="H1148" i="4"/>
  <c r="I1148" i="4"/>
  <c r="J1148" i="4"/>
  <c r="H1149" i="4"/>
  <c r="I1149" i="4"/>
  <c r="J1149" i="4"/>
  <c r="H1150" i="4"/>
  <c r="I1150" i="4"/>
  <c r="J1150" i="4"/>
  <c r="H1151" i="4"/>
  <c r="I1151" i="4"/>
  <c r="J1151" i="4"/>
  <c r="H1152" i="4"/>
  <c r="I1152" i="4"/>
  <c r="J1152" i="4"/>
  <c r="H1153" i="4"/>
  <c r="I1153" i="4"/>
  <c r="J1153" i="4"/>
  <c r="H1154" i="4"/>
  <c r="I1154" i="4"/>
  <c r="J1154" i="4"/>
  <c r="H1155" i="4"/>
  <c r="I1155" i="4"/>
  <c r="J1155" i="4"/>
  <c r="H1156" i="4"/>
  <c r="I1156" i="4"/>
  <c r="J1156" i="4"/>
  <c r="H1157" i="4"/>
  <c r="I1157" i="4"/>
  <c r="J1157" i="4"/>
  <c r="H1158" i="4"/>
  <c r="I1158" i="4"/>
  <c r="J1158" i="4"/>
  <c r="H1159" i="4"/>
  <c r="I1159" i="4"/>
  <c r="J1159" i="4"/>
  <c r="H1160" i="4"/>
  <c r="I1160" i="4"/>
  <c r="J1160" i="4"/>
  <c r="H1161" i="4"/>
  <c r="I1161" i="4"/>
  <c r="J1161" i="4"/>
  <c r="H1162" i="4"/>
  <c r="I1162" i="4"/>
  <c r="J1162" i="4"/>
  <c r="H1163" i="4"/>
  <c r="I1163" i="4"/>
  <c r="J1163" i="4"/>
  <c r="H1164" i="4"/>
  <c r="I1164" i="4"/>
  <c r="G1164" i="4" s="1"/>
  <c r="J1164" i="4"/>
  <c r="H1165" i="4"/>
  <c r="I1165" i="4"/>
  <c r="J1165" i="4"/>
  <c r="H1166" i="4"/>
  <c r="I1166" i="4"/>
  <c r="J1166" i="4"/>
  <c r="H1167" i="4"/>
  <c r="I1167" i="4"/>
  <c r="J1167" i="4"/>
  <c r="H1168" i="4"/>
  <c r="I1168" i="4"/>
  <c r="J1168" i="4"/>
  <c r="H1169" i="4"/>
  <c r="I1169" i="4"/>
  <c r="J1169" i="4"/>
  <c r="H1170" i="4"/>
  <c r="I1170" i="4"/>
  <c r="J1170" i="4"/>
  <c r="H1171" i="4"/>
  <c r="I1171" i="4"/>
  <c r="J1171" i="4"/>
  <c r="H1172" i="4"/>
  <c r="I1172" i="4"/>
  <c r="J1172" i="4"/>
  <c r="H1173" i="4"/>
  <c r="I1173" i="4"/>
  <c r="J1173" i="4"/>
  <c r="H1174" i="4"/>
  <c r="I1174" i="4"/>
  <c r="J1174" i="4"/>
  <c r="J1119" i="4"/>
  <c r="I1119" i="4"/>
  <c r="H1119" i="4"/>
  <c r="J1118" i="4"/>
  <c r="I1118" i="4"/>
  <c r="H1118" i="4"/>
  <c r="J1117" i="4"/>
  <c r="I1117" i="4"/>
  <c r="H1117" i="4"/>
  <c r="J1116" i="4"/>
  <c r="I1116" i="4"/>
  <c r="H1116" i="4"/>
  <c r="J1115" i="4"/>
  <c r="I1115" i="4"/>
  <c r="H1115" i="4"/>
  <c r="J1114" i="4"/>
  <c r="I1114" i="4"/>
  <c r="H1114" i="4"/>
  <c r="J1113" i="4"/>
  <c r="I1113" i="4"/>
  <c r="H1113" i="4"/>
  <c r="J1112" i="4"/>
  <c r="I1112" i="4"/>
  <c r="H1112" i="4"/>
  <c r="J1111" i="4"/>
  <c r="I1111" i="4"/>
  <c r="H1111" i="4"/>
  <c r="J1110" i="4"/>
  <c r="I1110" i="4"/>
  <c r="H1110" i="4"/>
  <c r="U1109" i="4"/>
  <c r="J1109" i="4"/>
  <c r="I1109" i="4"/>
  <c r="H1109" i="4"/>
  <c r="U1110" i="4"/>
  <c r="U1111" i="4" s="1"/>
  <c r="U1112" i="4" s="1"/>
  <c r="U1113" i="4" s="1"/>
  <c r="U1114" i="4" s="1"/>
  <c r="U1115" i="4" s="1"/>
  <c r="U1116" i="4" s="1"/>
  <c r="U1117" i="4" s="1"/>
  <c r="U1118" i="4" s="1"/>
  <c r="U1119" i="4" s="1"/>
  <c r="U1201" i="4" s="1"/>
  <c r="U1202" i="4" s="1"/>
  <c r="U1206" i="4" s="1"/>
  <c r="U1207" i="4" s="1"/>
  <c r="L438" i="26" l="1"/>
  <c r="P437" i="26"/>
  <c r="S437" i="26" s="1"/>
  <c r="O445" i="26"/>
  <c r="O446" i="26" s="1"/>
  <c r="O447" i="26" s="1"/>
  <c r="O448" i="26" s="1"/>
  <c r="O449" i="26" s="1"/>
  <c r="O450" i="26" s="1"/>
  <c r="O451" i="26" s="1"/>
  <c r="O452" i="26" s="1"/>
  <c r="O453" i="26" s="1"/>
  <c r="O454" i="26" s="1"/>
  <c r="O455" i="26" s="1"/>
  <c r="O456" i="26" s="1"/>
  <c r="O457" i="26" s="1"/>
  <c r="O458" i="26" s="1"/>
  <c r="O459" i="26" s="1"/>
  <c r="O460" i="26" s="1"/>
  <c r="O461" i="26" s="1"/>
  <c r="O462" i="26" s="1"/>
  <c r="O463" i="26" s="1"/>
  <c r="O464" i="26" s="1"/>
  <c r="O465" i="26" s="1"/>
  <c r="O466" i="26" s="1"/>
  <c r="O467" i="26" s="1"/>
  <c r="O468" i="26" s="1"/>
  <c r="O469" i="26" s="1"/>
  <c r="O470" i="26" s="1"/>
  <c r="O471" i="26" s="1"/>
  <c r="O472" i="26" s="1"/>
  <c r="O473" i="26" s="1"/>
  <c r="O474" i="26" s="1"/>
  <c r="O475" i="26" s="1"/>
  <c r="O476" i="26" s="1"/>
  <c r="O477" i="26" s="1"/>
  <c r="O478" i="26" s="1"/>
  <c r="O479" i="26" s="1"/>
  <c r="O544" i="26"/>
  <c r="O166" i="26"/>
  <c r="G551" i="4"/>
  <c r="G553" i="4"/>
  <c r="G554" i="4"/>
  <c r="G555" i="4"/>
  <c r="G557" i="4"/>
  <c r="G556" i="4"/>
  <c r="G558" i="4"/>
  <c r="G559" i="4"/>
  <c r="G561" i="4"/>
  <c r="G588" i="4"/>
  <c r="G595" i="4"/>
  <c r="G590" i="4"/>
  <c r="G578" i="4"/>
  <c r="G579" i="4"/>
  <c r="G580" i="4"/>
  <c r="G593" i="4"/>
  <c r="G594" i="4"/>
  <c r="G592" i="4"/>
  <c r="G586" i="4"/>
  <c r="G563" i="4"/>
  <c r="G562" i="4"/>
  <c r="G587" i="4"/>
  <c r="G560" i="4"/>
  <c r="G589" i="4"/>
  <c r="G583" i="4"/>
  <c r="G584" i="4"/>
  <c r="G565" i="4"/>
  <c r="G598" i="4"/>
  <c r="G577" i="4"/>
  <c r="G591" i="4"/>
  <c r="G596" i="4"/>
  <c r="G568" i="4"/>
  <c r="G564" i="4"/>
  <c r="G582" i="4"/>
  <c r="G585" i="4"/>
  <c r="G569" i="4"/>
  <c r="G570" i="4"/>
  <c r="G581" i="4"/>
  <c r="G597" i="4"/>
  <c r="G566" i="4"/>
  <c r="G575" i="4"/>
  <c r="G571" i="4"/>
  <c r="G599" i="4"/>
  <c r="G567" i="4"/>
  <c r="G576" i="4"/>
  <c r="G572" i="4"/>
  <c r="G573" i="4"/>
  <c r="G574" i="4"/>
  <c r="G552" i="4"/>
  <c r="G470" i="4"/>
  <c r="G471" i="4"/>
  <c r="G472" i="4"/>
  <c r="G482" i="4"/>
  <c r="G478" i="4"/>
  <c r="G477" i="4"/>
  <c r="G502" i="4"/>
  <c r="G498" i="4"/>
  <c r="G499" i="4"/>
  <c r="G484" i="4"/>
  <c r="G487" i="4"/>
  <c r="G480" i="4"/>
  <c r="G479" i="4"/>
  <c r="G486" i="4"/>
  <c r="G488" i="4"/>
  <c r="G500" i="4"/>
  <c r="G485" i="4"/>
  <c r="G483" i="4"/>
  <c r="G474" i="4"/>
  <c r="G481" i="4"/>
  <c r="G475" i="4"/>
  <c r="G490" i="4"/>
  <c r="G491" i="4"/>
  <c r="G492" i="4"/>
  <c r="G496" i="4"/>
  <c r="G493" i="4"/>
  <c r="G473" i="4"/>
  <c r="G497" i="4"/>
  <c r="G494" i="4"/>
  <c r="G495" i="4"/>
  <c r="G489" i="4"/>
  <c r="G501" i="4"/>
  <c r="G504" i="4"/>
  <c r="G476" i="4"/>
  <c r="G506" i="4"/>
  <c r="G507" i="4"/>
  <c r="G508" i="4"/>
  <c r="G509" i="4"/>
  <c r="G511" i="4"/>
  <c r="G514" i="4"/>
  <c r="G519" i="4"/>
  <c r="G512" i="4"/>
  <c r="G510" i="4"/>
  <c r="G518" i="4"/>
  <c r="G513" i="4"/>
  <c r="G515" i="4"/>
  <c r="G505" i="4"/>
  <c r="G520" i="4"/>
  <c r="G516" i="4"/>
  <c r="G517" i="4"/>
  <c r="G521" i="4"/>
  <c r="G524" i="4"/>
  <c r="G530" i="4"/>
  <c r="G529" i="4"/>
  <c r="G531" i="4"/>
  <c r="G522" i="4"/>
  <c r="G525" i="4"/>
  <c r="G526" i="4"/>
  <c r="G528" i="4"/>
  <c r="G527" i="4"/>
  <c r="G532" i="4"/>
  <c r="G533" i="4"/>
  <c r="G534" i="4"/>
  <c r="G536" i="4"/>
  <c r="G537" i="4"/>
  <c r="G538" i="4"/>
  <c r="G535" i="4"/>
  <c r="G540" i="4"/>
  <c r="G539" i="4"/>
  <c r="G542" i="4"/>
  <c r="G541" i="4"/>
  <c r="G543" i="4"/>
  <c r="G544" i="4"/>
  <c r="G549" i="4"/>
  <c r="G546" i="4"/>
  <c r="G545" i="4"/>
  <c r="G547" i="4"/>
  <c r="G469" i="4"/>
  <c r="G269" i="4"/>
  <c r="G268" i="4"/>
  <c r="G267" i="4"/>
  <c r="G271" i="4"/>
  <c r="G263" i="4"/>
  <c r="G272" i="4"/>
  <c r="G270" i="4"/>
  <c r="G266" i="4"/>
  <c r="G265" i="4"/>
  <c r="G264" i="4"/>
  <c r="G281" i="4"/>
  <c r="G279" i="4"/>
  <c r="G280" i="4"/>
  <c r="G277" i="4"/>
  <c r="G282" i="4"/>
  <c r="G278" i="4"/>
  <c r="G274" i="4"/>
  <c r="G276" i="4"/>
  <c r="G273" i="4"/>
  <c r="G275" i="4"/>
  <c r="G286" i="4"/>
  <c r="G283" i="4"/>
  <c r="G284" i="4"/>
  <c r="G285" i="4"/>
  <c r="G287" i="4"/>
  <c r="G313" i="4"/>
  <c r="G295" i="4"/>
  <c r="G298" i="4"/>
  <c r="G304" i="4"/>
  <c r="G309" i="4"/>
  <c r="G310" i="4"/>
  <c r="G311" i="4"/>
  <c r="G315" i="4"/>
  <c r="G330" i="4"/>
  <c r="G332" i="4"/>
  <c r="G289" i="4"/>
  <c r="G290" i="4"/>
  <c r="G294" i="4"/>
  <c r="G302" i="4"/>
  <c r="G329" i="4"/>
  <c r="G321" i="4"/>
  <c r="G331" i="4"/>
  <c r="G291" i="4"/>
  <c r="G301" i="4"/>
  <c r="G312" i="4"/>
  <c r="G296" i="4"/>
  <c r="G328" i="4"/>
  <c r="G292" i="4"/>
  <c r="G326" i="4"/>
  <c r="G327" i="4"/>
  <c r="G314" i="4"/>
  <c r="G288" i="4"/>
  <c r="G317" i="4"/>
  <c r="G318" i="4"/>
  <c r="G307" i="4"/>
  <c r="G325" i="4"/>
  <c r="G293" i="4"/>
  <c r="G308" i="4"/>
  <c r="G319" i="4"/>
  <c r="G324" i="4"/>
  <c r="G316" i="4"/>
  <c r="G303" i="4"/>
  <c r="G333" i="4"/>
  <c r="G322" i="4"/>
  <c r="G320" i="4"/>
  <c r="G323" i="4"/>
  <c r="G305" i="4"/>
  <c r="G306" i="4"/>
  <c r="G299" i="4"/>
  <c r="G297" i="4"/>
  <c r="G300" i="4"/>
  <c r="G351" i="4"/>
  <c r="G340" i="4"/>
  <c r="G345" i="4"/>
  <c r="G347" i="4"/>
  <c r="G353" i="4"/>
  <c r="G360" i="4"/>
  <c r="G361" i="4"/>
  <c r="G363" i="4"/>
  <c r="G365" i="4"/>
  <c r="G372" i="4"/>
  <c r="G352" i="4"/>
  <c r="G355" i="4"/>
  <c r="G364" i="4"/>
  <c r="G334" i="4"/>
  <c r="G341" i="4"/>
  <c r="G350" i="4"/>
  <c r="G362" i="4"/>
  <c r="G348" i="4"/>
  <c r="G349" i="4"/>
  <c r="G369" i="4"/>
  <c r="G374" i="4"/>
  <c r="G359" i="4"/>
  <c r="G339" i="4"/>
  <c r="G342" i="4"/>
  <c r="G337" i="4"/>
  <c r="G379" i="4"/>
  <c r="G378" i="4"/>
  <c r="G376" i="4"/>
  <c r="G367" i="4"/>
  <c r="G356" i="4"/>
  <c r="G335" i="4"/>
  <c r="G343" i="4"/>
  <c r="G346" i="4"/>
  <c r="G354" i="4"/>
  <c r="G358" i="4"/>
  <c r="G377" i="4"/>
  <c r="G336" i="4"/>
  <c r="G370" i="4"/>
  <c r="G371" i="4"/>
  <c r="G368" i="4"/>
  <c r="G338" i="4"/>
  <c r="G344" i="4"/>
  <c r="G357" i="4"/>
  <c r="G366" i="4"/>
  <c r="G375" i="4"/>
  <c r="G373" i="4"/>
  <c r="G380" i="4"/>
  <c r="G389" i="4"/>
  <c r="G390" i="4"/>
  <c r="G391" i="4"/>
  <c r="G394" i="4"/>
  <c r="G395" i="4"/>
  <c r="G381" i="4"/>
  <c r="G384" i="4"/>
  <c r="G398" i="4"/>
  <c r="G386" i="4"/>
  <c r="G388" i="4"/>
  <c r="G385" i="4"/>
  <c r="G392" i="4"/>
  <c r="G396" i="4"/>
  <c r="G399" i="4"/>
  <c r="G410" i="4"/>
  <c r="G402" i="4"/>
  <c r="G382" i="4"/>
  <c r="G393" i="4"/>
  <c r="G400" i="4"/>
  <c r="G407" i="4"/>
  <c r="G408" i="4"/>
  <c r="G405" i="4"/>
  <c r="G401" i="4"/>
  <c r="G414" i="4"/>
  <c r="G404" i="4"/>
  <c r="G412" i="4"/>
  <c r="G413" i="4"/>
  <c r="G415" i="4"/>
  <c r="G406" i="4"/>
  <c r="G383" i="4"/>
  <c r="G411" i="4"/>
  <c r="G403" i="4"/>
  <c r="G409" i="4"/>
  <c r="G387" i="4"/>
  <c r="G397" i="4"/>
  <c r="G419" i="4"/>
  <c r="G416" i="4"/>
  <c r="G417" i="4"/>
  <c r="G420" i="4"/>
  <c r="G421" i="4"/>
  <c r="G428" i="4"/>
  <c r="G431" i="4"/>
  <c r="G432" i="4"/>
  <c r="G433" i="4"/>
  <c r="G430" i="4"/>
  <c r="G434" i="4"/>
  <c r="G444" i="4"/>
  <c r="G451" i="4"/>
  <c r="G418" i="4"/>
  <c r="G429" i="4"/>
  <c r="G436" i="4"/>
  <c r="G439" i="4"/>
  <c r="G440" i="4"/>
  <c r="G450" i="4"/>
  <c r="G422" i="4"/>
  <c r="G445" i="4"/>
  <c r="G448" i="4"/>
  <c r="G449" i="4"/>
  <c r="G423" i="4"/>
  <c r="G425" i="4"/>
  <c r="G438" i="4"/>
  <c r="G446" i="4"/>
  <c r="G426" i="4"/>
  <c r="G447" i="4"/>
  <c r="G453" i="4"/>
  <c r="G442" i="4"/>
  <c r="G441" i="4"/>
  <c r="G427" i="4"/>
  <c r="G435" i="4"/>
  <c r="G443" i="4"/>
  <c r="G452" i="4"/>
  <c r="G437" i="4"/>
  <c r="G424" i="4"/>
  <c r="G456" i="4"/>
  <c r="G461" i="4"/>
  <c r="G455" i="4"/>
  <c r="G459" i="4"/>
  <c r="G457" i="4"/>
  <c r="G462" i="4"/>
  <c r="G454" i="4"/>
  <c r="G466" i="4"/>
  <c r="G465" i="4"/>
  <c r="G464" i="4"/>
  <c r="G463" i="4"/>
  <c r="G467" i="4"/>
  <c r="G460" i="4"/>
  <c r="G458" i="4"/>
  <c r="A1739" i="4"/>
  <c r="G1745" i="4"/>
  <c r="G1744" i="4"/>
  <c r="G1743" i="4"/>
  <c r="G1742" i="4"/>
  <c r="G1741" i="4"/>
  <c r="G1740" i="4"/>
  <c r="G1739" i="4"/>
  <c r="A1740" i="4"/>
  <c r="A1741" i="4"/>
  <c r="A1742" i="4"/>
  <c r="A1743" i="4"/>
  <c r="A1744" i="4"/>
  <c r="A1745" i="4"/>
  <c r="G1737" i="4"/>
  <c r="A1737" i="4"/>
  <c r="G1736" i="4"/>
  <c r="A1736" i="4"/>
  <c r="G1735" i="4"/>
  <c r="A1735" i="4"/>
  <c r="G1734" i="4"/>
  <c r="A1734" i="4"/>
  <c r="G1733" i="4"/>
  <c r="A1733" i="4"/>
  <c r="G1732" i="4"/>
  <c r="A1732" i="4"/>
  <c r="G1731" i="4"/>
  <c r="A1731" i="4"/>
  <c r="G1730" i="4"/>
  <c r="A1730" i="4"/>
  <c r="G1729" i="4"/>
  <c r="A1729" i="4"/>
  <c r="A1727" i="4"/>
  <c r="A1726" i="4"/>
  <c r="A1725" i="4"/>
  <c r="A1724" i="4"/>
  <c r="A1723" i="4"/>
  <c r="A1722" i="4"/>
  <c r="A1721" i="4"/>
  <c r="A1720" i="4"/>
  <c r="A1719" i="4"/>
  <c r="A1717" i="4"/>
  <c r="G1715" i="4"/>
  <c r="G1714" i="4"/>
  <c r="G1713" i="4"/>
  <c r="G1712" i="4"/>
  <c r="G1711" i="4"/>
  <c r="A1715" i="4"/>
  <c r="A1714" i="4"/>
  <c r="A1713" i="4"/>
  <c r="A1712" i="4"/>
  <c r="A1711" i="4"/>
  <c r="G1709" i="4"/>
  <c r="A1709" i="4"/>
  <c r="G1707" i="4"/>
  <c r="A1707" i="4"/>
  <c r="G1706" i="4"/>
  <c r="A1706" i="4"/>
  <c r="G1705" i="4"/>
  <c r="A1705" i="4"/>
  <c r="G1704" i="4"/>
  <c r="A1704" i="4"/>
  <c r="G1703" i="4"/>
  <c r="A1703" i="4"/>
  <c r="G1702" i="4"/>
  <c r="G1701" i="4"/>
  <c r="G1700" i="4"/>
  <c r="A1702" i="4"/>
  <c r="A1701" i="4"/>
  <c r="A1700" i="4"/>
  <c r="A1698" i="4"/>
  <c r="G1698" i="4"/>
  <c r="G1696" i="4"/>
  <c r="A1696" i="4"/>
  <c r="G1695" i="4"/>
  <c r="A1695" i="4"/>
  <c r="G1694" i="4"/>
  <c r="A1694" i="4"/>
  <c r="G1693" i="4"/>
  <c r="A1693" i="4"/>
  <c r="G1692" i="4"/>
  <c r="A1692" i="4"/>
  <c r="G1691" i="4"/>
  <c r="A1691" i="4"/>
  <c r="G1690" i="4"/>
  <c r="A1690" i="4"/>
  <c r="G1689" i="4"/>
  <c r="A1689" i="4"/>
  <c r="G1688" i="4"/>
  <c r="A1688" i="4"/>
  <c r="G1687" i="4"/>
  <c r="G1686" i="4"/>
  <c r="A1687" i="4"/>
  <c r="A1686" i="4"/>
  <c r="N438" i="26" l="1"/>
  <c r="M438" i="26"/>
  <c r="Q438" i="26" s="1"/>
  <c r="T438" i="26" s="1"/>
  <c r="R437" i="26"/>
  <c r="U437" i="26" s="1"/>
  <c r="O545" i="26"/>
  <c r="O167" i="26"/>
  <c r="A1667" i="4"/>
  <c r="A1666" i="4"/>
  <c r="G1667" i="4"/>
  <c r="G1666" i="4"/>
  <c r="L439" i="26" l="1"/>
  <c r="P438" i="26"/>
  <c r="S438" i="26" s="1"/>
  <c r="R438" i="26" s="1"/>
  <c r="U438" i="26" s="1"/>
  <c r="L445" i="26"/>
  <c r="O546" i="26"/>
  <c r="O168" i="26"/>
  <c r="G1638" i="4"/>
  <c r="G1644" i="4"/>
  <c r="G1664" i="4"/>
  <c r="G1663" i="4"/>
  <c r="G1660" i="4"/>
  <c r="G1656" i="4"/>
  <c r="G1649" i="4"/>
  <c r="G1683" i="4"/>
  <c r="G1654" i="4"/>
  <c r="G1637" i="4"/>
  <c r="G1643" i="4"/>
  <c r="G1648" i="4"/>
  <c r="G1647" i="4"/>
  <c r="G1653" i="4"/>
  <c r="G1665" i="4"/>
  <c r="G1682" i="4"/>
  <c r="G1681" i="4"/>
  <c r="G1645" i="4"/>
  <c r="G1659" i="4"/>
  <c r="G1651" i="4"/>
  <c r="G1658" i="4"/>
  <c r="G1676" i="4"/>
  <c r="G1677" i="4"/>
  <c r="G1679" i="4"/>
  <c r="G1680" i="4"/>
  <c r="G1650" i="4"/>
  <c r="G1657" i="4"/>
  <c r="G1655" i="4"/>
  <c r="G1661" i="4"/>
  <c r="G1662" i="4"/>
  <c r="G1652" i="4"/>
  <c r="G1646" i="4"/>
  <c r="G1678" i="4"/>
  <c r="G1675" i="4"/>
  <c r="G1640" i="4"/>
  <c r="G1642" i="4"/>
  <c r="G1629" i="4"/>
  <c r="G1641" i="4"/>
  <c r="G1628" i="4"/>
  <c r="G1632" i="4"/>
  <c r="G1635" i="4"/>
  <c r="G1627" i="4"/>
  <c r="G1631" i="4"/>
  <c r="G1636" i="4"/>
  <c r="G1633" i="4"/>
  <c r="G1634" i="4"/>
  <c r="G1639" i="4"/>
  <c r="G1630" i="4"/>
  <c r="T52" i="26"/>
  <c r="N439" i="26" l="1"/>
  <c r="M439" i="26"/>
  <c r="Q439" i="26"/>
  <c r="T439" i="26" s="1"/>
  <c r="T445" i="26"/>
  <c r="O547" i="26"/>
  <c r="O169" i="26"/>
  <c r="B48" i="26"/>
  <c r="I60" i="26"/>
  <c r="H60" i="26"/>
  <c r="G60" i="26"/>
  <c r="F60" i="26"/>
  <c r="K60" i="26"/>
  <c r="D60" i="26"/>
  <c r="C60" i="26"/>
  <c r="T53" i="26"/>
  <c r="K49" i="26"/>
  <c r="E49" i="26"/>
  <c r="F49" i="26" s="1"/>
  <c r="D49" i="26"/>
  <c r="C49" i="26"/>
  <c r="L440" i="26" l="1"/>
  <c r="P439" i="26"/>
  <c r="S439" i="26" s="1"/>
  <c r="L446" i="26"/>
  <c r="S445" i="26"/>
  <c r="U445" i="26" s="1"/>
  <c r="O548" i="26"/>
  <c r="C52" i="26"/>
  <c r="C53" i="26" s="1"/>
  <c r="V53" i="26" s="1"/>
  <c r="O170" i="26"/>
  <c r="X61" i="26"/>
  <c r="H49" i="26"/>
  <c r="G49" i="26"/>
  <c r="I49" i="26"/>
  <c r="B592" i="26"/>
  <c r="N594" i="26"/>
  <c r="N595" i="26" s="1"/>
  <c r="K593" i="26"/>
  <c r="K594" i="26" s="1"/>
  <c r="K595" i="26" s="1"/>
  <c r="I593" i="26"/>
  <c r="I594" i="26" s="1"/>
  <c r="I595" i="26" s="1"/>
  <c r="D593" i="26"/>
  <c r="C593" i="26"/>
  <c r="W593" i="26" s="1"/>
  <c r="B600" i="26"/>
  <c r="K601" i="26"/>
  <c r="K602" i="26" s="1"/>
  <c r="K603" i="26" s="1"/>
  <c r="I601" i="26"/>
  <c r="I602" i="26" s="1"/>
  <c r="I603" i="26" s="1"/>
  <c r="D601" i="26"/>
  <c r="C601" i="26"/>
  <c r="N440" i="26" l="1"/>
  <c r="M440" i="26"/>
  <c r="Q440" i="26"/>
  <c r="T440" i="26" s="1"/>
  <c r="R439" i="26"/>
  <c r="U439" i="26" s="1"/>
  <c r="O549" i="26"/>
  <c r="V52" i="26"/>
  <c r="W49" i="26" s="1"/>
  <c r="T61" i="26" s="1"/>
  <c r="V61" i="26" s="1"/>
  <c r="W60" i="26" s="1"/>
  <c r="O171" i="26"/>
  <c r="X50" i="26"/>
  <c r="I597" i="26"/>
  <c r="I596" i="26"/>
  <c r="N597" i="26"/>
  <c r="N596" i="26"/>
  <c r="K596" i="26"/>
  <c r="K597" i="26"/>
  <c r="I604" i="26"/>
  <c r="K604" i="26"/>
  <c r="B98" i="26"/>
  <c r="G1613" i="4"/>
  <c r="G1612" i="4"/>
  <c r="G1610" i="4"/>
  <c r="G1611" i="4"/>
  <c r="P440" i="26" l="1"/>
  <c r="S440" i="26" s="1"/>
  <c r="R440" i="26" s="1"/>
  <c r="L441" i="26"/>
  <c r="T446" i="26"/>
  <c r="L447" i="26"/>
  <c r="O550" i="26"/>
  <c r="O172" i="26"/>
  <c r="B615" i="26"/>
  <c r="M441" i="26" l="1"/>
  <c r="Q441" i="26" s="1"/>
  <c r="T441" i="26" s="1"/>
  <c r="N441" i="26"/>
  <c r="U440" i="26"/>
  <c r="S446" i="26"/>
  <c r="U446" i="26" s="1"/>
  <c r="O551" i="26"/>
  <c r="O173" i="26"/>
  <c r="T612" i="26"/>
  <c r="K608" i="26"/>
  <c r="D608" i="26"/>
  <c r="C608" i="26"/>
  <c r="C612" i="26" s="1"/>
  <c r="B607" i="26"/>
  <c r="M103" i="26"/>
  <c r="K99" i="26"/>
  <c r="D99" i="26"/>
  <c r="V103" i="26" s="1"/>
  <c r="C99" i="26"/>
  <c r="L442" i="26" l="1"/>
  <c r="P441" i="26"/>
  <c r="S441" i="26" s="1"/>
  <c r="L448" i="26"/>
  <c r="T447" i="26"/>
  <c r="O552" i="26"/>
  <c r="O174" i="26"/>
  <c r="V102" i="26"/>
  <c r="W99" i="26" s="1"/>
  <c r="V612" i="26"/>
  <c r="N442" i="26" l="1"/>
  <c r="M442" i="26"/>
  <c r="Q442" i="26"/>
  <c r="T442" i="26" s="1"/>
  <c r="R441" i="26"/>
  <c r="U441" i="26" s="1"/>
  <c r="S447" i="26"/>
  <c r="U447" i="26" s="1"/>
  <c r="T448" i="26"/>
  <c r="O553" i="26"/>
  <c r="O175" i="26"/>
  <c r="W608" i="26"/>
  <c r="P442" i="26" l="1"/>
  <c r="S442" i="26" s="1"/>
  <c r="R442" i="26" s="1"/>
  <c r="L443" i="26"/>
  <c r="L449" i="26"/>
  <c r="S448" i="26"/>
  <c r="U448" i="26" s="1"/>
  <c r="O554" i="26"/>
  <c r="O176" i="26"/>
  <c r="L344" i="26"/>
  <c r="N443" i="26" l="1"/>
  <c r="M443" i="26"/>
  <c r="Q443" i="26" s="1"/>
  <c r="T443" i="26" s="1"/>
  <c r="U442" i="26"/>
  <c r="O555" i="26"/>
  <c r="O177" i="26"/>
  <c r="R347" i="26"/>
  <c r="G352" i="26"/>
  <c r="L343" i="26"/>
  <c r="K235" i="26"/>
  <c r="K236" i="26" s="1"/>
  <c r="K237" i="26" s="1"/>
  <c r="K238" i="26" s="1"/>
  <c r="K239" i="26" s="1"/>
  <c r="K240" i="26" s="1"/>
  <c r="K241" i="26" s="1"/>
  <c r="K242" i="26" s="1"/>
  <c r="K243" i="26" s="1"/>
  <c r="K244" i="26" s="1"/>
  <c r="K245" i="26" s="1"/>
  <c r="K246" i="26" s="1"/>
  <c r="K247" i="26" s="1"/>
  <c r="K248" i="26" s="1"/>
  <c r="K249" i="26" s="1"/>
  <c r="K250" i="26" s="1"/>
  <c r="K251" i="26" s="1"/>
  <c r="K252" i="26" s="1"/>
  <c r="K253" i="26" s="1"/>
  <c r="K254" i="26" s="1"/>
  <c r="K255" i="26" s="1"/>
  <c r="K256" i="26" s="1"/>
  <c r="K257" i="26" s="1"/>
  <c r="K258" i="26" s="1"/>
  <c r="K259" i="26" s="1"/>
  <c r="K260" i="26" s="1"/>
  <c r="K261" i="26" s="1"/>
  <c r="K262" i="26" s="1"/>
  <c r="K263" i="26" s="1"/>
  <c r="K264" i="26" s="1"/>
  <c r="K265" i="26" s="1"/>
  <c r="K266" i="26" s="1"/>
  <c r="K267" i="26" s="1"/>
  <c r="K268" i="26" s="1"/>
  <c r="K269" i="26" s="1"/>
  <c r="K270" i="26" s="1"/>
  <c r="K271" i="26" s="1"/>
  <c r="K272" i="26" s="1"/>
  <c r="K273" i="26" s="1"/>
  <c r="K274" i="26" s="1"/>
  <c r="K275" i="26" s="1"/>
  <c r="K276" i="26" s="1"/>
  <c r="K277" i="26" s="1"/>
  <c r="K278" i="26" s="1"/>
  <c r="K279" i="26" s="1"/>
  <c r="K280" i="26" s="1"/>
  <c r="K281" i="26" s="1"/>
  <c r="K282" i="26" s="1"/>
  <c r="K283" i="26" s="1"/>
  <c r="K284" i="26" s="1"/>
  <c r="P443" i="26" l="1"/>
  <c r="S443" i="26" s="1"/>
  <c r="R443" i="26" s="1"/>
  <c r="L444" i="26"/>
  <c r="L450" i="26"/>
  <c r="T449" i="26"/>
  <c r="O556" i="26"/>
  <c r="Q347" i="26"/>
  <c r="P347" i="26"/>
  <c r="O178" i="26"/>
  <c r="L342" i="26"/>
  <c r="Q353" i="26"/>
  <c r="Q354" i="26" s="1"/>
  <c r="M353" i="26"/>
  <c r="K410" i="26"/>
  <c r="I410" i="26"/>
  <c r="H410" i="26" s="1"/>
  <c r="D410" i="26"/>
  <c r="C410" i="26"/>
  <c r="K405" i="26"/>
  <c r="I405" i="26"/>
  <c r="H405" i="26" s="1"/>
  <c r="D405" i="26"/>
  <c r="C405" i="26"/>
  <c r="N444" i="26" l="1"/>
  <c r="M444" i="26"/>
  <c r="Q444" i="26"/>
  <c r="T444" i="26" s="1"/>
  <c r="U443" i="26"/>
  <c r="T450" i="26"/>
  <c r="S449" i="26"/>
  <c r="U449" i="26" s="1"/>
  <c r="O557" i="26"/>
  <c r="O179" i="26"/>
  <c r="M354" i="26"/>
  <c r="G353" i="26"/>
  <c r="E410" i="26"/>
  <c r="I353" i="26"/>
  <c r="H353" i="26"/>
  <c r="Q355" i="26"/>
  <c r="I354" i="26"/>
  <c r="H354" i="26"/>
  <c r="F405" i="26"/>
  <c r="F410" i="26"/>
  <c r="E405" i="26"/>
  <c r="G405" i="26"/>
  <c r="G410" i="26"/>
  <c r="C352" i="26"/>
  <c r="P444" i="26" l="1"/>
  <c r="S444" i="26" s="1"/>
  <c r="R444" i="26" s="1"/>
  <c r="L451" i="26"/>
  <c r="S450" i="26"/>
  <c r="U450" i="26" s="1"/>
  <c r="O558" i="26"/>
  <c r="O180" i="26"/>
  <c r="X411" i="26"/>
  <c r="O347" i="26"/>
  <c r="H355" i="26"/>
  <c r="I355" i="26"/>
  <c r="M355" i="26"/>
  <c r="G354" i="26"/>
  <c r="X406" i="26"/>
  <c r="G348" i="26"/>
  <c r="G347" i="26"/>
  <c r="G346" i="26"/>
  <c r="G345" i="26"/>
  <c r="G344" i="26"/>
  <c r="G343" i="26"/>
  <c r="G342" i="26"/>
  <c r="G341" i="26"/>
  <c r="G340" i="26"/>
  <c r="G339" i="26"/>
  <c r="U444" i="26" l="1"/>
  <c r="T451" i="26"/>
  <c r="O559" i="26"/>
  <c r="O181" i="26"/>
  <c r="Q356" i="26"/>
  <c r="M356" i="26"/>
  <c r="G355" i="26"/>
  <c r="I356" i="26"/>
  <c r="H356" i="26"/>
  <c r="X299" i="26"/>
  <c r="O346" i="26"/>
  <c r="P346" i="26"/>
  <c r="Q346" i="26"/>
  <c r="R346" i="26"/>
  <c r="N346" i="26"/>
  <c r="X302" i="26"/>
  <c r="L301" i="26"/>
  <c r="L305" i="26" s="1"/>
  <c r="L309" i="26" s="1"/>
  <c r="L313" i="26" s="1"/>
  <c r="L317" i="26" s="1"/>
  <c r="L321" i="26" s="1"/>
  <c r="L325" i="26" s="1"/>
  <c r="L329" i="26" s="1"/>
  <c r="L333" i="26" s="1"/>
  <c r="K301" i="26"/>
  <c r="K305" i="26" s="1"/>
  <c r="K309" i="26" s="1"/>
  <c r="K313" i="26" s="1"/>
  <c r="K317" i="26" s="1"/>
  <c r="K321" i="26" s="1"/>
  <c r="K325" i="26" s="1"/>
  <c r="K329" i="26" s="1"/>
  <c r="K333" i="26" s="1"/>
  <c r="J301" i="26"/>
  <c r="J305" i="26" s="1"/>
  <c r="J309" i="26" s="1"/>
  <c r="J313" i="26" s="1"/>
  <c r="J317" i="26" s="1"/>
  <c r="J321" i="26" s="1"/>
  <c r="J325" i="26" s="1"/>
  <c r="J329" i="26" s="1"/>
  <c r="J333" i="26" s="1"/>
  <c r="I301" i="26"/>
  <c r="I305" i="26" s="1"/>
  <c r="I309" i="26" s="1"/>
  <c r="I313" i="26" s="1"/>
  <c r="I317" i="26" s="1"/>
  <c r="I321" i="26" s="1"/>
  <c r="I325" i="26" s="1"/>
  <c r="I329" i="26" s="1"/>
  <c r="I333" i="26" s="1"/>
  <c r="H301" i="26"/>
  <c r="H305" i="26" s="1"/>
  <c r="H309" i="26" s="1"/>
  <c r="H313" i="26" s="1"/>
  <c r="H317" i="26" s="1"/>
  <c r="H321" i="26" s="1"/>
  <c r="H325" i="26" s="1"/>
  <c r="H329" i="26" s="1"/>
  <c r="H333" i="26" s="1"/>
  <c r="G301" i="26"/>
  <c r="G305" i="26" s="1"/>
  <c r="G309" i="26" s="1"/>
  <c r="G313" i="26" s="1"/>
  <c r="G317" i="26" s="1"/>
  <c r="G321" i="26" s="1"/>
  <c r="G325" i="26" s="1"/>
  <c r="G329" i="26" s="1"/>
  <c r="G333" i="26" s="1"/>
  <c r="F301" i="26"/>
  <c r="F305" i="26" s="1"/>
  <c r="F309" i="26" s="1"/>
  <c r="F313" i="26" s="1"/>
  <c r="F317" i="26" s="1"/>
  <c r="F321" i="26" s="1"/>
  <c r="F325" i="26" s="1"/>
  <c r="F329" i="26" s="1"/>
  <c r="F333" i="26" s="1"/>
  <c r="E301" i="26"/>
  <c r="E305" i="26" s="1"/>
  <c r="E309" i="26" s="1"/>
  <c r="E313" i="26" s="1"/>
  <c r="E317" i="26" s="1"/>
  <c r="E321" i="26" s="1"/>
  <c r="E325" i="26" s="1"/>
  <c r="E329" i="26" s="1"/>
  <c r="E333" i="26" s="1"/>
  <c r="D301" i="26"/>
  <c r="D305" i="26" s="1"/>
  <c r="D309" i="26" s="1"/>
  <c r="D313" i="26" s="1"/>
  <c r="D317" i="26" s="1"/>
  <c r="D321" i="26" s="1"/>
  <c r="D325" i="26" s="1"/>
  <c r="D329" i="26" s="1"/>
  <c r="D333" i="26" s="1"/>
  <c r="C301" i="26"/>
  <c r="C305" i="26" s="1"/>
  <c r="C309" i="26" s="1"/>
  <c r="C313" i="26" s="1"/>
  <c r="C317" i="26" s="1"/>
  <c r="C321" i="26" s="1"/>
  <c r="C325" i="26" s="1"/>
  <c r="C329" i="26" s="1"/>
  <c r="C333" i="26" s="1"/>
  <c r="K298" i="26"/>
  <c r="I298" i="26"/>
  <c r="D298" i="26"/>
  <c r="C298" i="26"/>
  <c r="L452" i="26" l="1"/>
  <c r="S451" i="26"/>
  <c r="U451" i="26" s="1"/>
  <c r="O560" i="26"/>
  <c r="O182" i="26"/>
  <c r="N352" i="26"/>
  <c r="E352" i="26" s="1"/>
  <c r="N355" i="26"/>
  <c r="N353" i="26"/>
  <c r="N354" i="26"/>
  <c r="M357" i="26"/>
  <c r="G356" i="26"/>
  <c r="N356" i="26"/>
  <c r="Q357" i="26"/>
  <c r="I357" i="26"/>
  <c r="H357" i="26"/>
  <c r="D302" i="26"/>
  <c r="X303" i="26"/>
  <c r="K302" i="26"/>
  <c r="X306" i="26"/>
  <c r="X307" i="26" s="1"/>
  <c r="C302" i="26"/>
  <c r="I302" i="26"/>
  <c r="T80" i="26"/>
  <c r="V80" i="26" s="1"/>
  <c r="M80" i="26"/>
  <c r="T72" i="26"/>
  <c r="V72" i="26" s="1"/>
  <c r="M72" i="26"/>
  <c r="I3" i="18"/>
  <c r="B75" i="26"/>
  <c r="T71" i="26"/>
  <c r="V71" i="26" s="1"/>
  <c r="B66" i="26"/>
  <c r="Q94" i="26"/>
  <c r="K93" i="26"/>
  <c r="D93" i="26"/>
  <c r="C93" i="26"/>
  <c r="K88" i="26"/>
  <c r="D88" i="26"/>
  <c r="C88" i="26"/>
  <c r="K84" i="26"/>
  <c r="D84" i="26"/>
  <c r="C84" i="26"/>
  <c r="T81" i="26"/>
  <c r="V81" i="26" s="1"/>
  <c r="M81" i="26"/>
  <c r="T79" i="26"/>
  <c r="V79" i="26" s="1"/>
  <c r="K76" i="26"/>
  <c r="D76" i="26"/>
  <c r="C76" i="26"/>
  <c r="M71" i="26"/>
  <c r="T70" i="26"/>
  <c r="V70" i="26" s="1"/>
  <c r="K67" i="26"/>
  <c r="D67" i="26"/>
  <c r="C67" i="26"/>
  <c r="W67" i="26" s="1"/>
  <c r="K25" i="26"/>
  <c r="I25" i="26"/>
  <c r="H25" i="26" s="1"/>
  <c r="D25" i="26"/>
  <c r="C25" i="26"/>
  <c r="B40" i="26"/>
  <c r="T45" i="26"/>
  <c r="T44" i="26"/>
  <c r="K41" i="26"/>
  <c r="E41" i="26"/>
  <c r="G41" i="26" s="1"/>
  <c r="D41" i="26"/>
  <c r="C41" i="26"/>
  <c r="C44" i="26" s="1"/>
  <c r="C45" i="26" s="1"/>
  <c r="K633" i="26"/>
  <c r="I633" i="26"/>
  <c r="H633" i="26" s="1"/>
  <c r="D633" i="26"/>
  <c r="C633" i="26"/>
  <c r="W633" i="26" s="1"/>
  <c r="K628" i="26"/>
  <c r="I628" i="26"/>
  <c r="H628" i="26" s="1"/>
  <c r="D628" i="26"/>
  <c r="W628" i="26"/>
  <c r="X621" i="26"/>
  <c r="X620" i="26"/>
  <c r="L619" i="26"/>
  <c r="K619" i="26"/>
  <c r="J619" i="26"/>
  <c r="I619" i="26"/>
  <c r="H619" i="26"/>
  <c r="G619" i="26"/>
  <c r="F619" i="26"/>
  <c r="E619" i="26"/>
  <c r="D619" i="26"/>
  <c r="C619" i="26"/>
  <c r="X617" i="26"/>
  <c r="P616" i="26"/>
  <c r="Q616" i="26" s="1"/>
  <c r="K616" i="26"/>
  <c r="I616" i="26"/>
  <c r="D616" i="26"/>
  <c r="K144" i="26"/>
  <c r="I144" i="26"/>
  <c r="H144" i="26" s="1"/>
  <c r="D144" i="26"/>
  <c r="C144" i="26"/>
  <c r="K139" i="26"/>
  <c r="I139" i="26"/>
  <c r="H139" i="26" s="1"/>
  <c r="D139" i="26"/>
  <c r="C139" i="26"/>
  <c r="B135" i="26"/>
  <c r="X130" i="26"/>
  <c r="X129" i="26"/>
  <c r="D129" i="26" s="1"/>
  <c r="L128" i="26"/>
  <c r="K128" i="26"/>
  <c r="J128" i="26"/>
  <c r="I128" i="26"/>
  <c r="H128" i="26"/>
  <c r="G128" i="26"/>
  <c r="F128" i="26"/>
  <c r="E128" i="26"/>
  <c r="D128" i="26"/>
  <c r="C128" i="26"/>
  <c r="X126" i="26"/>
  <c r="T125" i="26"/>
  <c r="P125" i="26"/>
  <c r="Q125" i="26" s="1"/>
  <c r="K125" i="26"/>
  <c r="I125" i="26"/>
  <c r="D125" i="26"/>
  <c r="C125" i="26"/>
  <c r="B124" i="26"/>
  <c r="N19" i="26"/>
  <c r="N20" i="26" s="1"/>
  <c r="K18" i="26"/>
  <c r="K19" i="26" s="1"/>
  <c r="K20" i="26" s="1"/>
  <c r="I18" i="26"/>
  <c r="I19" i="26" s="1"/>
  <c r="I20" i="26" s="1"/>
  <c r="D18" i="26"/>
  <c r="C18" i="26"/>
  <c r="K292" i="26"/>
  <c r="I292" i="26"/>
  <c r="H292" i="26" s="1"/>
  <c r="D292" i="26"/>
  <c r="C292" i="26"/>
  <c r="K287" i="26"/>
  <c r="I287" i="26"/>
  <c r="H287" i="26" s="1"/>
  <c r="D287" i="26"/>
  <c r="C287" i="26"/>
  <c r="C235" i="26"/>
  <c r="X229" i="26"/>
  <c r="X228" i="26"/>
  <c r="D228" i="26" s="1"/>
  <c r="L227" i="26"/>
  <c r="K227" i="26"/>
  <c r="J227" i="26"/>
  <c r="I227" i="26"/>
  <c r="H227" i="26"/>
  <c r="G227" i="26"/>
  <c r="F227" i="26"/>
  <c r="E227" i="26"/>
  <c r="D227" i="26"/>
  <c r="C227" i="26"/>
  <c r="X225" i="26"/>
  <c r="K224" i="26"/>
  <c r="I224" i="26"/>
  <c r="D224" i="26"/>
  <c r="C224" i="26"/>
  <c r="W224" i="26" s="1"/>
  <c r="T452" i="26" l="1"/>
  <c r="W125" i="26"/>
  <c r="O561" i="26"/>
  <c r="K620" i="26"/>
  <c r="C620" i="26"/>
  <c r="W620" i="26" s="1"/>
  <c r="V45" i="26"/>
  <c r="V44" i="26"/>
  <c r="W41" i="26"/>
  <c r="W76" i="26"/>
  <c r="O183" i="26"/>
  <c r="H358" i="26"/>
  <c r="I358" i="26"/>
  <c r="Q358" i="26"/>
  <c r="M358" i="26"/>
  <c r="M359" i="26" s="1"/>
  <c r="G357" i="26"/>
  <c r="N357" i="26"/>
  <c r="T357" i="26" s="1"/>
  <c r="T355" i="26"/>
  <c r="T354" i="26"/>
  <c r="T356" i="26"/>
  <c r="X310" i="26"/>
  <c r="X311" i="26" s="1"/>
  <c r="I306" i="26"/>
  <c r="K306" i="26"/>
  <c r="D306" i="26"/>
  <c r="C306" i="26"/>
  <c r="E25" i="26"/>
  <c r="F25" i="26"/>
  <c r="G25" i="26"/>
  <c r="D620" i="26"/>
  <c r="H41" i="26"/>
  <c r="I41" i="26"/>
  <c r="F41" i="26"/>
  <c r="I620" i="26"/>
  <c r="F628" i="26"/>
  <c r="G628" i="26"/>
  <c r="G633" i="26"/>
  <c r="K623" i="26"/>
  <c r="I129" i="26"/>
  <c r="E633" i="26"/>
  <c r="E144" i="26"/>
  <c r="E628" i="26"/>
  <c r="F633" i="26"/>
  <c r="E139" i="26"/>
  <c r="F144" i="26"/>
  <c r="F139" i="26"/>
  <c r="G144" i="26"/>
  <c r="G139" i="26"/>
  <c r="C129" i="26"/>
  <c r="W129" i="26" s="1"/>
  <c r="K129" i="26"/>
  <c r="N22" i="26"/>
  <c r="N21" i="26"/>
  <c r="I22" i="26"/>
  <c r="I21" i="26"/>
  <c r="K21" i="26"/>
  <c r="K22" i="26"/>
  <c r="E287" i="26"/>
  <c r="E292" i="26"/>
  <c r="F287" i="26"/>
  <c r="F292" i="26"/>
  <c r="G287" i="26"/>
  <c r="G292" i="26"/>
  <c r="I228" i="26"/>
  <c r="K228" i="26"/>
  <c r="C228" i="26"/>
  <c r="W228" i="26" s="1"/>
  <c r="S452" i="26" l="1"/>
  <c r="U452" i="26" s="1"/>
  <c r="L453" i="26"/>
  <c r="W84" i="26"/>
  <c r="W88" i="26" s="1"/>
  <c r="U94" i="26"/>
  <c r="V94" i="26" s="1"/>
  <c r="O562" i="26"/>
  <c r="U144" i="26"/>
  <c r="O184" i="26"/>
  <c r="N358" i="26"/>
  <c r="G358" i="26"/>
  <c r="Q359" i="26"/>
  <c r="I359" i="26"/>
  <c r="H359" i="26"/>
  <c r="T353" i="26"/>
  <c r="T352" i="26"/>
  <c r="X314" i="26"/>
  <c r="X315" i="26" s="1"/>
  <c r="I310" i="26"/>
  <c r="C310" i="26"/>
  <c r="K310" i="26"/>
  <c r="D310" i="26"/>
  <c r="X634" i="26"/>
  <c r="X26" i="26"/>
  <c r="X42" i="26"/>
  <c r="X629" i="26"/>
  <c r="X145" i="26"/>
  <c r="X140" i="26"/>
  <c r="X288" i="26"/>
  <c r="X293" i="26"/>
  <c r="O563" i="26" l="1"/>
  <c r="O185" i="26"/>
  <c r="H360" i="26"/>
  <c r="I360" i="26"/>
  <c r="Q360" i="26"/>
  <c r="T358" i="26"/>
  <c r="M360" i="26"/>
  <c r="N359" i="26"/>
  <c r="G359" i="26"/>
  <c r="K314" i="26"/>
  <c r="C314" i="26"/>
  <c r="X318" i="26"/>
  <c r="X319" i="26" s="1"/>
  <c r="I314" i="26"/>
  <c r="D314" i="26"/>
  <c r="Y7" i="10"/>
  <c r="V7" i="10"/>
  <c r="Y6" i="10"/>
  <c r="V6" i="10"/>
  <c r="I6" i="10"/>
  <c r="T453" i="26" l="1"/>
  <c r="L454" i="26"/>
  <c r="O564" i="26"/>
  <c r="O186" i="26"/>
  <c r="Q361" i="26"/>
  <c r="T359" i="26"/>
  <c r="M361" i="26"/>
  <c r="G360" i="26"/>
  <c r="N360" i="26"/>
  <c r="I361" i="26"/>
  <c r="H361" i="26"/>
  <c r="D318" i="26"/>
  <c r="K318" i="26"/>
  <c r="C318" i="26"/>
  <c r="X322" i="26"/>
  <c r="X323" i="26" s="1"/>
  <c r="I318" i="26"/>
  <c r="S94" i="26"/>
  <c r="T94" i="26" s="1"/>
  <c r="W93" i="26" s="1"/>
  <c r="S453" i="26" l="1"/>
  <c r="U453" i="26" s="1"/>
  <c r="O565" i="26"/>
  <c r="O187" i="26"/>
  <c r="T360" i="26"/>
  <c r="I362" i="26"/>
  <c r="H362" i="26"/>
  <c r="Q362" i="26"/>
  <c r="M362" i="26"/>
  <c r="N361" i="26"/>
  <c r="G361" i="26"/>
  <c r="X326" i="26"/>
  <c r="I322" i="26"/>
  <c r="D322" i="26"/>
  <c r="K322" i="26"/>
  <c r="C322" i="26"/>
  <c r="G1608" i="4"/>
  <c r="G1607" i="4"/>
  <c r="G1606" i="4"/>
  <c r="G1605" i="4"/>
  <c r="G1604" i="4"/>
  <c r="L455" i="26" l="1"/>
  <c r="T454" i="26"/>
  <c r="O566" i="26"/>
  <c r="O188" i="26"/>
  <c r="Q363" i="26"/>
  <c r="M363" i="26"/>
  <c r="N362" i="26"/>
  <c r="G362" i="26"/>
  <c r="T361" i="26"/>
  <c r="H363" i="26"/>
  <c r="I363" i="26"/>
  <c r="X330" i="26"/>
  <c r="X327" i="26"/>
  <c r="I326" i="26"/>
  <c r="D326" i="26"/>
  <c r="C326" i="26"/>
  <c r="K326" i="26"/>
  <c r="T455" i="26" l="1"/>
  <c r="S454" i="26"/>
  <c r="U454" i="26" s="1"/>
  <c r="O567" i="26"/>
  <c r="O189" i="26"/>
  <c r="T362" i="26"/>
  <c r="I364" i="26"/>
  <c r="H364" i="26"/>
  <c r="M364" i="26"/>
  <c r="N363" i="26"/>
  <c r="G363" i="26"/>
  <c r="Q364" i="26"/>
  <c r="Q365" i="26" s="1"/>
  <c r="X331" i="26"/>
  <c r="D330" i="26"/>
  <c r="X334" i="26"/>
  <c r="I330" i="26"/>
  <c r="C330" i="26"/>
  <c r="K330" i="26"/>
  <c r="L456" i="26" l="1"/>
  <c r="S455" i="26"/>
  <c r="U455" i="26" s="1"/>
  <c r="O568" i="26"/>
  <c r="O190" i="26"/>
  <c r="T363" i="26"/>
  <c r="M365" i="26"/>
  <c r="N364" i="26"/>
  <c r="G364" i="26"/>
  <c r="I365" i="26"/>
  <c r="H365" i="26"/>
  <c r="X335" i="26"/>
  <c r="D334" i="26"/>
  <c r="I334" i="26"/>
  <c r="C334" i="26"/>
  <c r="K334" i="26"/>
  <c r="I3" i="10"/>
  <c r="I3" i="19" s="1"/>
  <c r="I1" i="18"/>
  <c r="I1" i="10" s="1"/>
  <c r="I1" i="19" s="1"/>
  <c r="I7" i="18"/>
  <c r="I7" i="10" s="1"/>
  <c r="I7" i="19" s="1"/>
  <c r="K639" i="26"/>
  <c r="D639" i="26"/>
  <c r="C639" i="26"/>
  <c r="Y3" i="26"/>
  <c r="AI3" i="21" s="1"/>
  <c r="A3" i="21" s="1"/>
  <c r="Y7" i="19"/>
  <c r="V7" i="19"/>
  <c r="Y6" i="19"/>
  <c r="V6" i="19"/>
  <c r="I6" i="19"/>
  <c r="G1355" i="4"/>
  <c r="F1361" i="4"/>
  <c r="F1359" i="4"/>
  <c r="F1358" i="4"/>
  <c r="H193" i="4"/>
  <c r="I193" i="4"/>
  <c r="J193" i="4"/>
  <c r="H195" i="4"/>
  <c r="I195" i="4"/>
  <c r="J195" i="4"/>
  <c r="H196" i="4"/>
  <c r="I196" i="4"/>
  <c r="J196" i="4"/>
  <c r="H197" i="4"/>
  <c r="I197" i="4"/>
  <c r="J197" i="4"/>
  <c r="H198" i="4"/>
  <c r="I198" i="4"/>
  <c r="J198" i="4"/>
  <c r="H199" i="4"/>
  <c r="I199" i="4"/>
  <c r="J199" i="4"/>
  <c r="H200" i="4"/>
  <c r="I200" i="4"/>
  <c r="J200" i="4"/>
  <c r="H201" i="4"/>
  <c r="I201" i="4"/>
  <c r="J201" i="4"/>
  <c r="H202" i="4"/>
  <c r="I202" i="4"/>
  <c r="J202" i="4"/>
  <c r="H203" i="4"/>
  <c r="I203" i="4"/>
  <c r="J203" i="4"/>
  <c r="H204" i="4"/>
  <c r="I204" i="4"/>
  <c r="J204" i="4"/>
  <c r="H205" i="4"/>
  <c r="I205" i="4"/>
  <c r="J205" i="4"/>
  <c r="H206" i="4"/>
  <c r="I206" i="4"/>
  <c r="J206" i="4"/>
  <c r="H207" i="4"/>
  <c r="I207" i="4"/>
  <c r="J207" i="4"/>
  <c r="H208" i="4"/>
  <c r="I208" i="4"/>
  <c r="J208" i="4"/>
  <c r="H209" i="4"/>
  <c r="I209" i="4"/>
  <c r="J209" i="4"/>
  <c r="H210" i="4"/>
  <c r="I210" i="4"/>
  <c r="J210" i="4"/>
  <c r="H211" i="4"/>
  <c r="I211" i="4"/>
  <c r="J211" i="4"/>
  <c r="H212" i="4"/>
  <c r="I212" i="4"/>
  <c r="J212" i="4"/>
  <c r="H213" i="4"/>
  <c r="I213" i="4"/>
  <c r="J213" i="4"/>
  <c r="H214" i="4"/>
  <c r="I214" i="4"/>
  <c r="J214" i="4"/>
  <c r="H215" i="4"/>
  <c r="I215" i="4"/>
  <c r="J215" i="4"/>
  <c r="H216" i="4"/>
  <c r="I216" i="4"/>
  <c r="J216" i="4"/>
  <c r="H217" i="4"/>
  <c r="I217" i="4"/>
  <c r="J217" i="4"/>
  <c r="H218" i="4"/>
  <c r="I218" i="4"/>
  <c r="J218" i="4"/>
  <c r="H219" i="4"/>
  <c r="I219" i="4"/>
  <c r="J219" i="4"/>
  <c r="H220" i="4"/>
  <c r="I220" i="4"/>
  <c r="J220" i="4"/>
  <c r="H221" i="4"/>
  <c r="I221" i="4"/>
  <c r="J221" i="4"/>
  <c r="H222" i="4"/>
  <c r="I222" i="4"/>
  <c r="J222" i="4"/>
  <c r="H223" i="4"/>
  <c r="I223" i="4"/>
  <c r="J223" i="4"/>
  <c r="H225" i="4"/>
  <c r="I225" i="4"/>
  <c r="J225" i="4"/>
  <c r="R225" i="4"/>
  <c r="T225" i="4"/>
  <c r="H226" i="4"/>
  <c r="I226" i="4"/>
  <c r="J226" i="4"/>
  <c r="R226" i="4"/>
  <c r="T226" i="4"/>
  <c r="H227" i="4"/>
  <c r="I227" i="4"/>
  <c r="J227" i="4"/>
  <c r="R227" i="4"/>
  <c r="T227" i="4"/>
  <c r="H228" i="4"/>
  <c r="I228" i="4"/>
  <c r="J228" i="4"/>
  <c r="R228" i="4"/>
  <c r="T228" i="4"/>
  <c r="H229" i="4"/>
  <c r="I229" i="4"/>
  <c r="J229" i="4"/>
  <c r="R229" i="4"/>
  <c r="T229" i="4"/>
  <c r="H230" i="4"/>
  <c r="I230" i="4"/>
  <c r="J230" i="4"/>
  <c r="R230" i="4"/>
  <c r="T230" i="4"/>
  <c r="H231" i="4"/>
  <c r="I231" i="4"/>
  <c r="J231" i="4"/>
  <c r="R231" i="4"/>
  <c r="T231" i="4"/>
  <c r="H232" i="4"/>
  <c r="I232" i="4"/>
  <c r="J232" i="4"/>
  <c r="R232" i="4"/>
  <c r="T232" i="4"/>
  <c r="H233" i="4"/>
  <c r="I233" i="4"/>
  <c r="J233" i="4"/>
  <c r="R233" i="4"/>
  <c r="T233" i="4"/>
  <c r="H234" i="4"/>
  <c r="I234" i="4"/>
  <c r="J234" i="4"/>
  <c r="R234" i="4"/>
  <c r="T234" i="4"/>
  <c r="H235" i="4"/>
  <c r="I235" i="4"/>
  <c r="J235" i="4"/>
  <c r="R235" i="4"/>
  <c r="T235" i="4"/>
  <c r="H236" i="4"/>
  <c r="I236" i="4"/>
  <c r="J236" i="4"/>
  <c r="R236" i="4"/>
  <c r="T236" i="4"/>
  <c r="H237" i="4"/>
  <c r="I237" i="4"/>
  <c r="J237" i="4"/>
  <c r="R237" i="4"/>
  <c r="T237" i="4"/>
  <c r="H238" i="4"/>
  <c r="I238" i="4"/>
  <c r="J238" i="4"/>
  <c r="R238" i="4"/>
  <c r="T238" i="4"/>
  <c r="H239" i="4"/>
  <c r="I239" i="4"/>
  <c r="J239" i="4"/>
  <c r="R239" i="4"/>
  <c r="T239" i="4"/>
  <c r="H240" i="4"/>
  <c r="I240" i="4"/>
  <c r="J240" i="4"/>
  <c r="R240" i="4"/>
  <c r="T240" i="4"/>
  <c r="H241" i="4"/>
  <c r="I241" i="4"/>
  <c r="J241" i="4"/>
  <c r="R241" i="4"/>
  <c r="T241" i="4"/>
  <c r="H242" i="4"/>
  <c r="I242" i="4"/>
  <c r="J242" i="4"/>
  <c r="R242" i="4"/>
  <c r="T242" i="4"/>
  <c r="H243" i="4"/>
  <c r="I243" i="4"/>
  <c r="J243" i="4"/>
  <c r="R243" i="4"/>
  <c r="T243" i="4"/>
  <c r="H244" i="4"/>
  <c r="I244" i="4"/>
  <c r="J244" i="4"/>
  <c r="R244" i="4"/>
  <c r="T244" i="4"/>
  <c r="H245" i="4"/>
  <c r="I245" i="4"/>
  <c r="J245" i="4"/>
  <c r="R245" i="4"/>
  <c r="T245" i="4"/>
  <c r="H246" i="4"/>
  <c r="I246" i="4"/>
  <c r="J246" i="4"/>
  <c r="R246" i="4"/>
  <c r="T246" i="4"/>
  <c r="H247" i="4"/>
  <c r="I247" i="4"/>
  <c r="J247" i="4"/>
  <c r="R247" i="4"/>
  <c r="T247" i="4"/>
  <c r="H248" i="4"/>
  <c r="I248" i="4"/>
  <c r="J248" i="4"/>
  <c r="R248" i="4"/>
  <c r="T248" i="4"/>
  <c r="H249" i="4"/>
  <c r="I249" i="4"/>
  <c r="J249" i="4"/>
  <c r="R249" i="4"/>
  <c r="T249" i="4"/>
  <c r="H250" i="4"/>
  <c r="I250" i="4"/>
  <c r="J250" i="4"/>
  <c r="R250" i="4"/>
  <c r="T250" i="4"/>
  <c r="H251" i="4"/>
  <c r="I251" i="4"/>
  <c r="J251" i="4"/>
  <c r="R251" i="4"/>
  <c r="T251" i="4"/>
  <c r="H252" i="4"/>
  <c r="I252" i="4"/>
  <c r="J252" i="4"/>
  <c r="R252" i="4"/>
  <c r="T252" i="4"/>
  <c r="H253" i="4"/>
  <c r="I253" i="4"/>
  <c r="J253" i="4"/>
  <c r="R253" i="4"/>
  <c r="T253" i="4"/>
  <c r="H254" i="4"/>
  <c r="I254" i="4"/>
  <c r="J254" i="4"/>
  <c r="R254" i="4"/>
  <c r="T254" i="4"/>
  <c r="H255" i="4"/>
  <c r="I255" i="4"/>
  <c r="J255" i="4"/>
  <c r="R255" i="4"/>
  <c r="T255" i="4"/>
  <c r="H256" i="4"/>
  <c r="I256" i="4"/>
  <c r="J256" i="4"/>
  <c r="R256" i="4"/>
  <c r="T256" i="4"/>
  <c r="H257" i="4"/>
  <c r="I257" i="4"/>
  <c r="J257" i="4"/>
  <c r="R257" i="4"/>
  <c r="T257" i="4"/>
  <c r="H258" i="4"/>
  <c r="I258" i="4"/>
  <c r="J258" i="4"/>
  <c r="R258" i="4"/>
  <c r="T258" i="4"/>
  <c r="H259" i="4"/>
  <c r="I259" i="4"/>
  <c r="J259" i="4"/>
  <c r="R259" i="4"/>
  <c r="T259" i="4"/>
  <c r="H260" i="4"/>
  <c r="I260" i="4"/>
  <c r="J260" i="4"/>
  <c r="R260" i="4"/>
  <c r="T260" i="4"/>
  <c r="V770" i="4"/>
  <c r="V771" i="4"/>
  <c r="V772" i="4"/>
  <c r="V774" i="4"/>
  <c r="V775" i="4"/>
  <c r="V776" i="4"/>
  <c r="V777" i="4"/>
  <c r="V778" i="4"/>
  <c r="V779" i="4"/>
  <c r="V780" i="4"/>
  <c r="V781" i="4"/>
  <c r="V782" i="4"/>
  <c r="V783" i="4"/>
  <c r="V785" i="4"/>
  <c r="V786" i="4"/>
  <c r="V787" i="4"/>
  <c r="V788" i="4"/>
  <c r="V789" i="4"/>
  <c r="V790" i="4"/>
  <c r="V791" i="4"/>
  <c r="V792" i="4"/>
  <c r="V793" i="4"/>
  <c r="V794" i="4"/>
  <c r="V795" i="4"/>
  <c r="V796" i="4"/>
  <c r="V797" i="4"/>
  <c r="V798" i="4"/>
  <c r="V799" i="4"/>
  <c r="V800" i="4"/>
  <c r="V801" i="4"/>
  <c r="V802" i="4"/>
  <c r="V803"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853" i="4"/>
  <c r="V854" i="4"/>
  <c r="V855" i="4"/>
  <c r="V856" i="4"/>
  <c r="V857" i="4"/>
  <c r="V858" i="4"/>
  <c r="V859" i="4"/>
  <c r="V860" i="4"/>
  <c r="V861" i="4"/>
  <c r="V862" i="4"/>
  <c r="V863" i="4"/>
  <c r="V864" i="4"/>
  <c r="V865" i="4"/>
  <c r="V866" i="4"/>
  <c r="V867" i="4"/>
  <c r="V868" i="4"/>
  <c r="V869" i="4"/>
  <c r="V870" i="4"/>
  <c r="V871" i="4"/>
  <c r="V872" i="4"/>
  <c r="V873" i="4"/>
  <c r="V874" i="4"/>
  <c r="V875" i="4"/>
  <c r="V876" i="4"/>
  <c r="V877" i="4"/>
  <c r="V878" i="4"/>
  <c r="V879" i="4"/>
  <c r="V880" i="4"/>
  <c r="V881" i="4"/>
  <c r="V882" i="4"/>
  <c r="V883" i="4"/>
  <c r="V884" i="4"/>
  <c r="V885" i="4"/>
  <c r="V886" i="4"/>
  <c r="V887" i="4"/>
  <c r="V888" i="4"/>
  <c r="V889" i="4"/>
  <c r="V890" i="4"/>
  <c r="V891" i="4"/>
  <c r="V892" i="4"/>
  <c r="V893" i="4"/>
  <c r="V894" i="4"/>
  <c r="V895" i="4"/>
  <c r="V896" i="4"/>
  <c r="V897" i="4"/>
  <c r="V898" i="4"/>
  <c r="V899" i="4"/>
  <c r="V900" i="4"/>
  <c r="V901" i="4"/>
  <c r="V902" i="4"/>
  <c r="V903" i="4"/>
  <c r="V904" i="4"/>
  <c r="V905" i="4"/>
  <c r="V906" i="4"/>
  <c r="V907" i="4"/>
  <c r="V908" i="4"/>
  <c r="V909" i="4"/>
  <c r="V910" i="4"/>
  <c r="V911" i="4"/>
  <c r="V912" i="4"/>
  <c r="V913" i="4"/>
  <c r="V914" i="4"/>
  <c r="V915" i="4"/>
  <c r="V916" i="4"/>
  <c r="V917" i="4"/>
  <c r="V918" i="4"/>
  <c r="V919" i="4"/>
  <c r="V920" i="4"/>
  <c r="V921" i="4"/>
  <c r="V922" i="4"/>
  <c r="V923" i="4"/>
  <c r="V924" i="4"/>
  <c r="V925" i="4"/>
  <c r="V926" i="4"/>
  <c r="V927" i="4"/>
  <c r="V928" i="4"/>
  <c r="V929" i="4"/>
  <c r="V930" i="4"/>
  <c r="V931" i="4"/>
  <c r="V932" i="4"/>
  <c r="V933" i="4"/>
  <c r="V934" i="4"/>
  <c r="V935" i="4"/>
  <c r="V936" i="4"/>
  <c r="V937" i="4"/>
  <c r="V938" i="4"/>
  <c r="V939" i="4"/>
  <c r="V940" i="4"/>
  <c r="V941" i="4"/>
  <c r="V942" i="4"/>
  <c r="V945" i="4"/>
  <c r="V946" i="4"/>
  <c r="V947" i="4"/>
  <c r="V948" i="4"/>
  <c r="V949" i="4"/>
  <c r="V950" i="4"/>
  <c r="V951" i="4"/>
  <c r="V952" i="4"/>
  <c r="V953" i="4"/>
  <c r="V954" i="4"/>
  <c r="V955" i="4"/>
  <c r="V956" i="4"/>
  <c r="V957" i="4"/>
  <c r="V959" i="4"/>
  <c r="V960" i="4"/>
  <c r="V961" i="4"/>
  <c r="V962" i="4"/>
  <c r="V963" i="4"/>
  <c r="V964" i="4"/>
  <c r="V965" i="4"/>
  <c r="V966" i="4"/>
  <c r="V967" i="4"/>
  <c r="V968" i="4"/>
  <c r="V969" i="4"/>
  <c r="V970" i="4"/>
  <c r="V971" i="4"/>
  <c r="V972" i="4"/>
  <c r="V973" i="4"/>
  <c r="V974" i="4"/>
  <c r="V975" i="4"/>
  <c r="V976" i="4"/>
  <c r="V977" i="4"/>
  <c r="V978" i="4"/>
  <c r="V979" i="4"/>
  <c r="V980" i="4"/>
  <c r="V981" i="4"/>
  <c r="V982" i="4"/>
  <c r="V983" i="4"/>
  <c r="V984" i="4"/>
  <c r="V985" i="4"/>
  <c r="V986" i="4"/>
  <c r="V987" i="4"/>
  <c r="V988" i="4"/>
  <c r="V989" i="4"/>
  <c r="V991" i="4"/>
  <c r="V992" i="4"/>
  <c r="V993" i="4"/>
  <c r="V994" i="4"/>
  <c r="V995" i="4"/>
  <c r="V996" i="4"/>
  <c r="V997" i="4"/>
  <c r="V998" i="4"/>
  <c r="V999" i="4"/>
  <c r="V1000" i="4"/>
  <c r="V1001" i="4"/>
  <c r="V1002" i="4"/>
  <c r="V1003" i="4"/>
  <c r="V1004" i="4"/>
  <c r="V1005" i="4"/>
  <c r="V1006" i="4"/>
  <c r="V1007" i="4"/>
  <c r="V1008" i="4"/>
  <c r="V1009" i="4"/>
  <c r="V1010" i="4"/>
  <c r="V1011" i="4"/>
  <c r="V1012" i="4"/>
  <c r="V1013" i="4"/>
  <c r="V1014" i="4"/>
  <c r="V1015" i="4"/>
  <c r="V1016" i="4"/>
  <c r="V1017" i="4"/>
  <c r="V1018" i="4"/>
  <c r="V1019" i="4"/>
  <c r="V1020" i="4"/>
  <c r="V1021" i="4"/>
  <c r="V1022" i="4"/>
  <c r="V1023" i="4"/>
  <c r="V1024" i="4"/>
  <c r="V1025" i="4"/>
  <c r="V1026" i="4"/>
  <c r="V1027" i="4"/>
  <c r="V1028" i="4"/>
  <c r="V1029" i="4"/>
  <c r="V1030" i="4"/>
  <c r="V1031" i="4"/>
  <c r="V1032" i="4"/>
  <c r="V1033" i="4"/>
  <c r="V1034" i="4"/>
  <c r="V1035" i="4"/>
  <c r="V1036" i="4"/>
  <c r="V1037" i="4"/>
  <c r="V1038" i="4"/>
  <c r="V1039" i="4"/>
  <c r="V1040" i="4"/>
  <c r="V1041" i="4"/>
  <c r="V1042" i="4"/>
  <c r="V1043" i="4"/>
  <c r="V1044" i="4"/>
  <c r="V1045" i="4"/>
  <c r="V1046" i="4"/>
  <c r="V1047" i="4"/>
  <c r="V1048" i="4"/>
  <c r="V1049" i="4"/>
  <c r="V1050" i="4"/>
  <c r="H1052" i="4"/>
  <c r="I1052" i="4"/>
  <c r="J1052" i="4"/>
  <c r="V1052" i="4"/>
  <c r="G1053" i="4"/>
  <c r="H1053" i="4"/>
  <c r="I1053" i="4"/>
  <c r="J1053" i="4"/>
  <c r="V1053" i="4"/>
  <c r="G1054" i="4"/>
  <c r="H1054" i="4"/>
  <c r="I1054" i="4"/>
  <c r="J1054" i="4"/>
  <c r="V1054" i="4"/>
  <c r="G1055" i="4"/>
  <c r="H1055" i="4"/>
  <c r="I1055" i="4"/>
  <c r="J1055" i="4"/>
  <c r="V1055" i="4"/>
  <c r="G1056" i="4"/>
  <c r="H1056" i="4"/>
  <c r="I1056" i="4"/>
  <c r="J1056" i="4"/>
  <c r="V1056" i="4"/>
  <c r="G1057" i="4"/>
  <c r="H1057" i="4"/>
  <c r="I1057" i="4"/>
  <c r="J1057" i="4"/>
  <c r="V1057" i="4"/>
  <c r="G1058" i="4"/>
  <c r="H1058" i="4"/>
  <c r="I1058" i="4"/>
  <c r="J1058" i="4"/>
  <c r="V1058" i="4"/>
  <c r="G1059" i="4"/>
  <c r="H1059" i="4"/>
  <c r="I1059" i="4"/>
  <c r="J1059" i="4"/>
  <c r="V1059" i="4"/>
  <c r="G1060" i="4"/>
  <c r="H1060" i="4"/>
  <c r="I1060" i="4"/>
  <c r="J1060" i="4"/>
  <c r="V1060" i="4"/>
  <c r="G1061" i="4"/>
  <c r="H1061" i="4"/>
  <c r="I1061" i="4"/>
  <c r="J1061" i="4"/>
  <c r="V1061" i="4"/>
  <c r="G1062" i="4"/>
  <c r="H1062" i="4"/>
  <c r="I1062" i="4"/>
  <c r="J1062" i="4"/>
  <c r="V1062" i="4"/>
  <c r="G1063" i="4"/>
  <c r="H1063" i="4"/>
  <c r="I1063" i="4"/>
  <c r="J1063" i="4"/>
  <c r="V1063" i="4"/>
  <c r="F1362" i="4"/>
  <c r="F1363" i="4"/>
  <c r="F1364" i="4"/>
  <c r="F1365" i="4"/>
  <c r="F1366" i="4"/>
  <c r="F1367" i="4"/>
  <c r="F1368" i="4"/>
  <c r="F1369" i="4"/>
  <c r="F1370" i="4"/>
  <c r="F1371" i="4"/>
  <c r="F1372" i="4"/>
  <c r="F1373" i="4"/>
  <c r="T456" i="26" l="1"/>
  <c r="O569" i="26"/>
  <c r="E501" i="26"/>
  <c r="H498" i="26"/>
  <c r="G498" i="26"/>
  <c r="F498" i="26"/>
  <c r="Q501" i="26" s="1"/>
  <c r="J498" i="26"/>
  <c r="E498" i="26"/>
  <c r="P501" i="26" s="1"/>
  <c r="J494" i="26"/>
  <c r="E500" i="26"/>
  <c r="J508" i="26"/>
  <c r="H494" i="26"/>
  <c r="G494" i="26"/>
  <c r="J513" i="26"/>
  <c r="J365" i="26"/>
  <c r="F352" i="26"/>
  <c r="C353" i="26"/>
  <c r="H352" i="26"/>
  <c r="E523" i="26"/>
  <c r="J587" i="26"/>
  <c r="E525" i="26"/>
  <c r="G523" i="26"/>
  <c r="H523" i="26"/>
  <c r="H519" i="26"/>
  <c r="E526" i="26"/>
  <c r="G519" i="26"/>
  <c r="J519" i="26"/>
  <c r="J523" i="26"/>
  <c r="F523" i="26"/>
  <c r="J582" i="26"/>
  <c r="J35" i="26"/>
  <c r="J107" i="26"/>
  <c r="V114" i="26" s="1"/>
  <c r="F107" i="26"/>
  <c r="F108" i="26" s="1"/>
  <c r="F109" i="26" s="1"/>
  <c r="G107" i="26"/>
  <c r="E107" i="26"/>
  <c r="E108" i="26" s="1"/>
  <c r="E109" i="26" s="1"/>
  <c r="H107" i="26"/>
  <c r="H108" i="26" s="1"/>
  <c r="H109" i="26" s="1"/>
  <c r="E156" i="26"/>
  <c r="F154" i="26"/>
  <c r="Q157" i="26" s="1"/>
  <c r="E154" i="26"/>
  <c r="P157" i="26" s="1"/>
  <c r="E157" i="26"/>
  <c r="H154" i="26"/>
  <c r="H150" i="26"/>
  <c r="J154" i="26"/>
  <c r="G150" i="26"/>
  <c r="J150" i="26"/>
  <c r="G154" i="26"/>
  <c r="J30" i="26"/>
  <c r="J213" i="26"/>
  <c r="J114" i="26"/>
  <c r="J218" i="26"/>
  <c r="J119" i="26"/>
  <c r="O191" i="26"/>
  <c r="J60" i="26"/>
  <c r="J49" i="26"/>
  <c r="J639" i="26"/>
  <c r="H593" i="26"/>
  <c r="H594" i="26" s="1"/>
  <c r="H595" i="26" s="1"/>
  <c r="J601" i="26"/>
  <c r="J602" i="26" s="1"/>
  <c r="J603" i="26" s="1"/>
  <c r="J604" i="26" s="1"/>
  <c r="F601" i="26"/>
  <c r="F602" i="26" s="1"/>
  <c r="F603" i="26" s="1"/>
  <c r="F604" i="26" s="1"/>
  <c r="G593" i="26"/>
  <c r="G594" i="26" s="1"/>
  <c r="G595" i="26" s="1"/>
  <c r="E601" i="26"/>
  <c r="E602" i="26" s="1"/>
  <c r="E603" i="26" s="1"/>
  <c r="E604" i="26" s="1"/>
  <c r="F593" i="26"/>
  <c r="F594" i="26" s="1"/>
  <c r="F595" i="26" s="1"/>
  <c r="J593" i="26"/>
  <c r="J594" i="26" s="1"/>
  <c r="J595" i="26" s="1"/>
  <c r="H601" i="26"/>
  <c r="H602" i="26" s="1"/>
  <c r="H603" i="26" s="1"/>
  <c r="H604" i="26" s="1"/>
  <c r="E593" i="26"/>
  <c r="E594" i="26" s="1"/>
  <c r="E595" i="26" s="1"/>
  <c r="G601" i="26"/>
  <c r="G602" i="26" s="1"/>
  <c r="G603" i="26" s="1"/>
  <c r="G604" i="26" s="1"/>
  <c r="J608" i="26"/>
  <c r="J99" i="26"/>
  <c r="J410" i="26"/>
  <c r="J405" i="26"/>
  <c r="E298" i="26"/>
  <c r="F298" i="26"/>
  <c r="J84" i="26"/>
  <c r="J67" i="26"/>
  <c r="H18" i="26"/>
  <c r="H19" i="26" s="1"/>
  <c r="H20" i="26" s="1"/>
  <c r="J298" i="26"/>
  <c r="J93" i="26"/>
  <c r="G298" i="26"/>
  <c r="J18" i="26"/>
  <c r="F18" i="26"/>
  <c r="F19" i="26" s="1"/>
  <c r="F20" i="26" s="1"/>
  <c r="G18" i="26"/>
  <c r="H298" i="26"/>
  <c r="E18" i="26"/>
  <c r="E19" i="26" s="1"/>
  <c r="E20" i="26" s="1"/>
  <c r="E230" i="26"/>
  <c r="G620" i="26"/>
  <c r="E302" i="26"/>
  <c r="G129" i="26"/>
  <c r="F129" i="26"/>
  <c r="Q132" i="26" s="1"/>
  <c r="H125" i="26"/>
  <c r="E622" i="26"/>
  <c r="E228" i="26"/>
  <c r="G235" i="26" s="1"/>
  <c r="G236" i="26" s="1"/>
  <c r="G237" i="26" s="1"/>
  <c r="G238" i="26" s="1"/>
  <c r="G239" i="26" s="1"/>
  <c r="G240" i="26" s="1"/>
  <c r="G241" i="26" s="1"/>
  <c r="G242" i="26" s="1"/>
  <c r="G243" i="26" s="1"/>
  <c r="G244" i="26" s="1"/>
  <c r="G245" i="26" s="1"/>
  <c r="G246" i="26" s="1"/>
  <c r="G247" i="26" s="1"/>
  <c r="G248" i="26" s="1"/>
  <c r="G249" i="26" s="1"/>
  <c r="G250" i="26" s="1"/>
  <c r="G251" i="26" s="1"/>
  <c r="G252" i="26" s="1"/>
  <c r="G253" i="26" s="1"/>
  <c r="G254" i="26" s="1"/>
  <c r="G255" i="26" s="1"/>
  <c r="G256" i="26" s="1"/>
  <c r="G257" i="26" s="1"/>
  <c r="G258" i="26" s="1"/>
  <c r="G259" i="26" s="1"/>
  <c r="G260" i="26" s="1"/>
  <c r="G261" i="26" s="1"/>
  <c r="G262" i="26" s="1"/>
  <c r="G263" i="26" s="1"/>
  <c r="G264" i="26" s="1"/>
  <c r="G265" i="26" s="1"/>
  <c r="G266" i="26" s="1"/>
  <c r="G267" i="26" s="1"/>
  <c r="G268" i="26" s="1"/>
  <c r="G269" i="26" s="1"/>
  <c r="G270" i="26" s="1"/>
  <c r="G271" i="26" s="1"/>
  <c r="G272" i="26" s="1"/>
  <c r="G273" i="26" s="1"/>
  <c r="G274" i="26" s="1"/>
  <c r="G275" i="26" s="1"/>
  <c r="G276" i="26" s="1"/>
  <c r="G277" i="26" s="1"/>
  <c r="G278" i="26" s="1"/>
  <c r="G279" i="26" s="1"/>
  <c r="G280" i="26" s="1"/>
  <c r="G281" i="26" s="1"/>
  <c r="G282" i="26" s="1"/>
  <c r="G283" i="26" s="1"/>
  <c r="G284" i="26" s="1"/>
  <c r="G224" i="26"/>
  <c r="G616" i="26"/>
  <c r="J224" i="26"/>
  <c r="H228" i="26"/>
  <c r="H129" i="26"/>
  <c r="G302" i="26"/>
  <c r="E620" i="26"/>
  <c r="P623" i="26" s="1"/>
  <c r="G125" i="26"/>
  <c r="H620" i="26"/>
  <c r="J125" i="26"/>
  <c r="J620" i="26"/>
  <c r="J616" i="26"/>
  <c r="G228" i="26"/>
  <c r="F228" i="26"/>
  <c r="H235" i="26" s="1"/>
  <c r="H236" i="26" s="1"/>
  <c r="H237" i="26" s="1"/>
  <c r="H238" i="26" s="1"/>
  <c r="H239" i="26" s="1"/>
  <c r="H240" i="26" s="1"/>
  <c r="H241" i="26" s="1"/>
  <c r="H242" i="26" s="1"/>
  <c r="H243" i="26" s="1"/>
  <c r="H244" i="26" s="1"/>
  <c r="H245" i="26" s="1"/>
  <c r="H246" i="26" s="1"/>
  <c r="H247" i="26" s="1"/>
  <c r="H248" i="26" s="1"/>
  <c r="H249" i="26" s="1"/>
  <c r="H250" i="26" s="1"/>
  <c r="H251" i="26" s="1"/>
  <c r="H252" i="26" s="1"/>
  <c r="H253" i="26" s="1"/>
  <c r="H254" i="26" s="1"/>
  <c r="H255" i="26" s="1"/>
  <c r="H256" i="26" s="1"/>
  <c r="H257" i="26" s="1"/>
  <c r="H258" i="26" s="1"/>
  <c r="H259" i="26" s="1"/>
  <c r="H260" i="26" s="1"/>
  <c r="H261" i="26" s="1"/>
  <c r="H262" i="26" s="1"/>
  <c r="H263" i="26" s="1"/>
  <c r="H264" i="26" s="1"/>
  <c r="H265" i="26" s="1"/>
  <c r="H266" i="26" s="1"/>
  <c r="H267" i="26" s="1"/>
  <c r="H268" i="26" s="1"/>
  <c r="H269" i="26" s="1"/>
  <c r="H270" i="26" s="1"/>
  <c r="H271" i="26" s="1"/>
  <c r="H272" i="26" s="1"/>
  <c r="H273" i="26" s="1"/>
  <c r="H274" i="26" s="1"/>
  <c r="H275" i="26" s="1"/>
  <c r="H276" i="26" s="1"/>
  <c r="H277" i="26" s="1"/>
  <c r="H278" i="26" s="1"/>
  <c r="H279" i="26" s="1"/>
  <c r="H280" i="26" s="1"/>
  <c r="H281" i="26" s="1"/>
  <c r="H282" i="26" s="1"/>
  <c r="H283" i="26" s="1"/>
  <c r="H284" i="26" s="1"/>
  <c r="J129" i="26"/>
  <c r="E129" i="26"/>
  <c r="P132" i="26" s="1"/>
  <c r="F620" i="26"/>
  <c r="Q623" i="26" s="1"/>
  <c r="E231" i="26"/>
  <c r="J228" i="26"/>
  <c r="E131" i="26"/>
  <c r="H302" i="26"/>
  <c r="F302" i="26"/>
  <c r="H616" i="26"/>
  <c r="J302" i="26"/>
  <c r="E132" i="26"/>
  <c r="E623" i="26"/>
  <c r="H224" i="26"/>
  <c r="E306" i="26"/>
  <c r="H306" i="26"/>
  <c r="G306" i="26"/>
  <c r="F306" i="26"/>
  <c r="J306" i="26"/>
  <c r="J25" i="26"/>
  <c r="J292" i="26"/>
  <c r="J144" i="26"/>
  <c r="J76" i="26"/>
  <c r="J287" i="26"/>
  <c r="J139" i="26"/>
  <c r="H310" i="26"/>
  <c r="J628" i="26"/>
  <c r="J633" i="26"/>
  <c r="J310" i="26"/>
  <c r="G310" i="26"/>
  <c r="J41" i="26"/>
  <c r="F310" i="26"/>
  <c r="E310" i="26"/>
  <c r="E314" i="26"/>
  <c r="G314" i="26"/>
  <c r="J314" i="26"/>
  <c r="H314" i="26"/>
  <c r="F314" i="26"/>
  <c r="H318" i="26"/>
  <c r="E318" i="26"/>
  <c r="G318" i="26"/>
  <c r="J88" i="26"/>
  <c r="J318" i="26"/>
  <c r="F318" i="26"/>
  <c r="J322" i="26"/>
  <c r="E322" i="26"/>
  <c r="F322" i="26"/>
  <c r="H322" i="26"/>
  <c r="G322" i="26"/>
  <c r="H326" i="26"/>
  <c r="J326" i="26"/>
  <c r="G326" i="26"/>
  <c r="F326" i="26"/>
  <c r="E326" i="26"/>
  <c r="G330" i="26"/>
  <c r="E330" i="26"/>
  <c r="F330" i="26"/>
  <c r="H330" i="26"/>
  <c r="J330" i="26"/>
  <c r="T364" i="26"/>
  <c r="Q366" i="26"/>
  <c r="K365" i="26"/>
  <c r="M366" i="26"/>
  <c r="G365" i="26"/>
  <c r="N365" i="26"/>
  <c r="I366" i="26"/>
  <c r="H366" i="26"/>
  <c r="G334" i="26"/>
  <c r="H334" i="26"/>
  <c r="J334" i="26"/>
  <c r="F334" i="26"/>
  <c r="E334" i="26"/>
  <c r="A1" i="26"/>
  <c r="L457" i="26" l="1"/>
  <c r="S456" i="26"/>
  <c r="U456" i="26" s="1"/>
  <c r="O570" i="26"/>
  <c r="I235" i="26"/>
  <c r="I236" i="26" s="1"/>
  <c r="I237" i="26" s="1"/>
  <c r="I238" i="26" s="1"/>
  <c r="I239" i="26" s="1"/>
  <c r="I240" i="26" s="1"/>
  <c r="I241" i="26" s="1"/>
  <c r="I242" i="26" s="1"/>
  <c r="I243" i="26" s="1"/>
  <c r="I244" i="26" s="1"/>
  <c r="I245" i="26" s="1"/>
  <c r="I246" i="26" s="1"/>
  <c r="I247" i="26" s="1"/>
  <c r="I248" i="26" s="1"/>
  <c r="I249" i="26" s="1"/>
  <c r="I250" i="26" s="1"/>
  <c r="I251" i="26" s="1"/>
  <c r="I252" i="26" s="1"/>
  <c r="I253" i="26" s="1"/>
  <c r="I254" i="26" s="1"/>
  <c r="I255" i="26" s="1"/>
  <c r="I256" i="26" s="1"/>
  <c r="I257" i="26" s="1"/>
  <c r="I258" i="26" s="1"/>
  <c r="I259" i="26" s="1"/>
  <c r="I260" i="26" s="1"/>
  <c r="I261" i="26" s="1"/>
  <c r="I262" i="26" s="1"/>
  <c r="I263" i="26" s="1"/>
  <c r="I264" i="26" s="1"/>
  <c r="I265" i="26" s="1"/>
  <c r="I266" i="26" s="1"/>
  <c r="I267" i="26" s="1"/>
  <c r="I268" i="26" s="1"/>
  <c r="I269" i="26" s="1"/>
  <c r="I270" i="26" s="1"/>
  <c r="I271" i="26" s="1"/>
  <c r="I272" i="26" s="1"/>
  <c r="I273" i="26" s="1"/>
  <c r="I274" i="26" s="1"/>
  <c r="I275" i="26" s="1"/>
  <c r="I276" i="26" s="1"/>
  <c r="I277" i="26" s="1"/>
  <c r="I278" i="26" s="1"/>
  <c r="I279" i="26" s="1"/>
  <c r="I280" i="26" s="1"/>
  <c r="I281" i="26" s="1"/>
  <c r="I282" i="26" s="1"/>
  <c r="I283" i="26" s="1"/>
  <c r="I284" i="26" s="1"/>
  <c r="V628" i="26"/>
  <c r="V139" i="26"/>
  <c r="V582" i="26"/>
  <c r="J352" i="26"/>
  <c r="J353" i="26"/>
  <c r="J354" i="26"/>
  <c r="J355" i="26"/>
  <c r="J356" i="26"/>
  <c r="J357" i="26"/>
  <c r="J358" i="26"/>
  <c r="J359" i="26"/>
  <c r="J360" i="26"/>
  <c r="J361" i="26"/>
  <c r="J362" i="26"/>
  <c r="J363" i="26"/>
  <c r="J364" i="26"/>
  <c r="K352" i="26"/>
  <c r="K353" i="26"/>
  <c r="K354" i="26"/>
  <c r="K355" i="26"/>
  <c r="K356" i="26"/>
  <c r="K357" i="26"/>
  <c r="K358" i="26"/>
  <c r="K359" i="26"/>
  <c r="K360" i="26"/>
  <c r="K361" i="26"/>
  <c r="K362" i="26"/>
  <c r="K363" i="26"/>
  <c r="K364" i="26"/>
  <c r="L340" i="26"/>
  <c r="C354" i="26"/>
  <c r="D354" i="26" s="1"/>
  <c r="L354" i="26" s="1"/>
  <c r="E353" i="26"/>
  <c r="F353" i="26" s="1"/>
  <c r="E494" i="26"/>
  <c r="F494" i="26"/>
  <c r="D353" i="26"/>
  <c r="L353" i="26" s="1"/>
  <c r="D352" i="26"/>
  <c r="L352" i="26" s="1"/>
  <c r="N347" i="26"/>
  <c r="I352" i="26"/>
  <c r="L341" i="26"/>
  <c r="F150" i="26"/>
  <c r="O157" i="26" s="1"/>
  <c r="W582" i="26"/>
  <c r="G530" i="26"/>
  <c r="G531" i="26" s="1"/>
  <c r="E519" i="26"/>
  <c r="F519" i="26"/>
  <c r="F530" i="26" s="1"/>
  <c r="F110" i="26"/>
  <c r="F111" i="26"/>
  <c r="E150" i="26"/>
  <c r="N157" i="26" s="1"/>
  <c r="J108" i="26"/>
  <c r="J109" i="26" s="1"/>
  <c r="H110" i="26"/>
  <c r="H111" i="26"/>
  <c r="E110" i="26"/>
  <c r="E111" i="26"/>
  <c r="G108" i="26"/>
  <c r="G109" i="26" s="1"/>
  <c r="R119" i="26"/>
  <c r="T119" i="26" s="1"/>
  <c r="V119" i="26" s="1"/>
  <c r="O192" i="26"/>
  <c r="E224" i="26"/>
  <c r="E235" i="26" s="1"/>
  <c r="R410" i="26"/>
  <c r="T410" i="26" s="1"/>
  <c r="E125" i="26"/>
  <c r="W139" i="26"/>
  <c r="J596" i="26"/>
  <c r="J597" i="26"/>
  <c r="F224" i="26"/>
  <c r="F235" i="26" s="1"/>
  <c r="G19" i="26"/>
  <c r="G20" i="26" s="1"/>
  <c r="T604" i="26"/>
  <c r="V604" i="26" s="1"/>
  <c r="W601" i="26" s="1"/>
  <c r="F596" i="26"/>
  <c r="F597" i="26"/>
  <c r="F125" i="26"/>
  <c r="O132" i="26" s="1"/>
  <c r="E22" i="26"/>
  <c r="E21" i="26"/>
  <c r="F21" i="26"/>
  <c r="F22" i="26"/>
  <c r="H22" i="26"/>
  <c r="H21" i="26"/>
  <c r="E597" i="26"/>
  <c r="E596" i="26"/>
  <c r="F616" i="26"/>
  <c r="O623" i="26" s="1"/>
  <c r="E616" i="26"/>
  <c r="N623" i="26" s="1"/>
  <c r="J19" i="26"/>
  <c r="J20" i="26" s="1"/>
  <c r="G596" i="26"/>
  <c r="G597" i="26"/>
  <c r="H597" i="26"/>
  <c r="H596" i="26"/>
  <c r="H367" i="26"/>
  <c r="I367" i="26"/>
  <c r="T365" i="26"/>
  <c r="Q367" i="26"/>
  <c r="K366" i="26"/>
  <c r="J366" i="26"/>
  <c r="M367" i="26"/>
  <c r="N366" i="26"/>
  <c r="G366" i="26"/>
  <c r="C236" i="26" l="1"/>
  <c r="C237" i="26" s="1"/>
  <c r="G532" i="26"/>
  <c r="G533" i="26" s="1"/>
  <c r="G534" i="26" s="1"/>
  <c r="G535" i="26" s="1"/>
  <c r="G536" i="26" s="1"/>
  <c r="G537" i="26" s="1"/>
  <c r="G538" i="26" s="1"/>
  <c r="G539" i="26" s="1"/>
  <c r="G540" i="26" s="1"/>
  <c r="G541" i="26" s="1"/>
  <c r="G542" i="26" s="1"/>
  <c r="G543" i="26" s="1"/>
  <c r="G544" i="26" s="1"/>
  <c r="G545" i="26" s="1"/>
  <c r="G546" i="26" s="1"/>
  <c r="G547" i="26" s="1"/>
  <c r="G548" i="26" s="1"/>
  <c r="G549" i="26" s="1"/>
  <c r="G550" i="26" s="1"/>
  <c r="G551" i="26" s="1"/>
  <c r="G552" i="26" s="1"/>
  <c r="G553" i="26" s="1"/>
  <c r="G554" i="26" s="1"/>
  <c r="G555" i="26" s="1"/>
  <c r="G556" i="26" s="1"/>
  <c r="G557" i="26" s="1"/>
  <c r="G558" i="26" s="1"/>
  <c r="G559" i="26" s="1"/>
  <c r="G560" i="26" s="1"/>
  <c r="G561" i="26" s="1"/>
  <c r="G562" i="26" s="1"/>
  <c r="G563" i="26" s="1"/>
  <c r="G564" i="26" s="1"/>
  <c r="G565" i="26" s="1"/>
  <c r="G566" i="26" s="1"/>
  <c r="G567" i="26" s="1"/>
  <c r="G568" i="26" s="1"/>
  <c r="G569" i="26" s="1"/>
  <c r="G570" i="26" s="1"/>
  <c r="G571" i="26" s="1"/>
  <c r="G572" i="26" s="1"/>
  <c r="G573" i="26" s="1"/>
  <c r="G574" i="26" s="1"/>
  <c r="G575" i="26" s="1"/>
  <c r="G576" i="26" s="1"/>
  <c r="G577" i="26" s="1"/>
  <c r="G578" i="26" s="1"/>
  <c r="G579" i="26" s="1"/>
  <c r="C531" i="26"/>
  <c r="L235" i="26"/>
  <c r="O571" i="26"/>
  <c r="E236" i="26"/>
  <c r="E237" i="26" s="1"/>
  <c r="N132" i="26"/>
  <c r="H132" i="26" s="1"/>
  <c r="P352" i="26"/>
  <c r="U352" i="26" s="1"/>
  <c r="P353" i="26"/>
  <c r="U353" i="26" s="1"/>
  <c r="O501" i="26"/>
  <c r="R513" i="26"/>
  <c r="T513" i="26" s="1"/>
  <c r="N501" i="26"/>
  <c r="H501" i="26"/>
  <c r="U504" i="26" s="1"/>
  <c r="C355" i="26"/>
  <c r="E354" i="26"/>
  <c r="F354" i="26" s="1"/>
  <c r="P354" i="26" s="1"/>
  <c r="H157" i="26"/>
  <c r="H160" i="26" s="1"/>
  <c r="E530" i="26"/>
  <c r="K530" i="26" s="1"/>
  <c r="R587" i="26"/>
  <c r="T587" i="26" s="1"/>
  <c r="V587" i="26" s="1"/>
  <c r="W587" i="26" s="1"/>
  <c r="F531" i="26"/>
  <c r="G110" i="26"/>
  <c r="G111" i="26"/>
  <c r="J111" i="26"/>
  <c r="J110" i="26"/>
  <c r="R218" i="26"/>
  <c r="T218" i="26" s="1"/>
  <c r="O193" i="26"/>
  <c r="R144" i="26"/>
  <c r="R292" i="26"/>
  <c r="T292" i="26" s="1"/>
  <c r="J21" i="26"/>
  <c r="J22" i="26"/>
  <c r="H623" i="26"/>
  <c r="G21" i="26"/>
  <c r="G22" i="26"/>
  <c r="F236" i="26"/>
  <c r="R633" i="26"/>
  <c r="T633" i="26" s="1"/>
  <c r="Q368" i="26"/>
  <c r="J367" i="26"/>
  <c r="K367" i="26"/>
  <c r="T366" i="26"/>
  <c r="I368" i="26"/>
  <c r="H368" i="26"/>
  <c r="M368" i="26"/>
  <c r="N367" i="26"/>
  <c r="G367" i="26"/>
  <c r="L458" i="26" l="1"/>
  <c r="T457" i="26"/>
  <c r="V22" i="26"/>
  <c r="V21" i="26"/>
  <c r="L236" i="26"/>
  <c r="M236" i="26" s="1"/>
  <c r="C532" i="26"/>
  <c r="C533" i="26" s="1"/>
  <c r="C534" i="26" s="1"/>
  <c r="C535" i="26" s="1"/>
  <c r="C536" i="26" s="1"/>
  <c r="C537" i="26" s="1"/>
  <c r="C538" i="26" s="1"/>
  <c r="C539" i="26" s="1"/>
  <c r="C540" i="26" s="1"/>
  <c r="C541" i="26" s="1"/>
  <c r="C542" i="26" s="1"/>
  <c r="C543" i="26" s="1"/>
  <c r="C544" i="26" s="1"/>
  <c r="C545" i="26" s="1"/>
  <c r="C546" i="26" s="1"/>
  <c r="C547" i="26" s="1"/>
  <c r="C548" i="26" s="1"/>
  <c r="C549" i="26" s="1"/>
  <c r="C550" i="26" s="1"/>
  <c r="C551" i="26" s="1"/>
  <c r="C552" i="26" s="1"/>
  <c r="C553" i="26" s="1"/>
  <c r="C554" i="26" s="1"/>
  <c r="C555" i="26" s="1"/>
  <c r="C556" i="26" s="1"/>
  <c r="C557" i="26" s="1"/>
  <c r="C558" i="26" s="1"/>
  <c r="C559" i="26" s="1"/>
  <c r="C560" i="26" s="1"/>
  <c r="C561" i="26" s="1"/>
  <c r="C562" i="26" s="1"/>
  <c r="C563" i="26" s="1"/>
  <c r="C564" i="26" s="1"/>
  <c r="C565" i="26" s="1"/>
  <c r="C566" i="26" s="1"/>
  <c r="C567" i="26" s="1"/>
  <c r="C568" i="26" s="1"/>
  <c r="C569" i="26" s="1"/>
  <c r="C570" i="26" s="1"/>
  <c r="C571" i="26" s="1"/>
  <c r="C572" i="26" s="1"/>
  <c r="C573" i="26" s="1"/>
  <c r="C574" i="26" s="1"/>
  <c r="C575" i="26" s="1"/>
  <c r="C576" i="26" s="1"/>
  <c r="C577" i="26" s="1"/>
  <c r="C578" i="26" s="1"/>
  <c r="C579" i="26" s="1"/>
  <c r="T530" i="26"/>
  <c r="P530" i="26"/>
  <c r="O572" i="26"/>
  <c r="C238" i="26"/>
  <c r="H161" i="26"/>
  <c r="I132" i="26"/>
  <c r="P135" i="26" s="1"/>
  <c r="V125" i="26" s="1"/>
  <c r="I157" i="26"/>
  <c r="I160" i="26" s="1"/>
  <c r="P160" i="26" s="1"/>
  <c r="R352" i="26"/>
  <c r="V352" i="26" s="1"/>
  <c r="R353" i="26"/>
  <c r="V353" i="26" s="1"/>
  <c r="W18" i="26"/>
  <c r="T35" i="26" s="1"/>
  <c r="V35" i="26" s="1"/>
  <c r="W35" i="26" s="1"/>
  <c r="R354" i="26"/>
  <c r="V354" i="26" s="1"/>
  <c r="U354" i="26"/>
  <c r="C356" i="26"/>
  <c r="E355" i="26"/>
  <c r="F355" i="26" s="1"/>
  <c r="P355" i="26" s="1"/>
  <c r="D355" i="26"/>
  <c r="L355" i="26" s="1"/>
  <c r="T504" i="26"/>
  <c r="R501" i="26"/>
  <c r="P504" i="26" s="1"/>
  <c r="V494" i="26" s="1"/>
  <c r="V508" i="26" s="1"/>
  <c r="I501" i="26"/>
  <c r="S501" i="26" s="1"/>
  <c r="R157" i="26"/>
  <c r="F237" i="26"/>
  <c r="F238" i="26" s="1"/>
  <c r="F532" i="26"/>
  <c r="S530" i="26"/>
  <c r="E531" i="26"/>
  <c r="K531" i="26" s="1"/>
  <c r="P531" i="26" s="1"/>
  <c r="O194" i="26"/>
  <c r="R132" i="26"/>
  <c r="E238" i="26"/>
  <c r="M235" i="26"/>
  <c r="I623" i="26"/>
  <c r="I624" i="26" s="1"/>
  <c r="S623" i="26" s="1"/>
  <c r="V620" i="26" s="1"/>
  <c r="T367" i="26"/>
  <c r="I369" i="26"/>
  <c r="H369" i="26"/>
  <c r="M369" i="26"/>
  <c r="N368" i="26"/>
  <c r="G368" i="26"/>
  <c r="Q369" i="26"/>
  <c r="K368" i="26"/>
  <c r="J368" i="26"/>
  <c r="S457" i="26" l="1"/>
  <c r="U457" i="26" s="1"/>
  <c r="L237" i="26"/>
  <c r="M237" i="26" s="1"/>
  <c r="O573" i="26"/>
  <c r="C239" i="26"/>
  <c r="L238" i="26"/>
  <c r="M238" i="26" s="1"/>
  <c r="Q235" i="26"/>
  <c r="Q160" i="26"/>
  <c r="I161" i="26"/>
  <c r="P161" i="26" s="1"/>
  <c r="H162" i="26"/>
  <c r="S132" i="26"/>
  <c r="Q135" i="26"/>
  <c r="V129" i="26" s="1"/>
  <c r="S157" i="26"/>
  <c r="P235" i="26"/>
  <c r="C357" i="26"/>
  <c r="E356" i="26"/>
  <c r="F356" i="26" s="1"/>
  <c r="P356" i="26" s="1"/>
  <c r="D356" i="26"/>
  <c r="L356" i="26" s="1"/>
  <c r="R355" i="26"/>
  <c r="V355" i="26" s="1"/>
  <c r="U355" i="26"/>
  <c r="U513" i="26"/>
  <c r="V513" i="26" s="1"/>
  <c r="W513" i="26" s="1"/>
  <c r="W508" i="26"/>
  <c r="F533" i="26"/>
  <c r="E532" i="26"/>
  <c r="T25" i="26"/>
  <c r="T30" i="26"/>
  <c r="O195" i="26"/>
  <c r="Q236" i="26"/>
  <c r="H624" i="26"/>
  <c r="R623" i="26" s="1"/>
  <c r="V616" i="26" s="1"/>
  <c r="F239" i="26"/>
  <c r="E239" i="26"/>
  <c r="Q370" i="26"/>
  <c r="K369" i="26"/>
  <c r="J369" i="26"/>
  <c r="T368" i="26"/>
  <c r="M370" i="26"/>
  <c r="N369" i="26"/>
  <c r="G369" i="26"/>
  <c r="I370" i="26"/>
  <c r="H370" i="26"/>
  <c r="U193" i="4"/>
  <c r="T193" i="4" s="1"/>
  <c r="L459" i="26" l="1"/>
  <c r="T458" i="26"/>
  <c r="S235" i="26"/>
  <c r="T235" i="26"/>
  <c r="O574" i="26"/>
  <c r="C240" i="26"/>
  <c r="L239" i="26"/>
  <c r="H163" i="26"/>
  <c r="I162" i="26"/>
  <c r="Q161" i="26"/>
  <c r="P236" i="26"/>
  <c r="R356" i="26"/>
  <c r="V356" i="26" s="1"/>
  <c r="U356" i="26"/>
  <c r="C358" i="26"/>
  <c r="E357" i="26"/>
  <c r="F357" i="26" s="1"/>
  <c r="P357" i="26" s="1"/>
  <c r="D357" i="26"/>
  <c r="L357" i="26" s="1"/>
  <c r="F534" i="26"/>
  <c r="E533" i="26"/>
  <c r="V25" i="26"/>
  <c r="W25" i="26" s="1"/>
  <c r="V30" i="26"/>
  <c r="W30" i="26" s="1"/>
  <c r="O196" i="26"/>
  <c r="U195" i="4"/>
  <c r="T195" i="4" s="1"/>
  <c r="Q238" i="26"/>
  <c r="E240" i="26"/>
  <c r="U633" i="26"/>
  <c r="V633" i="26" s="1"/>
  <c r="F240" i="26"/>
  <c r="H371" i="26"/>
  <c r="I371" i="26"/>
  <c r="T369" i="26"/>
  <c r="M371" i="26"/>
  <c r="N370" i="26"/>
  <c r="G370" i="26"/>
  <c r="Q371" i="26"/>
  <c r="J370" i="26"/>
  <c r="K370" i="26"/>
  <c r="U196" i="4"/>
  <c r="T196" i="4" s="1"/>
  <c r="S458" i="26" l="1"/>
  <c r="U458" i="26" s="1"/>
  <c r="O575" i="26"/>
  <c r="S236" i="26"/>
  <c r="T236" i="26"/>
  <c r="M239" i="26"/>
  <c r="Q239" i="26" s="1"/>
  <c r="C241" i="26"/>
  <c r="L240" i="26"/>
  <c r="H164" i="26"/>
  <c r="I163" i="26"/>
  <c r="Q162" i="26"/>
  <c r="P162" i="26"/>
  <c r="Q237" i="26"/>
  <c r="P238" i="26"/>
  <c r="P237" i="26"/>
  <c r="R357" i="26"/>
  <c r="V357" i="26" s="1"/>
  <c r="U357" i="26"/>
  <c r="C359" i="26"/>
  <c r="E358" i="26"/>
  <c r="F358" i="26" s="1"/>
  <c r="P358" i="26" s="1"/>
  <c r="D358" i="26"/>
  <c r="L358" i="26" s="1"/>
  <c r="F535" i="26"/>
  <c r="E534" i="26"/>
  <c r="O197" i="26"/>
  <c r="E241" i="26"/>
  <c r="F241" i="26"/>
  <c r="T370" i="26"/>
  <c r="H372" i="26"/>
  <c r="I372" i="26"/>
  <c r="Q372" i="26"/>
  <c r="J371" i="26"/>
  <c r="K371" i="26"/>
  <c r="M372" i="26"/>
  <c r="M373" i="26" s="1"/>
  <c r="N371" i="26"/>
  <c r="G371" i="26"/>
  <c r="U197" i="4"/>
  <c r="T197" i="4" s="1"/>
  <c r="L460" i="26" l="1"/>
  <c r="T459" i="26"/>
  <c r="T237" i="26"/>
  <c r="O576" i="26"/>
  <c r="M240" i="26"/>
  <c r="Q240" i="26" s="1"/>
  <c r="C242" i="26"/>
  <c r="L241" i="26"/>
  <c r="S238" i="26"/>
  <c r="T238" i="26"/>
  <c r="I164" i="26"/>
  <c r="P164" i="26" s="1"/>
  <c r="Q163" i="26"/>
  <c r="H165" i="26"/>
  <c r="S237" i="26"/>
  <c r="P163" i="26"/>
  <c r="P239" i="26"/>
  <c r="S239" i="26" s="1"/>
  <c r="C360" i="26"/>
  <c r="E359" i="26"/>
  <c r="F359" i="26" s="1"/>
  <c r="P359" i="26" s="1"/>
  <c r="D359" i="26"/>
  <c r="L359" i="26" s="1"/>
  <c r="R358" i="26"/>
  <c r="V358" i="26" s="1"/>
  <c r="U358" i="26"/>
  <c r="E535" i="26"/>
  <c r="F536" i="26"/>
  <c r="O198" i="26"/>
  <c r="F242" i="26"/>
  <c r="E242" i="26"/>
  <c r="T371" i="26"/>
  <c r="Q373" i="26"/>
  <c r="K372" i="26"/>
  <c r="J372" i="26"/>
  <c r="G372" i="26"/>
  <c r="N372" i="26"/>
  <c r="I373" i="26"/>
  <c r="H373" i="26"/>
  <c r="U198" i="4"/>
  <c r="T198" i="4" s="1"/>
  <c r="T460" i="26" l="1"/>
  <c r="S459" i="26"/>
  <c r="U459" i="26" s="1"/>
  <c r="O577" i="26"/>
  <c r="M241" i="26"/>
  <c r="Q241" i="26" s="1"/>
  <c r="C243" i="26"/>
  <c r="L242" i="26"/>
  <c r="M242" i="26" s="1"/>
  <c r="T239" i="26"/>
  <c r="I165" i="26"/>
  <c r="Q164" i="26"/>
  <c r="H166" i="26"/>
  <c r="P240" i="26"/>
  <c r="R359" i="26"/>
  <c r="V359" i="26" s="1"/>
  <c r="U359" i="26"/>
  <c r="C361" i="26"/>
  <c r="E360" i="26"/>
  <c r="F360" i="26" s="1"/>
  <c r="P360" i="26" s="1"/>
  <c r="D360" i="26"/>
  <c r="L360" i="26" s="1"/>
  <c r="E536" i="26"/>
  <c r="F537" i="26"/>
  <c r="O199" i="26"/>
  <c r="E243" i="26"/>
  <c r="F243" i="26"/>
  <c r="I374" i="26"/>
  <c r="H374" i="26"/>
  <c r="T372" i="26"/>
  <c r="M374" i="26"/>
  <c r="G373" i="26"/>
  <c r="N373" i="26"/>
  <c r="Q374" i="26"/>
  <c r="K373" i="26"/>
  <c r="J373" i="26"/>
  <c r="U199" i="4"/>
  <c r="T199" i="4" s="1"/>
  <c r="L461" i="26" l="1"/>
  <c r="S460" i="26"/>
  <c r="U460" i="26" s="1"/>
  <c r="O578" i="26"/>
  <c r="C244" i="26"/>
  <c r="L243" i="26"/>
  <c r="M243" i="26" s="1"/>
  <c r="S240" i="26"/>
  <c r="T240" i="26"/>
  <c r="I166" i="26"/>
  <c r="P166" i="26" s="1"/>
  <c r="Q165" i="26"/>
  <c r="P165" i="26"/>
  <c r="H167" i="26"/>
  <c r="P241" i="26"/>
  <c r="R360" i="26"/>
  <c r="V360" i="26" s="1"/>
  <c r="U360" i="26"/>
  <c r="C362" i="26"/>
  <c r="E361" i="26"/>
  <c r="F361" i="26" s="1"/>
  <c r="P361" i="26" s="1"/>
  <c r="D361" i="26"/>
  <c r="L361" i="26" s="1"/>
  <c r="E537" i="26"/>
  <c r="F538" i="26"/>
  <c r="O200" i="26"/>
  <c r="F244" i="26"/>
  <c r="E244" i="26"/>
  <c r="Q242" i="26"/>
  <c r="M375" i="26"/>
  <c r="N374" i="26"/>
  <c r="G374" i="26"/>
  <c r="H375" i="26"/>
  <c r="I375" i="26"/>
  <c r="Q375" i="26"/>
  <c r="K374" i="26"/>
  <c r="J374" i="26"/>
  <c r="T373" i="26"/>
  <c r="T144" i="26"/>
  <c r="V144" i="26" s="1"/>
  <c r="W144" i="26" s="1"/>
  <c r="U206" i="4"/>
  <c r="T206" i="4" s="1"/>
  <c r="U200" i="4"/>
  <c r="T200" i="4" s="1"/>
  <c r="O579" i="26" l="1"/>
  <c r="S241" i="26"/>
  <c r="T241" i="26"/>
  <c r="C245" i="26"/>
  <c r="L244" i="26"/>
  <c r="H168" i="26"/>
  <c r="I167" i="26"/>
  <c r="Q166" i="26"/>
  <c r="P242" i="26"/>
  <c r="T242" i="26" s="1"/>
  <c r="R361" i="26"/>
  <c r="V361" i="26" s="1"/>
  <c r="U361" i="26"/>
  <c r="C363" i="26"/>
  <c r="E362" i="26"/>
  <c r="F362" i="26" s="1"/>
  <c r="P362" i="26" s="1"/>
  <c r="D362" i="26"/>
  <c r="L362" i="26" s="1"/>
  <c r="E538" i="26"/>
  <c r="F245" i="26"/>
  <c r="F246" i="26" s="1"/>
  <c r="F539" i="26"/>
  <c r="O201" i="26"/>
  <c r="Q243" i="26"/>
  <c r="E245" i="26"/>
  <c r="Q376" i="26"/>
  <c r="J375" i="26"/>
  <c r="K375" i="26"/>
  <c r="I376" i="26"/>
  <c r="H376" i="26"/>
  <c r="T374" i="26"/>
  <c r="M376" i="26"/>
  <c r="N375" i="26"/>
  <c r="G375" i="26"/>
  <c r="U208" i="4"/>
  <c r="T208" i="4" s="1"/>
  <c r="U201" i="4"/>
  <c r="T201" i="4" s="1"/>
  <c r="L462" i="26" l="1"/>
  <c r="T461" i="26"/>
  <c r="C246" i="26"/>
  <c r="L245" i="26"/>
  <c r="M244" i="26"/>
  <c r="Q244" i="26" s="1"/>
  <c r="S242" i="26"/>
  <c r="I168" i="26"/>
  <c r="Q167" i="26"/>
  <c r="P167" i="26"/>
  <c r="H169" i="26"/>
  <c r="P243" i="26"/>
  <c r="T243" i="26" s="1"/>
  <c r="R362" i="26"/>
  <c r="V362" i="26" s="1"/>
  <c r="U362" i="26"/>
  <c r="C364" i="26"/>
  <c r="E363" i="26"/>
  <c r="F363" i="26" s="1"/>
  <c r="P363" i="26" s="1"/>
  <c r="D363" i="26"/>
  <c r="L363" i="26" s="1"/>
  <c r="F540" i="26"/>
  <c r="E539" i="26"/>
  <c r="O202" i="26"/>
  <c r="F247" i="26"/>
  <c r="E246" i="26"/>
  <c r="T375" i="26"/>
  <c r="M377" i="26"/>
  <c r="N376" i="26"/>
  <c r="G376" i="26"/>
  <c r="Q377" i="26"/>
  <c r="K376" i="26"/>
  <c r="J376" i="26"/>
  <c r="I377" i="26"/>
  <c r="H377" i="26"/>
  <c r="U202" i="4"/>
  <c r="T202" i="4" s="1"/>
  <c r="U209" i="4"/>
  <c r="T209" i="4" s="1"/>
  <c r="S461" i="26" l="1"/>
  <c r="U461" i="26" s="1"/>
  <c r="M245" i="26"/>
  <c r="Q245" i="26" s="1"/>
  <c r="C247" i="26"/>
  <c r="L246" i="26"/>
  <c r="M246" i="26" s="1"/>
  <c r="I169" i="26"/>
  <c r="Q168" i="26"/>
  <c r="P168" i="26"/>
  <c r="H170" i="26"/>
  <c r="S243" i="26"/>
  <c r="P244" i="26"/>
  <c r="T244" i="26" s="1"/>
  <c r="R363" i="26"/>
  <c r="V363" i="26" s="1"/>
  <c r="U363" i="26"/>
  <c r="C365" i="26"/>
  <c r="E364" i="26"/>
  <c r="F364" i="26" s="1"/>
  <c r="P364" i="26" s="1"/>
  <c r="D364" i="26"/>
  <c r="L364" i="26" s="1"/>
  <c r="F541" i="26"/>
  <c r="E540" i="26"/>
  <c r="O203" i="26"/>
  <c r="F248" i="26"/>
  <c r="E247" i="26"/>
  <c r="I378" i="26"/>
  <c r="H378" i="26"/>
  <c r="Q378" i="26"/>
  <c r="K377" i="26"/>
  <c r="J377" i="26"/>
  <c r="T376" i="26"/>
  <c r="M378" i="26"/>
  <c r="N377" i="26"/>
  <c r="G377" i="26"/>
  <c r="U210" i="4"/>
  <c r="T210" i="4" s="1"/>
  <c r="U203" i="4"/>
  <c r="T203" i="4" s="1"/>
  <c r="L463" i="26" l="1"/>
  <c r="T462" i="26"/>
  <c r="C248" i="26"/>
  <c r="L247" i="26"/>
  <c r="M247" i="26" s="1"/>
  <c r="I170" i="26"/>
  <c r="Q169" i="26"/>
  <c r="P169" i="26"/>
  <c r="H171" i="26"/>
  <c r="S244" i="26"/>
  <c r="P245" i="26"/>
  <c r="R364" i="26"/>
  <c r="V364" i="26" s="1"/>
  <c r="U364" i="26"/>
  <c r="C366" i="26"/>
  <c r="D365" i="26"/>
  <c r="L365" i="26" s="1"/>
  <c r="E365" i="26"/>
  <c r="F542" i="26"/>
  <c r="E541" i="26"/>
  <c r="O204" i="26"/>
  <c r="Q246" i="26"/>
  <c r="E248" i="26"/>
  <c r="F249" i="26"/>
  <c r="T377" i="26"/>
  <c r="M379" i="26"/>
  <c r="N378" i="26"/>
  <c r="G378" i="26"/>
  <c r="Q379" i="26"/>
  <c r="J378" i="26"/>
  <c r="K378" i="26"/>
  <c r="H379" i="26"/>
  <c r="I379" i="26"/>
  <c r="U204" i="4"/>
  <c r="T204" i="4" s="1"/>
  <c r="U211" i="4"/>
  <c r="T211" i="4" s="1"/>
  <c r="S462" i="26" l="1"/>
  <c r="U462" i="26" s="1"/>
  <c r="S245" i="26"/>
  <c r="T245" i="26"/>
  <c r="C249" i="26"/>
  <c r="L248" i="26"/>
  <c r="I171" i="26"/>
  <c r="Q170" i="26"/>
  <c r="P170" i="26"/>
  <c r="H172" i="26"/>
  <c r="P246" i="26"/>
  <c r="T246" i="26" s="1"/>
  <c r="F365" i="26"/>
  <c r="P365" i="26" s="1"/>
  <c r="U365" i="26" s="1"/>
  <c r="C367" i="26"/>
  <c r="E366" i="26"/>
  <c r="F366" i="26" s="1"/>
  <c r="P366" i="26" s="1"/>
  <c r="D366" i="26"/>
  <c r="L366" i="26" s="1"/>
  <c r="E542" i="26"/>
  <c r="F250" i="26"/>
  <c r="F251" i="26" s="1"/>
  <c r="F543" i="26"/>
  <c r="O205" i="26"/>
  <c r="Q247" i="26"/>
  <c r="E249" i="26"/>
  <c r="T378" i="26"/>
  <c r="M380" i="26"/>
  <c r="N379" i="26"/>
  <c r="G379" i="26"/>
  <c r="I380" i="26"/>
  <c r="H380" i="26"/>
  <c r="Q380" i="26"/>
  <c r="J379" i="26"/>
  <c r="K379" i="26"/>
  <c r="U212" i="4"/>
  <c r="T212" i="4" s="1"/>
  <c r="U205" i="4"/>
  <c r="T205" i="4" s="1"/>
  <c r="L464" i="26" l="1"/>
  <c r="T463" i="26"/>
  <c r="M248" i="26"/>
  <c r="Q248" i="26" s="1"/>
  <c r="C250" i="26"/>
  <c r="L249" i="26"/>
  <c r="I172" i="26"/>
  <c r="Q171" i="26"/>
  <c r="P171" i="26"/>
  <c r="H173" i="26"/>
  <c r="S246" i="26"/>
  <c r="P247" i="26"/>
  <c r="T247" i="26" s="1"/>
  <c r="R366" i="26"/>
  <c r="V366" i="26" s="1"/>
  <c r="U366" i="26"/>
  <c r="C368" i="26"/>
  <c r="E367" i="26"/>
  <c r="F367" i="26" s="1"/>
  <c r="P367" i="26" s="1"/>
  <c r="D367" i="26"/>
  <c r="L367" i="26" s="1"/>
  <c r="R365" i="26"/>
  <c r="V365" i="26" s="1"/>
  <c r="E543" i="26"/>
  <c r="F544" i="26"/>
  <c r="O206" i="26"/>
  <c r="E250" i="26"/>
  <c r="F252" i="26"/>
  <c r="T379" i="26"/>
  <c r="I381" i="26"/>
  <c r="H381" i="26"/>
  <c r="M381" i="26"/>
  <c r="N380" i="26"/>
  <c r="G380" i="26"/>
  <c r="Q381" i="26"/>
  <c r="K380" i="26"/>
  <c r="J380" i="26"/>
  <c r="U217" i="4"/>
  <c r="T217" i="4" s="1"/>
  <c r="U207" i="4"/>
  <c r="T207" i="4" s="1"/>
  <c r="U213" i="4"/>
  <c r="T213" i="4" s="1"/>
  <c r="U223" i="4"/>
  <c r="T223" i="4" s="1"/>
  <c r="T464" i="26" l="1"/>
  <c r="S463" i="26"/>
  <c r="U463" i="26" s="1"/>
  <c r="M249" i="26"/>
  <c r="Q249" i="26" s="1"/>
  <c r="C251" i="26"/>
  <c r="L250" i="26"/>
  <c r="I173" i="26"/>
  <c r="Q172" i="26"/>
  <c r="P172" i="26"/>
  <c r="H174" i="26"/>
  <c r="S247" i="26"/>
  <c r="P248" i="26"/>
  <c r="R367" i="26"/>
  <c r="V367" i="26" s="1"/>
  <c r="U367" i="26"/>
  <c r="C369" i="26"/>
  <c r="E368" i="26"/>
  <c r="F368" i="26" s="1"/>
  <c r="P368" i="26" s="1"/>
  <c r="D368" i="26"/>
  <c r="L368" i="26" s="1"/>
  <c r="E544" i="26"/>
  <c r="F545" i="26"/>
  <c r="O207" i="26"/>
  <c r="F253" i="26"/>
  <c r="E251" i="26"/>
  <c r="Q382" i="26"/>
  <c r="K381" i="26"/>
  <c r="J381" i="26"/>
  <c r="T380" i="26"/>
  <c r="H382" i="26"/>
  <c r="I382" i="26"/>
  <c r="M382" i="26"/>
  <c r="G381" i="26"/>
  <c r="N381" i="26"/>
  <c r="U214" i="4"/>
  <c r="T214" i="4" s="1"/>
  <c r="L465" i="26" l="1"/>
  <c r="S464" i="26"/>
  <c r="U464" i="26" s="1"/>
  <c r="C252" i="26"/>
  <c r="L251" i="26"/>
  <c r="M251" i="26" s="1"/>
  <c r="M250" i="26"/>
  <c r="Q250" i="26" s="1"/>
  <c r="S248" i="26"/>
  <c r="T248" i="26"/>
  <c r="I174" i="26"/>
  <c r="P174" i="26" s="1"/>
  <c r="Q173" i="26"/>
  <c r="P173" i="26"/>
  <c r="H175" i="26"/>
  <c r="P249" i="26"/>
  <c r="R368" i="26"/>
  <c r="V368" i="26" s="1"/>
  <c r="U368" i="26"/>
  <c r="C370" i="26"/>
  <c r="D369" i="26"/>
  <c r="L369" i="26" s="1"/>
  <c r="E369" i="26"/>
  <c r="F369" i="26" s="1"/>
  <c r="P369" i="26" s="1"/>
  <c r="F546" i="26"/>
  <c r="E545" i="26"/>
  <c r="O208" i="26"/>
  <c r="F254" i="26"/>
  <c r="E252" i="26"/>
  <c r="M383" i="26"/>
  <c r="N382" i="26"/>
  <c r="G382" i="26"/>
  <c r="H383" i="26"/>
  <c r="I383" i="26"/>
  <c r="T381" i="26"/>
  <c r="Q383" i="26"/>
  <c r="J382" i="26"/>
  <c r="K382" i="26"/>
  <c r="U215" i="4"/>
  <c r="T215" i="4" s="1"/>
  <c r="S249" i="26" l="1"/>
  <c r="T249" i="26"/>
  <c r="C253" i="26"/>
  <c r="L252" i="26"/>
  <c r="H176" i="26"/>
  <c r="I175" i="26"/>
  <c r="Q174" i="26"/>
  <c r="P250" i="26"/>
  <c r="S250" i="26" s="1"/>
  <c r="R369" i="26"/>
  <c r="V369" i="26" s="1"/>
  <c r="U369" i="26"/>
  <c r="C371" i="26"/>
  <c r="E370" i="26"/>
  <c r="F370" i="26" s="1"/>
  <c r="P370" i="26" s="1"/>
  <c r="D370" i="26"/>
  <c r="L370" i="26" s="1"/>
  <c r="F547" i="26"/>
  <c r="Q251" i="26"/>
  <c r="E546" i="26"/>
  <c r="O209" i="26"/>
  <c r="E253" i="26"/>
  <c r="F255" i="26"/>
  <c r="Q384" i="26"/>
  <c r="J383" i="26"/>
  <c r="K383" i="26"/>
  <c r="I384" i="26"/>
  <c r="H384" i="26"/>
  <c r="T382" i="26"/>
  <c r="M384" i="26"/>
  <c r="N383" i="26"/>
  <c r="G383" i="26"/>
  <c r="U216" i="4"/>
  <c r="T216" i="4" s="1"/>
  <c r="L466" i="26" l="1"/>
  <c r="T465" i="26"/>
  <c r="M252" i="26"/>
  <c r="Q252" i="26" s="1"/>
  <c r="C254" i="26"/>
  <c r="L253" i="26"/>
  <c r="T250" i="26"/>
  <c r="I176" i="26"/>
  <c r="P176" i="26" s="1"/>
  <c r="Q175" i="26"/>
  <c r="P175" i="26"/>
  <c r="H177" i="26"/>
  <c r="P251" i="26"/>
  <c r="R370" i="26"/>
  <c r="V370" i="26" s="1"/>
  <c r="U370" i="26"/>
  <c r="C372" i="26"/>
  <c r="E371" i="26"/>
  <c r="F371" i="26" s="1"/>
  <c r="P371" i="26" s="1"/>
  <c r="D371" i="26"/>
  <c r="L371" i="26" s="1"/>
  <c r="E547" i="26"/>
  <c r="F548" i="26"/>
  <c r="F256" i="26"/>
  <c r="E254" i="26"/>
  <c r="T383" i="26"/>
  <c r="I385" i="26"/>
  <c r="H385" i="26"/>
  <c r="M385" i="26"/>
  <c r="N384" i="26"/>
  <c r="G384" i="26"/>
  <c r="Q385" i="26"/>
  <c r="K384" i="26"/>
  <c r="J384" i="26"/>
  <c r="U218" i="4"/>
  <c r="T218" i="4" s="1"/>
  <c r="T466" i="26" l="1"/>
  <c r="S465" i="26"/>
  <c r="U465" i="26" s="1"/>
  <c r="C255" i="26"/>
  <c r="L254" i="26"/>
  <c r="M254" i="26" s="1"/>
  <c r="M253" i="26"/>
  <c r="Q253" i="26" s="1"/>
  <c r="S251" i="26"/>
  <c r="T251" i="26"/>
  <c r="H178" i="26"/>
  <c r="I177" i="26"/>
  <c r="Q176" i="26"/>
  <c r="P252" i="26"/>
  <c r="T252" i="26" s="1"/>
  <c r="C373" i="26"/>
  <c r="E372" i="26"/>
  <c r="F372" i="26" s="1"/>
  <c r="P372" i="26" s="1"/>
  <c r="D372" i="26"/>
  <c r="L372" i="26" s="1"/>
  <c r="R371" i="26"/>
  <c r="V371" i="26" s="1"/>
  <c r="U371" i="26"/>
  <c r="E548" i="26"/>
  <c r="F549" i="26"/>
  <c r="W213" i="26"/>
  <c r="E255" i="26"/>
  <c r="F257" i="26"/>
  <c r="Q386" i="26"/>
  <c r="K385" i="26"/>
  <c r="J385" i="26"/>
  <c r="I386" i="26"/>
  <c r="H386" i="26"/>
  <c r="T384" i="26"/>
  <c r="M386" i="26"/>
  <c r="N385" i="26"/>
  <c r="G385" i="26"/>
  <c r="U219" i="4"/>
  <c r="T219" i="4" s="1"/>
  <c r="L467" i="26" l="1"/>
  <c r="S466" i="26"/>
  <c r="U466" i="26" s="1"/>
  <c r="C256" i="26"/>
  <c r="L255" i="26"/>
  <c r="I178" i="26"/>
  <c r="P178" i="26" s="1"/>
  <c r="Q177" i="26"/>
  <c r="P177" i="26"/>
  <c r="H179" i="26"/>
  <c r="S252" i="26"/>
  <c r="P253" i="26"/>
  <c r="S253" i="26" s="1"/>
  <c r="R372" i="26"/>
  <c r="V372" i="26" s="1"/>
  <c r="U372" i="26"/>
  <c r="C374" i="26"/>
  <c r="E373" i="26"/>
  <c r="F373" i="26" s="1"/>
  <c r="P373" i="26" s="1"/>
  <c r="D373" i="26"/>
  <c r="L373" i="26" s="1"/>
  <c r="E549" i="26"/>
  <c r="F258" i="26"/>
  <c r="F550" i="26"/>
  <c r="Q254" i="26"/>
  <c r="E256" i="26"/>
  <c r="M387" i="26"/>
  <c r="N386" i="26"/>
  <c r="G386" i="26"/>
  <c r="Q387" i="26"/>
  <c r="K386" i="26"/>
  <c r="J386" i="26"/>
  <c r="H387" i="26"/>
  <c r="I387" i="26"/>
  <c r="T385" i="26"/>
  <c r="U220" i="4"/>
  <c r="T220" i="4" s="1"/>
  <c r="T467" i="26" l="1"/>
  <c r="M255" i="26"/>
  <c r="Q255" i="26" s="1"/>
  <c r="C257" i="26"/>
  <c r="L256" i="26"/>
  <c r="T253" i="26"/>
  <c r="H180" i="26"/>
  <c r="I179" i="26"/>
  <c r="Q178" i="26"/>
  <c r="P254" i="26"/>
  <c r="T254" i="26" s="1"/>
  <c r="R373" i="26"/>
  <c r="V373" i="26" s="1"/>
  <c r="U373" i="26"/>
  <c r="C375" i="26"/>
  <c r="E374" i="26"/>
  <c r="F374" i="26" s="1"/>
  <c r="P374" i="26" s="1"/>
  <c r="D374" i="26"/>
  <c r="L374" i="26" s="1"/>
  <c r="F551" i="26"/>
  <c r="F259" i="26"/>
  <c r="E550" i="26"/>
  <c r="E257" i="26"/>
  <c r="Q388" i="26"/>
  <c r="J387" i="26"/>
  <c r="K387" i="26"/>
  <c r="H388" i="26"/>
  <c r="I388" i="26"/>
  <c r="T386" i="26"/>
  <c r="M388" i="26"/>
  <c r="N387" i="26"/>
  <c r="G387" i="26"/>
  <c r="U221" i="4"/>
  <c r="T221" i="4" s="1"/>
  <c r="L468" i="26" l="1"/>
  <c r="S467" i="26"/>
  <c r="U467" i="26" s="1"/>
  <c r="M256" i="26"/>
  <c r="Q256" i="26" s="1"/>
  <c r="C258" i="26"/>
  <c r="L257" i="26"/>
  <c r="I180" i="26"/>
  <c r="P180" i="26" s="1"/>
  <c r="Q179" i="26"/>
  <c r="P179" i="26"/>
  <c r="H181" i="26"/>
  <c r="S254" i="26"/>
  <c r="P255" i="26"/>
  <c r="S255" i="26" s="1"/>
  <c r="R374" i="26"/>
  <c r="V374" i="26" s="1"/>
  <c r="U374" i="26"/>
  <c r="C376" i="26"/>
  <c r="E375" i="26"/>
  <c r="F375" i="26" s="1"/>
  <c r="P375" i="26" s="1"/>
  <c r="D375" i="26"/>
  <c r="L375" i="26" s="1"/>
  <c r="F260" i="26"/>
  <c r="E551" i="26"/>
  <c r="F552" i="26"/>
  <c r="E258" i="26"/>
  <c r="I389" i="26"/>
  <c r="H389" i="26"/>
  <c r="T387" i="26"/>
  <c r="M389" i="26"/>
  <c r="G388" i="26"/>
  <c r="N388" i="26"/>
  <c r="Q389" i="26"/>
  <c r="K388" i="26"/>
  <c r="J388" i="26"/>
  <c r="U222" i="4"/>
  <c r="T222" i="4" s="1"/>
  <c r="T468" i="26" l="1"/>
  <c r="M257" i="26"/>
  <c r="Q257" i="26" s="1"/>
  <c r="C259" i="26"/>
  <c r="L258" i="26"/>
  <c r="M258" i="26" s="1"/>
  <c r="T255" i="26"/>
  <c r="H182" i="26"/>
  <c r="I181" i="26"/>
  <c r="Q180" i="26"/>
  <c r="P256" i="26"/>
  <c r="T256" i="26" s="1"/>
  <c r="C377" i="26"/>
  <c r="E376" i="26"/>
  <c r="F376" i="26" s="1"/>
  <c r="P376" i="26" s="1"/>
  <c r="D376" i="26"/>
  <c r="L376" i="26" s="1"/>
  <c r="R375" i="26"/>
  <c r="V375" i="26" s="1"/>
  <c r="U375" i="26"/>
  <c r="F261" i="26"/>
  <c r="F553" i="26"/>
  <c r="E552" i="26"/>
  <c r="E259" i="26"/>
  <c r="T388" i="26"/>
  <c r="I390" i="26"/>
  <c r="H390" i="26"/>
  <c r="Q390" i="26"/>
  <c r="K389" i="26"/>
  <c r="J389" i="26"/>
  <c r="M390" i="26"/>
  <c r="G389" i="26"/>
  <c r="N389" i="26"/>
  <c r="L469" i="26" l="1"/>
  <c r="S468" i="26"/>
  <c r="U468" i="26" s="1"/>
  <c r="C260" i="26"/>
  <c r="L259" i="26"/>
  <c r="M259" i="26" s="1"/>
  <c r="I182" i="26"/>
  <c r="P182" i="26" s="1"/>
  <c r="Q181" i="26"/>
  <c r="P181" i="26"/>
  <c r="H183" i="26"/>
  <c r="P257" i="26"/>
  <c r="R376" i="26"/>
  <c r="V376" i="26" s="1"/>
  <c r="U376" i="26"/>
  <c r="C378" i="26"/>
  <c r="E377" i="26"/>
  <c r="F377" i="26" s="1"/>
  <c r="P377" i="26" s="1"/>
  <c r="D377" i="26"/>
  <c r="L377" i="26" s="1"/>
  <c r="E553" i="26"/>
  <c r="F554" i="26"/>
  <c r="F262" i="26"/>
  <c r="S256" i="26"/>
  <c r="Q258" i="26"/>
  <c r="E260" i="26"/>
  <c r="Q391" i="26"/>
  <c r="J390" i="26"/>
  <c r="K390" i="26"/>
  <c r="M391" i="26"/>
  <c r="N390" i="26"/>
  <c r="G390" i="26"/>
  <c r="T389" i="26"/>
  <c r="H391" i="26"/>
  <c r="I391" i="26"/>
  <c r="L470" i="26" l="1"/>
  <c r="S257" i="26"/>
  <c r="T257" i="26"/>
  <c r="C261" i="26"/>
  <c r="L260" i="26"/>
  <c r="H184" i="26"/>
  <c r="I183" i="26"/>
  <c r="Q182" i="26"/>
  <c r="P258" i="26"/>
  <c r="R377" i="26"/>
  <c r="V377" i="26" s="1"/>
  <c r="U377" i="26"/>
  <c r="C379" i="26"/>
  <c r="D378" i="26"/>
  <c r="L378" i="26" s="1"/>
  <c r="E378" i="26"/>
  <c r="F378" i="26" s="1"/>
  <c r="P378" i="26" s="1"/>
  <c r="F555" i="26"/>
  <c r="E554" i="26"/>
  <c r="F263" i="26"/>
  <c r="Q259" i="26"/>
  <c r="E261" i="26"/>
  <c r="I392" i="26"/>
  <c r="H392" i="26"/>
  <c r="T390" i="26"/>
  <c r="Q392" i="26"/>
  <c r="J391" i="26"/>
  <c r="K391" i="26"/>
  <c r="M392" i="26"/>
  <c r="N391" i="26"/>
  <c r="G391" i="26"/>
  <c r="U1052" i="4"/>
  <c r="T470" i="26" l="1"/>
  <c r="T469" i="26"/>
  <c r="M260" i="26"/>
  <c r="Q260" i="26" s="1"/>
  <c r="C262" i="26"/>
  <c r="L261" i="26"/>
  <c r="S258" i="26"/>
  <c r="T258" i="26"/>
  <c r="I184" i="26"/>
  <c r="P184" i="26" s="1"/>
  <c r="Q183" i="26"/>
  <c r="P183" i="26"/>
  <c r="H185" i="26"/>
  <c r="P259" i="26"/>
  <c r="C380" i="26"/>
  <c r="D379" i="26"/>
  <c r="L379" i="26" s="1"/>
  <c r="E379" i="26"/>
  <c r="F379" i="26" s="1"/>
  <c r="P379" i="26" s="1"/>
  <c r="R378" i="26"/>
  <c r="V378" i="26" s="1"/>
  <c r="U378" i="26"/>
  <c r="F264" i="26"/>
  <c r="F556" i="26"/>
  <c r="E555" i="26"/>
  <c r="E262" i="26"/>
  <c r="M393" i="26"/>
  <c r="G392" i="26"/>
  <c r="N392" i="26"/>
  <c r="I393" i="26"/>
  <c r="H393" i="26"/>
  <c r="Q393" i="26"/>
  <c r="K392" i="26"/>
  <c r="J392" i="26"/>
  <c r="T391" i="26"/>
  <c r="U1056" i="4"/>
  <c r="T1056" i="4" s="1"/>
  <c r="U1053" i="4"/>
  <c r="U1060" i="4"/>
  <c r="T1060" i="4" s="1"/>
  <c r="T1052" i="4"/>
  <c r="S470" i="26" l="1"/>
  <c r="U470" i="26" s="1"/>
  <c r="L471" i="26"/>
  <c r="S469" i="26"/>
  <c r="U469" i="26" s="1"/>
  <c r="S259" i="26"/>
  <c r="T259" i="26"/>
  <c r="M261" i="26"/>
  <c r="Q261" i="26" s="1"/>
  <c r="C263" i="26"/>
  <c r="L262" i="26"/>
  <c r="H186" i="26"/>
  <c r="I185" i="26"/>
  <c r="Q184" i="26"/>
  <c r="P260" i="26"/>
  <c r="T260" i="26" s="1"/>
  <c r="R379" i="26"/>
  <c r="V379" i="26" s="1"/>
  <c r="U379" i="26"/>
  <c r="C381" i="26"/>
  <c r="D380" i="26"/>
  <c r="L380" i="26" s="1"/>
  <c r="E380" i="26"/>
  <c r="F380" i="26" s="1"/>
  <c r="P380" i="26" s="1"/>
  <c r="F557" i="26"/>
  <c r="F265" i="26"/>
  <c r="E556" i="26"/>
  <c r="E263" i="26"/>
  <c r="Q394" i="26"/>
  <c r="K393" i="26"/>
  <c r="J393" i="26"/>
  <c r="M394" i="26"/>
  <c r="N393" i="26"/>
  <c r="G393" i="26"/>
  <c r="I394" i="26"/>
  <c r="H394" i="26"/>
  <c r="T392" i="26"/>
  <c r="T1053" i="4"/>
  <c r="U1061" i="4"/>
  <c r="T1061" i="4" s="1"/>
  <c r="U1057" i="4"/>
  <c r="T1057" i="4" s="1"/>
  <c r="U1054" i="4"/>
  <c r="T471" i="26" l="1"/>
  <c r="M262" i="26"/>
  <c r="Q262" i="26" s="1"/>
  <c r="C264" i="26"/>
  <c r="L263" i="26"/>
  <c r="M263" i="26" s="1"/>
  <c r="I186" i="26"/>
  <c r="P186" i="26" s="1"/>
  <c r="Q185" i="26"/>
  <c r="P185" i="26"/>
  <c r="H187" i="26"/>
  <c r="S260" i="26"/>
  <c r="P261" i="26"/>
  <c r="T261" i="26" s="1"/>
  <c r="R380" i="26"/>
  <c r="V380" i="26" s="1"/>
  <c r="U380" i="26"/>
  <c r="C382" i="26"/>
  <c r="E381" i="26"/>
  <c r="F381" i="26" s="1"/>
  <c r="P381" i="26" s="1"/>
  <c r="D381" i="26"/>
  <c r="L381" i="26" s="1"/>
  <c r="F558" i="26"/>
  <c r="F266" i="26"/>
  <c r="E557" i="26"/>
  <c r="E264" i="26"/>
  <c r="T393" i="26"/>
  <c r="Q395" i="26"/>
  <c r="J394" i="26"/>
  <c r="K394" i="26"/>
  <c r="M395" i="26"/>
  <c r="N394" i="26"/>
  <c r="G394" i="26"/>
  <c r="H395" i="26"/>
  <c r="I395" i="26"/>
  <c r="U1058" i="4"/>
  <c r="T1058" i="4" s="1"/>
  <c r="U1055" i="4"/>
  <c r="U1062" i="4"/>
  <c r="T1062" i="4" s="1"/>
  <c r="T1054" i="4"/>
  <c r="S471" i="26" l="1"/>
  <c r="U471" i="26" s="1"/>
  <c r="L472" i="26"/>
  <c r="C265" i="26"/>
  <c r="L264" i="26"/>
  <c r="H188" i="26"/>
  <c r="I187" i="26"/>
  <c r="Q186" i="26"/>
  <c r="S261" i="26"/>
  <c r="P262" i="26"/>
  <c r="S262" i="26" s="1"/>
  <c r="R381" i="26"/>
  <c r="V381" i="26" s="1"/>
  <c r="U381" i="26"/>
  <c r="C383" i="26"/>
  <c r="D382" i="26"/>
  <c r="L382" i="26" s="1"/>
  <c r="E382" i="26"/>
  <c r="F382" i="26" s="1"/>
  <c r="P382" i="26" s="1"/>
  <c r="F267" i="26"/>
  <c r="F559" i="26"/>
  <c r="E558" i="26"/>
  <c r="Q263" i="26"/>
  <c r="E265" i="26"/>
  <c r="I396" i="26"/>
  <c r="H396" i="26"/>
  <c r="Q396" i="26"/>
  <c r="J395" i="26"/>
  <c r="K395" i="26"/>
  <c r="T394" i="26"/>
  <c r="M396" i="26"/>
  <c r="N395" i="26"/>
  <c r="G395" i="26"/>
  <c r="U1059" i="4"/>
  <c r="T1059" i="4" s="1"/>
  <c r="T1055" i="4"/>
  <c r="U1063" i="4"/>
  <c r="T1063" i="4" s="1"/>
  <c r="T472" i="26" l="1"/>
  <c r="M264" i="26"/>
  <c r="Q264" i="26" s="1"/>
  <c r="C266" i="26"/>
  <c r="L265" i="26"/>
  <c r="T262" i="26"/>
  <c r="I188" i="26"/>
  <c r="P188" i="26" s="1"/>
  <c r="Q187" i="26"/>
  <c r="P187" i="26"/>
  <c r="H189" i="26"/>
  <c r="P263" i="26"/>
  <c r="T263" i="26" s="1"/>
  <c r="C384" i="26"/>
  <c r="D383" i="26"/>
  <c r="L383" i="26" s="1"/>
  <c r="E383" i="26"/>
  <c r="F383" i="26" s="1"/>
  <c r="P383" i="26" s="1"/>
  <c r="R382" i="26"/>
  <c r="V382" i="26" s="1"/>
  <c r="U382" i="26"/>
  <c r="F560" i="26"/>
  <c r="E559" i="26"/>
  <c r="F268" i="26"/>
  <c r="E266" i="26"/>
  <c r="T395" i="26"/>
  <c r="Q397" i="26"/>
  <c r="K396" i="26"/>
  <c r="J396" i="26"/>
  <c r="M397" i="26"/>
  <c r="N396" i="26"/>
  <c r="G396" i="26"/>
  <c r="I397" i="26"/>
  <c r="H397" i="26"/>
  <c r="L473" i="26" l="1"/>
  <c r="S472" i="26"/>
  <c r="U472" i="26" s="1"/>
  <c r="M265" i="26"/>
  <c r="Q265" i="26" s="1"/>
  <c r="C267" i="26"/>
  <c r="L266" i="26"/>
  <c r="M266" i="26" s="1"/>
  <c r="S263" i="26"/>
  <c r="H190" i="26"/>
  <c r="I189" i="26"/>
  <c r="Q188" i="26"/>
  <c r="P264" i="26"/>
  <c r="R383" i="26"/>
  <c r="V383" i="26" s="1"/>
  <c r="U383" i="26"/>
  <c r="C385" i="26"/>
  <c r="E384" i="26"/>
  <c r="F384" i="26" s="1"/>
  <c r="P384" i="26" s="1"/>
  <c r="D384" i="26"/>
  <c r="L384" i="26" s="1"/>
  <c r="F269" i="26"/>
  <c r="F561" i="26"/>
  <c r="E560" i="26"/>
  <c r="E267" i="26"/>
  <c r="H398" i="26"/>
  <c r="I398" i="26"/>
  <c r="T396" i="26"/>
  <c r="Q398" i="26"/>
  <c r="K397" i="26"/>
  <c r="J397" i="26"/>
  <c r="M398" i="26"/>
  <c r="G397" i="26"/>
  <c r="N397" i="26"/>
  <c r="S264" i="26" l="1"/>
  <c r="T264" i="26"/>
  <c r="C268" i="26"/>
  <c r="L267" i="26"/>
  <c r="M267" i="26" s="1"/>
  <c r="I190" i="26"/>
  <c r="P190" i="26" s="1"/>
  <c r="Q189" i="26"/>
  <c r="P189" i="26"/>
  <c r="H191" i="26"/>
  <c r="P265" i="26"/>
  <c r="T265" i="26" s="1"/>
  <c r="R384" i="26"/>
  <c r="V384" i="26" s="1"/>
  <c r="U384" i="26"/>
  <c r="C386" i="26"/>
  <c r="E385" i="26"/>
  <c r="F385" i="26" s="1"/>
  <c r="P385" i="26" s="1"/>
  <c r="D385" i="26"/>
  <c r="L385" i="26" s="1"/>
  <c r="Q266" i="26"/>
  <c r="F562" i="26"/>
  <c r="F270" i="26"/>
  <c r="E561" i="26"/>
  <c r="E268" i="26"/>
  <c r="T397" i="26"/>
  <c r="M399" i="26"/>
  <c r="N398" i="26"/>
  <c r="G398" i="26"/>
  <c r="Q399" i="26"/>
  <c r="J398" i="26"/>
  <c r="K398" i="26"/>
  <c r="H399" i="26"/>
  <c r="I399" i="26"/>
  <c r="L474" i="26" l="1"/>
  <c r="T473" i="26"/>
  <c r="C269" i="26"/>
  <c r="L268" i="26"/>
  <c r="H192" i="26"/>
  <c r="I191" i="26"/>
  <c r="Q190" i="26"/>
  <c r="S265" i="26"/>
  <c r="P266" i="26"/>
  <c r="R385" i="26"/>
  <c r="V385" i="26" s="1"/>
  <c r="U385" i="26"/>
  <c r="C387" i="26"/>
  <c r="E386" i="26"/>
  <c r="F386" i="26" s="1"/>
  <c r="P386" i="26" s="1"/>
  <c r="D386" i="26"/>
  <c r="L386" i="26" s="1"/>
  <c r="F271" i="26"/>
  <c r="E562" i="26"/>
  <c r="F563" i="26"/>
  <c r="E269" i="26"/>
  <c r="Q267" i="26"/>
  <c r="M400" i="26"/>
  <c r="N399" i="26"/>
  <c r="G399" i="26"/>
  <c r="Q400" i="26"/>
  <c r="J399" i="26"/>
  <c r="K399" i="26"/>
  <c r="H400" i="26"/>
  <c r="I400" i="26"/>
  <c r="T398" i="26"/>
  <c r="S473" i="26" l="1"/>
  <c r="U473" i="26" s="1"/>
  <c r="S266" i="26"/>
  <c r="T266" i="26"/>
  <c r="M268" i="26"/>
  <c r="Q268" i="26" s="1"/>
  <c r="C270" i="26"/>
  <c r="L269" i="26"/>
  <c r="I192" i="26"/>
  <c r="P192" i="26" s="1"/>
  <c r="Q191" i="26"/>
  <c r="P191" i="26"/>
  <c r="H193" i="26"/>
  <c r="P267" i="26"/>
  <c r="T267" i="26" s="1"/>
  <c r="R386" i="26"/>
  <c r="V386" i="26" s="1"/>
  <c r="U386" i="26"/>
  <c r="C388" i="26"/>
  <c r="D387" i="26"/>
  <c r="L387" i="26" s="1"/>
  <c r="E387" i="26"/>
  <c r="F387" i="26" s="1"/>
  <c r="P387" i="26" s="1"/>
  <c r="F272" i="26"/>
  <c r="E563" i="26"/>
  <c r="F564" i="26"/>
  <c r="E270" i="26"/>
  <c r="M401" i="26"/>
  <c r="N400" i="26"/>
  <c r="G400" i="26"/>
  <c r="Q401" i="26"/>
  <c r="K400" i="26"/>
  <c r="J400" i="26"/>
  <c r="I401" i="26"/>
  <c r="H401" i="26"/>
  <c r="T399" i="26"/>
  <c r="T474" i="26" l="1"/>
  <c r="L475" i="26"/>
  <c r="C271" i="26"/>
  <c r="L270" i="26"/>
  <c r="M270" i="26" s="1"/>
  <c r="M269" i="26"/>
  <c r="Q269" i="26" s="1"/>
  <c r="H194" i="26"/>
  <c r="I193" i="26"/>
  <c r="Q192" i="26"/>
  <c r="S267" i="26"/>
  <c r="P268" i="26"/>
  <c r="T268" i="26" s="1"/>
  <c r="R387" i="26"/>
  <c r="V387" i="26" s="1"/>
  <c r="U387" i="26"/>
  <c r="C389" i="26"/>
  <c r="E388" i="26"/>
  <c r="F388" i="26" s="1"/>
  <c r="P388" i="26" s="1"/>
  <c r="D388" i="26"/>
  <c r="L388" i="26" s="1"/>
  <c r="E564" i="26"/>
  <c r="F273" i="26"/>
  <c r="F565" i="26"/>
  <c r="E271" i="26"/>
  <c r="T400" i="26"/>
  <c r="N401" i="26"/>
  <c r="G401" i="26"/>
  <c r="H348" i="26"/>
  <c r="V334" i="26" s="1"/>
  <c r="W334" i="26" s="1"/>
  <c r="K401" i="26"/>
  <c r="J401" i="26"/>
  <c r="T475" i="26" l="1"/>
  <c r="S474" i="26"/>
  <c r="U474" i="26" s="1"/>
  <c r="C272" i="26"/>
  <c r="L271" i="26"/>
  <c r="I194" i="26"/>
  <c r="P194" i="26" s="1"/>
  <c r="Q193" i="26"/>
  <c r="P193" i="26"/>
  <c r="H195" i="26"/>
  <c r="S268" i="26"/>
  <c r="P269" i="26"/>
  <c r="T269" i="26" s="1"/>
  <c r="R388" i="26"/>
  <c r="V388" i="26" s="1"/>
  <c r="U388" i="26"/>
  <c r="C390" i="26"/>
  <c r="D389" i="26"/>
  <c r="L389" i="26" s="1"/>
  <c r="E389" i="26"/>
  <c r="F389" i="26" s="1"/>
  <c r="P389" i="26" s="1"/>
  <c r="E565" i="26"/>
  <c r="F566" i="26"/>
  <c r="F274" i="26"/>
  <c r="Q270" i="26"/>
  <c r="E272" i="26"/>
  <c r="T401" i="26"/>
  <c r="L476" i="26" l="1"/>
  <c r="S475" i="26"/>
  <c r="U475" i="26" s="1"/>
  <c r="M271" i="26"/>
  <c r="Q271" i="26" s="1"/>
  <c r="C273" i="26"/>
  <c r="L272" i="26"/>
  <c r="H196" i="26"/>
  <c r="I195" i="26"/>
  <c r="Q194" i="26"/>
  <c r="S269" i="26"/>
  <c r="P270" i="26"/>
  <c r="T270" i="26" s="1"/>
  <c r="H344" i="26"/>
  <c r="V318" i="26" s="1"/>
  <c r="W318" i="26" s="1"/>
  <c r="H347" i="26"/>
  <c r="V330" i="26" s="1"/>
  <c r="W330" i="26" s="1"/>
  <c r="R389" i="26"/>
  <c r="V389" i="26" s="1"/>
  <c r="U389" i="26"/>
  <c r="C391" i="26"/>
  <c r="E390" i="26"/>
  <c r="F390" i="26" s="1"/>
  <c r="P390" i="26" s="1"/>
  <c r="D390" i="26"/>
  <c r="L390" i="26" s="1"/>
  <c r="F275" i="26"/>
  <c r="E566" i="26"/>
  <c r="F567" i="26"/>
  <c r="H346" i="26"/>
  <c r="V326" i="26" s="1"/>
  <c r="W326" i="26" s="1"/>
  <c r="E273" i="26"/>
  <c r="T476" i="26" l="1"/>
  <c r="C274" i="26"/>
  <c r="L273" i="26"/>
  <c r="M272" i="26"/>
  <c r="Q272" i="26" s="1"/>
  <c r="S270" i="26"/>
  <c r="I196" i="26"/>
  <c r="P196" i="26" s="1"/>
  <c r="Q195" i="26"/>
  <c r="P195" i="26"/>
  <c r="H197" i="26"/>
  <c r="P271" i="26"/>
  <c r="S271" i="26" s="1"/>
  <c r="R390" i="26"/>
  <c r="V390" i="26" s="1"/>
  <c r="U390" i="26"/>
  <c r="C392" i="26"/>
  <c r="E391" i="26"/>
  <c r="F391" i="26" s="1"/>
  <c r="P391" i="26" s="1"/>
  <c r="D391" i="26"/>
  <c r="L391" i="26" s="1"/>
  <c r="F568" i="26"/>
  <c r="F276" i="26"/>
  <c r="E567" i="26"/>
  <c r="E274" i="26"/>
  <c r="L477" i="26" l="1"/>
  <c r="S476" i="26"/>
  <c r="U476" i="26" s="1"/>
  <c r="C275" i="26"/>
  <c r="L274" i="26"/>
  <c r="M274" i="26" s="1"/>
  <c r="M273" i="26"/>
  <c r="Q273" i="26" s="1"/>
  <c r="T271" i="26"/>
  <c r="H198" i="26"/>
  <c r="I197" i="26"/>
  <c r="Q196" i="26"/>
  <c r="P272" i="26"/>
  <c r="T272" i="26" s="1"/>
  <c r="C393" i="26"/>
  <c r="E392" i="26"/>
  <c r="F392" i="26" s="1"/>
  <c r="P392" i="26" s="1"/>
  <c r="D392" i="26"/>
  <c r="L392" i="26" s="1"/>
  <c r="R391" i="26"/>
  <c r="V391" i="26" s="1"/>
  <c r="U391" i="26"/>
  <c r="F277" i="26"/>
  <c r="F569" i="26"/>
  <c r="E568" i="26"/>
  <c r="E275" i="26"/>
  <c r="C276" i="26" l="1"/>
  <c r="L275" i="26"/>
  <c r="M275" i="26" s="1"/>
  <c r="I198" i="26"/>
  <c r="P198" i="26" s="1"/>
  <c r="Q197" i="26"/>
  <c r="P197" i="26"/>
  <c r="H199" i="26"/>
  <c r="S272" i="26"/>
  <c r="P273" i="26"/>
  <c r="T273" i="26" s="1"/>
  <c r="R392" i="26"/>
  <c r="V392" i="26" s="1"/>
  <c r="U392" i="26"/>
  <c r="C394" i="26"/>
  <c r="E393" i="26"/>
  <c r="F393" i="26" s="1"/>
  <c r="P393" i="26" s="1"/>
  <c r="D393" i="26"/>
  <c r="L393" i="26" s="1"/>
  <c r="F570" i="26"/>
  <c r="E569" i="26"/>
  <c r="F278" i="26"/>
  <c r="Q274" i="26"/>
  <c r="E276" i="26"/>
  <c r="T477" i="26" l="1"/>
  <c r="L478" i="26"/>
  <c r="C277" i="26"/>
  <c r="L276" i="26"/>
  <c r="H200" i="26"/>
  <c r="I199" i="26"/>
  <c r="Q198" i="26"/>
  <c r="P274" i="26"/>
  <c r="T274" i="26" s="1"/>
  <c r="R393" i="26"/>
  <c r="V393" i="26" s="1"/>
  <c r="U393" i="26"/>
  <c r="C395" i="26"/>
  <c r="D394" i="26"/>
  <c r="L394" i="26" s="1"/>
  <c r="E394" i="26"/>
  <c r="F394" i="26" s="1"/>
  <c r="P394" i="26" s="1"/>
  <c r="E570" i="26"/>
  <c r="S273" i="26"/>
  <c r="F279" i="26"/>
  <c r="F571" i="26"/>
  <c r="W405" i="26"/>
  <c r="Q275" i="26"/>
  <c r="E277" i="26"/>
  <c r="S477" i="26" l="1"/>
  <c r="U477" i="26" s="1"/>
  <c r="C278" i="26"/>
  <c r="L277" i="26"/>
  <c r="M276" i="26"/>
  <c r="Q276" i="26" s="1"/>
  <c r="S274" i="26"/>
  <c r="I200" i="26"/>
  <c r="P200" i="26" s="1"/>
  <c r="Q199" i="26"/>
  <c r="P199" i="26"/>
  <c r="H201" i="26"/>
  <c r="P275" i="26"/>
  <c r="C396" i="26"/>
  <c r="E395" i="26"/>
  <c r="F395" i="26" s="1"/>
  <c r="P395" i="26" s="1"/>
  <c r="D395" i="26"/>
  <c r="L395" i="26" s="1"/>
  <c r="R394" i="26"/>
  <c r="V394" i="26" s="1"/>
  <c r="U394" i="26"/>
  <c r="F280" i="26"/>
  <c r="F572" i="26"/>
  <c r="E571" i="26"/>
  <c r="E278" i="26"/>
  <c r="T478" i="26" l="1"/>
  <c r="L479" i="26"/>
  <c r="S275" i="26"/>
  <c r="T275" i="26"/>
  <c r="M277" i="26"/>
  <c r="Q277" i="26" s="1"/>
  <c r="C279" i="26"/>
  <c r="L278" i="26"/>
  <c r="H202" i="26"/>
  <c r="I201" i="26"/>
  <c r="Q200" i="26"/>
  <c r="P276" i="26"/>
  <c r="S276" i="26" s="1"/>
  <c r="R395" i="26"/>
  <c r="V395" i="26" s="1"/>
  <c r="U395" i="26"/>
  <c r="C397" i="26"/>
  <c r="D396" i="26"/>
  <c r="L396" i="26" s="1"/>
  <c r="E396" i="26"/>
  <c r="F396" i="26" s="1"/>
  <c r="P396" i="26" s="1"/>
  <c r="E572" i="26"/>
  <c r="F281" i="26"/>
  <c r="F573" i="26"/>
  <c r="E279" i="26"/>
  <c r="T479" i="26" l="1"/>
  <c r="V420" i="26" s="1"/>
  <c r="S478" i="26"/>
  <c r="U478" i="26" s="1"/>
  <c r="M278" i="26"/>
  <c r="Q278" i="26" s="1"/>
  <c r="C280" i="26"/>
  <c r="L279" i="26"/>
  <c r="M279" i="26" s="1"/>
  <c r="T276" i="26"/>
  <c r="I202" i="26"/>
  <c r="P202" i="26" s="1"/>
  <c r="Q201" i="26"/>
  <c r="P201" i="26"/>
  <c r="H203" i="26"/>
  <c r="P277" i="26"/>
  <c r="R396" i="26"/>
  <c r="V396" i="26" s="1"/>
  <c r="U396" i="26"/>
  <c r="C398" i="26"/>
  <c r="D397" i="26"/>
  <c r="L397" i="26" s="1"/>
  <c r="E397" i="26"/>
  <c r="F397" i="26" s="1"/>
  <c r="P397" i="26" s="1"/>
  <c r="F574" i="26"/>
  <c r="E573" i="26"/>
  <c r="F282" i="26"/>
  <c r="E280" i="26"/>
  <c r="S479" i="26" l="1"/>
  <c r="V416" i="26" s="1"/>
  <c r="S277" i="26"/>
  <c r="T277" i="26"/>
  <c r="C281" i="26"/>
  <c r="L280" i="26"/>
  <c r="H204" i="26"/>
  <c r="I203" i="26"/>
  <c r="Q202" i="26"/>
  <c r="P278" i="26"/>
  <c r="T278" i="26" s="1"/>
  <c r="R397" i="26"/>
  <c r="V397" i="26" s="1"/>
  <c r="U397" i="26"/>
  <c r="C399" i="26"/>
  <c r="D398" i="26"/>
  <c r="L398" i="26" s="1"/>
  <c r="E398" i="26"/>
  <c r="F398" i="26" s="1"/>
  <c r="P398" i="26" s="1"/>
  <c r="F575" i="26"/>
  <c r="E574" i="26"/>
  <c r="F283" i="26"/>
  <c r="Q279" i="26"/>
  <c r="E281" i="26"/>
  <c r="U479" i="26" l="1"/>
  <c r="V424" i="26" s="1"/>
  <c r="M280" i="26"/>
  <c r="C282" i="26"/>
  <c r="L281" i="26"/>
  <c r="S278" i="26"/>
  <c r="I204" i="26"/>
  <c r="P204" i="26" s="1"/>
  <c r="Q203" i="26"/>
  <c r="P203" i="26"/>
  <c r="H205" i="26"/>
  <c r="P279" i="26"/>
  <c r="U292" i="26"/>
  <c r="V292" i="26" s="1"/>
  <c r="W292" i="26" s="1"/>
  <c r="V287" i="26"/>
  <c r="C400" i="26"/>
  <c r="E399" i="26"/>
  <c r="F399" i="26" s="1"/>
  <c r="P399" i="26" s="1"/>
  <c r="D399" i="26"/>
  <c r="L399" i="26" s="1"/>
  <c r="R398" i="26"/>
  <c r="V398" i="26" s="1"/>
  <c r="U398" i="26"/>
  <c r="F284" i="26"/>
  <c r="E575" i="26"/>
  <c r="F576" i="26"/>
  <c r="E282" i="26"/>
  <c r="Q280" i="26"/>
  <c r="W287" i="26"/>
  <c r="M281" i="26" l="1"/>
  <c r="Q281" i="26" s="1"/>
  <c r="C283" i="26"/>
  <c r="L282" i="26"/>
  <c r="M282" i="26" s="1"/>
  <c r="S279" i="26"/>
  <c r="T279" i="26"/>
  <c r="H206" i="26"/>
  <c r="I205" i="26"/>
  <c r="Q204" i="26"/>
  <c r="P280" i="26"/>
  <c r="R399" i="26"/>
  <c r="V399" i="26" s="1"/>
  <c r="U399" i="26"/>
  <c r="C401" i="26"/>
  <c r="D400" i="26"/>
  <c r="L400" i="26" s="1"/>
  <c r="E400" i="26"/>
  <c r="F400" i="26" s="1"/>
  <c r="P400" i="26" s="1"/>
  <c r="E576" i="26"/>
  <c r="F577" i="26"/>
  <c r="E283" i="26"/>
  <c r="S280" i="26" l="1"/>
  <c r="T280" i="26"/>
  <c r="C284" i="26"/>
  <c r="L283" i="26"/>
  <c r="M283" i="26" s="1"/>
  <c r="I206" i="26"/>
  <c r="P206" i="26" s="1"/>
  <c r="Q205" i="26"/>
  <c r="P205" i="26"/>
  <c r="H207" i="26"/>
  <c r="P281" i="26"/>
  <c r="T281" i="26" s="1"/>
  <c r="R400" i="26"/>
  <c r="V400" i="26" s="1"/>
  <c r="U400" i="26"/>
  <c r="D401" i="26"/>
  <c r="L401" i="26" s="1"/>
  <c r="E401" i="26"/>
  <c r="F401" i="26" s="1"/>
  <c r="P401" i="26" s="1"/>
  <c r="E577" i="26"/>
  <c r="F578" i="26"/>
  <c r="Q282" i="26"/>
  <c r="E284" i="26"/>
  <c r="L284" i="26" l="1"/>
  <c r="M284" i="26" s="1"/>
  <c r="H208" i="26"/>
  <c r="I207" i="26"/>
  <c r="Q206" i="26"/>
  <c r="S281" i="26"/>
  <c r="P282" i="26"/>
  <c r="T282" i="26" s="1"/>
  <c r="R401" i="26"/>
  <c r="V401" i="26" s="1"/>
  <c r="U401" i="26"/>
  <c r="E578" i="26"/>
  <c r="F579" i="26"/>
  <c r="Q283" i="26"/>
  <c r="I208" i="26" l="1"/>
  <c r="P208" i="26" s="1"/>
  <c r="Q207" i="26"/>
  <c r="P207" i="26"/>
  <c r="H209" i="26"/>
  <c r="S282" i="26"/>
  <c r="P283" i="26"/>
  <c r="T283" i="26" s="1"/>
  <c r="H339" i="26"/>
  <c r="V298" i="26" s="1"/>
  <c r="W298" i="26" s="1"/>
  <c r="H345" i="26"/>
  <c r="V322" i="26" s="1"/>
  <c r="W322" i="26" s="1"/>
  <c r="H342" i="26"/>
  <c r="V310" i="26" s="1"/>
  <c r="W310" i="26" s="1"/>
  <c r="H343" i="26"/>
  <c r="V314" i="26" s="1"/>
  <c r="W314" i="26" s="1"/>
  <c r="H340" i="26"/>
  <c r="V302" i="26" s="1"/>
  <c r="W302" i="26" s="1"/>
  <c r="H341" i="26"/>
  <c r="V306" i="26" s="1"/>
  <c r="W306" i="26" s="1"/>
  <c r="E579" i="26"/>
  <c r="I209" i="26" l="1"/>
  <c r="Q209" i="26" s="1"/>
  <c r="V154" i="26" s="1"/>
  <c r="Q208" i="26"/>
  <c r="Q284" i="26"/>
  <c r="V228" i="26" s="1"/>
  <c r="P284" i="26"/>
  <c r="S283" i="26"/>
  <c r="V405" i="26"/>
  <c r="U410" i="26"/>
  <c r="V410" i="26" s="1"/>
  <c r="W410" i="26" s="1"/>
  <c r="V224" i="26" l="1"/>
  <c r="T284" i="26"/>
  <c r="P209" i="26"/>
  <c r="V150" i="26" s="1"/>
  <c r="S284" i="26"/>
  <c r="V213" i="26" l="1"/>
  <c r="U218" i="26"/>
  <c r="V218" i="26" s="1"/>
  <c r="W218" i="26" s="1"/>
  <c r="T531" i="26"/>
  <c r="K532" i="26" l="1"/>
  <c r="S531" i="26"/>
  <c r="K533" i="26"/>
  <c r="P533" i="26" s="1"/>
  <c r="T532" i="26" l="1"/>
  <c r="P532" i="26"/>
  <c r="S532" i="26"/>
  <c r="T533" i="26"/>
  <c r="K534" i="26"/>
  <c r="P534" i="26" s="1"/>
  <c r="K535" i="26" l="1"/>
  <c r="P535" i="26" s="1"/>
  <c r="T534" i="26"/>
  <c r="S533" i="26"/>
  <c r="S534" i="26" l="1"/>
  <c r="T535" i="26"/>
  <c r="K536" i="26"/>
  <c r="P536" i="26" s="1"/>
  <c r="W420" i="26" l="1"/>
  <c r="W416" i="26"/>
  <c r="S535" i="26"/>
  <c r="K537" i="26"/>
  <c r="P537" i="26" s="1"/>
  <c r="T536" i="26"/>
  <c r="T537" i="26" l="1"/>
  <c r="K538" i="26"/>
  <c r="P538" i="26" s="1"/>
  <c r="S536" i="26"/>
  <c r="W424" i="26" l="1"/>
  <c r="T538" i="26"/>
  <c r="K539" i="26"/>
  <c r="P539" i="26" s="1"/>
  <c r="S537" i="26"/>
  <c r="U488" i="26" l="1"/>
  <c r="V488" i="26" s="1"/>
  <c r="V483" i="26"/>
  <c r="T539" i="26"/>
  <c r="K540" i="26"/>
  <c r="P540" i="26" s="1"/>
  <c r="S538" i="26"/>
  <c r="T540" i="26" l="1"/>
  <c r="K541" i="26"/>
  <c r="P541" i="26" s="1"/>
  <c r="S539" i="26"/>
  <c r="T541" i="26" l="1"/>
  <c r="K542" i="26"/>
  <c r="P542" i="26" s="1"/>
  <c r="S540" i="26"/>
  <c r="K543" i="26" l="1"/>
  <c r="P543" i="26" s="1"/>
  <c r="T542" i="26"/>
  <c r="S541" i="26"/>
  <c r="S542" i="26" l="1"/>
  <c r="T543" i="26"/>
  <c r="K544" i="26"/>
  <c r="P544" i="26" s="1"/>
  <c r="K545" i="26" l="1"/>
  <c r="P545" i="26" s="1"/>
  <c r="T544" i="26"/>
  <c r="S543" i="26"/>
  <c r="S544" i="26" l="1"/>
  <c r="T545" i="26"/>
  <c r="K546" i="26"/>
  <c r="P546" i="26" s="1"/>
  <c r="S545" i="26" l="1"/>
  <c r="T546" i="26"/>
  <c r="K547" i="26"/>
  <c r="P547" i="26" s="1"/>
  <c r="K548" i="26" l="1"/>
  <c r="P548" i="26" s="1"/>
  <c r="T547" i="26"/>
  <c r="S546" i="26"/>
  <c r="S547" i="26" l="1"/>
  <c r="K549" i="26"/>
  <c r="P549" i="26" s="1"/>
  <c r="T548" i="26"/>
  <c r="S548" i="26" l="1"/>
  <c r="T549" i="26"/>
  <c r="K550" i="26"/>
  <c r="P550" i="26" s="1"/>
  <c r="S549" i="26" l="1"/>
  <c r="K551" i="26"/>
  <c r="P551" i="26" s="1"/>
  <c r="T550" i="26"/>
  <c r="S550" i="26" l="1"/>
  <c r="K552" i="26"/>
  <c r="P552" i="26" s="1"/>
  <c r="T551" i="26"/>
  <c r="S551" i="26" l="1"/>
  <c r="K553" i="26"/>
  <c r="P553" i="26" s="1"/>
  <c r="T552" i="26"/>
  <c r="T553" i="26" l="1"/>
  <c r="K554" i="26"/>
  <c r="P554" i="26" s="1"/>
  <c r="S552" i="26"/>
  <c r="T554" i="26" l="1"/>
  <c r="K555" i="26"/>
  <c r="P555" i="26" s="1"/>
  <c r="S553" i="26"/>
  <c r="K556" i="26" l="1"/>
  <c r="P556" i="26" s="1"/>
  <c r="T555" i="26"/>
  <c r="S554" i="26"/>
  <c r="S555" i="26" l="1"/>
  <c r="K557" i="26"/>
  <c r="P557" i="26" s="1"/>
  <c r="T556" i="26"/>
  <c r="S556" i="26" l="1"/>
  <c r="T557" i="26"/>
  <c r="K558" i="26"/>
  <c r="P558" i="26" s="1"/>
  <c r="K559" i="26" l="1"/>
  <c r="P559" i="26" s="1"/>
  <c r="T558" i="26"/>
  <c r="S557" i="26"/>
  <c r="S558" i="26" l="1"/>
  <c r="T559" i="26"/>
  <c r="K560" i="26"/>
  <c r="P560" i="26" s="1"/>
  <c r="S559" i="26" l="1"/>
  <c r="K561" i="26"/>
  <c r="P561" i="26" s="1"/>
  <c r="T560" i="26"/>
  <c r="T561" i="26" l="1"/>
  <c r="K562" i="26"/>
  <c r="P562" i="26" s="1"/>
  <c r="S560" i="26"/>
  <c r="T562" i="26" l="1"/>
  <c r="K563" i="26"/>
  <c r="P563" i="26" s="1"/>
  <c r="S561" i="26"/>
  <c r="K564" i="26" l="1"/>
  <c r="P564" i="26" s="1"/>
  <c r="T563" i="26"/>
  <c r="S562" i="26"/>
  <c r="S563" i="26" l="1"/>
  <c r="K565" i="26"/>
  <c r="P565" i="26" s="1"/>
  <c r="T564" i="26"/>
  <c r="T565" i="26" l="1"/>
  <c r="K566" i="26"/>
  <c r="P566" i="26" s="1"/>
  <c r="S564" i="26"/>
  <c r="T566" i="26" l="1"/>
  <c r="K567" i="26"/>
  <c r="P567" i="26" s="1"/>
  <c r="S565" i="26"/>
  <c r="T567" i="26" l="1"/>
  <c r="K568" i="26"/>
  <c r="P568" i="26" s="1"/>
  <c r="S566" i="26"/>
  <c r="T568" i="26" l="1"/>
  <c r="K569" i="26"/>
  <c r="P569" i="26" s="1"/>
  <c r="S567" i="26"/>
  <c r="T569" i="26" l="1"/>
  <c r="K570" i="26"/>
  <c r="P570" i="26" s="1"/>
  <c r="S568" i="26"/>
  <c r="T570" i="26" l="1"/>
  <c r="K571" i="26"/>
  <c r="P571" i="26" s="1"/>
  <c r="S569" i="26"/>
  <c r="T571" i="26" l="1"/>
  <c r="K572" i="26"/>
  <c r="P572" i="26" s="1"/>
  <c r="S570" i="26"/>
  <c r="T572" i="26" l="1"/>
  <c r="K573" i="26"/>
  <c r="P573" i="26" s="1"/>
  <c r="S571" i="26"/>
  <c r="T573" i="26" l="1"/>
  <c r="K574" i="26"/>
  <c r="P574" i="26" s="1"/>
  <c r="S572" i="26"/>
  <c r="T574" i="26" l="1"/>
  <c r="K575" i="26"/>
  <c r="P575" i="26" s="1"/>
  <c r="S573" i="26"/>
  <c r="T575" i="26" l="1"/>
  <c r="K576" i="26"/>
  <c r="P576" i="26" s="1"/>
  <c r="S574" i="26"/>
  <c r="K577" i="26" l="1"/>
  <c r="P577" i="26" s="1"/>
  <c r="T576" i="26"/>
  <c r="S575" i="26"/>
  <c r="S576" i="26" l="1"/>
  <c r="T577" i="26"/>
  <c r="K578" i="26"/>
  <c r="P578" i="26" s="1"/>
  <c r="S577" i="26" l="1"/>
  <c r="T578" i="26"/>
  <c r="K579" i="26"/>
  <c r="P579" i="26" s="1"/>
  <c r="T579" i="26" l="1"/>
  <c r="S578" i="26"/>
  <c r="S579" i="26" l="1"/>
  <c r="V519"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Adriano Moraes</author>
    <author>Gabriel Cruz</author>
    <author>Refrapi</author>
    <author>mi020832</author>
  </authors>
  <commentList>
    <comment ref="B21" authorId="0" shapeId="0" xr:uid="{616EE593-7A7C-4326-BDD7-146A011B1ED5}">
      <text>
        <r>
          <rPr>
            <b/>
            <sz val="9"/>
            <color indexed="81"/>
            <rFont val="Segoe UI"/>
            <family val="2"/>
          </rPr>
          <t>ÁREA / ESPESSURA</t>
        </r>
      </text>
    </comment>
    <comment ref="B22" authorId="0" shapeId="0" xr:uid="{AEAE1009-7479-4868-9772-5AEDB5C4D6EA}">
      <text>
        <r>
          <rPr>
            <b/>
            <sz val="9"/>
            <color indexed="81"/>
            <rFont val="Segoe UI"/>
            <family val="2"/>
          </rPr>
          <t>VOLUME</t>
        </r>
      </text>
    </comment>
    <comment ref="B44" authorId="0" shapeId="0" xr:uid="{39A632F5-12BA-4BD9-974A-A06668DB6961}">
      <text>
        <r>
          <rPr>
            <b/>
            <sz val="9"/>
            <color indexed="81"/>
            <rFont val="Segoe UI"/>
            <family val="2"/>
          </rPr>
          <t>VOLUME</t>
        </r>
      </text>
    </comment>
    <comment ref="B45" authorId="0" shapeId="0" xr:uid="{056D5C78-24B8-4719-9CA6-10197065049F}">
      <text>
        <r>
          <rPr>
            <b/>
            <sz val="9"/>
            <color indexed="81"/>
            <rFont val="Segoe UI"/>
            <family val="2"/>
          </rPr>
          <t>ÁREA X ESPESSURA</t>
        </r>
      </text>
    </comment>
    <comment ref="B52" authorId="0" shapeId="0" xr:uid="{E98E126E-E9D5-4357-817A-5DA35D974CC0}">
      <text>
        <r>
          <rPr>
            <b/>
            <sz val="9"/>
            <color indexed="81"/>
            <rFont val="Segoe UI"/>
            <family val="2"/>
          </rPr>
          <t>VOLUME</t>
        </r>
      </text>
    </comment>
    <comment ref="B53" authorId="0" shapeId="0" xr:uid="{FBE52CEC-DF4F-4A8A-BEBB-BC8701764A7F}">
      <text>
        <r>
          <rPr>
            <b/>
            <sz val="9"/>
            <color indexed="81"/>
            <rFont val="Segoe UI"/>
            <family val="2"/>
          </rPr>
          <t>ÁREA X ESPESSURA</t>
        </r>
      </text>
    </comment>
    <comment ref="B70" authorId="0" shapeId="0" xr:uid="{8ABA8458-828D-4E4E-A2F5-3CC6C03F12A7}">
      <text>
        <r>
          <rPr>
            <b/>
            <sz val="9"/>
            <color indexed="81"/>
            <rFont val="Segoe UI"/>
            <family val="2"/>
          </rPr>
          <t>Área / espaçamento</t>
        </r>
      </text>
    </comment>
    <comment ref="B71" authorId="0" shapeId="0" xr:uid="{442DE7EF-8F77-45FF-8235-CAA99EB0D3A9}">
      <text>
        <r>
          <rPr>
            <b/>
            <sz val="9"/>
            <color indexed="81"/>
            <rFont val="Segoe UI"/>
            <family val="2"/>
          </rPr>
          <t>Anel cilíndrico</t>
        </r>
      </text>
    </comment>
    <comment ref="B72" authorId="0" shapeId="0" xr:uid="{184D0939-54CC-4A71-8FB1-AAFFFC4F32F8}">
      <text>
        <r>
          <rPr>
            <b/>
            <sz val="9"/>
            <color indexed="81"/>
            <rFont val="Segoe UI"/>
            <family val="2"/>
          </rPr>
          <t>Cilindro (Diametro x altura / espaçamento)</t>
        </r>
      </text>
    </comment>
    <comment ref="B79" authorId="0" shapeId="0" xr:uid="{5614D2E8-7EAE-4F58-B526-AEDC6C69C9AE}">
      <text>
        <r>
          <rPr>
            <b/>
            <sz val="9"/>
            <color indexed="81"/>
            <rFont val="Segoe UI"/>
            <family val="2"/>
          </rPr>
          <t>Área / espaçamento</t>
        </r>
      </text>
    </comment>
    <comment ref="B80" authorId="0" shapeId="0" xr:uid="{B64CF684-D01E-4CC6-B42D-D6FB02549525}">
      <text>
        <r>
          <rPr>
            <b/>
            <sz val="9"/>
            <color indexed="81"/>
            <rFont val="Segoe UI"/>
            <family val="2"/>
          </rPr>
          <t>Anel cilíndrico</t>
        </r>
      </text>
    </comment>
    <comment ref="B81" authorId="0" shapeId="0" xr:uid="{82F1F5E9-4E84-430C-8694-CE1D1535D57C}">
      <text>
        <r>
          <rPr>
            <b/>
            <sz val="9"/>
            <color indexed="81"/>
            <rFont val="Segoe UI"/>
            <family val="2"/>
          </rPr>
          <t>Cilindro (Diametro x altura / espaçamento)</t>
        </r>
      </text>
    </comment>
    <comment ref="R93" authorId="1" shapeId="0" xr:uid="{0706081E-05BE-4B59-AF9D-86321CF28EB1}">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102" authorId="2" shapeId="0" xr:uid="{0C68BF3B-F350-470B-8E13-74C86ADF3C33}">
      <text>
        <r>
          <rPr>
            <b/>
            <sz val="8"/>
            <color indexed="81"/>
            <rFont val="Tahoma"/>
            <family val="2"/>
          </rPr>
          <t>ÂNCORA METÁLICA (50%)</t>
        </r>
      </text>
    </comment>
    <comment ref="B103" authorId="2" shapeId="0" xr:uid="{1ACE2305-645C-4543-8673-1463C7FA5830}">
      <text>
        <r>
          <rPr>
            <b/>
            <sz val="8"/>
            <color indexed="81"/>
            <rFont val="Tahoma"/>
            <family val="2"/>
          </rPr>
          <t>ÂNCORA CERÂMICA (100%)</t>
        </r>
      </text>
    </comment>
    <comment ref="B110" authorId="0" shapeId="0" xr:uid="{ACAA17E4-3918-4A48-804E-897D89F0C689}">
      <text>
        <r>
          <rPr>
            <b/>
            <sz val="9"/>
            <color indexed="81"/>
            <rFont val="Segoe UI"/>
            <family val="2"/>
          </rPr>
          <t>ÁREA / ESPESSURA</t>
        </r>
      </text>
    </comment>
    <comment ref="B111" authorId="0" shapeId="0" xr:uid="{AED58FB1-E901-4466-AA37-352A6F6AF234}">
      <text>
        <r>
          <rPr>
            <b/>
            <sz val="9"/>
            <color indexed="81"/>
            <rFont val="Segoe UI"/>
            <family val="2"/>
          </rPr>
          <t>VOLUME</t>
        </r>
      </text>
    </comment>
    <comment ref="V125" authorId="3" shapeId="0" xr:uid="{3768E28F-D564-4E7D-93D8-A287C07523B6}">
      <text>
        <r>
          <rPr>
            <sz val="9"/>
            <color indexed="81"/>
            <rFont val="Tahoma"/>
            <family val="2"/>
          </rPr>
          <t>O VALOR DESSA CÉLULA DEPENDERÁ DO VALOR ENCONTRADO EM NX, EDITAR CONFORME</t>
        </r>
      </text>
    </comment>
    <comment ref="V129" authorId="3" shapeId="0" xr:uid="{723579F5-BA3C-44B2-82DB-91210871D8DD}">
      <text>
        <r>
          <rPr>
            <sz val="9"/>
            <color indexed="81"/>
            <rFont val="Tahoma"/>
            <family val="2"/>
          </rPr>
          <t>O VALOR DESSA CÉLULA DEPENDERÁ DO VALOR ENCONTRADO EM NX, EDITAR CONFORME</t>
        </r>
      </text>
    </comment>
    <comment ref="V150" authorId="3" shapeId="0" xr:uid="{98AEB998-B2AA-4452-BE44-E5C435E2B2AA}">
      <text>
        <r>
          <rPr>
            <sz val="9"/>
            <color indexed="81"/>
            <rFont val="Tahoma"/>
            <family val="2"/>
          </rPr>
          <t>O VALOR DESSA CÉLULA DEPENDERÁ DO VALOR ENCONTRADO EM NX, EDITAR CONFORME</t>
        </r>
      </text>
    </comment>
    <comment ref="V154" authorId="3" shapeId="0" xr:uid="{049C586A-3C25-469E-A7E9-206D19F4514D}">
      <text>
        <r>
          <rPr>
            <sz val="9"/>
            <color indexed="81"/>
            <rFont val="Tahoma"/>
            <family val="2"/>
          </rPr>
          <t>O VALOR DESSA CÉLULA DEPENDERÁ DO VALOR ENCONTRADO EM NX, EDITAR CONFORME</t>
        </r>
      </text>
    </comment>
    <comment ref="R224" authorId="1" shapeId="0" xr:uid="{08571F4E-A476-4EEE-BF55-FFEF2BBCD0C0}">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224" authorId="3" shapeId="0" xr:uid="{1089185D-0E4E-4A94-948F-5D6336E6FF8D}">
      <text>
        <r>
          <rPr>
            <sz val="9"/>
            <color indexed="81"/>
            <rFont val="Tahoma"/>
            <family val="2"/>
          </rPr>
          <t>O VALOR DESSA CÉLULA DEPENDERÁ DO VALOR ENCONTRADO EM NX, EDITAR CONFORME</t>
        </r>
      </text>
    </comment>
    <comment ref="V228" authorId="3" shapeId="0" xr:uid="{8A5EA405-D8BC-403C-9C5E-D30C5C176CB1}">
      <text>
        <r>
          <rPr>
            <sz val="9"/>
            <color indexed="81"/>
            <rFont val="Tahoma"/>
            <family val="2"/>
          </rPr>
          <t>O VALOR DESSA CÉLULA DEPENDERÁ DO VALOR ENCONTRADO EM NX, EDITAR CONFORME</t>
        </r>
      </text>
    </comment>
    <comment ref="V494" authorId="3" shapeId="0" xr:uid="{46F867BD-80E2-40A8-A112-8F84FE86B243}">
      <text>
        <r>
          <rPr>
            <sz val="9"/>
            <color indexed="81"/>
            <rFont val="Tahoma"/>
            <family val="2"/>
          </rPr>
          <t>O VALOR DESSA CÉLULA DEPENDERÁ DO VALOR ENCONTRADO EM NX, EDITAR CONFORME</t>
        </r>
      </text>
    </comment>
    <comment ref="V519" authorId="3" shapeId="0" xr:uid="{E6F4E532-652F-4E73-A02B-BD36E0C8B1B7}">
      <text>
        <r>
          <rPr>
            <sz val="9"/>
            <color indexed="81"/>
            <rFont val="Tahoma"/>
            <family val="2"/>
          </rPr>
          <t>O VALOR DESSA CÉLULA DEPENDERÁ DO VALOR ENCONTRADO EM NX, EDITAR CONFORME</t>
        </r>
      </text>
    </comment>
    <comment ref="B596" authorId="0" shapeId="0" xr:uid="{B535D516-5D98-4DFC-B6EF-C9697A5132E6}">
      <text>
        <r>
          <rPr>
            <b/>
            <sz val="9"/>
            <color indexed="81"/>
            <rFont val="Segoe UI"/>
            <family val="2"/>
          </rPr>
          <t>ÁREA / ESPESSURA</t>
        </r>
      </text>
    </comment>
    <comment ref="B597" authorId="0" shapeId="0" xr:uid="{BAA4F99F-575D-4374-89D4-8BC1BF211ED4}">
      <text>
        <r>
          <rPr>
            <b/>
            <sz val="9"/>
            <color indexed="81"/>
            <rFont val="Segoe UI"/>
            <family val="2"/>
          </rPr>
          <t>VOLUME</t>
        </r>
      </text>
    </comment>
    <comment ref="B612" authorId="2" shapeId="0" xr:uid="{BC2C5BF7-913F-436E-B2D3-9ED2D3E538CA}">
      <text>
        <r>
          <rPr>
            <b/>
            <sz val="8"/>
            <color indexed="81"/>
            <rFont val="Tahoma"/>
            <family val="2"/>
          </rPr>
          <t>VOLUME 3D</t>
        </r>
      </text>
    </comment>
    <comment ref="V616" authorId="3" shapeId="0" xr:uid="{539406B2-0CCD-4BB8-BB3A-BFA3FA8CC6B4}">
      <text>
        <r>
          <rPr>
            <sz val="9"/>
            <color indexed="81"/>
            <rFont val="Tahoma"/>
            <family val="2"/>
          </rPr>
          <t>O VALOR DESSA CÉLULA DEPENDERÁ DO VALOR ENCONTRADO EM NX, EDITAR CONFORME</t>
        </r>
      </text>
    </comment>
    <comment ref="V620" authorId="3" shapeId="0" xr:uid="{C4FB48F0-371A-4C18-8DAC-9C6DBB81A441}">
      <text>
        <r>
          <rPr>
            <sz val="9"/>
            <color indexed="81"/>
            <rFont val="Tahoma"/>
            <family val="2"/>
          </rPr>
          <t>O VALOR DESSA CÉLULA DEPENDERÁ DO VALOR ENCONTRADO EM NX, EDITAR CONFORME</t>
        </r>
      </text>
    </comment>
    <comment ref="B656" authorId="0" shapeId="0" xr:uid="{CEECCF13-8C20-48FC-B983-1BB613540FFC}">
      <text>
        <r>
          <rPr>
            <b/>
            <sz val="9"/>
            <color indexed="81"/>
            <rFont val="Segoe UI"/>
            <family val="2"/>
          </rPr>
          <t>ÁREA / ESPESSURA</t>
        </r>
      </text>
    </comment>
    <comment ref="B657" authorId="0" shapeId="0" xr:uid="{D4AA62C0-1C2C-4BD0-BC28-E464FA877222}">
      <text>
        <r>
          <rPr>
            <b/>
            <sz val="9"/>
            <color indexed="81"/>
            <rFont val="Segoe UI"/>
            <family val="2"/>
          </rPr>
          <t>VOLUME</t>
        </r>
      </text>
    </comment>
    <comment ref="B679" authorId="0" shapeId="0" xr:uid="{607DA158-3FCC-4336-8951-C0CB06A96247}">
      <text>
        <r>
          <rPr>
            <b/>
            <sz val="9"/>
            <color indexed="81"/>
            <rFont val="Segoe UI"/>
            <family val="2"/>
          </rPr>
          <t>VOLUME</t>
        </r>
      </text>
    </comment>
    <comment ref="B680" authorId="0" shapeId="0" xr:uid="{56A62B23-5FBA-4758-B4E2-AA7BE8A7C2C8}">
      <text>
        <r>
          <rPr>
            <b/>
            <sz val="9"/>
            <color indexed="81"/>
            <rFont val="Segoe UI"/>
            <family val="2"/>
          </rPr>
          <t>ÁREA X ESPESSURA</t>
        </r>
      </text>
    </comment>
    <comment ref="B687" authorId="0" shapeId="0" xr:uid="{44E4B0FB-77EC-44D7-AA85-3ED4AC979696}">
      <text>
        <r>
          <rPr>
            <b/>
            <sz val="9"/>
            <color indexed="81"/>
            <rFont val="Segoe UI"/>
            <family val="2"/>
          </rPr>
          <t>VOLUME</t>
        </r>
      </text>
    </comment>
    <comment ref="B688" authorId="0" shapeId="0" xr:uid="{E59E9F1D-AD57-43DA-AED9-0BB46123C28F}">
      <text>
        <r>
          <rPr>
            <b/>
            <sz val="9"/>
            <color indexed="81"/>
            <rFont val="Segoe UI"/>
            <family val="2"/>
          </rPr>
          <t>ÁREA X ESPESSURA</t>
        </r>
      </text>
    </comment>
    <comment ref="B705" authorId="0" shapeId="0" xr:uid="{E7E7565C-3FE8-460B-B0C2-A3F3E22D559B}">
      <text>
        <r>
          <rPr>
            <b/>
            <sz val="9"/>
            <color indexed="81"/>
            <rFont val="Segoe UI"/>
            <family val="2"/>
          </rPr>
          <t>Área / espaçamento</t>
        </r>
      </text>
    </comment>
    <comment ref="B706" authorId="0" shapeId="0" xr:uid="{B37CECB5-BF27-4807-9E94-0DB273CEE7C2}">
      <text>
        <r>
          <rPr>
            <b/>
            <sz val="9"/>
            <color indexed="81"/>
            <rFont val="Segoe UI"/>
            <family val="2"/>
          </rPr>
          <t>Anel cilíndrico</t>
        </r>
      </text>
    </comment>
    <comment ref="B707" authorId="0" shapeId="0" xr:uid="{B59157A2-6831-4170-9DE4-F85BD2262CBF}">
      <text>
        <r>
          <rPr>
            <b/>
            <sz val="9"/>
            <color indexed="81"/>
            <rFont val="Segoe UI"/>
            <family val="2"/>
          </rPr>
          <t>Cilindro (Diametro x altura / espaçamento)</t>
        </r>
      </text>
    </comment>
    <comment ref="B714" authorId="0" shapeId="0" xr:uid="{324AE930-172C-4B26-9931-AB7EA3B92D8C}">
      <text>
        <r>
          <rPr>
            <b/>
            <sz val="9"/>
            <color indexed="81"/>
            <rFont val="Segoe UI"/>
            <family val="2"/>
          </rPr>
          <t>Área / espaçamento</t>
        </r>
      </text>
    </comment>
    <comment ref="B715" authorId="0" shapeId="0" xr:uid="{F9630FB4-F5B9-4FC6-9C87-C449E0A85151}">
      <text>
        <r>
          <rPr>
            <b/>
            <sz val="9"/>
            <color indexed="81"/>
            <rFont val="Segoe UI"/>
            <family val="2"/>
          </rPr>
          <t>Anel cilíndrico</t>
        </r>
      </text>
    </comment>
    <comment ref="B716" authorId="0" shapeId="0" xr:uid="{C2E6C9C6-3810-4058-ACFB-FB28C61BDF74}">
      <text>
        <r>
          <rPr>
            <b/>
            <sz val="9"/>
            <color indexed="81"/>
            <rFont val="Segoe UI"/>
            <family val="2"/>
          </rPr>
          <t>Cilindro (Diametro x altura / espaçamento)</t>
        </r>
      </text>
    </comment>
    <comment ref="R728" authorId="1" shapeId="0" xr:uid="{65D0632A-EFBC-44C1-BACD-3CA6A064B7B3}">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737" authorId="2" shapeId="0" xr:uid="{436143D9-050A-4B90-BF71-4F53396C49AA}">
      <text>
        <r>
          <rPr>
            <b/>
            <sz val="8"/>
            <color indexed="81"/>
            <rFont val="Tahoma"/>
            <family val="2"/>
          </rPr>
          <t>ÂNCORA METÁLICA (50%)</t>
        </r>
      </text>
    </comment>
    <comment ref="B738" authorId="2" shapeId="0" xr:uid="{F48A89C1-20D2-4EE4-BD5A-D3E1CBCAEED5}">
      <text>
        <r>
          <rPr>
            <b/>
            <sz val="8"/>
            <color indexed="81"/>
            <rFont val="Tahoma"/>
            <family val="2"/>
          </rPr>
          <t>ÂNCORA CERÂMICA (100%)</t>
        </r>
      </text>
    </comment>
    <comment ref="B745" authorId="0" shapeId="0" xr:uid="{5AC73CE9-6586-4B88-B506-B3E60C2852D6}">
      <text>
        <r>
          <rPr>
            <b/>
            <sz val="9"/>
            <color indexed="81"/>
            <rFont val="Segoe UI"/>
            <family val="2"/>
          </rPr>
          <t>ÁREA / ESPESSURA</t>
        </r>
      </text>
    </comment>
    <comment ref="B746" authorId="0" shapeId="0" xr:uid="{BF85225E-7117-4BD1-9C4C-EA2B98061742}">
      <text>
        <r>
          <rPr>
            <b/>
            <sz val="9"/>
            <color indexed="81"/>
            <rFont val="Segoe UI"/>
            <family val="2"/>
          </rPr>
          <t>VOLUME</t>
        </r>
      </text>
    </comment>
    <comment ref="V760" authorId="3" shapeId="0" xr:uid="{A9C2967D-9096-4781-975F-711D481E78C1}">
      <text>
        <r>
          <rPr>
            <sz val="9"/>
            <color indexed="81"/>
            <rFont val="Tahoma"/>
            <family val="2"/>
          </rPr>
          <t>O VALOR DESSA CÉLULA DEPENDERÁ DO VALOR ENCONTRADO EM NX, EDITAR CONFORME</t>
        </r>
      </text>
    </comment>
    <comment ref="V764" authorId="3" shapeId="0" xr:uid="{E6A272DB-5B10-4D94-B908-8AB27F58F339}">
      <text>
        <r>
          <rPr>
            <sz val="9"/>
            <color indexed="81"/>
            <rFont val="Tahoma"/>
            <family val="2"/>
          </rPr>
          <t>O VALOR DESSA CÉLULA DEPENDERÁ DO VALOR ENCONTRADO EM NX, EDITAR CONFORME</t>
        </r>
      </text>
    </comment>
    <comment ref="V785" authorId="3" shapeId="0" xr:uid="{0EFE2C5D-2AD3-4CD0-918C-AC21BA786810}">
      <text>
        <r>
          <rPr>
            <sz val="9"/>
            <color indexed="81"/>
            <rFont val="Tahoma"/>
            <family val="2"/>
          </rPr>
          <t>O VALOR DESSA CÉLULA DEPENDERÁ DO VALOR ENCONTRADO EM NX, EDITAR CONFORME</t>
        </r>
      </text>
    </comment>
    <comment ref="V789" authorId="3" shapeId="0" xr:uid="{5DBBF4DB-3481-494A-BB99-B19128410C67}">
      <text>
        <r>
          <rPr>
            <sz val="9"/>
            <color indexed="81"/>
            <rFont val="Tahoma"/>
            <family val="2"/>
          </rPr>
          <t>O VALOR DESSA CÉLULA DEPENDERÁ DO VALOR ENCONTRADO EM NX, EDITAR CONFORME</t>
        </r>
      </text>
    </comment>
    <comment ref="R859" authorId="1" shapeId="0" xr:uid="{EFD201F9-1487-4CCB-B611-222C22030CBD}">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859" authorId="3" shapeId="0" xr:uid="{51DA9719-CE2B-4FE3-B9CF-6A9785AC1AF6}">
      <text>
        <r>
          <rPr>
            <sz val="9"/>
            <color indexed="81"/>
            <rFont val="Tahoma"/>
            <family val="2"/>
          </rPr>
          <t>O VALOR DESSA CÉLULA DEPENDERÁ DO VALOR ENCONTRADO EM NX, EDITAR CONFORME</t>
        </r>
      </text>
    </comment>
    <comment ref="V863" authorId="3" shapeId="0" xr:uid="{B0437D01-E52E-4AF4-994D-90E54B38A006}">
      <text>
        <r>
          <rPr>
            <sz val="9"/>
            <color indexed="81"/>
            <rFont val="Tahoma"/>
            <family val="2"/>
          </rPr>
          <t>O VALOR DESSA CÉLULA DEPENDERÁ DO VALOR ENCONTRADO EM NX, EDITAR CONFORME</t>
        </r>
      </text>
    </comment>
    <comment ref="V1129" authorId="3" shapeId="0" xr:uid="{17AB4DAB-C2BA-4F4D-8A76-02C86EA1F931}">
      <text>
        <r>
          <rPr>
            <sz val="9"/>
            <color indexed="81"/>
            <rFont val="Tahoma"/>
            <family val="2"/>
          </rPr>
          <t>O VALOR DESSA CÉLULA DEPENDERÁ DO VALOR ENCONTRADO EM NX, EDITAR CONFORME</t>
        </r>
      </text>
    </comment>
    <comment ref="V1154" authorId="3" shapeId="0" xr:uid="{11D7F8A8-E46A-4BC8-BBF9-51E161FE959F}">
      <text>
        <r>
          <rPr>
            <sz val="9"/>
            <color indexed="81"/>
            <rFont val="Tahoma"/>
            <family val="2"/>
          </rPr>
          <t>O VALOR DESSA CÉLULA DEPENDERÁ DO VALOR ENCONTRADO EM NX, EDITAR CONFORME</t>
        </r>
      </text>
    </comment>
    <comment ref="B1231" authorId="0" shapeId="0" xr:uid="{030ACB99-00F4-4DF5-B216-B8B24CC0686F}">
      <text>
        <r>
          <rPr>
            <b/>
            <sz val="9"/>
            <color indexed="81"/>
            <rFont val="Segoe UI"/>
            <family val="2"/>
          </rPr>
          <t>ÁREA / ESPESSURA</t>
        </r>
      </text>
    </comment>
    <comment ref="B1232" authorId="0" shapeId="0" xr:uid="{107FD2E7-4564-48B1-8C95-E8804887FAF4}">
      <text>
        <r>
          <rPr>
            <b/>
            <sz val="9"/>
            <color indexed="81"/>
            <rFont val="Segoe UI"/>
            <family val="2"/>
          </rPr>
          <t>VOLUME</t>
        </r>
      </text>
    </comment>
    <comment ref="B1247" authorId="2" shapeId="0" xr:uid="{EE4C4C3E-3F94-4810-8534-BDB292BF534F}">
      <text>
        <r>
          <rPr>
            <b/>
            <sz val="8"/>
            <color indexed="81"/>
            <rFont val="Tahoma"/>
            <family val="2"/>
          </rPr>
          <t>VOLUME 3D</t>
        </r>
      </text>
    </comment>
    <comment ref="V1251" authorId="3" shapeId="0" xr:uid="{F4FAB71E-95CB-4E94-BA39-80FB6D1EA417}">
      <text>
        <r>
          <rPr>
            <sz val="9"/>
            <color indexed="81"/>
            <rFont val="Tahoma"/>
            <family val="2"/>
          </rPr>
          <t>O VALOR DESSA CÉLULA DEPENDERÁ DO VALOR ENCONTRADO EM NX, EDITAR CONFORME</t>
        </r>
      </text>
    </comment>
    <comment ref="V1255" authorId="3" shapeId="0" xr:uid="{1D5AF511-A76C-404D-A029-FC22C8958448}">
      <text>
        <r>
          <rPr>
            <sz val="9"/>
            <color indexed="81"/>
            <rFont val="Tahoma"/>
            <family val="2"/>
          </rPr>
          <t>O VALOR DESSA CÉLULA DEPENDERÁ DO VALOR ENCONTRADO EM NX, EDITAR CONFORME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Gabriel Cruz</author>
  </authors>
  <commentList>
    <comment ref="C8" authorId="0" shapeId="0" xr:uid="{02301ACA-843C-444B-91AF-B0E453190029}">
      <text>
        <r>
          <rPr>
            <b/>
            <sz val="9"/>
            <color indexed="81"/>
            <rFont val="Segoe UI"/>
            <family val="2"/>
          </rPr>
          <t>Gabriel Cruz:</t>
        </r>
        <r>
          <rPr>
            <sz val="9"/>
            <color indexed="81"/>
            <rFont val="Segoe UI"/>
            <family val="2"/>
          </rPr>
          <t xml:space="preserve">
Caso o programa seja interrompido antes do final do preenchimento, você pode selecionar o item que deve ser preenchido em seguida e carregar o código novamente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2B1A67-83FE-4B72-B89E-0DE1D9B6F52E}" keepAlive="1" name="Consulta - AUTOMATIC_SAP" description="Conexão com a consulta 'AUTOMATIC_SAP' na pasta de trabalho." type="5" refreshedVersion="0" background="1">
    <dbPr connection="Provider=Microsoft.Mashup.OleDb.1;Data Source=$Workbook$;Location=AUTOMATIC_SAP;Extended Properties=&quot;&quot;" command="SELECT * FROM [AUTOMATIC_SAP]"/>
  </connection>
  <connection id="2" xr16:uid="{0CE0A239-66C0-426A-9771-625E6D04EABC}" keepAlive="1" name="Consulta - BRANDS" description="Conexão com a consulta 'BRANDS' na pasta de trabalho." type="5" refreshedVersion="8" background="1" saveData="1">
    <dbPr connection="Provider=Microsoft.Mashup.OleDb.1;Data Source=$Workbook$;Location=BRANDS;Extended Properties=&quot;&quot;" command="SELECT * FROM [BRANDS]"/>
  </connection>
  <connection id="3" xr16:uid="{D579E216-675F-470A-94D8-4CE3AC2A662B}" keepAlive="1" name="Consulta - END_CODE" description="Conexão com a consulta 'END_CODE' na pasta de trabalho." type="5" refreshedVersion="0" background="1">
    <dbPr connection="Provider=Microsoft.Mashup.OleDb.1;Data Source=$Workbook$;Location=END_CODE;Extended Properties=&quot;&quot;" command="SELECT * FROM [END_CODE]"/>
  </connection>
  <connection id="4" xr16:uid="{0C7CB4B1-011A-4AAC-BD38-D92BA6508D5E}" keepAlive="1" name="Consulta - FINAL_CODE" description="Conexão com a consulta 'FINAL_CODE' na pasta de trabalho." type="5" refreshedVersion="8" background="1" saveData="1">
    <dbPr connection="Provider=Microsoft.Mashup.OleDb.1;Data Source=$Workbook$;Location=FINAL_CODE;Extended Properties=&quot;&quot;" command="SELECT * FROM [FINAL_CODE]"/>
  </connection>
  <connection id="5" xr16:uid="{2AD7ABE1-1445-4722-B14E-65A78C7D701D}" keepAlive="1" name="Consulta - ITEM_REFERENCE" description="Conexão com a consulta 'ITEM_REFERENCE' na pasta de trabalho." type="5" refreshedVersion="8" background="1" saveData="1">
    <dbPr connection="Provider=Microsoft.Mashup.OleDb.1;Data Source=$Workbook$;Location=ITEM_REFERENCE;Extended Properties=&quot;&quot;" command="SELECT * FROM [ITEM_REFERENCE]"/>
  </connection>
  <connection id="6" xr16:uid="{D4E335AB-2ACA-40D4-AC49-8F5383BFC25E}" keepAlive="1" name="Consulta - MANUAL_SAP" description="Conexão com a consulta 'MANUAL_SAP' na pasta de trabalho." type="5" refreshedVersion="8" background="1" saveData="1">
    <dbPr connection="Provider=Microsoft.Mashup.OleDb.1;Data Source=$Workbook$;Location=MANUAL_SAP;Extended Properties=&quot;&quot;" command="SELECT * FROM [MANUAL_SAP]"/>
  </connection>
  <connection id="7" xr16:uid="{6B3E3E49-B569-4E07-AF95-0C82E7FE52FE}" keepAlive="1" name="Consulta - SHAPES" description="Conexão com a consulta 'SHAPES' na pasta de trabalho." type="5" refreshedVersion="8" background="1" saveData="1">
    <dbPr connection="Provider=Microsoft.Mashup.OleDb.1;Data Source=$Workbook$;Location=SHAPES;Extended Properties=&quot;&quot;" command="SELECT * FROM [SHAP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<sst xmlns="http://schemas.openxmlformats.org/spreadsheetml/2006/main" count="7926" uniqueCount="2352">
  <si>
    <t>Especificações</t>
  </si>
  <si>
    <t>pç</t>
  </si>
  <si>
    <t>kg</t>
  </si>
  <si>
    <t>Formatos</t>
  </si>
  <si>
    <t>Comprimento</t>
  </si>
  <si>
    <t>Sigla</t>
  </si>
  <si>
    <t>Largura</t>
  </si>
  <si>
    <t>A1</t>
  </si>
  <si>
    <t>Medida &gt;</t>
  </si>
  <si>
    <t>Medida &lt;</t>
  </si>
  <si>
    <t>Volume</t>
  </si>
  <si>
    <t>V. Paralelo</t>
  </si>
  <si>
    <t>V. Arco/Cunha</t>
  </si>
  <si>
    <t>V. Radial</t>
  </si>
  <si>
    <t>m²</t>
  </si>
  <si>
    <t>A2</t>
  </si>
  <si>
    <t>-</t>
  </si>
  <si>
    <t>Comp.</t>
  </si>
  <si>
    <t>B825</t>
  </si>
  <si>
    <t>B725</t>
  </si>
  <si>
    <t>SKAMOL SUPER 1100 E</t>
  </si>
  <si>
    <t>ASTM A-36</t>
  </si>
  <si>
    <t>A</t>
  </si>
  <si>
    <t>Rev.</t>
  </si>
  <si>
    <t>Descrição</t>
  </si>
  <si>
    <t>Un.</t>
  </si>
  <si>
    <t>Sub-total</t>
  </si>
  <si>
    <t>Total</t>
  </si>
  <si>
    <t>CÁLCULO DE QUANTIDADE RECOMENDADA</t>
  </si>
  <si>
    <t>dm³</t>
  </si>
  <si>
    <t>Tipo de Unidade</t>
  </si>
  <si>
    <t>kilogramas</t>
  </si>
  <si>
    <t>peças</t>
  </si>
  <si>
    <t>decímetros cúbicos</t>
  </si>
  <si>
    <t>metro linear</t>
  </si>
  <si>
    <t>m</t>
  </si>
  <si>
    <t>litros</t>
  </si>
  <si>
    <t>Class.</t>
  </si>
  <si>
    <t>Qtde</t>
  </si>
  <si>
    <t>Coefic. (%)</t>
  </si>
  <si>
    <t>Área (mm²)</t>
  </si>
  <si>
    <t>Volume (mm³)</t>
  </si>
  <si>
    <t>Esp. Tij.</t>
  </si>
  <si>
    <t>Comp. Tij.</t>
  </si>
  <si>
    <t>Larg. Tij.</t>
  </si>
  <si>
    <t>Esp. Revest.</t>
  </si>
  <si>
    <t>Junta</t>
  </si>
  <si>
    <t>Tipo Fator</t>
  </si>
  <si>
    <t>B</t>
  </si>
  <si>
    <t>C</t>
  </si>
  <si>
    <t>D</t>
  </si>
  <si>
    <t>Ø Externo</t>
  </si>
  <si>
    <t>Ø Interno</t>
  </si>
  <si>
    <t>Ângulo</t>
  </si>
  <si>
    <t>NX</t>
  </si>
  <si>
    <t>NY</t>
  </si>
  <si>
    <t>kg/dm³</t>
  </si>
  <si>
    <t>NC</t>
  </si>
  <si>
    <t>AÇO GALVANIZADO</t>
  </si>
  <si>
    <t>Calc. Radial</t>
  </si>
  <si>
    <t>Valor Comp.</t>
  </si>
  <si>
    <t>ø FECHAMENTO</t>
  </si>
  <si>
    <t>Fiadas</t>
  </si>
  <si>
    <t>CÁLCULO A.F.</t>
  </si>
  <si>
    <t>JUNTA ø FECHAM.</t>
  </si>
  <si>
    <t>Espessura</t>
  </si>
  <si>
    <t>Separação de Região</t>
  </si>
  <si>
    <t>Diâm/Comp.</t>
  </si>
  <si>
    <t>Espaç. Rad.</t>
  </si>
  <si>
    <t>Espaç. Long.</t>
  </si>
  <si>
    <t>S(mm²)/Alt.(pç)</t>
  </si>
  <si>
    <t>NOME DAS REGIÕES</t>
  </si>
  <si>
    <t>SILPLATE 1308</t>
  </si>
  <si>
    <t>CAL 815-R (P-77)</t>
  </si>
  <si>
    <t>CAL 1040 (P-99)</t>
  </si>
  <si>
    <t>LT</t>
  </si>
  <si>
    <t>TINTA ANTI-OXIDANTE</t>
  </si>
  <si>
    <t>ISO</t>
  </si>
  <si>
    <t>VDZ</t>
  </si>
  <si>
    <t>B218</t>
  </si>
  <si>
    <t>B318</t>
  </si>
  <si>
    <t>B418</t>
  </si>
  <si>
    <t>B618</t>
  </si>
  <si>
    <t>B220</t>
  </si>
  <si>
    <t>B320</t>
  </si>
  <si>
    <t>B420</t>
  </si>
  <si>
    <t>B620</t>
  </si>
  <si>
    <t>B222</t>
  </si>
  <si>
    <t>B322</t>
  </si>
  <si>
    <t>B422</t>
  </si>
  <si>
    <t>B622</t>
  </si>
  <si>
    <t>B325</t>
  </si>
  <si>
    <t>B425</t>
  </si>
  <si>
    <t>B525</t>
  </si>
  <si>
    <t>B625</t>
  </si>
  <si>
    <t>Cálc.</t>
  </si>
  <si>
    <t>Item</t>
  </si>
  <si>
    <t>Marca</t>
  </si>
  <si>
    <t>Unid.</t>
  </si>
  <si>
    <t>Obs.</t>
  </si>
  <si>
    <t>Peso</t>
  </si>
  <si>
    <t>Dens.</t>
  </si>
  <si>
    <t>Emb.</t>
  </si>
  <si>
    <t>Vol.</t>
  </si>
  <si>
    <t>Tipo</t>
  </si>
  <si>
    <t>ANOX-P</t>
  </si>
  <si>
    <t>Diâmetro</t>
  </si>
  <si>
    <t>Larg./Alt.</t>
  </si>
  <si>
    <t/>
  </si>
  <si>
    <t>Tipo Conc.</t>
  </si>
  <si>
    <t>Total Unitário</t>
  </si>
  <si>
    <t>NÚMERO</t>
  </si>
  <si>
    <t>DE</t>
  </si>
  <si>
    <t>Esp. Rev.</t>
  </si>
  <si>
    <t>SKAMOL SUPER ISOL 1000</t>
  </si>
  <si>
    <t> 3150</t>
  </si>
  <si>
    <t xml:space="preserve"> 1118 </t>
  </si>
  <si>
    <t>SAP 10017379</t>
  </si>
  <si>
    <t>SAP 10017383</t>
  </si>
  <si>
    <t>SÉRIE - LADLE KEYS</t>
  </si>
  <si>
    <t>PARALELOS</t>
  </si>
  <si>
    <t>PLACAS</t>
  </si>
  <si>
    <t>20/20</t>
  </si>
  <si>
    <t>20/40</t>
  </si>
  <si>
    <t>SÉRIE MK - DALIAN E CHIZHOU</t>
  </si>
  <si>
    <t>25/0</t>
  </si>
  <si>
    <t>25/8</t>
  </si>
  <si>
    <t>25/16</t>
  </si>
  <si>
    <t>25/20</t>
  </si>
  <si>
    <t>25/30</t>
  </si>
  <si>
    <t>25/40</t>
  </si>
  <si>
    <t>25/60</t>
  </si>
  <si>
    <t>25/80</t>
  </si>
  <si>
    <t>25/120</t>
  </si>
  <si>
    <t>30/0</t>
  </si>
  <si>
    <t>30/8</t>
  </si>
  <si>
    <t>30/20</t>
  </si>
  <si>
    <t>30/40</t>
  </si>
  <si>
    <t>30/50</t>
  </si>
  <si>
    <t>30/70</t>
  </si>
  <si>
    <t>30/80</t>
  </si>
  <si>
    <t>35/0</t>
  </si>
  <si>
    <t>35/8</t>
  </si>
  <si>
    <t>35/10</t>
  </si>
  <si>
    <t>35/16</t>
  </si>
  <si>
    <t>35/20</t>
  </si>
  <si>
    <t>35/40</t>
  </si>
  <si>
    <t>35/60</t>
  </si>
  <si>
    <t>35/80</t>
  </si>
  <si>
    <t>40/0</t>
  </si>
  <si>
    <t>40/8</t>
  </si>
  <si>
    <t>40/20</t>
  </si>
  <si>
    <t>40/36</t>
  </si>
  <si>
    <t>40/40</t>
  </si>
  <si>
    <t>40/60</t>
  </si>
  <si>
    <t>40/80</t>
  </si>
  <si>
    <t>40/90</t>
  </si>
  <si>
    <t>40/100</t>
  </si>
  <si>
    <t>45/0</t>
  </si>
  <si>
    <t>45/8</t>
  </si>
  <si>
    <t>45/10</t>
  </si>
  <si>
    <t>45/20</t>
  </si>
  <si>
    <t>45/30</t>
  </si>
  <si>
    <t>45/40</t>
  </si>
  <si>
    <t>45/50</t>
  </si>
  <si>
    <t>45/60</t>
  </si>
  <si>
    <t>45/70</t>
  </si>
  <si>
    <t>45/80</t>
  </si>
  <si>
    <t>45/90</t>
  </si>
  <si>
    <t>50/0</t>
  </si>
  <si>
    <t>50/8</t>
  </si>
  <si>
    <t>50/20</t>
  </si>
  <si>
    <t>50/36</t>
  </si>
  <si>
    <t>50/40</t>
  </si>
  <si>
    <t>50/50</t>
  </si>
  <si>
    <t>50/60</t>
  </si>
  <si>
    <t>50/80</t>
  </si>
  <si>
    <t>50/90</t>
  </si>
  <si>
    <t>50/100</t>
  </si>
  <si>
    <t>55/0</t>
  </si>
  <si>
    <t>55/8</t>
  </si>
  <si>
    <t>55/20</t>
  </si>
  <si>
    <t>55/36</t>
  </si>
  <si>
    <t>55/50</t>
  </si>
  <si>
    <t>55/60</t>
  </si>
  <si>
    <t>55/70</t>
  </si>
  <si>
    <t>55/80</t>
  </si>
  <si>
    <t>55/90</t>
  </si>
  <si>
    <t>55/100</t>
  </si>
  <si>
    <t>55/110</t>
  </si>
  <si>
    <t>55/120</t>
  </si>
  <si>
    <t>60/0</t>
  </si>
  <si>
    <t>60/8</t>
  </si>
  <si>
    <t>60/20</t>
  </si>
  <si>
    <t>60/30</t>
  </si>
  <si>
    <t>60/36</t>
  </si>
  <si>
    <t>60/40</t>
  </si>
  <si>
    <t>60/60</t>
  </si>
  <si>
    <t>60/80</t>
  </si>
  <si>
    <t>60/90</t>
  </si>
  <si>
    <t>60/120</t>
  </si>
  <si>
    <t>65/0</t>
  </si>
  <si>
    <t>65/8</t>
  </si>
  <si>
    <t>65/20</t>
  </si>
  <si>
    <t>65/36</t>
  </si>
  <si>
    <t>65/60</t>
  </si>
  <si>
    <t>65/80</t>
  </si>
  <si>
    <t>65/90</t>
  </si>
  <si>
    <t>65/120</t>
  </si>
  <si>
    <t>70/0</t>
  </si>
  <si>
    <t>70/8</t>
  </si>
  <si>
    <t>70/20</t>
  </si>
  <si>
    <t>70/36</t>
  </si>
  <si>
    <t>70/60</t>
  </si>
  <si>
    <t>70/80</t>
  </si>
  <si>
    <t>70/120</t>
  </si>
  <si>
    <t>75/0</t>
  </si>
  <si>
    <t>75/8</t>
  </si>
  <si>
    <t>75/20</t>
  </si>
  <si>
    <t>75/36</t>
  </si>
  <si>
    <t>75/60</t>
  </si>
  <si>
    <t>75/80</t>
  </si>
  <si>
    <t>75/120</t>
  </si>
  <si>
    <t>80/0</t>
  </si>
  <si>
    <t>80/8</t>
  </si>
  <si>
    <t>80/20</t>
  </si>
  <si>
    <t>80/36</t>
  </si>
  <si>
    <t>80/60</t>
  </si>
  <si>
    <t>80/80</t>
  </si>
  <si>
    <t>80/120</t>
  </si>
  <si>
    <t>85/0</t>
  </si>
  <si>
    <t>85/8</t>
  </si>
  <si>
    <t>85/20</t>
  </si>
  <si>
    <t>85/36</t>
  </si>
  <si>
    <t>85/60</t>
  </si>
  <si>
    <t>85/80</t>
  </si>
  <si>
    <t>85/120</t>
  </si>
  <si>
    <t>90/0</t>
  </si>
  <si>
    <t>90/8</t>
  </si>
  <si>
    <t>90/20</t>
  </si>
  <si>
    <t>90/36</t>
  </si>
  <si>
    <t>90/60</t>
  </si>
  <si>
    <t>90/80</t>
  </si>
  <si>
    <t>90/120</t>
  </si>
  <si>
    <t>95/20</t>
  </si>
  <si>
    <t>95/36</t>
  </si>
  <si>
    <t>95/40</t>
  </si>
  <si>
    <t>95/60</t>
  </si>
  <si>
    <t>95/80</t>
  </si>
  <si>
    <t>95/120</t>
  </si>
  <si>
    <t>100/0</t>
  </si>
  <si>
    <t>100/20</t>
  </si>
  <si>
    <t>100/36</t>
  </si>
  <si>
    <t>100/60</t>
  </si>
  <si>
    <t>100/80</t>
  </si>
  <si>
    <t>100/120</t>
  </si>
  <si>
    <t>105/36</t>
  </si>
  <si>
    <t>105/80</t>
  </si>
  <si>
    <t>110/8</t>
  </si>
  <si>
    <t>110/20</t>
  </si>
  <si>
    <t>110/36</t>
  </si>
  <si>
    <t>110/80</t>
  </si>
  <si>
    <t>115/36</t>
  </si>
  <si>
    <t>115/80</t>
  </si>
  <si>
    <t>120/36</t>
  </si>
  <si>
    <t>120/80</t>
  </si>
  <si>
    <t>23/30-100K</t>
  </si>
  <si>
    <t>23/30-112.5K</t>
  </si>
  <si>
    <t>25/8-75K</t>
  </si>
  <si>
    <t>25/30-100K</t>
  </si>
  <si>
    <t>25/30-112.5K</t>
  </si>
  <si>
    <t>35/30-112.5K</t>
  </si>
  <si>
    <t>50/8-75K</t>
  </si>
  <si>
    <t>55/60-120K</t>
  </si>
  <si>
    <t>60/8-75K</t>
  </si>
  <si>
    <t>60/60-100K</t>
  </si>
  <si>
    <t>65/60-120K</t>
  </si>
  <si>
    <t>127.5</t>
  </si>
  <si>
    <t>97.5</t>
  </si>
  <si>
    <t>70/60-112K</t>
  </si>
  <si>
    <t>75/24-100K</t>
  </si>
  <si>
    <t>75/27-112.5K</t>
  </si>
  <si>
    <t>75/60-120K</t>
  </si>
  <si>
    <t>80/14-100K</t>
  </si>
  <si>
    <t>80/15-112.5K</t>
  </si>
  <si>
    <t>80/24-100K</t>
  </si>
  <si>
    <t>80/27-112.5K</t>
  </si>
  <si>
    <t>80/40-100K</t>
  </si>
  <si>
    <t>90/60-106K</t>
  </si>
  <si>
    <t>40/40-98</t>
  </si>
  <si>
    <t>95/0-150</t>
  </si>
  <si>
    <t>95/10-150</t>
  </si>
  <si>
    <t>95/50-150</t>
  </si>
  <si>
    <t>105/20-150</t>
  </si>
  <si>
    <t>105/60-150</t>
  </si>
  <si>
    <t>115/20-150</t>
  </si>
  <si>
    <t>115/60-150</t>
  </si>
  <si>
    <t>SÉRIE-ISO (RADIAL)</t>
  </si>
  <si>
    <t>Sub-Total</t>
  </si>
  <si>
    <t>FIM</t>
  </si>
  <si>
    <t>CC 10</t>
  </si>
  <si>
    <t>CC 11</t>
  </si>
  <si>
    <t>CC 12</t>
  </si>
  <si>
    <t>CC 13</t>
  </si>
  <si>
    <t>CC 566</t>
  </si>
  <si>
    <t>CC 675</t>
  </si>
  <si>
    <t>CC 316</t>
  </si>
  <si>
    <t>CC 318</t>
  </si>
  <si>
    <t>CC 98</t>
  </si>
  <si>
    <t>CC 14</t>
  </si>
  <si>
    <t>CC 99</t>
  </si>
  <si>
    <t>CC 320</t>
  </si>
  <si>
    <t>CC 15</t>
  </si>
  <si>
    <t>CC 407</t>
  </si>
  <si>
    <t>CC 16</t>
  </si>
  <si>
    <t>CC 677</t>
  </si>
  <si>
    <t>CC 136</t>
  </si>
  <si>
    <t>CC 456</t>
  </si>
  <si>
    <t>C 152359</t>
  </si>
  <si>
    <t>C 152367</t>
  </si>
  <si>
    <t>C 152375</t>
  </si>
  <si>
    <t>C 152383</t>
  </si>
  <si>
    <t>C 103614</t>
  </si>
  <si>
    <t>C 133058</t>
  </si>
  <si>
    <t>C 243427</t>
  </si>
  <si>
    <t>C 243486</t>
  </si>
  <si>
    <t>C 181243</t>
  </si>
  <si>
    <t>C 152391</t>
  </si>
  <si>
    <t>C 181251</t>
  </si>
  <si>
    <t>C 243508</t>
  </si>
  <si>
    <t>C 152405</t>
  </si>
  <si>
    <t>C 028191</t>
  </si>
  <si>
    <t>C 152413</t>
  </si>
  <si>
    <t>C 133074</t>
  </si>
  <si>
    <t>C 185419</t>
  </si>
  <si>
    <t>C 059451</t>
  </si>
  <si>
    <t>C 152456</t>
  </si>
  <si>
    <t>C 152464</t>
  </si>
  <si>
    <t>C 152472</t>
  </si>
  <si>
    <t>C 152421</t>
  </si>
  <si>
    <t>C 132936</t>
  </si>
  <si>
    <t>C 133041</t>
  </si>
  <si>
    <t>C 243435</t>
  </si>
  <si>
    <t>C 243494</t>
  </si>
  <si>
    <t>C 181219</t>
  </si>
  <si>
    <t>C 152480</t>
  </si>
  <si>
    <t>C 181227</t>
  </si>
  <si>
    <t>C 243516</t>
  </si>
  <si>
    <t>C 152430</t>
  </si>
  <si>
    <t>C 042036</t>
  </si>
  <si>
    <t>C 152448</t>
  </si>
  <si>
    <t>C 133066</t>
  </si>
  <si>
    <t>C 185389</t>
  </si>
  <si>
    <t>CC 17</t>
  </si>
  <si>
    <t>CC 18</t>
  </si>
  <si>
    <t>CC 19</t>
  </si>
  <si>
    <t>CC 20</t>
  </si>
  <si>
    <t>CC 673</t>
  </si>
  <si>
    <t>CC 674</t>
  </si>
  <si>
    <t>CC 317</t>
  </si>
  <si>
    <t>CC 319</t>
  </si>
  <si>
    <t>CC 95</t>
  </si>
  <si>
    <t>CC 21</t>
  </si>
  <si>
    <t>CC 96</t>
  </si>
  <si>
    <t>CC 321</t>
  </si>
  <si>
    <t>CC 22</t>
  </si>
  <si>
    <t>CC 436</t>
  </si>
  <si>
    <t>CC 23</t>
  </si>
  <si>
    <t>CC 676</t>
  </si>
  <si>
    <t>CC 97</t>
  </si>
  <si>
    <t>C 054802</t>
  </si>
  <si>
    <t>C 235181</t>
  </si>
  <si>
    <t>C 138933</t>
  </si>
  <si>
    <t>C 054296</t>
  </si>
  <si>
    <t>C 026930</t>
  </si>
  <si>
    <t>CC 101</t>
  </si>
  <si>
    <t>CC 289</t>
  </si>
  <si>
    <t>CC 697</t>
  </si>
  <si>
    <t>CC 450</t>
  </si>
  <si>
    <t>CC 398</t>
  </si>
  <si>
    <t>LUVAS EBT</t>
  </si>
  <si>
    <t>2H6</t>
  </si>
  <si>
    <t>2H10</t>
  </si>
  <si>
    <t>2H16</t>
  </si>
  <si>
    <t>2H24</t>
  </si>
  <si>
    <t>3H6</t>
  </si>
  <si>
    <t>2HL10</t>
  </si>
  <si>
    <t>2HL16</t>
  </si>
  <si>
    <t>2HL24</t>
  </si>
  <si>
    <t>SILPLATE 1112</t>
  </si>
  <si>
    <t>SILPLATE 1408</t>
  </si>
  <si>
    <t>SILPLATE 1508</t>
  </si>
  <si>
    <t>FIADA 1</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</si>
  <si>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</si>
  <si>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</si>
  <si>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</si>
  <si>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</si>
  <si>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</si>
  <si>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</si>
  <si>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</si>
  <si>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</si>
  <si>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</si>
  <si>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</si>
  <si>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</si>
  <si>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</si>
  <si>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</si>
  <si>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</si>
  <si>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</si>
  <si>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</si>
  <si>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</si>
  <si>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</si>
  <si>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</si>
  <si>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</si>
  <si>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</si>
  <si>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</si>
  <si>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</si>
  <si>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</si>
  <si>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</si>
  <si>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</si>
  <si>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</si>
  <si>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</si>
  <si>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VOLUME DAS MARCAS POR EQUIP. (dm³)</t>
  </si>
  <si>
    <t>VIBRADO</t>
  </si>
  <si>
    <t>VERTIDO</t>
  </si>
  <si>
    <t>BOMBEADO</t>
  </si>
  <si>
    <t>SISTEMA DE UNIDADES UTILIZADO:</t>
  </si>
  <si>
    <t>SI</t>
  </si>
  <si>
    <t xml:space="preserve"> + 3H6</t>
  </si>
  <si>
    <t>1HL6</t>
  </si>
  <si>
    <t>1Q10-76</t>
  </si>
  <si>
    <t>1Q14-76</t>
  </si>
  <si>
    <t>1Q28-76</t>
  </si>
  <si>
    <t>2Q10-76</t>
  </si>
  <si>
    <t>2Q20-76</t>
  </si>
  <si>
    <t>2Q28-76</t>
  </si>
  <si>
    <t>2Q50-76</t>
  </si>
  <si>
    <t>2Q54</t>
  </si>
  <si>
    <t>2QB-76</t>
  </si>
  <si>
    <t>2QC-76</t>
  </si>
  <si>
    <t>2QD-76</t>
  </si>
  <si>
    <t>Q31-76</t>
  </si>
  <si>
    <t>Q151-76</t>
  </si>
  <si>
    <t>Q081-76</t>
  </si>
  <si>
    <t>Q041</t>
  </si>
  <si>
    <t>2Q14-76</t>
  </si>
  <si>
    <t>D1-119</t>
  </si>
  <si>
    <t>D1-130</t>
  </si>
  <si>
    <t>2G10</t>
  </si>
  <si>
    <t>2GG4</t>
  </si>
  <si>
    <t>2GG10</t>
  </si>
  <si>
    <t>2GG16</t>
  </si>
  <si>
    <t>G51</t>
  </si>
  <si>
    <t>G31</t>
  </si>
  <si>
    <t>G21</t>
  </si>
  <si>
    <t>G11</t>
  </si>
  <si>
    <t>G081</t>
  </si>
  <si>
    <t>GB51</t>
  </si>
  <si>
    <t>GB31</t>
  </si>
  <si>
    <t>GB21</t>
  </si>
  <si>
    <t>GB11</t>
  </si>
  <si>
    <t>GB081</t>
  </si>
  <si>
    <t>GB51B</t>
  </si>
  <si>
    <t>GB31B</t>
  </si>
  <si>
    <t>GB21B</t>
  </si>
  <si>
    <t>GB081B</t>
  </si>
  <si>
    <t>G12A</t>
  </si>
  <si>
    <t>G52</t>
  </si>
  <si>
    <t>G32</t>
  </si>
  <si>
    <t>G22</t>
  </si>
  <si>
    <t>G12</t>
  </si>
  <si>
    <t>G082</t>
  </si>
  <si>
    <t>GB52</t>
  </si>
  <si>
    <t>GB32</t>
  </si>
  <si>
    <t>GB22</t>
  </si>
  <si>
    <t>GB12</t>
  </si>
  <si>
    <t>GB082</t>
  </si>
  <si>
    <t>GB52B</t>
  </si>
  <si>
    <t>GB32B</t>
  </si>
  <si>
    <t>GB22B</t>
  </si>
  <si>
    <t>GB082B</t>
  </si>
  <si>
    <t>TBS 6.5 E</t>
  </si>
  <si>
    <t>G33</t>
  </si>
  <si>
    <t>G23</t>
  </si>
  <si>
    <t>GB33</t>
  </si>
  <si>
    <t>GB23</t>
  </si>
  <si>
    <t xml:space="preserve"> 1-32</t>
  </si>
  <si>
    <t xml:space="preserve"> 1-40</t>
  </si>
  <si>
    <t xml:space="preserve"> 1-50</t>
  </si>
  <si>
    <t xml:space="preserve"> 1-76</t>
  </si>
  <si>
    <t>1B-76</t>
  </si>
  <si>
    <t>1D-76</t>
  </si>
  <si>
    <t xml:space="preserve"> 2-76</t>
  </si>
  <si>
    <t>2B-76</t>
  </si>
  <si>
    <t xml:space="preserve"> 3-76</t>
  </si>
  <si>
    <t>3B-76</t>
  </si>
  <si>
    <t>3D-76</t>
  </si>
  <si>
    <t>1L-76</t>
  </si>
  <si>
    <t>2L-76</t>
  </si>
  <si>
    <t>2LB-76</t>
  </si>
  <si>
    <t>3LB-76</t>
  </si>
  <si>
    <t>Description</t>
  </si>
  <si>
    <t>Date</t>
  </si>
  <si>
    <t>Design</t>
  </si>
  <si>
    <t>Brand</t>
  </si>
  <si>
    <t>Specification</t>
  </si>
  <si>
    <t>Quantity</t>
  </si>
  <si>
    <t>Net</t>
  </si>
  <si>
    <t>Note</t>
  </si>
  <si>
    <t>Notes</t>
  </si>
  <si>
    <t>INSULATING CEMENT</t>
  </si>
  <si>
    <t>INSULATING</t>
  </si>
  <si>
    <t>INSULATING 0,5</t>
  </si>
  <si>
    <t>INSULATING 0,6</t>
  </si>
  <si>
    <t>INSULATING 0,8</t>
  </si>
  <si>
    <t>INSULATING 0,9</t>
  </si>
  <si>
    <t>INSULATING 1,0</t>
  </si>
  <si>
    <t>INSULATING 1,2</t>
  </si>
  <si>
    <t>INSULATING 1,75</t>
  </si>
  <si>
    <t>(LT = LITER)</t>
  </si>
  <si>
    <t>PARAFFIN</t>
  </si>
  <si>
    <t>LUBRICANT</t>
  </si>
  <si>
    <t>DIATOMACEOUS SILICA 1040°C</t>
  </si>
  <si>
    <t>CALCIUM SILICATE 815°C</t>
  </si>
  <si>
    <t>LATEX PAINT</t>
  </si>
  <si>
    <t>pcs</t>
  </si>
  <si>
    <t>CÓPIA DE SEGURANÇA  - NÃO DELETAR</t>
  </si>
  <si>
    <t>ARCOS</t>
  </si>
  <si>
    <t xml:space="preserve"> 1-25</t>
  </si>
  <si>
    <t>1B</t>
  </si>
  <si>
    <t>1L</t>
  </si>
  <si>
    <t xml:space="preserve"> 2-20</t>
  </si>
  <si>
    <t xml:space="preserve"> 2-32</t>
  </si>
  <si>
    <t xml:space="preserve"> 2-40</t>
  </si>
  <si>
    <t xml:space="preserve"> 2-50</t>
  </si>
  <si>
    <t xml:space="preserve"> 2-65</t>
  </si>
  <si>
    <t xml:space="preserve"> 2-80</t>
  </si>
  <si>
    <t>2B</t>
  </si>
  <si>
    <t>2L</t>
  </si>
  <si>
    <t>2D</t>
  </si>
  <si>
    <t>B1</t>
  </si>
  <si>
    <t>B2</t>
  </si>
  <si>
    <t>B3</t>
  </si>
  <si>
    <t>BO-3</t>
  </si>
  <si>
    <t>BO-4</t>
  </si>
  <si>
    <t>BO-5</t>
  </si>
  <si>
    <t>P3</t>
  </si>
  <si>
    <t>P4</t>
  </si>
  <si>
    <t>P5</t>
  </si>
  <si>
    <t>P7</t>
  </si>
  <si>
    <t>P10</t>
  </si>
  <si>
    <t>P12</t>
  </si>
  <si>
    <t>15-76</t>
  </si>
  <si>
    <t>15-100</t>
  </si>
  <si>
    <t>35 B-100</t>
  </si>
  <si>
    <t>RU 1-100</t>
  </si>
  <si>
    <t>RU 1-130</t>
  </si>
  <si>
    <t>1G4</t>
  </si>
  <si>
    <t>1G10</t>
  </si>
  <si>
    <t>1G16</t>
  </si>
  <si>
    <t>1G24</t>
  </si>
  <si>
    <t>1G26</t>
  </si>
  <si>
    <t>1G28</t>
  </si>
  <si>
    <t>1G50</t>
  </si>
  <si>
    <t>1GG4</t>
  </si>
  <si>
    <t>1GG10</t>
  </si>
  <si>
    <t>1GG16</t>
  </si>
  <si>
    <t>1GG24</t>
  </si>
  <si>
    <t>1GG26</t>
  </si>
  <si>
    <t>2G4</t>
  </si>
  <si>
    <t>2G6</t>
  </si>
  <si>
    <t>2G16</t>
  </si>
  <si>
    <t>2G24</t>
  </si>
  <si>
    <t>2G26</t>
  </si>
  <si>
    <t>2G38</t>
  </si>
  <si>
    <t>2G50</t>
  </si>
  <si>
    <t>2GG6</t>
  </si>
  <si>
    <t>2GG8</t>
  </si>
  <si>
    <t>2GG12</t>
  </si>
  <si>
    <t>2GG24</t>
  </si>
  <si>
    <t>2GG26</t>
  </si>
  <si>
    <t>2GG38</t>
  </si>
  <si>
    <t>2GG50</t>
  </si>
  <si>
    <t>HALBWOLBER - ARCHES ( TIJOLOS EUROPA) - ARCOS</t>
  </si>
  <si>
    <t>1H4</t>
  </si>
  <si>
    <t>1H6</t>
  </si>
  <si>
    <t>1H10</t>
  </si>
  <si>
    <t>1H16</t>
  </si>
  <si>
    <t>1H24</t>
  </si>
  <si>
    <t>1H26</t>
  </si>
  <si>
    <t>1H50</t>
  </si>
  <si>
    <t>2H4</t>
  </si>
  <si>
    <t>2H26</t>
  </si>
  <si>
    <t>2H38</t>
  </si>
  <si>
    <t>2H50</t>
  </si>
  <si>
    <t>2HL6</t>
  </si>
  <si>
    <t>3H10</t>
  </si>
  <si>
    <t>3H16</t>
  </si>
  <si>
    <t>3H24</t>
  </si>
  <si>
    <t>3H50</t>
  </si>
  <si>
    <t>RECHTECKSTEINE - STRAIGHTS ( TIJOLOS EUROPA) - PARALELOS</t>
  </si>
  <si>
    <t>GANZWOLBER - WEDGES ( TIJOLOS EUROPA) - CUNHAS</t>
  </si>
  <si>
    <t>2Q14</t>
  </si>
  <si>
    <t>2Q28</t>
  </si>
  <si>
    <t>2Q50</t>
  </si>
  <si>
    <t>LADLE BRICKS - ARCHES ( TIJOLOS EUROPA) - ARCOS</t>
  </si>
  <si>
    <t>1P0</t>
  </si>
  <si>
    <t>1P8</t>
  </si>
  <si>
    <t>1P18</t>
  </si>
  <si>
    <t>1P26</t>
  </si>
  <si>
    <t>0P4</t>
  </si>
  <si>
    <t>0P5</t>
  </si>
  <si>
    <t>0P6</t>
  </si>
  <si>
    <t>0P7</t>
  </si>
  <si>
    <t>0P10</t>
  </si>
  <si>
    <t>0P15</t>
  </si>
  <si>
    <t>2P0</t>
  </si>
  <si>
    <t>3P0</t>
  </si>
  <si>
    <t>3P6</t>
  </si>
  <si>
    <t>3P10</t>
  </si>
  <si>
    <t>3P20</t>
  </si>
  <si>
    <t>3P26</t>
  </si>
  <si>
    <t>4P0</t>
  </si>
  <si>
    <t>4P8</t>
  </si>
  <si>
    <t>4P10</t>
  </si>
  <si>
    <t>4P12</t>
  </si>
  <si>
    <t>4P20</t>
  </si>
  <si>
    <t>4P22</t>
  </si>
  <si>
    <t>5P0</t>
  </si>
  <si>
    <t>5P6</t>
  </si>
  <si>
    <t>5P8</t>
  </si>
  <si>
    <t>5P12</t>
  </si>
  <si>
    <t>5P16</t>
  </si>
  <si>
    <t>5P22</t>
  </si>
  <si>
    <t>2P6</t>
  </si>
  <si>
    <t>2P10</t>
  </si>
  <si>
    <t>2P24</t>
  </si>
  <si>
    <t>Volume Arg. Dm³</t>
  </si>
  <si>
    <t>Esp. Arg.</t>
  </si>
  <si>
    <t>Volume Total</t>
  </si>
  <si>
    <t>ARGAMASSAS</t>
  </si>
  <si>
    <t>ISOLANTES</t>
  </si>
  <si>
    <t>FIBRAS</t>
  </si>
  <si>
    <t>NEWS FORMATS</t>
  </si>
  <si>
    <t>RADIAIS</t>
  </si>
  <si>
    <t>TIJOLOS VDZ</t>
  </si>
  <si>
    <t>TIJOLOS MK</t>
  </si>
  <si>
    <t>P/,</t>
  </si>
  <si>
    <t>MARCAS</t>
  </si>
  <si>
    <t>Densidade</t>
  </si>
  <si>
    <t>Embalagem</t>
  </si>
  <si>
    <t>Classificação</t>
  </si>
  <si>
    <t>Unidade</t>
  </si>
  <si>
    <t>SÉRIE-ISO (RADIAL)                                        SÉRIE-ISO (RADIAL)                                             SÉRIE-ISO (RADIAL)                                  SÉRIE-ISO (RADIAL)</t>
  </si>
  <si>
    <t xml:space="preserve">SÉRIE-MK                           SÉRIE-MK  </t>
  </si>
  <si>
    <t>ESPECIFICAÇÕES DE FIBRA CERÂMICA</t>
  </si>
  <si>
    <t>ACELERADOR E LUBRIFICANTE</t>
  </si>
  <si>
    <t>Total Weight</t>
  </si>
  <si>
    <t>Weight per Brand</t>
  </si>
  <si>
    <t>Region - Zone</t>
  </si>
  <si>
    <t>Net [t]</t>
  </si>
  <si>
    <t>Total [t]</t>
  </si>
  <si>
    <t>TOTAL</t>
  </si>
  <si>
    <t xml:space="preserve">CARD BOARD </t>
  </si>
  <si>
    <t>SKAMOL M-EXTRA</t>
  </si>
  <si>
    <t>Weight [t]</t>
  </si>
  <si>
    <t>Weight un. [kg]</t>
  </si>
  <si>
    <t>OP.</t>
  </si>
  <si>
    <t>Drawing number</t>
  </si>
  <si>
    <t>Revision</t>
  </si>
  <si>
    <t>State</t>
  </si>
  <si>
    <t>CÓDIGO SAP</t>
  </si>
  <si>
    <t>PYROSTOP CARTO 125</t>
  </si>
  <si>
    <t>Raio</t>
  </si>
  <si>
    <t>FIADAS</t>
  </si>
  <si>
    <t>FIADAS:</t>
  </si>
  <si>
    <t>FORMATOS</t>
  </si>
  <si>
    <t>REGIÃO</t>
  </si>
  <si>
    <t>PAINÉIS</t>
  </si>
  <si>
    <t>%</t>
  </si>
  <si>
    <t>A00</t>
  </si>
  <si>
    <t>CLIENTE</t>
  </si>
  <si>
    <t>CIDADE</t>
  </si>
  <si>
    <t>CAPACIDADE</t>
  </si>
  <si>
    <t>MK4/10</t>
  </si>
  <si>
    <t>MK4/30</t>
  </si>
  <si>
    <t>MK5/0</t>
  </si>
  <si>
    <t>MK5/6</t>
  </si>
  <si>
    <t>MK5/8</t>
  </si>
  <si>
    <t>MK5/20</t>
  </si>
  <si>
    <t>MK5/30</t>
  </si>
  <si>
    <t>MK5/32</t>
  </si>
  <si>
    <t>MK5/40</t>
  </si>
  <si>
    <t>MK6/0</t>
  </si>
  <si>
    <t>MK6/5,4</t>
  </si>
  <si>
    <t>MK6/8</t>
  </si>
  <si>
    <t>MK6/10</t>
  </si>
  <si>
    <t>MK6/12</t>
  </si>
  <si>
    <t>MK6/13</t>
  </si>
  <si>
    <t>MK6/20</t>
  </si>
  <si>
    <t>MK6/25,4</t>
  </si>
  <si>
    <t>MK6/30</t>
  </si>
  <si>
    <t>MK6/40</t>
  </si>
  <si>
    <t>MK7/8</t>
  </si>
  <si>
    <t>MK7/10</t>
  </si>
  <si>
    <t>MK7/18</t>
  </si>
  <si>
    <t>MK7/20</t>
  </si>
  <si>
    <t>MK7/30</t>
  </si>
  <si>
    <t>MK7/40</t>
  </si>
  <si>
    <t>MK8/0</t>
  </si>
  <si>
    <t>MK8/8</t>
  </si>
  <si>
    <t>MK8/10</t>
  </si>
  <si>
    <t>MK8/19</t>
  </si>
  <si>
    <t>MK8/20</t>
  </si>
  <si>
    <t>MK8/30</t>
  </si>
  <si>
    <t>MK8/40</t>
  </si>
  <si>
    <t>MK8/44,4</t>
  </si>
  <si>
    <t>MK9/0</t>
  </si>
  <si>
    <t>MK9/8</t>
  </si>
  <si>
    <t>MK9/16</t>
  </si>
  <si>
    <t>MK9/30</t>
  </si>
  <si>
    <t>MK9/50</t>
  </si>
  <si>
    <t>MK7/20-100K</t>
  </si>
  <si>
    <t>MK7/20-112,5K</t>
  </si>
  <si>
    <t>MK8/8-100K</t>
  </si>
  <si>
    <t>MK8/8-112.5K</t>
  </si>
  <si>
    <t>MK9/8-100K</t>
  </si>
  <si>
    <t>MK9/8-112,5K</t>
  </si>
  <si>
    <t>MK6/8-76</t>
  </si>
  <si>
    <t>MK10/6</t>
  </si>
  <si>
    <t>MK10/20</t>
  </si>
  <si>
    <t>MK13/6</t>
  </si>
  <si>
    <t>MK13/20</t>
  </si>
  <si>
    <t>MK13/30</t>
  </si>
  <si>
    <t>MK13/40</t>
  </si>
  <si>
    <t>MK14/8</t>
  </si>
  <si>
    <t>MK14/20</t>
  </si>
  <si>
    <t>MK15/6</t>
  </si>
  <si>
    <t>MK15/8</t>
  </si>
  <si>
    <t>MK15/10</t>
  </si>
  <si>
    <t>MK15/13</t>
  </si>
  <si>
    <t>MK15/16</t>
  </si>
  <si>
    <t>MK15/20</t>
  </si>
  <si>
    <t>MK15/25</t>
  </si>
  <si>
    <t>MK15/30</t>
  </si>
  <si>
    <t>MK15/40</t>
  </si>
  <si>
    <t>MK15/70</t>
  </si>
  <si>
    <t>MK17/10</t>
  </si>
  <si>
    <t>MK17/15</t>
  </si>
  <si>
    <t>MK17/28</t>
  </si>
  <si>
    <t>MK17/35</t>
  </si>
  <si>
    <t>MK17/40</t>
  </si>
  <si>
    <t>MK18/4</t>
  </si>
  <si>
    <t>MK18/6</t>
  </si>
  <si>
    <t>MK18/8</t>
  </si>
  <si>
    <t>MK18/16</t>
  </si>
  <si>
    <t>MK18/20</t>
  </si>
  <si>
    <t>MK18/30</t>
  </si>
  <si>
    <t>MK18/40</t>
  </si>
  <si>
    <t>MK18/48</t>
  </si>
  <si>
    <t>MK20/0</t>
  </si>
  <si>
    <t>MK20/8</t>
  </si>
  <si>
    <t>MK20/10</t>
  </si>
  <si>
    <t>MK20/16</t>
  </si>
  <si>
    <t>MK20/19</t>
  </si>
  <si>
    <t>MK20/30</t>
  </si>
  <si>
    <t>MK20/34</t>
  </si>
  <si>
    <t>MK20/60</t>
  </si>
  <si>
    <t>MK20/70</t>
  </si>
  <si>
    <t>MK22/8</t>
  </si>
  <si>
    <t>MK22/19</t>
  </si>
  <si>
    <t>MK22/37</t>
  </si>
  <si>
    <t>MK22/40</t>
  </si>
  <si>
    <t>MK22/59</t>
  </si>
  <si>
    <t>MK23/0</t>
  </si>
  <si>
    <t>MK23/8</t>
  </si>
  <si>
    <t>MK23/16</t>
  </si>
  <si>
    <t>MK23/20</t>
  </si>
  <si>
    <t>MK23/30</t>
  </si>
  <si>
    <t>MK23/40</t>
  </si>
  <si>
    <t>MK23/50</t>
  </si>
  <si>
    <t>MK15/8-100K</t>
  </si>
  <si>
    <t>MK15/8-120K</t>
  </si>
  <si>
    <t>MK15/20-100K</t>
  </si>
  <si>
    <t>MK15/20-120K</t>
  </si>
  <si>
    <t>MK18/8-100K</t>
  </si>
  <si>
    <t>MK18/8-120K</t>
  </si>
  <si>
    <t>MK18/20-100K</t>
  </si>
  <si>
    <t>MKA318/20-120K</t>
  </si>
  <si>
    <t>LUVAS EBT RED</t>
  </si>
  <si>
    <t>LUVAS EBT BLUE</t>
  </si>
  <si>
    <t>RW13</t>
  </si>
  <si>
    <t>RW14</t>
  </si>
  <si>
    <t>RW15</t>
  </si>
  <si>
    <t>RW16</t>
  </si>
  <si>
    <t>RW17</t>
  </si>
  <si>
    <t>RW18</t>
  </si>
  <si>
    <t>RW20</t>
  </si>
  <si>
    <t>RW22</t>
  </si>
  <si>
    <t>2025100</t>
  </si>
  <si>
    <t>1307500</t>
  </si>
  <si>
    <t>862400</t>
  </si>
  <si>
    <t>972300</t>
  </si>
  <si>
    <t>1075400</t>
  </si>
  <si>
    <t>985800</t>
  </si>
  <si>
    <t>822500</t>
  </si>
  <si>
    <t>1005600</t>
  </si>
  <si>
    <t>JRW165</t>
  </si>
  <si>
    <t>JRW17Z</t>
  </si>
  <si>
    <t>JRW18Z</t>
  </si>
  <si>
    <t>JRW19Z</t>
  </si>
  <si>
    <t>JRW20Z</t>
  </si>
  <si>
    <t>9056284</t>
  </si>
  <si>
    <t>9056278</t>
  </si>
  <si>
    <t>9056279</t>
  </si>
  <si>
    <t>9056280</t>
  </si>
  <si>
    <t>9056281</t>
  </si>
  <si>
    <t>RW05Z</t>
  </si>
  <si>
    <t>RW10X</t>
  </si>
  <si>
    <t>RW10Z</t>
  </si>
  <si>
    <t>RW11</t>
  </si>
  <si>
    <t>RW11W</t>
  </si>
  <si>
    <t>RW11X</t>
  </si>
  <si>
    <t>RW11Z</t>
  </si>
  <si>
    <t>RW12</t>
  </si>
  <si>
    <t>RW12F</t>
  </si>
  <si>
    <t>RW12X</t>
  </si>
  <si>
    <t>RW12Z</t>
  </si>
  <si>
    <t>RW13W</t>
  </si>
  <si>
    <t>RW13X</t>
  </si>
  <si>
    <t>RW13Z</t>
  </si>
  <si>
    <t>RW14W</t>
  </si>
  <si>
    <t>RW14X</t>
  </si>
  <si>
    <t>RW14Z</t>
  </si>
  <si>
    <t>RW15W</t>
  </si>
  <si>
    <t>RW15X</t>
  </si>
  <si>
    <t>RW15Z</t>
  </si>
  <si>
    <t>RW16W</t>
  </si>
  <si>
    <t>RW16X</t>
  </si>
  <si>
    <t>RW16Z</t>
  </si>
  <si>
    <t>RW17X</t>
  </si>
  <si>
    <t>RW17Z</t>
  </si>
  <si>
    <t>RW18W</t>
  </si>
  <si>
    <t>RW18X</t>
  </si>
  <si>
    <t>RW18Z</t>
  </si>
  <si>
    <t>RW19</t>
  </si>
  <si>
    <t>RW19X</t>
  </si>
  <si>
    <t>RW19X-400</t>
  </si>
  <si>
    <t>RW19Z</t>
  </si>
  <si>
    <t>RW20W</t>
  </si>
  <si>
    <t>RW20X</t>
  </si>
  <si>
    <t>RW20Z</t>
  </si>
  <si>
    <t>RW21</t>
  </si>
  <si>
    <t>RW21Z</t>
  </si>
  <si>
    <t>RW22X</t>
  </si>
  <si>
    <t>RW22Z</t>
  </si>
  <si>
    <t>9066502</t>
  </si>
  <si>
    <t>9089022</t>
  </si>
  <si>
    <t>9060559</t>
  </si>
  <si>
    <t>3388700</t>
  </si>
  <si>
    <t>9101256</t>
  </si>
  <si>
    <t>9089023</t>
  </si>
  <si>
    <t>3388800</t>
  </si>
  <si>
    <t>3313000</t>
  </si>
  <si>
    <t>9121543</t>
  </si>
  <si>
    <t>9089024</t>
  </si>
  <si>
    <t>3297600</t>
  </si>
  <si>
    <t>9107475</t>
  </si>
  <si>
    <t>9089025</t>
  </si>
  <si>
    <t>3092300</t>
  </si>
  <si>
    <t>9099740</t>
  </si>
  <si>
    <t>9089026</t>
  </si>
  <si>
    <t>3126200</t>
  </si>
  <si>
    <t>9112843</t>
  </si>
  <si>
    <t>9089027</t>
  </si>
  <si>
    <t>3188800</t>
  </si>
  <si>
    <t>9111680</t>
  </si>
  <si>
    <t>9089028</t>
  </si>
  <si>
    <t>3102300</t>
  </si>
  <si>
    <t>9089029</t>
  </si>
  <si>
    <t>3111600</t>
  </si>
  <si>
    <t>9105651</t>
  </si>
  <si>
    <t>9089030</t>
  </si>
  <si>
    <t>3025300</t>
  </si>
  <si>
    <t>2955500</t>
  </si>
  <si>
    <t>9089031</t>
  </si>
  <si>
    <t>9100499</t>
  </si>
  <si>
    <t>3297700</t>
  </si>
  <si>
    <t>9099920</t>
  </si>
  <si>
    <t>9089033</t>
  </si>
  <si>
    <t>3153900</t>
  </si>
  <si>
    <t>3420400</t>
  </si>
  <si>
    <t>3328300</t>
  </si>
  <si>
    <t>9089035</t>
  </si>
  <si>
    <t>3297800</t>
  </si>
  <si>
    <t>JRW10Z</t>
  </si>
  <si>
    <t>JRW115</t>
  </si>
  <si>
    <t>JRW125</t>
  </si>
  <si>
    <t>JRW12Z</t>
  </si>
  <si>
    <t>JRW135</t>
  </si>
  <si>
    <t>JRW13Z</t>
  </si>
  <si>
    <t>JRW14</t>
  </si>
  <si>
    <t>JRW14Z</t>
  </si>
  <si>
    <t>JRW15</t>
  </si>
  <si>
    <t>JRW15Z</t>
  </si>
  <si>
    <t>JRW16Z</t>
  </si>
  <si>
    <t>JRW175</t>
  </si>
  <si>
    <t>JRW185</t>
  </si>
  <si>
    <t>JRW19</t>
  </si>
  <si>
    <t>JRW195</t>
  </si>
  <si>
    <t>JRW20</t>
  </si>
  <si>
    <t>JRW205</t>
  </si>
  <si>
    <t>JRW21</t>
  </si>
  <si>
    <t>JRW21Z</t>
  </si>
  <si>
    <t>9168915</t>
  </si>
  <si>
    <t>9094761</t>
  </si>
  <si>
    <t>9060097</t>
  </si>
  <si>
    <t>9118707</t>
  </si>
  <si>
    <t>9060096</t>
  </si>
  <si>
    <t>9092946</t>
  </si>
  <si>
    <t>9060095</t>
  </si>
  <si>
    <t>9104899</t>
  </si>
  <si>
    <t>9064837</t>
  </si>
  <si>
    <t>9060224</t>
  </si>
  <si>
    <t>9062496</t>
  </si>
  <si>
    <t>9056285</t>
  </si>
  <si>
    <t>9056286</t>
  </si>
  <si>
    <t>9056290</t>
  </si>
  <si>
    <t>9056287</t>
  </si>
  <si>
    <t>9056291</t>
  </si>
  <si>
    <t>9056288</t>
  </si>
  <si>
    <t>9056292</t>
  </si>
  <si>
    <t>9056841</t>
  </si>
  <si>
    <t>JRW12</t>
  </si>
  <si>
    <t>JRW13</t>
  </si>
  <si>
    <t>JRW145</t>
  </si>
  <si>
    <t>JRW155</t>
  </si>
  <si>
    <t>JRW16</t>
  </si>
  <si>
    <t>JRW17</t>
  </si>
  <si>
    <t>JRW18</t>
  </si>
  <si>
    <t>9093734</t>
  </si>
  <si>
    <t>9070513</t>
  </si>
  <si>
    <t>9056282</t>
  </si>
  <si>
    <t>9056283</t>
  </si>
  <si>
    <t>9060210</t>
  </si>
  <si>
    <t>9062859</t>
  </si>
  <si>
    <t>9056289</t>
  </si>
  <si>
    <t>NF55/3015</t>
  </si>
  <si>
    <t>NF55/3020</t>
  </si>
  <si>
    <t>NF55/3025</t>
  </si>
  <si>
    <t>NF55/3026</t>
  </si>
  <si>
    <t>NF55/3028</t>
  </si>
  <si>
    <t>NF55/3030</t>
  </si>
  <si>
    <t>NF55/3228</t>
  </si>
  <si>
    <t>NF55/3515</t>
  </si>
  <si>
    <t>NF55/3520</t>
  </si>
  <si>
    <t>NF55/3525</t>
  </si>
  <si>
    <t>NF55/3528</t>
  </si>
  <si>
    <t>NF55/4010</t>
  </si>
  <si>
    <t>NF55/4015</t>
  </si>
  <si>
    <t>NF55/4020</t>
  </si>
  <si>
    <t>NF55/4025</t>
  </si>
  <si>
    <t>NF55/4028</t>
  </si>
  <si>
    <t>2023200</t>
  </si>
  <si>
    <t>2023100</t>
  </si>
  <si>
    <t>9006473</t>
  </si>
  <si>
    <t>2989800</t>
  </si>
  <si>
    <t>2940500</t>
  </si>
  <si>
    <t>9117328</t>
  </si>
  <si>
    <t>9053760</t>
  </si>
  <si>
    <t>9147305</t>
  </si>
  <si>
    <t>9087802</t>
  </si>
  <si>
    <t>9087809</t>
  </si>
  <si>
    <t>9121493</t>
  </si>
  <si>
    <t>9151248</t>
  </si>
  <si>
    <t>1487500</t>
  </si>
  <si>
    <t>1487600</t>
  </si>
  <si>
    <t>2882600</t>
  </si>
  <si>
    <t>3039300</t>
  </si>
  <si>
    <t>P9</t>
  </si>
  <si>
    <t>V2L-100</t>
  </si>
  <si>
    <t>V2LS-100</t>
  </si>
  <si>
    <t>V3L-100</t>
  </si>
  <si>
    <t>V3LK-100</t>
  </si>
  <si>
    <t>Lining:</t>
  </si>
  <si>
    <t>FIADA 2</t>
  </si>
  <si>
    <t>Alt. Tijolo</t>
  </si>
  <si>
    <t>A'</t>
  </si>
  <si>
    <t>B'</t>
  </si>
  <si>
    <t>Ø Int</t>
  </si>
  <si>
    <t>Ø Ext</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</si>
  <si>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</si>
  <si>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</si>
  <si>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</si>
  <si>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</si>
  <si>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</si>
  <si>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</si>
  <si>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</si>
  <si>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</si>
  <si>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</si>
  <si>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</si>
  <si>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</si>
  <si>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</si>
  <si>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</si>
  <si>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</si>
  <si>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</si>
  <si>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</si>
  <si>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</si>
  <si>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</si>
  <si>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</si>
  <si>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</si>
  <si>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MORTAR CALCULATION %</t>
  </si>
  <si>
    <t>MORTAR CALCULATION VOL.</t>
  </si>
  <si>
    <t>Ângulo Esfera</t>
  </si>
  <si>
    <t>EQUIPAMENTO</t>
  </si>
  <si>
    <t>ÂNGULO AF</t>
  </si>
  <si>
    <t>TIJOLOS COMPOSIÇÃO</t>
  </si>
  <si>
    <t>TIJOLOS TOMBAMENTO</t>
  </si>
  <si>
    <t>NTX</t>
  </si>
  <si>
    <t>De</t>
  </si>
  <si>
    <t>Di</t>
  </si>
  <si>
    <t>NC IDEAL</t>
  </si>
  <si>
    <t>C- CUNHA</t>
  </si>
  <si>
    <t>ÂNGULO ANEL</t>
  </si>
  <si>
    <t>Resumo das peças</t>
  </si>
  <si>
    <t>Fiada 1</t>
  </si>
  <si>
    <t>Fiada 2</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</si>
  <si>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</si>
  <si>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</si>
  <si>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</si>
  <si>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</si>
  <si>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</si>
  <si>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</si>
  <si>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</si>
  <si>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</si>
  <si>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</si>
  <si>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</si>
  <si>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</si>
  <si>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</si>
  <si>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</si>
  <si>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</si>
  <si>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</si>
  <si>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</si>
  <si>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</si>
  <si>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</si>
  <si>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</si>
  <si>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</si>
  <si>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</si>
  <si>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</si>
  <si>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</si>
  <si>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</si>
  <si>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</si>
  <si>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</si>
  <si>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</si>
  <si>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</si>
  <si>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</si>
  <si>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</si>
  <si>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</si>
  <si>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</si>
  <si>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</si>
  <si>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</si>
  <si>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</si>
  <si>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</si>
  <si>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</si>
  <si>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</si>
  <si>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</si>
  <si>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</si>
  <si>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</si>
  <si>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</si>
  <si>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</si>
  <si>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</si>
  <si>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</si>
  <si>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</si>
  <si>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</si>
  <si>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</si>
  <si>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Chegagem Perímetro</t>
  </si>
  <si>
    <t>Altura</t>
  </si>
  <si>
    <t>Area Superficial</t>
  </si>
  <si>
    <t>metros quadrados</t>
  </si>
  <si>
    <t>Ø Fecham.</t>
  </si>
  <si>
    <t>ELEKTRODE 3,2X350 ST</t>
  </si>
  <si>
    <t>ELETRODO</t>
  </si>
  <si>
    <t>ÂNCORA METÁLICA (50%)</t>
  </si>
  <si>
    <t>INSTRUÇÕES</t>
  </si>
  <si>
    <t>SPECIAL ELECTRODE NA</t>
  </si>
  <si>
    <t>SPECIAL ELECTRODE ST</t>
  </si>
  <si>
    <t>SPECIAL ELECTRODE UN</t>
  </si>
  <si>
    <t>SPECIAL ELECTRODE HR</t>
  </si>
  <si>
    <t>ELEKTRODE 3,2X350 NA PACKET</t>
  </si>
  <si>
    <t>ELEKTRODE 3,2X350 ST PACKET</t>
  </si>
  <si>
    <t>ELEKTRODE 3,2X350 UN PACKET</t>
  </si>
  <si>
    <t>ELEKTRODE 3,2X350 HR PACKET</t>
  </si>
  <si>
    <t>EUROPA - AÇO COMUM</t>
  </si>
  <si>
    <t>EUROPA - AÇO 304 E 310</t>
  </si>
  <si>
    <t>EUROPA</t>
  </si>
  <si>
    <t xml:space="preserve">j                                    </t>
  </si>
  <si>
    <t>Tamanho Painel(mm)</t>
  </si>
  <si>
    <t>ÂNCORA CERÂMICA (50%)</t>
  </si>
  <si>
    <t>FORMATOS EAF</t>
  </si>
  <si>
    <t>DIVASIL</t>
  </si>
  <si>
    <t>Outros</t>
  </si>
  <si>
    <t>DIVASIL FP</t>
  </si>
  <si>
    <t>Liquid Binder</t>
  </si>
  <si>
    <t>Litros/100kg</t>
  </si>
  <si>
    <t>ACCELERATOR C</t>
  </si>
  <si>
    <t>A12X41/2X3-23/4</t>
  </si>
  <si>
    <t>A12X41/2X3-21/2</t>
  </si>
  <si>
    <t>A12X41/2X3-2</t>
  </si>
  <si>
    <t>A12X6X3-23/4</t>
  </si>
  <si>
    <t>A18X41/2X3-21/2</t>
  </si>
  <si>
    <t>A18X41/2X3-2</t>
  </si>
  <si>
    <t>A18X6X3-23/4</t>
  </si>
  <si>
    <t>A18X6X3-21/2</t>
  </si>
  <si>
    <t>A18X6X3-2</t>
  </si>
  <si>
    <t>A18X9X3-23/4</t>
  </si>
  <si>
    <t>A9X3X3-21/2</t>
  </si>
  <si>
    <t>A9X3X3-23/4</t>
  </si>
  <si>
    <t>A9X63/4X3-23/4</t>
  </si>
  <si>
    <t>A9X6X3-23/4</t>
  </si>
  <si>
    <t>A9X6X3-21/2</t>
  </si>
  <si>
    <t>A9X41/2X3-27/8</t>
  </si>
  <si>
    <t>A12X9X3-21/2</t>
  </si>
  <si>
    <t>A12X9X3-23/4</t>
  </si>
  <si>
    <t>A12X6X3-21/2</t>
  </si>
  <si>
    <t>A9X41/2X3-21/2</t>
  </si>
  <si>
    <t>A9X41/2X3-2</t>
  </si>
  <si>
    <t>A9X6X3-2</t>
  </si>
  <si>
    <t>A9X41/2X3-23/4</t>
  </si>
  <si>
    <t>A12X6X3-2</t>
  </si>
  <si>
    <t>A18X9X3-2</t>
  </si>
  <si>
    <t>A15X6X3-2</t>
  </si>
  <si>
    <t>A9X63/4X3-2</t>
  </si>
  <si>
    <t>A15X6X3-21/2</t>
  </si>
  <si>
    <t>A9X21/2X3-23/4</t>
  </si>
  <si>
    <t>A18X6X3-1</t>
  </si>
  <si>
    <t>A18X6X3-11/2</t>
  </si>
  <si>
    <t>A8X63/4X3-23/4</t>
  </si>
  <si>
    <t>A9X41/2X100-95</t>
  </si>
  <si>
    <t>A9X5X100-95</t>
  </si>
  <si>
    <t>A9X5X3-23/4</t>
  </si>
  <si>
    <t>A9X2X3-23/4</t>
  </si>
  <si>
    <t>A8X63/4X3-21/2</t>
  </si>
  <si>
    <t>A9X5X100-90</t>
  </si>
  <si>
    <t>A9X5X3-21/2</t>
  </si>
  <si>
    <t>A9X5X3-2</t>
  </si>
  <si>
    <t>A12X63/4X3-2</t>
  </si>
  <si>
    <t>A9X41/2X3-11/2</t>
  </si>
  <si>
    <t>A9X6X3-11/2</t>
  </si>
  <si>
    <t>A9X63/4X3-11/2</t>
  </si>
  <si>
    <t>A18X9X3-11/2</t>
  </si>
  <si>
    <t>A9X21/2X3-21/2</t>
  </si>
  <si>
    <t>Metallic Anchors</t>
  </si>
  <si>
    <t>ANCHOR TYPE</t>
  </si>
  <si>
    <t>DIAMETER</t>
  </si>
  <si>
    <t>Total length</t>
  </si>
  <si>
    <t>Material</t>
  </si>
  <si>
    <t>Cálculo Volume</t>
  </si>
  <si>
    <t>CH1</t>
  </si>
  <si>
    <t>CH2</t>
  </si>
  <si>
    <t>CH3</t>
  </si>
  <si>
    <t>TYPE</t>
  </si>
  <si>
    <t>CV1</t>
  </si>
  <si>
    <t>CV2</t>
  </si>
  <si>
    <t>CV3</t>
  </si>
  <si>
    <t>STP</t>
  </si>
  <si>
    <t>CTP</t>
  </si>
  <si>
    <t>HTP</t>
  </si>
  <si>
    <t>TWA</t>
  </si>
  <si>
    <t>TWM</t>
  </si>
  <si>
    <t>Step Length</t>
  </si>
  <si>
    <t>VOLUME</t>
  </si>
  <si>
    <t>STH</t>
  </si>
  <si>
    <t>CTH</t>
  </si>
  <si>
    <t>HTH</t>
  </si>
  <si>
    <t>YHA</t>
  </si>
  <si>
    <t>SKD</t>
  </si>
  <si>
    <t>WB</t>
  </si>
  <si>
    <t>SLA</t>
  </si>
  <si>
    <t>SKL</t>
  </si>
  <si>
    <t>BU</t>
  </si>
  <si>
    <t>GKB</t>
  </si>
  <si>
    <t>KSET</t>
  </si>
  <si>
    <t>UAH01</t>
  </si>
  <si>
    <t>UAH02</t>
  </si>
  <si>
    <t>BL</t>
  </si>
  <si>
    <t>Material?</t>
  </si>
  <si>
    <t>GK</t>
  </si>
  <si>
    <t>AH150</t>
  </si>
  <si>
    <t>Ceramic Anchors</t>
  </si>
  <si>
    <t>AH175</t>
  </si>
  <si>
    <t>AH200</t>
  </si>
  <si>
    <t>AH225</t>
  </si>
  <si>
    <t>AH250</t>
  </si>
  <si>
    <t>AH275</t>
  </si>
  <si>
    <t>AH300</t>
  </si>
  <si>
    <t>AH325</t>
  </si>
  <si>
    <t>AH350</t>
  </si>
  <si>
    <t>AH375</t>
  </si>
  <si>
    <t>AH400</t>
  </si>
  <si>
    <t>AH425</t>
  </si>
  <si>
    <t>AH450</t>
  </si>
  <si>
    <t>AH475</t>
  </si>
  <si>
    <t>AH500</t>
  </si>
  <si>
    <t>FE6</t>
  </si>
  <si>
    <t>FE7</t>
  </si>
  <si>
    <t>FE8</t>
  </si>
  <si>
    <t>FE11</t>
  </si>
  <si>
    <t>FE12</t>
  </si>
  <si>
    <t>ESPESSURA</t>
  </si>
  <si>
    <t>FE4</t>
  </si>
  <si>
    <t>2BFE4</t>
  </si>
  <si>
    <t>1FE4-76</t>
  </si>
  <si>
    <t>1FE4</t>
  </si>
  <si>
    <t>FE4-76</t>
  </si>
  <si>
    <t>1BFE4-76</t>
  </si>
  <si>
    <t>1BFE4</t>
  </si>
  <si>
    <t>2BFE4-76</t>
  </si>
  <si>
    <t>FE5</t>
  </si>
  <si>
    <t>2BFE5</t>
  </si>
  <si>
    <t>1FE5-76</t>
  </si>
  <si>
    <t>FE5-76</t>
  </si>
  <si>
    <t>1FE5</t>
  </si>
  <si>
    <t>1BFE5-76</t>
  </si>
  <si>
    <t>1BFE5</t>
  </si>
  <si>
    <t>2BFE5-76</t>
  </si>
  <si>
    <t>1BFE6-76</t>
  </si>
  <si>
    <t>2BFE6</t>
  </si>
  <si>
    <t>1FE6-76</t>
  </si>
  <si>
    <t>1FE6</t>
  </si>
  <si>
    <t>FE6-76</t>
  </si>
  <si>
    <t>2BFE6-76</t>
  </si>
  <si>
    <t>1BFE7-76</t>
  </si>
  <si>
    <t>2BFE7</t>
  </si>
  <si>
    <t>1FE7-76</t>
  </si>
  <si>
    <t>FE7-76</t>
  </si>
  <si>
    <t>2BFE7-76</t>
  </si>
  <si>
    <t>1FE7</t>
  </si>
  <si>
    <t>3FE8-76</t>
  </si>
  <si>
    <t>1FE8</t>
  </si>
  <si>
    <t>FE8-76</t>
  </si>
  <si>
    <t>3FE8</t>
  </si>
  <si>
    <t>2BFE8</t>
  </si>
  <si>
    <t>2BFE8-76</t>
  </si>
  <si>
    <t>1FE8-76</t>
  </si>
  <si>
    <t>1BFE8</t>
  </si>
  <si>
    <t>1BFE8-76</t>
  </si>
  <si>
    <t>FE9-76</t>
  </si>
  <si>
    <t>3FE9</t>
  </si>
  <si>
    <t>FE9</t>
  </si>
  <si>
    <t>1FE9-76</t>
  </si>
  <si>
    <t>1FE9</t>
  </si>
  <si>
    <t>3FE9-76</t>
  </si>
  <si>
    <t>FE10</t>
  </si>
  <si>
    <t>FE10-76</t>
  </si>
  <si>
    <t>3FE10</t>
  </si>
  <si>
    <t>1FE10-76</t>
  </si>
  <si>
    <t>1FE10</t>
  </si>
  <si>
    <t>3FE10-76</t>
  </si>
  <si>
    <t>FE11-76</t>
  </si>
  <si>
    <t>3FE11</t>
  </si>
  <si>
    <t>1FE11-76</t>
  </si>
  <si>
    <t>1FE11</t>
  </si>
  <si>
    <t>3FE11-76</t>
  </si>
  <si>
    <t>1FE12</t>
  </si>
  <si>
    <t>FE12-76</t>
  </si>
  <si>
    <t>3FE12</t>
  </si>
  <si>
    <t>1FE12-76</t>
  </si>
  <si>
    <t>3FE12-76</t>
  </si>
  <si>
    <t>1DFE8</t>
  </si>
  <si>
    <t>1DFE8-76</t>
  </si>
  <si>
    <t>2DFE8</t>
  </si>
  <si>
    <t>2DFE8-76</t>
  </si>
  <si>
    <t>3DFE8-76</t>
  </si>
  <si>
    <t>S6X41/2X3</t>
  </si>
  <si>
    <t>S6X6X4</t>
  </si>
  <si>
    <t>S6X6X3</t>
  </si>
  <si>
    <t>S6X6X2</t>
  </si>
  <si>
    <t>S6X6X51/2</t>
  </si>
  <si>
    <t>S6X41/2X21/2</t>
  </si>
  <si>
    <t>S6X6X6</t>
  </si>
  <si>
    <t>S6X6X41/2</t>
  </si>
  <si>
    <t>S6X51/2X4</t>
  </si>
  <si>
    <t>S6X5X3</t>
  </si>
  <si>
    <t>S6X41/2X100</t>
  </si>
  <si>
    <t>S7X6X4</t>
  </si>
  <si>
    <t>S7X6X3</t>
  </si>
  <si>
    <t>S7X6X100</t>
  </si>
  <si>
    <t>S7X6X21/4</t>
  </si>
  <si>
    <t>S7X7X21/4</t>
  </si>
  <si>
    <t>S7X6X21/2</t>
  </si>
  <si>
    <t>S7X41/2X3</t>
  </si>
  <si>
    <t>S7X6X2</t>
  </si>
  <si>
    <t>S7X3X3</t>
  </si>
  <si>
    <t>S7X5X4</t>
  </si>
  <si>
    <t>S8X6X3</t>
  </si>
  <si>
    <t>S8X4X23/8</t>
  </si>
  <si>
    <t>S8X4X3</t>
  </si>
  <si>
    <t>S8X41/2X23/4</t>
  </si>
  <si>
    <t>S8X63/4X100</t>
  </si>
  <si>
    <t>S9X6X100</t>
  </si>
  <si>
    <t>S9X41/2X21/2</t>
  </si>
  <si>
    <t>S9X41/2X11/4</t>
  </si>
  <si>
    <t>S9X41/2X2</t>
  </si>
  <si>
    <t>S9X41/2X41/2</t>
  </si>
  <si>
    <t>S9X6X11/2</t>
  </si>
  <si>
    <t>S9X6X2</t>
  </si>
  <si>
    <t>S9X6X21/2</t>
  </si>
  <si>
    <t>S9X6X41/2</t>
  </si>
  <si>
    <t>S9X9X4</t>
  </si>
  <si>
    <t>S9X9X6</t>
  </si>
  <si>
    <t>S9X3X21/2</t>
  </si>
  <si>
    <t>S9X3X21/4</t>
  </si>
  <si>
    <t>S9X41/2X1</t>
  </si>
  <si>
    <t>S9X41/2X100</t>
  </si>
  <si>
    <t>S9X9X100</t>
  </si>
  <si>
    <t>S9X8X3</t>
  </si>
  <si>
    <t>S9X9X41/2</t>
  </si>
  <si>
    <t>S9X3X3</t>
  </si>
  <si>
    <t>S9X41/2X3</t>
  </si>
  <si>
    <t>S9X6X3</t>
  </si>
  <si>
    <t>S9X41/2X11/2</t>
  </si>
  <si>
    <t>S9X9X3</t>
  </si>
  <si>
    <t>S9X4X3</t>
  </si>
  <si>
    <t>S9X9X2</t>
  </si>
  <si>
    <t>S9X9X21/2</t>
  </si>
  <si>
    <t>S9X6X4</t>
  </si>
  <si>
    <t>S9X21/2X21/2</t>
  </si>
  <si>
    <t>S9X63/4X11/2</t>
  </si>
  <si>
    <t>S9X63/4X2</t>
  </si>
  <si>
    <t>S9X6X1</t>
  </si>
  <si>
    <t>S9X9X11/2</t>
  </si>
  <si>
    <t>S9X4X4</t>
  </si>
  <si>
    <t>S9X6X11/4</t>
  </si>
  <si>
    <t>S9X7X3</t>
  </si>
  <si>
    <t>S9X9X11/4</t>
  </si>
  <si>
    <t>S9X6X6</t>
  </si>
  <si>
    <t>S9X41/2X4</t>
  </si>
  <si>
    <t>S9X9X9</t>
  </si>
  <si>
    <t>S9X8X6</t>
  </si>
  <si>
    <t>S9X8X21/2</t>
  </si>
  <si>
    <t>S9X9X1</t>
  </si>
  <si>
    <t>S9X5X3</t>
  </si>
  <si>
    <t>S9X6X3/4</t>
  </si>
  <si>
    <t>S9X41/2X40</t>
  </si>
  <si>
    <t>S9X41/2X64</t>
  </si>
  <si>
    <t>S12X6X100</t>
  </si>
  <si>
    <t>S12X6X1</t>
  </si>
  <si>
    <t>S12X6X11/2</t>
  </si>
  <si>
    <t>S12X6X41/2</t>
  </si>
  <si>
    <t>S12X9X2</t>
  </si>
  <si>
    <t>S12X9X21/2</t>
  </si>
  <si>
    <t>S12X9x100</t>
  </si>
  <si>
    <t>S12X9X41/2</t>
  </si>
  <si>
    <t>S12X12X2</t>
  </si>
  <si>
    <t>S12X6X4</t>
  </si>
  <si>
    <t>S12X8X3</t>
  </si>
  <si>
    <t>S12X9X4</t>
  </si>
  <si>
    <t>S12X3X100</t>
  </si>
  <si>
    <t>S12X41/2X3</t>
  </si>
  <si>
    <t>S12X6X3</t>
  </si>
  <si>
    <t>S12X9X3</t>
  </si>
  <si>
    <t>S12X6X2</t>
  </si>
  <si>
    <t>S12X6X21/2</t>
  </si>
  <si>
    <t>S12X12X1</t>
  </si>
  <si>
    <t>S12X12X3</t>
  </si>
  <si>
    <t>S12X9X11/2</t>
  </si>
  <si>
    <t>S12X41/2X2</t>
  </si>
  <si>
    <t>S12X41/2X4</t>
  </si>
  <si>
    <t>S12X12X6</t>
  </si>
  <si>
    <t>S12X12X5</t>
  </si>
  <si>
    <t>S12X12X4</t>
  </si>
  <si>
    <t>S12X9X6</t>
  </si>
  <si>
    <t>S12X8X4</t>
  </si>
  <si>
    <t>S12X4X3</t>
  </si>
  <si>
    <t>S12X6X11/4</t>
  </si>
  <si>
    <t>S12X6X5</t>
  </si>
  <si>
    <t>S12X9X11/4</t>
  </si>
  <si>
    <t>S12X12X41/2</t>
  </si>
  <si>
    <t>S12X41/2X1</t>
  </si>
  <si>
    <t>S12X12X11/4</t>
  </si>
  <si>
    <t>S12X12X11/2</t>
  </si>
  <si>
    <t>S12X9X8</t>
  </si>
  <si>
    <t>S12X5X4</t>
  </si>
  <si>
    <t>S12X9X1</t>
  </si>
  <si>
    <t>S12X9X5</t>
  </si>
  <si>
    <t>S12X12X100</t>
  </si>
  <si>
    <t>S12X12X21/2</t>
  </si>
  <si>
    <t>S12X41/2X21/2</t>
  </si>
  <si>
    <t>S15X3X3</t>
  </si>
  <si>
    <t>S15X6X11/2</t>
  </si>
  <si>
    <t>S15X6X2</t>
  </si>
  <si>
    <t>S15X6X21/2</t>
  </si>
  <si>
    <t>S15X6X4</t>
  </si>
  <si>
    <t>S15X6X41/2</t>
  </si>
  <si>
    <t>S15X3X100</t>
  </si>
  <si>
    <t>S15X8X3</t>
  </si>
  <si>
    <t>S15X6X11/4</t>
  </si>
  <si>
    <t>S15X41/2X3</t>
  </si>
  <si>
    <t>S15X6X3</t>
  </si>
  <si>
    <t>S15X6X6</t>
  </si>
  <si>
    <t>S15X8X6</t>
  </si>
  <si>
    <t>S15X12X3</t>
  </si>
  <si>
    <t>S15X9X3</t>
  </si>
  <si>
    <t>S15X4X4</t>
  </si>
  <si>
    <t>S15X6X100</t>
  </si>
  <si>
    <t>S15X9X2</t>
  </si>
  <si>
    <t>S15X12X11/2</t>
  </si>
  <si>
    <t>S15X12X2</t>
  </si>
  <si>
    <t>S15X9X41/2</t>
  </si>
  <si>
    <t>S15X9X21/2</t>
  </si>
  <si>
    <t>S15X15X2</t>
  </si>
  <si>
    <t>S15X9X4</t>
  </si>
  <si>
    <t>S15X12X4</t>
  </si>
  <si>
    <t>S15X12X6</t>
  </si>
  <si>
    <t>S15X15X3</t>
  </si>
  <si>
    <t>S15X9X6</t>
  </si>
  <si>
    <t>S15X41/2X1</t>
  </si>
  <si>
    <t>S15X12X100</t>
  </si>
  <si>
    <t>S15X9X100</t>
  </si>
  <si>
    <t>S15X12X21/2</t>
  </si>
  <si>
    <t>S15X5X3</t>
  </si>
  <si>
    <t>S15X7X3</t>
  </si>
  <si>
    <t>S15X41/2X21/2</t>
  </si>
  <si>
    <t>S12X41/2X11/2</t>
  </si>
  <si>
    <t>S12X41/2X41/2</t>
  </si>
  <si>
    <t>S15X41/2X41/2</t>
  </si>
  <si>
    <t>S18X6X100</t>
  </si>
  <si>
    <t>S18X6X2</t>
  </si>
  <si>
    <t>S18X6X21/2</t>
  </si>
  <si>
    <t>S18X6X4</t>
  </si>
  <si>
    <t>S18X6X41/2</t>
  </si>
  <si>
    <t>S18X9X21/2</t>
  </si>
  <si>
    <t>S18X9X4</t>
  </si>
  <si>
    <t>S18X9X41/2</t>
  </si>
  <si>
    <t>S18X9X6</t>
  </si>
  <si>
    <t>S18X9X100</t>
  </si>
  <si>
    <t>S18X12X2</t>
  </si>
  <si>
    <t>S18X15X21/2</t>
  </si>
  <si>
    <t>S18X18X41/2</t>
  </si>
  <si>
    <t>S18X6X3</t>
  </si>
  <si>
    <t>S18X9X3</t>
  </si>
  <si>
    <t>S18X12X3</t>
  </si>
  <si>
    <t>S18X12X6</t>
  </si>
  <si>
    <t>S18X12X8</t>
  </si>
  <si>
    <t>S18X18X4</t>
  </si>
  <si>
    <t>S18X6X6</t>
  </si>
  <si>
    <t>S18X15X3</t>
  </si>
  <si>
    <t>S18X18X21/2</t>
  </si>
  <si>
    <t>S18X18X3</t>
  </si>
  <si>
    <t>S18X8X3</t>
  </si>
  <si>
    <t>S18X8X41/2</t>
  </si>
  <si>
    <t>S18X12X4</t>
  </si>
  <si>
    <t>S18X15X4</t>
  </si>
  <si>
    <t>S18X8X8</t>
  </si>
  <si>
    <t>S18X15X5</t>
  </si>
  <si>
    <t>S18X18X9</t>
  </si>
  <si>
    <t>S18X12X12</t>
  </si>
  <si>
    <t>S18X12X9</t>
  </si>
  <si>
    <t>S18X9X2</t>
  </si>
  <si>
    <t>S18X12X21/2</t>
  </si>
  <si>
    <t>S18X15X2</t>
  </si>
  <si>
    <t>S18X18X6</t>
  </si>
  <si>
    <t>S18X12X100</t>
  </si>
  <si>
    <t>S18X8X4</t>
  </si>
  <si>
    <t>S21X6X100</t>
  </si>
  <si>
    <t>S21X9X3</t>
  </si>
  <si>
    <t>S21X6X3</t>
  </si>
  <si>
    <t>S21X6X6</t>
  </si>
  <si>
    <t>S21X6X4</t>
  </si>
  <si>
    <t>S21X12X3</t>
  </si>
  <si>
    <t>S21X6X21/2</t>
  </si>
  <si>
    <t>S21X18X9</t>
  </si>
  <si>
    <t>S21X18X3</t>
  </si>
  <si>
    <t>S21X18X21/2</t>
  </si>
  <si>
    <t>S21X12X12</t>
  </si>
  <si>
    <t>S21X21X12</t>
  </si>
  <si>
    <t>S21X9X21/2</t>
  </si>
  <si>
    <t>S21X6X41/2</t>
  </si>
  <si>
    <t>A6X41/2X3-1</t>
  </si>
  <si>
    <t>A8X63/4X21/4</t>
  </si>
  <si>
    <t>A9X3X41/2-4</t>
  </si>
  <si>
    <t>A9X3X3-2</t>
  </si>
  <si>
    <t>A9X3X3-21/4</t>
  </si>
  <si>
    <t>A9X4X3-23/4</t>
  </si>
  <si>
    <t>A9X2X3-21/2</t>
  </si>
  <si>
    <t>A9X3X4-33/4</t>
  </si>
  <si>
    <t>A12X41/2X3-1</t>
  </si>
  <si>
    <t>A12X6X3-11/2</t>
  </si>
  <si>
    <t>A12X6X3-27/8</t>
  </si>
  <si>
    <t>A12X9X3-27/8</t>
  </si>
  <si>
    <t>A12X6X3-1</t>
  </si>
  <si>
    <t>A12X63/4X3-1</t>
  </si>
  <si>
    <t>A9X41/2X4-21/2</t>
  </si>
  <si>
    <t>A9X41/2X4-23/4</t>
  </si>
  <si>
    <t>A9X41/2X3-21/4</t>
  </si>
  <si>
    <t>A15X41/2X3-2</t>
  </si>
  <si>
    <t>A15X6X3-23/4</t>
  </si>
  <si>
    <t>A15X9X3-21/2</t>
  </si>
  <si>
    <t>A15X9X3-23/4</t>
  </si>
  <si>
    <t>A15X9X3-2</t>
  </si>
  <si>
    <t>A15X6X3-11/2</t>
  </si>
  <si>
    <t>A15X9X3-27/8</t>
  </si>
  <si>
    <t>A15X41/2X3-23/4</t>
  </si>
  <si>
    <t>A18X9X3-27/8</t>
  </si>
  <si>
    <t>A18X9X3-1</t>
  </si>
  <si>
    <t>A18X6X3-27/8</t>
  </si>
  <si>
    <t>A18X41/2X3-1</t>
  </si>
  <si>
    <t>A18X9X4-3</t>
  </si>
  <si>
    <t>A18X63/4X3-2</t>
  </si>
  <si>
    <t>A18X12X3-21/2</t>
  </si>
  <si>
    <t>PARALELOS ASTM</t>
  </si>
  <si>
    <t>ARCOS ASTM</t>
  </si>
  <si>
    <t>CUNHA ASTM</t>
  </si>
  <si>
    <t>W6X6X3-21/2</t>
  </si>
  <si>
    <t>W6X6X3-23/4</t>
  </si>
  <si>
    <t>W6X6X3-2</t>
  </si>
  <si>
    <t>W7X6-513/32X</t>
  </si>
  <si>
    <t>W7X6-5X100</t>
  </si>
  <si>
    <t>W9X63/4X3-2</t>
  </si>
  <si>
    <t>W9X9X3-1</t>
  </si>
  <si>
    <t>W9X6X3-21/2</t>
  </si>
  <si>
    <t>W9X6X3-2</t>
  </si>
  <si>
    <t>W9X9X3-21/2</t>
  </si>
  <si>
    <t>W9X9X3-2</t>
  </si>
  <si>
    <t>W9X6X3-23/4</t>
  </si>
  <si>
    <t>W9X9X3-23/4</t>
  </si>
  <si>
    <t>W9X41/2X3-2</t>
  </si>
  <si>
    <t>W9X41/2X3-1</t>
  </si>
  <si>
    <t>W9X6X3-27/8</t>
  </si>
  <si>
    <t>W9X9X3-27/8</t>
  </si>
  <si>
    <t>W9X9X31/2-3</t>
  </si>
  <si>
    <t>W9X41/2X4-3</t>
  </si>
  <si>
    <t>W9X6X31/2-3</t>
  </si>
  <si>
    <t>W9X6X3-11/2</t>
  </si>
  <si>
    <t>W9X5X100-95</t>
  </si>
  <si>
    <t>W9X5X3-23/4</t>
  </si>
  <si>
    <t>W9X9X100-95</t>
  </si>
  <si>
    <t>W9X5X100-90</t>
  </si>
  <si>
    <t>W9X5X3-21/2</t>
  </si>
  <si>
    <t>W9X5X3-2</t>
  </si>
  <si>
    <t>W9X5X3-11/2</t>
  </si>
  <si>
    <t>W8X63/4X100-90</t>
  </si>
  <si>
    <t>W8X63/4X3-21/2</t>
  </si>
  <si>
    <t>W8X63/4X3-23/4</t>
  </si>
  <si>
    <t>W8X63/4X100-95</t>
  </si>
  <si>
    <t>W9X41/2X3-23/4</t>
  </si>
  <si>
    <t>W9X63/4X100-90</t>
  </si>
  <si>
    <t>W9X63/4X3-23/4</t>
  </si>
  <si>
    <t>W9X41/2X3-21/2</t>
  </si>
  <si>
    <t>W9X63/4X3-21/2</t>
  </si>
  <si>
    <t>W9X41/2X3-27/8</t>
  </si>
  <si>
    <t>W9X63/4X21/2-11/2</t>
  </si>
  <si>
    <t>W9X6X31/2-23/4</t>
  </si>
  <si>
    <t>W9X6X31/2-21/2</t>
  </si>
  <si>
    <t>W9X9X31/2-23/4</t>
  </si>
  <si>
    <t>W9X41/2X3-11/2</t>
  </si>
  <si>
    <t>W9X63/4X3-27/8</t>
  </si>
  <si>
    <t>W9X41/2X100-90</t>
  </si>
  <si>
    <t>W9X41/2X4-23/4</t>
  </si>
  <si>
    <t>W9X41/2X4-21/2</t>
  </si>
  <si>
    <t>W9X9X31/2-27/8</t>
  </si>
  <si>
    <t>W9X41/2X100-95</t>
  </si>
  <si>
    <t>W12X41/2X3-2</t>
  </si>
  <si>
    <t>W12X6X3-2</t>
  </si>
  <si>
    <t>W12X9X3-2</t>
  </si>
  <si>
    <t>W12X6X3-21/2</t>
  </si>
  <si>
    <t>W12X9X3-21/2</t>
  </si>
  <si>
    <t>W12X9X4-3</t>
  </si>
  <si>
    <t>W12X41/2X3-1</t>
  </si>
  <si>
    <t>W12X6X3-23/4</t>
  </si>
  <si>
    <t>W12X9X3-23/4</t>
  </si>
  <si>
    <t>W12X6X3-27/8</t>
  </si>
  <si>
    <t>W12X9X3-27/8</t>
  </si>
  <si>
    <t>W12X12X3-2</t>
  </si>
  <si>
    <t>W12X63/4X3-2</t>
  </si>
  <si>
    <t>W12X6X6-5</t>
  </si>
  <si>
    <t>W12X9X102-92</t>
  </si>
  <si>
    <t>W12X41/2X102</t>
  </si>
  <si>
    <t>W12X9X102-82</t>
  </si>
  <si>
    <t>W12X6X102-82</t>
  </si>
  <si>
    <t>W12X9X102-62</t>
  </si>
  <si>
    <t>W12X9X3-11/2</t>
  </si>
  <si>
    <t>W12X41/2X3-23/4</t>
  </si>
  <si>
    <t>W12X41/2X3-21/2</t>
  </si>
  <si>
    <t>W12X12X3-21/2</t>
  </si>
  <si>
    <t>W12X63/4X3-23/4</t>
  </si>
  <si>
    <t>W12X63/4X3-21/2</t>
  </si>
  <si>
    <t>W12X41/2X3-27/8</t>
  </si>
  <si>
    <t>W12X12X3-27/8</t>
  </si>
  <si>
    <t>W12X12X3-23/4</t>
  </si>
  <si>
    <t>FE Anchors</t>
  </si>
  <si>
    <t>RADIAL ASTM</t>
  </si>
  <si>
    <t>ISO CIMENTO</t>
  </si>
  <si>
    <t>B216</t>
  </si>
  <si>
    <t>B316</t>
  </si>
  <si>
    <t>B416</t>
  </si>
  <si>
    <t>B616</t>
  </si>
  <si>
    <t>B716</t>
  </si>
  <si>
    <t>B518</t>
  </si>
  <si>
    <t>B520</t>
  </si>
  <si>
    <t>B820</t>
  </si>
  <si>
    <t>B522</t>
  </si>
  <si>
    <t>B822</t>
  </si>
  <si>
    <t>B225</t>
  </si>
  <si>
    <t>B230</t>
  </si>
  <si>
    <t>B430</t>
  </si>
  <si>
    <t>B730</t>
  </si>
  <si>
    <t>B218L300</t>
  </si>
  <si>
    <t>B318L300</t>
  </si>
  <si>
    <t>B418L300</t>
  </si>
  <si>
    <t>B618L300</t>
  </si>
  <si>
    <t>B220L300</t>
  </si>
  <si>
    <t>B320L300</t>
  </si>
  <si>
    <t>B420L300</t>
  </si>
  <si>
    <t>B520L300</t>
  </si>
  <si>
    <t>B620L300</t>
  </si>
  <si>
    <t>B820L300</t>
  </si>
  <si>
    <t>B222L300</t>
  </si>
  <si>
    <t>B322L300</t>
  </si>
  <si>
    <t>B422L300</t>
  </si>
  <si>
    <t>B522L300</t>
  </si>
  <si>
    <t>B622L300</t>
  </si>
  <si>
    <t>B822L300</t>
  </si>
  <si>
    <t>B225L300</t>
  </si>
  <si>
    <t>B325L300</t>
  </si>
  <si>
    <t>B425L300</t>
  </si>
  <si>
    <t>B625L300</t>
  </si>
  <si>
    <t>B725L300</t>
  </si>
  <si>
    <t>B825L300</t>
  </si>
  <si>
    <t>B220L250</t>
  </si>
  <si>
    <t>B320L250</t>
  </si>
  <si>
    <t>B420L250</t>
  </si>
  <si>
    <t>B620L250</t>
  </si>
  <si>
    <t>B222L250</t>
  </si>
  <si>
    <t>B322L250</t>
  </si>
  <si>
    <t>B422L250</t>
  </si>
  <si>
    <t>B622L250</t>
  </si>
  <si>
    <t>B822L250</t>
  </si>
  <si>
    <t>B425L250</t>
  </si>
  <si>
    <t>KEY BRICKS</t>
  </si>
  <si>
    <t>PB160</t>
  </si>
  <si>
    <t>PB161</t>
  </si>
  <si>
    <t>PB180</t>
  </si>
  <si>
    <t>PB181</t>
  </si>
  <si>
    <t>PB183**</t>
  </si>
  <si>
    <t>PB200</t>
  </si>
  <si>
    <t>PB201</t>
  </si>
  <si>
    <t>PB203**</t>
  </si>
  <si>
    <t>PB220</t>
  </si>
  <si>
    <t>PB221</t>
  </si>
  <si>
    <t>PB223**</t>
  </si>
  <si>
    <t>PB250</t>
  </si>
  <si>
    <t>PB251</t>
  </si>
  <si>
    <t>PB253**</t>
  </si>
  <si>
    <t>PB300</t>
  </si>
  <si>
    <t>PB301</t>
  </si>
  <si>
    <t>PB160L300</t>
  </si>
  <si>
    <t>PB161L300</t>
  </si>
  <si>
    <t>PB180L300</t>
  </si>
  <si>
    <t>PB181L300</t>
  </si>
  <si>
    <t>PB200L300</t>
  </si>
  <si>
    <t>PB201L300</t>
  </si>
  <si>
    <t>PB220L300</t>
  </si>
  <si>
    <t>PB221L300</t>
  </si>
  <si>
    <t>PB250L300</t>
  </si>
  <si>
    <t>PB251L300</t>
  </si>
  <si>
    <t>PB300L300</t>
  </si>
  <si>
    <t>PB301L300</t>
  </si>
  <si>
    <t>PB160L250</t>
  </si>
  <si>
    <t>PB161L250</t>
  </si>
  <si>
    <t>PB180L250</t>
  </si>
  <si>
    <t>PB181L250</t>
  </si>
  <si>
    <t>PB200L250</t>
  </si>
  <si>
    <t>PB201L250</t>
  </si>
  <si>
    <t>PB220L250</t>
  </si>
  <si>
    <t>PB221L250</t>
  </si>
  <si>
    <t>PB250L250</t>
  </si>
  <si>
    <t>PB251L250</t>
  </si>
  <si>
    <t>PB300L250</t>
  </si>
  <si>
    <t>PB301L250</t>
  </si>
  <si>
    <t>218L300</t>
  </si>
  <si>
    <t>318L300</t>
  </si>
  <si>
    <t>418L300</t>
  </si>
  <si>
    <t>618L300</t>
  </si>
  <si>
    <t>220L300</t>
  </si>
  <si>
    <t>320L300</t>
  </si>
  <si>
    <t>420L300</t>
  </si>
  <si>
    <t>520L300</t>
  </si>
  <si>
    <t>620L300</t>
  </si>
  <si>
    <t>820L300</t>
  </si>
  <si>
    <t>222L300</t>
  </si>
  <si>
    <t>322L300</t>
  </si>
  <si>
    <t>422L300</t>
  </si>
  <si>
    <t>522L300</t>
  </si>
  <si>
    <t>622L300</t>
  </si>
  <si>
    <t>822L300</t>
  </si>
  <si>
    <t>225L300</t>
  </si>
  <si>
    <t>325L300</t>
  </si>
  <si>
    <t>425L300</t>
  </si>
  <si>
    <t>525L300</t>
  </si>
  <si>
    <t>625L300</t>
  </si>
  <si>
    <t>825L300</t>
  </si>
  <si>
    <t>230L300</t>
  </si>
  <si>
    <t>330L300</t>
  </si>
  <si>
    <t>430L300</t>
  </si>
  <si>
    <t>830L300</t>
  </si>
  <si>
    <t>435L300</t>
  </si>
  <si>
    <t>835L300</t>
  </si>
  <si>
    <t>220L250</t>
  </si>
  <si>
    <t>320L250</t>
  </si>
  <si>
    <t>620L250</t>
  </si>
  <si>
    <t>322L250</t>
  </si>
  <si>
    <t>422L250</t>
  </si>
  <si>
    <t>622L250</t>
  </si>
  <si>
    <t>822L250</t>
  </si>
  <si>
    <t>425L250</t>
  </si>
  <si>
    <t>825L250</t>
  </si>
  <si>
    <t>Silica e silicato Brasil</t>
  </si>
  <si>
    <t>Placa de FC Brasil</t>
  </si>
  <si>
    <t>SUPETHERM - 1800 E 2000</t>
  </si>
  <si>
    <t>PYROSTOP BOARD - Spezial - Extra</t>
  </si>
  <si>
    <t>PYROSTOP CARTO - 75 - 110</t>
  </si>
  <si>
    <t>Silplate</t>
  </si>
  <si>
    <t>PYROSTOP FELT</t>
  </si>
  <si>
    <t>PYROSTOP SUPERFELT</t>
  </si>
  <si>
    <t>NOVAS DIMENSÕES</t>
  </si>
  <si>
    <t>80.000x500x0,5</t>
  </si>
  <si>
    <t>40.000x500x0,5</t>
  </si>
  <si>
    <t>20.000x500x1</t>
  </si>
  <si>
    <t>40.000x500x1</t>
  </si>
  <si>
    <t>10.000x500x2</t>
  </si>
  <si>
    <t>20.000x500x2</t>
  </si>
  <si>
    <t>10.000x500x3</t>
  </si>
  <si>
    <t>15.000x500x3</t>
  </si>
  <si>
    <t>20.000x500x3</t>
  </si>
  <si>
    <t>10.000x500x4</t>
  </si>
  <si>
    <t>10.000x500x5</t>
  </si>
  <si>
    <t>10.000x500x6</t>
  </si>
  <si>
    <t>PYROSTOP PAPIER</t>
  </si>
  <si>
    <t>THK.1mm</t>
  </si>
  <si>
    <t>THK.2mm</t>
  </si>
  <si>
    <t>THK.3mm</t>
  </si>
  <si>
    <t>THK.6mm</t>
  </si>
  <si>
    <t>THK.13mm</t>
  </si>
  <si>
    <t>THK.19mm</t>
  </si>
  <si>
    <t>THK.25mm</t>
  </si>
  <si>
    <t>PAPER AND BLANKET m²</t>
  </si>
  <si>
    <t>PAPER &amp; BLANKET</t>
  </si>
  <si>
    <t>14640x610x13</t>
  </si>
  <si>
    <t>9760x610x19</t>
  </si>
  <si>
    <t>7320x610x25</t>
  </si>
  <si>
    <t>4880x610x38</t>
  </si>
  <si>
    <t>3660x610x50</t>
  </si>
  <si>
    <t>ROLO</t>
  </si>
  <si>
    <t>PYROSTOP BLANKET</t>
  </si>
  <si>
    <t>THK.38mm</t>
  </si>
  <si>
    <t>THK.50mm</t>
  </si>
  <si>
    <t>RADIAL EUROPA</t>
  </si>
  <si>
    <t>AÇOS &amp; ELETRODOS</t>
  </si>
  <si>
    <t>AISI 304 (1.4301)</t>
  </si>
  <si>
    <t>AISI 309 (1.4828)</t>
  </si>
  <si>
    <t xml:space="preserve">AISI 310 (1.4841) </t>
  </si>
  <si>
    <t>AISI 310S (1.4845)</t>
  </si>
  <si>
    <t>SAE1020 (1.0402)</t>
  </si>
  <si>
    <t xml:space="preserve">AISI 314 (1.4841) </t>
  </si>
  <si>
    <t>SUPETHERM 1800</t>
  </si>
  <si>
    <t>SUPETHERM 2000</t>
  </si>
  <si>
    <t>PYROSTOP BLANKET 64/1260</t>
  </si>
  <si>
    <t>PYROSTOP BLANKET 96/1260</t>
  </si>
  <si>
    <t>PYROSTOP BLANKET 128/1260</t>
  </si>
  <si>
    <t>PYROSTOP BLANKET 160/1260</t>
  </si>
  <si>
    <t>PYROSTOP BLANKET 64/1430</t>
  </si>
  <si>
    <t>PYROSTOP BLANKET 96/1430</t>
  </si>
  <si>
    <t>PYROSTOP BLANKET 128/1430</t>
  </si>
  <si>
    <t>PYROSTOP BLANKET 160/1430</t>
  </si>
  <si>
    <t>PYROSTOP BLANKET SW 96/1300</t>
  </si>
  <si>
    <t>PYROSTOP BLANKET SW 128/1300</t>
  </si>
  <si>
    <t>PYROSTOP BLANKET SW 160/1300</t>
  </si>
  <si>
    <t>PYROSTOP BLANKET 80/1600</t>
  </si>
  <si>
    <t>PYROSTOP BLANKET 100/1600</t>
  </si>
  <si>
    <t>PYROSTOP BLANKET S80/1500</t>
  </si>
  <si>
    <t>PYROSTOP BOARD SPEZIAL</t>
  </si>
  <si>
    <t>PYROSTOP BOARD EXTRA</t>
  </si>
  <si>
    <t>PYROSTOP BOARD 1260</t>
  </si>
  <si>
    <t>PYROSTOP BOARD 1400</t>
  </si>
  <si>
    <t>PYROSTOP BOARD SW 1300</t>
  </si>
  <si>
    <t>PYROSTOP BOARD 1600</t>
  </si>
  <si>
    <t>PYROSTOP CARTO 75</t>
  </si>
  <si>
    <t>PYROSTOP CARTO 110</t>
  </si>
  <si>
    <t>PYROSTOP FELT 96/1320</t>
  </si>
  <si>
    <t>PYROSTOP FELT 128/1320</t>
  </si>
  <si>
    <t>PYROSTOP FELT 160/1320</t>
  </si>
  <si>
    <t>PYROSTOP FELT 192/1320</t>
  </si>
  <si>
    <t>PYROSTOP FELT 288/1320</t>
  </si>
  <si>
    <t>PYROSTOP FELT SW96/1300</t>
  </si>
  <si>
    <t>PYROSTOP FELT SW128/1300</t>
  </si>
  <si>
    <t>PYROSTOP FELT SW160/1300</t>
  </si>
  <si>
    <t>PYROSTOP FELT SW192/1300</t>
  </si>
  <si>
    <t>PYROSTOP FELT SW288/1300</t>
  </si>
  <si>
    <t>PYROSTOP SUPERFELT 1300</t>
  </si>
  <si>
    <t>PYROSTOP SUPERFELT 1400</t>
  </si>
  <si>
    <t>PYROSTOP SUPERFELT 1600</t>
  </si>
  <si>
    <t>PYROSTOP PAPIER 1260</t>
  </si>
  <si>
    <t>PYROSTOP PAPIER 1400</t>
  </si>
  <si>
    <t>PYROSTOP PAPIER 1600</t>
  </si>
  <si>
    <t>PYROSTOP PAPIER SW1300</t>
  </si>
  <si>
    <t>SILPLATE 1515</t>
  </si>
  <si>
    <t>CER. FIBER BLANKET 96/1260</t>
  </si>
  <si>
    <t>CER. FIBER BLANKET 128/1260</t>
  </si>
  <si>
    <t>CER. FIBER BLANKET 160/1260</t>
  </si>
  <si>
    <t>CER. FIBER BLANKET 192/1260</t>
  </si>
  <si>
    <t>CER. FIBER BOARD 220/1260</t>
  </si>
  <si>
    <t>CER. FIBER WOOL 96/1260</t>
  </si>
  <si>
    <t>CER. FIBER WOOL  128/1260</t>
  </si>
  <si>
    <t>CER. FIBER FELT 210/1260</t>
  </si>
  <si>
    <t>CER. FIBER PAPER 210/1260</t>
  </si>
  <si>
    <t>CER. FIBER BLANKET 128/1430</t>
  </si>
  <si>
    <t>CER. FIBER BLANKET 96/1430</t>
  </si>
  <si>
    <t>CER. FIBER BLANKET 160/1430</t>
  </si>
  <si>
    <t>CER. FIBER BLANKET 192/1430</t>
  </si>
  <si>
    <t>CER. FIBER BOARD 220/1430</t>
  </si>
  <si>
    <t>CER. FIBER WOOL 96/1430</t>
  </si>
  <si>
    <t>CER. FIBER WOOL 128/1430</t>
  </si>
  <si>
    <t>CER. FIBER FELT 210/1430</t>
  </si>
  <si>
    <t>CER. FIBER PAPER 210/1430</t>
  </si>
  <si>
    <t>A12X41/2X3-27/8</t>
  </si>
  <si>
    <t>SUPETHERM 1800IP</t>
  </si>
  <si>
    <t>SUPETHERM 2000IP</t>
  </si>
  <si>
    <t>DIKASIL SK</t>
  </si>
  <si>
    <t>2kg/m²</t>
  </si>
  <si>
    <t>MORTAR CALCULATION</t>
  </si>
  <si>
    <t>Impermeabilizante para Supetherm</t>
  </si>
  <si>
    <t>Impermeabilizante para Silica/Silicato</t>
  </si>
  <si>
    <t>CÁLCULO CONE - 2 TIJOLOS</t>
  </si>
  <si>
    <t>CÁLCULO CONE 3 TIJOLOS (PEÇA DE TOMBAMENTO)</t>
  </si>
  <si>
    <t>Europa</t>
  </si>
  <si>
    <t>Electrode 3,2x350mm</t>
  </si>
  <si>
    <t>Américas</t>
  </si>
  <si>
    <t xml:space="preserve">E309-17    </t>
  </si>
  <si>
    <t xml:space="preserve">E310-16    </t>
  </si>
  <si>
    <t>Américas aço 304</t>
  </si>
  <si>
    <t>Américas aço 310</t>
  </si>
  <si>
    <t xml:space="preserve">WOOL </t>
  </si>
  <si>
    <t>SU BRICKS</t>
  </si>
  <si>
    <t>SU345</t>
  </si>
  <si>
    <t>SU430</t>
  </si>
  <si>
    <t>SU460</t>
  </si>
  <si>
    <t>SU660</t>
  </si>
  <si>
    <t>SU645</t>
  </si>
  <si>
    <t>SU445</t>
  </si>
  <si>
    <t>SU530</t>
  </si>
  <si>
    <t>SU545</t>
  </si>
  <si>
    <t>SU560</t>
  </si>
  <si>
    <t>SU630</t>
  </si>
  <si>
    <t>SU745</t>
  </si>
  <si>
    <t>SU760</t>
  </si>
  <si>
    <t>SU945</t>
  </si>
  <si>
    <t>SU960</t>
  </si>
  <si>
    <t>SU736</t>
  </si>
  <si>
    <t>SU860</t>
  </si>
  <si>
    <t>SU636</t>
  </si>
  <si>
    <t>SU845</t>
  </si>
  <si>
    <t>SU730</t>
  </si>
  <si>
    <t>SU660-3</t>
  </si>
  <si>
    <t>SU430-3</t>
  </si>
  <si>
    <t>SU445-3</t>
  </si>
  <si>
    <t>SU460-3</t>
  </si>
  <si>
    <t>SU545-3</t>
  </si>
  <si>
    <t>SU360</t>
  </si>
  <si>
    <t>SU945-3</t>
  </si>
  <si>
    <t>SU360-3</t>
  </si>
  <si>
    <t>SU536-3</t>
  </si>
  <si>
    <t>SU245</t>
  </si>
  <si>
    <t>SU345-3</t>
  </si>
  <si>
    <t>SU560-3</t>
  </si>
  <si>
    <t>SU630-3</t>
  </si>
  <si>
    <t>SU645-3</t>
  </si>
  <si>
    <t>SU730-3</t>
  </si>
  <si>
    <t>SU745-3</t>
  </si>
  <si>
    <t>SU760-3</t>
  </si>
  <si>
    <t>SU845-3</t>
  </si>
  <si>
    <t>SU860-3</t>
  </si>
  <si>
    <t>SU960-3</t>
  </si>
  <si>
    <t>CÁLCULO CONE - 1 TIJOLO (Perímetro)</t>
  </si>
  <si>
    <t>SU536</t>
  </si>
  <si>
    <t>SU530-3</t>
  </si>
  <si>
    <t>Liquid Binder - Frost protected</t>
  </si>
  <si>
    <t>Accelerator</t>
  </si>
  <si>
    <t>Accelerator / waterproofing</t>
  </si>
  <si>
    <t>Quando usar Accelerator CC verificar se há necessidade de 500kg de lubrificante</t>
  </si>
  <si>
    <t>SINDOFORM R40-6-US</t>
  </si>
  <si>
    <t>SINDOFORM R40-3-US</t>
  </si>
  <si>
    <t>SINDOFORM K45Z-US</t>
  </si>
  <si>
    <t>RESISTAL B70</t>
  </si>
  <si>
    <t>DIDURIT B62-5-BR</t>
  </si>
  <si>
    <t>JEBFIL BF85LD-CA</t>
  </si>
  <si>
    <t>COMPRIT M60-5-MX</t>
  </si>
  <si>
    <t>SILPLATE 1108 L</t>
  </si>
  <si>
    <t>JEBCO RAM D1-US</t>
  </si>
  <si>
    <t>SAFETY LINING - BOTTOM</t>
  </si>
  <si>
    <t>SAFETY LINING - WALL</t>
  </si>
  <si>
    <t>WORKING LINING - WALL</t>
  </si>
  <si>
    <t>WORKING LINING - BOTTOM</t>
  </si>
  <si>
    <t>25/0/75</t>
  </si>
  <si>
    <t>S131/2X6X100</t>
  </si>
  <si>
    <t>SL1064</t>
  </si>
  <si>
    <t>V</t>
  </si>
  <si>
    <t>K63/4X3X152-145</t>
  </si>
  <si>
    <t>K63/4X3X41/2-4</t>
  </si>
  <si>
    <t>K63/4X3X4,5-3,5</t>
  </si>
  <si>
    <t>K9X3X41/2-47/16</t>
  </si>
  <si>
    <t>K9X3X41/2-45/16</t>
  </si>
  <si>
    <t>K9X3X41/2-41/4</t>
  </si>
  <si>
    <t>K9X3X41/2-4</t>
  </si>
  <si>
    <t>K9X3X41/2-33/4</t>
  </si>
  <si>
    <t>K9X3X41/2-31/2</t>
  </si>
  <si>
    <t>K9X3X41/2-3</t>
  </si>
  <si>
    <t>K9X3X41/2-21/2</t>
  </si>
  <si>
    <t>K9X3X41/2-21/4</t>
  </si>
  <si>
    <t>K9X3X6-55/8</t>
  </si>
  <si>
    <t>K9X3X6-51/2</t>
  </si>
  <si>
    <t>K9X3X6-5,39</t>
  </si>
  <si>
    <t>K9X3X6-53/8</t>
  </si>
  <si>
    <t>K9X3X6-51/4</t>
  </si>
  <si>
    <t>K9X3X6-5</t>
  </si>
  <si>
    <t>K9X3X6-413/16</t>
  </si>
  <si>
    <t>K9X3X6-41/2</t>
  </si>
  <si>
    <t>K9X3X6-4</t>
  </si>
  <si>
    <t>K9X3X6-33/4</t>
  </si>
  <si>
    <t>K9X3X6-3</t>
  </si>
  <si>
    <t>K9X4X6-53/8</t>
  </si>
  <si>
    <t>K9X4X6-413/16</t>
  </si>
  <si>
    <t>K9X4X6-3</t>
  </si>
  <si>
    <t>K9X4X41/2-4</t>
  </si>
  <si>
    <t>K12X3X6-57/8</t>
  </si>
  <si>
    <t>K12X3X6-51/2</t>
  </si>
  <si>
    <t>K12X3X6-51/4</t>
  </si>
  <si>
    <t>K12X3X6-51/8</t>
  </si>
  <si>
    <t>K12X3X6-5</t>
  </si>
  <si>
    <t>K12X3X6-41/2</t>
  </si>
  <si>
    <t>K12X3X6-41/8</t>
  </si>
  <si>
    <t>K12X3X6-4</t>
  </si>
  <si>
    <t>K12X3X6-3</t>
  </si>
  <si>
    <t>K131/2X3X6-53/4</t>
  </si>
  <si>
    <t>K131/2X3X6-51/2</t>
  </si>
  <si>
    <t>K131/2X3X6-53/8</t>
  </si>
  <si>
    <t>K131/2X3X6-51/4</t>
  </si>
  <si>
    <t>K131/2X3X6-5,19</t>
  </si>
  <si>
    <t>K131/2X3X6-51/8</t>
  </si>
  <si>
    <t>K131/2X3X6-5</t>
  </si>
  <si>
    <t>K131/2X3X6-41/2</t>
  </si>
  <si>
    <t>K131/2X3X6-43/8</t>
  </si>
  <si>
    <t>K131/2X3X6-4</t>
  </si>
  <si>
    <t>K131/2X3X6-33/4</t>
  </si>
  <si>
    <t>K131/2X3X6-31/2</t>
  </si>
  <si>
    <t>K131/2X3X6-3</t>
  </si>
  <si>
    <t>K131/2X4X6-5</t>
  </si>
  <si>
    <t>K15X3X6-53/4</t>
  </si>
  <si>
    <t>K15X3X6-51/2</t>
  </si>
  <si>
    <t>K15X3X6-53/8</t>
  </si>
  <si>
    <t>K15X3X6-51/4</t>
  </si>
  <si>
    <t>K15X3X6-5</t>
  </si>
  <si>
    <t>K15X3X6-413/16</t>
  </si>
  <si>
    <t>K15X3X6-425/32</t>
  </si>
  <si>
    <t>K15X3X6-41/2</t>
  </si>
  <si>
    <t>K15X3X6-43/8</t>
  </si>
  <si>
    <t>K15X3X6-4</t>
  </si>
  <si>
    <t>K15X3X6-31/2</t>
  </si>
  <si>
    <t>K15X3X6-3</t>
  </si>
  <si>
    <t>K18X3X6-53/4</t>
  </si>
  <si>
    <t>K18X3X6-55/8</t>
  </si>
  <si>
    <t>K18X3X6-51/2</t>
  </si>
  <si>
    <t>K18X3X6-53/8</t>
  </si>
  <si>
    <t>K18X3X6-51/4</t>
  </si>
  <si>
    <t>K18X3X6-53/16</t>
  </si>
  <si>
    <t>K18X3X6-51/8</t>
  </si>
  <si>
    <t>K18X3X6-5</t>
  </si>
  <si>
    <t>K18X3X6-413/16</t>
  </si>
  <si>
    <t>K18X3X6-44/5</t>
  </si>
  <si>
    <t>K18X3X6-41/2</t>
  </si>
  <si>
    <t>K18X3X6-4</t>
  </si>
  <si>
    <t>K18X3X6-31/2</t>
  </si>
  <si>
    <t>K18X3X6-33/8</t>
  </si>
  <si>
    <t>K18X3X6-3</t>
  </si>
  <si>
    <t>K21X3X6-51/2</t>
  </si>
  <si>
    <t>K21X3X6-51/16</t>
  </si>
  <si>
    <t>K21X3X6-5</t>
  </si>
  <si>
    <t>K21X3X6-413/16</t>
  </si>
  <si>
    <t>K21X3X6-41/2</t>
  </si>
  <si>
    <t>K21X3X6-4</t>
  </si>
  <si>
    <t>K21X3X6-31/2</t>
  </si>
  <si>
    <t>K21X3X6-3</t>
  </si>
  <si>
    <t>K21X3X6-2</t>
  </si>
  <si>
    <t>K24X3X6-51/2</t>
  </si>
  <si>
    <t>K24X3X6-5</t>
  </si>
  <si>
    <t>K24X3X6-413/16</t>
  </si>
  <si>
    <t>K24X3X6-41/2</t>
  </si>
  <si>
    <t>K24X3X6-4</t>
  </si>
  <si>
    <t>K24X3X6-31/2</t>
  </si>
  <si>
    <t>K24X3X6-3</t>
  </si>
  <si>
    <t>K27X3X6-51/2</t>
  </si>
  <si>
    <t>K27X3X6-5</t>
  </si>
  <si>
    <t>K27X3X6-47/8</t>
  </si>
  <si>
    <t>K27X3X6-413/16</t>
  </si>
  <si>
    <t>K27X3X6-41/2</t>
  </si>
  <si>
    <t>K27X3X6-4</t>
  </si>
  <si>
    <t>K27X3X6-31/2</t>
  </si>
  <si>
    <t>K30X3X6-51/2</t>
  </si>
  <si>
    <t>K30X3X6-5</t>
  </si>
  <si>
    <t>K30X3X6-413/16</t>
  </si>
  <si>
    <t>K30X3X6-43/4</t>
  </si>
  <si>
    <t>K30X3X6-41/2</t>
  </si>
  <si>
    <t>K30X3X6-4</t>
  </si>
  <si>
    <t>H</t>
  </si>
  <si>
    <t>K9X6-51/2X100</t>
  </si>
  <si>
    <t>RE</t>
  </si>
  <si>
    <t>K9X6-41/2X100</t>
  </si>
  <si>
    <t>K9X6-3X100</t>
  </si>
  <si>
    <t>K12X6-51/2X100</t>
  </si>
  <si>
    <t>K12X6-5X100</t>
  </si>
  <si>
    <t>K12X6-41/2X100</t>
  </si>
  <si>
    <t>K12X6-3X100</t>
  </si>
  <si>
    <t>K131/2X6-5X100</t>
  </si>
  <si>
    <t>K131/2X6-4X100</t>
  </si>
  <si>
    <t>K131/2X6-3X100</t>
  </si>
  <si>
    <t>K15X6-51/2X100</t>
  </si>
  <si>
    <t>K15X6-5X100</t>
  </si>
  <si>
    <t>K15X6-4X100</t>
  </si>
  <si>
    <t>K15X6-3X100</t>
  </si>
  <si>
    <t>K18X6-51/2X100</t>
  </si>
  <si>
    <t>K18X6-5X100</t>
  </si>
  <si>
    <t>K18X6-4X100</t>
  </si>
  <si>
    <t>K18X6-33/8X100</t>
  </si>
  <si>
    <t>K21X6-5X100</t>
  </si>
  <si>
    <t>K21X6-4X100</t>
  </si>
  <si>
    <t>K21X6-3X100</t>
  </si>
  <si>
    <t>K24X6-5X100</t>
  </si>
  <si>
    <t>K24X6-4X100</t>
  </si>
  <si>
    <t>K24X6-3X100</t>
  </si>
  <si>
    <t>K27X6-5X100</t>
  </si>
  <si>
    <t>K27X6-4X100</t>
  </si>
  <si>
    <t>K27X6-3X100</t>
  </si>
  <si>
    <t>K27X6-2X100</t>
  </si>
  <si>
    <t>D252X4,5A30</t>
  </si>
  <si>
    <t>D252X4,5-4A30</t>
  </si>
  <si>
    <t>D252X4,5-3A30</t>
  </si>
  <si>
    <t>D302X4,5-4A30</t>
  </si>
  <si>
    <t>D302X4,5-3A30</t>
  </si>
  <si>
    <t>D352X6-5,5A30</t>
  </si>
  <si>
    <t>D352X6-4,5A30</t>
  </si>
  <si>
    <t>D352X6-3A30</t>
  </si>
  <si>
    <t>DCY15/1/3,5A30</t>
  </si>
  <si>
    <t>DCY15/0/4,5A30</t>
  </si>
  <si>
    <t>DCY15/0,5/4A30</t>
  </si>
  <si>
    <t>1K</t>
  </si>
  <si>
    <t>1K-76</t>
  </si>
  <si>
    <t>2K</t>
  </si>
  <si>
    <t>2K-76</t>
  </si>
  <si>
    <t>3K</t>
  </si>
  <si>
    <t>3K-76</t>
  </si>
  <si>
    <t>1D</t>
  </si>
  <si>
    <t>2D-76</t>
  </si>
  <si>
    <t xml:space="preserve"> 3-32</t>
  </si>
  <si>
    <t>3B</t>
  </si>
  <si>
    <t>3D</t>
  </si>
  <si>
    <t>3L</t>
  </si>
  <si>
    <t>3L-76</t>
  </si>
  <si>
    <t>P6</t>
  </si>
  <si>
    <t>1G4-76</t>
  </si>
  <si>
    <t>1G10-76</t>
  </si>
  <si>
    <t>1G16-76</t>
  </si>
  <si>
    <t>1G24-76</t>
  </si>
  <si>
    <t>1G50-76</t>
  </si>
  <si>
    <t>1GG4-76</t>
  </si>
  <si>
    <t>1GG10-76</t>
  </si>
  <si>
    <t>1GG16-76</t>
  </si>
  <si>
    <t>1GG24-76</t>
  </si>
  <si>
    <t>1GG50</t>
  </si>
  <si>
    <t>1GG50-76</t>
  </si>
  <si>
    <t>2G4-76</t>
  </si>
  <si>
    <t>2G10-76</t>
  </si>
  <si>
    <t>2G16-76</t>
  </si>
  <si>
    <t>2G24-76</t>
  </si>
  <si>
    <t>2G50-76</t>
  </si>
  <si>
    <t>2GG4-76</t>
  </si>
  <si>
    <t>2GG10-76</t>
  </si>
  <si>
    <t>2GG16-76</t>
  </si>
  <si>
    <t>2GG24-76</t>
  </si>
  <si>
    <t>2GG50-76</t>
  </si>
  <si>
    <t>1H6-76</t>
  </si>
  <si>
    <t>1H10-76</t>
  </si>
  <si>
    <t>1H16-76</t>
  </si>
  <si>
    <t>1H24-76</t>
  </si>
  <si>
    <t>1H50-76</t>
  </si>
  <si>
    <t>1HL6-76</t>
  </si>
  <si>
    <t>1HL10</t>
  </si>
  <si>
    <t>1HL10-76</t>
  </si>
  <si>
    <t>1HL16</t>
  </si>
  <si>
    <t>1HL16-76</t>
  </si>
  <si>
    <t>1HL24</t>
  </si>
  <si>
    <t>1HL24-76</t>
  </si>
  <si>
    <t>1HL50</t>
  </si>
  <si>
    <t>1HL50-76</t>
  </si>
  <si>
    <t>2H6-76</t>
  </si>
  <si>
    <t>2H10-76</t>
  </si>
  <si>
    <t>2H16-76</t>
  </si>
  <si>
    <t>2H24-76</t>
  </si>
  <si>
    <t>2H50-76</t>
  </si>
  <si>
    <t>2HL6-76</t>
  </si>
  <si>
    <t>2HL10-76</t>
  </si>
  <si>
    <t>2HL16-76</t>
  </si>
  <si>
    <t>2HL24-76</t>
  </si>
  <si>
    <t>2HL50</t>
  </si>
  <si>
    <t>2HL50-76</t>
  </si>
  <si>
    <t>3HK6</t>
  </si>
  <si>
    <t>3HK6-76</t>
  </si>
  <si>
    <t>3HK10</t>
  </si>
  <si>
    <t>3HK10-76</t>
  </si>
  <si>
    <t>3HK16</t>
  </si>
  <si>
    <t>3HK16-76</t>
  </si>
  <si>
    <t>3HK24</t>
  </si>
  <si>
    <t>3HK24-76</t>
  </si>
  <si>
    <t>3HK50</t>
  </si>
  <si>
    <t>3HK50-76</t>
  </si>
  <si>
    <t>3H6-76</t>
  </si>
  <si>
    <t>3H10-76</t>
  </si>
  <si>
    <t>3H16-76</t>
  </si>
  <si>
    <t>3H24-76</t>
  </si>
  <si>
    <t>3H50-76</t>
  </si>
  <si>
    <t>1Q10</t>
  </si>
  <si>
    <t>1Q14</t>
  </si>
  <si>
    <t>1Q28</t>
  </si>
  <si>
    <t>1Q50</t>
  </si>
  <si>
    <t>1Q50-76</t>
  </si>
  <si>
    <t>1QB</t>
  </si>
  <si>
    <t>1QB-76</t>
  </si>
  <si>
    <t>2Q10</t>
  </si>
  <si>
    <t>2QB</t>
  </si>
  <si>
    <t>E08-76</t>
  </si>
  <si>
    <t>E15-76</t>
  </si>
  <si>
    <t>E30-76</t>
  </si>
  <si>
    <t>P101</t>
  </si>
  <si>
    <t>P102</t>
  </si>
  <si>
    <t>P121</t>
  </si>
  <si>
    <t>P122</t>
  </si>
  <si>
    <t>P161</t>
  </si>
  <si>
    <t>P162</t>
  </si>
  <si>
    <t>P181</t>
  </si>
  <si>
    <t>P182</t>
  </si>
  <si>
    <t>P201</t>
  </si>
  <si>
    <t>P202</t>
  </si>
  <si>
    <t>P221</t>
  </si>
  <si>
    <t>P222</t>
  </si>
  <si>
    <t>P231</t>
  </si>
  <si>
    <t>P232</t>
  </si>
  <si>
    <t>P251</t>
  </si>
  <si>
    <t>P252</t>
  </si>
  <si>
    <t>P301</t>
  </si>
  <si>
    <t>P302</t>
  </si>
  <si>
    <t>P351</t>
  </si>
  <si>
    <t>P352</t>
  </si>
  <si>
    <t>ANGLE</t>
  </si>
  <si>
    <t>(B) Length</t>
  </si>
  <si>
    <t>(A) Length</t>
  </si>
  <si>
    <t>RCA</t>
  </si>
  <si>
    <t>Valor Classificação</t>
  </si>
  <si>
    <t>Tijolo Denso</t>
  </si>
  <si>
    <t>Tijolo Isolante</t>
  </si>
  <si>
    <t>Placa Isolante</t>
  </si>
  <si>
    <t>Material Expansivo</t>
  </si>
  <si>
    <t>Argamassa</t>
  </si>
  <si>
    <t>Concreto Denso</t>
  </si>
  <si>
    <t>Concreto Isolante</t>
  </si>
  <si>
    <t>Aditivos</t>
  </si>
  <si>
    <t>Auxiliares</t>
  </si>
  <si>
    <t>TIJOLOS DENSOS</t>
  </si>
  <si>
    <t>TIJOLOS ISOLANTES</t>
  </si>
  <si>
    <t>CONCRETO/MASSA DENSO</t>
  </si>
  <si>
    <t>CONCRETO ISOLANTE</t>
  </si>
  <si>
    <t>D252X4,5-2,5A30</t>
  </si>
  <si>
    <t>D302X4,5-2A30</t>
  </si>
  <si>
    <t>S</t>
  </si>
  <si>
    <t>W</t>
  </si>
  <si>
    <t>K</t>
  </si>
  <si>
    <t>SU</t>
  </si>
  <si>
    <t>LK425-100</t>
  </si>
  <si>
    <t>LK450-100</t>
  </si>
  <si>
    <t>LK475-100</t>
  </si>
  <si>
    <t>LK525-100</t>
  </si>
  <si>
    <t>LK550-100</t>
  </si>
  <si>
    <t>LK575-100</t>
  </si>
  <si>
    <t>LK625-100</t>
  </si>
  <si>
    <t>LK650-100</t>
  </si>
  <si>
    <t>LK675-100</t>
  </si>
  <si>
    <t>LK825-100</t>
  </si>
  <si>
    <t>LK850-100</t>
  </si>
  <si>
    <t>LK875-100</t>
  </si>
  <si>
    <r>
      <t xml:space="preserve">2 - ENTRAR COM OS DADOS NAS TABELAS DE ( ARCOS ) E ( CUNHAS) - </t>
    </r>
    <r>
      <rPr>
        <sz val="9"/>
        <color rgb="FFFF0000"/>
        <rFont val="Arial"/>
        <family val="2"/>
      </rPr>
      <t>ADD DO MENOS CÔNICO PARA O MAIS CÔNICO</t>
    </r>
  </si>
  <si>
    <t>3 - ENTRAR COM O ÂNGULO ( AF )DE INCLINAÇÃO DE CONE</t>
  </si>
  <si>
    <t>4 - ENTRAR COM O DIÂMETRO EXTERNO SUPERIOR ( DES ) NO ( ANEL 1 ) DA LISTAGEM DE ANÉIS</t>
  </si>
  <si>
    <t>5 - ESCOLHER A QUANTIDADE DE CUNHAS ENTRE AS DISPONÍVEIS, PRÓXIMAS AO ( NC IDEAL);</t>
  </si>
  <si>
    <t>6 - ENTRAR COM A ESPESSURA DE JUNTA DE ARGAMASSA;</t>
  </si>
  <si>
    <t>7 - ESCOLHER  ARCOS DO MAIOR FECHAMENTO PARA O MENOR, OBTENDO SEMPRE RESULTADOS &gt; 0;</t>
  </si>
  <si>
    <t>1 - NA TABELA "TIJOLOS COMPOSIÇÃO" INICIAR PREENCHIMENTO COM FORMATO PARALELO</t>
  </si>
  <si>
    <t>Checagem Perímetro</t>
  </si>
  <si>
    <t>Horizontal</t>
  </si>
  <si>
    <t>Ang.</t>
  </si>
  <si>
    <t>Ang</t>
  </si>
  <si>
    <t>NX (Ref)</t>
  </si>
  <si>
    <t>NY (Ref)</t>
  </si>
  <si>
    <t>Esp. Rev</t>
  </si>
  <si>
    <t>5500x610x6</t>
  </si>
  <si>
    <t>Alt. da Manta</t>
  </si>
  <si>
    <t>Perímetro</t>
  </si>
  <si>
    <t>Item (Reference)</t>
  </si>
  <si>
    <t>Brand Type</t>
  </si>
  <si>
    <t>Shape</t>
  </si>
  <si>
    <t>Qnt 1</t>
  </si>
  <si>
    <t>Qnt 2</t>
  </si>
  <si>
    <t>Qnt 1 (Reference)</t>
  </si>
  <si>
    <t>Qnt 2 (Reference)</t>
  </si>
  <si>
    <t>Brand (Reference)</t>
  </si>
  <si>
    <t>Add-On</t>
  </si>
  <si>
    <t>Delay1</t>
  </si>
  <si>
    <t>Delay2</t>
  </si>
  <si>
    <t>Reference1</t>
  </si>
  <si>
    <t>Reference2</t>
  </si>
  <si>
    <t>Reference3</t>
  </si>
  <si>
    <t>Reference4</t>
  </si>
  <si>
    <t>Código</t>
  </si>
  <si>
    <t>1</t>
  </si>
  <si>
    <t>AutoHotkey.ahk</t>
  </si>
  <si>
    <t>Manual Items</t>
  </si>
  <si>
    <t>#NoEnv  ; Recommended for performance and compatibility with future AutoHotkey releases.</t>
  </si>
  <si>
    <t>Theoretical quantity</t>
  </si>
  <si>
    <t>Order quantity</t>
  </si>
  <si>
    <t>; #Warn  ; Enable warnings to assist with detecting common errors.</t>
  </si>
  <si>
    <t>SendMode Input  ; Recommended for new scripts due to its superior speed and reliability.</t>
  </si>
  <si>
    <t>SetWorkingDir %A_ScriptDir%  ; Ensures a consistent starting directory.</t>
  </si>
  <si>
    <t>^e::</t>
  </si>
  <si>
    <t>Send, 10</t>
  </si>
  <si>
    <t>First Item to Run</t>
  </si>
  <si>
    <t>Send, ^{Right}</t>
  </si>
  <si>
    <t>Network</t>
  </si>
  <si>
    <t>Office</t>
  </si>
  <si>
    <t>Send, {Enter}</t>
  </si>
  <si>
    <t>Sleep, 2000</t>
  </si>
  <si>
    <t>Send, ^{Left}</t>
  </si>
  <si>
    <t>Send, 20</t>
  </si>
  <si>
    <t>Send, MAT_KONFIG</t>
  </si>
  <si>
    <t>Sleep, 2500</t>
  </si>
  <si>
    <t>Send, {Down}</t>
  </si>
  <si>
    <t>Send, {Tab}</t>
  </si>
  <si>
    <t>Send, 210</t>
  </si>
  <si>
    <t>Send, {F3}</t>
  </si>
  <si>
    <t>Send, 40</t>
  </si>
  <si>
    <t>Send, 50</t>
  </si>
  <si>
    <t>Send, 60</t>
  </si>
  <si>
    <t>Send, 70</t>
  </si>
  <si>
    <t>Send, 90</t>
  </si>
  <si>
    <t>Send, 100</t>
  </si>
  <si>
    <t>Send, 110</t>
  </si>
  <si>
    <t>Send, 130</t>
  </si>
  <si>
    <t>Send, 140</t>
  </si>
  <si>
    <t>Send, 150</t>
  </si>
  <si>
    <t>Send, U</t>
  </si>
  <si>
    <t>Send, 160</t>
  </si>
  <si>
    <t>Send, 220</t>
  </si>
  <si>
    <t>Send, 22</t>
  </si>
  <si>
    <t>MsgBox Rotina finalizada! Por favor revise o preencimento dos dados!</t>
  </si>
  <si>
    <t>^r::Reload</t>
  </si>
  <si>
    <t>^p::Pause</t>
  </si>
  <si>
    <t>Esc::ExitApp</t>
  </si>
  <si>
    <t>Send, SAFETY LINING - BOTTOM</t>
  </si>
  <si>
    <t>Send, 1</t>
  </si>
  <si>
    <t>Send, RESISTAL B70</t>
  </si>
  <si>
    <t>Send, 540</t>
  </si>
  <si>
    <t>Send, 557</t>
  </si>
  <si>
    <t>Send, SAFETY LINING - WALL</t>
  </si>
  <si>
    <t>Send, 412</t>
  </si>
  <si>
    <t>Send, 429</t>
  </si>
  <si>
    <t>Send, SL1064</t>
  </si>
  <si>
    <t>Send, 500</t>
  </si>
  <si>
    <t>Send, 520</t>
  </si>
  <si>
    <t>Send, JEBFIL BF85LD-CA</t>
  </si>
  <si>
    <t>Send, 0,5</t>
  </si>
  <si>
    <t>Send, 0,55</t>
  </si>
  <si>
    <t>Send, 80</t>
  </si>
  <si>
    <t>Send, THK.13mm</t>
  </si>
  <si>
    <t>Send, SILPLATE 1108 L</t>
  </si>
  <si>
    <t>Send, 25</t>
  </si>
  <si>
    <t>Send, 28</t>
  </si>
  <si>
    <t>Send, WORKING LINING - BOTTOM</t>
  </si>
  <si>
    <t>Send, 25/0</t>
  </si>
  <si>
    <t>Send, SINDOFORM R40-3-US</t>
  </si>
  <si>
    <t>Send, 177</t>
  </si>
  <si>
    <t>Send, 186</t>
  </si>
  <si>
    <t>Send, 25/0/75</t>
  </si>
  <si>
    <t>Send, 120</t>
  </si>
  <si>
    <t>Send, S131/2X6X100</t>
  </si>
  <si>
    <t>Send, SINDOFORM R40-6-US</t>
  </si>
  <si>
    <t>Send, 45</t>
  </si>
  <si>
    <t>Send, JEBCO RAM D1-US</t>
  </si>
  <si>
    <t>Send, 0,85</t>
  </si>
  <si>
    <t>Send, 0,95</t>
  </si>
  <si>
    <t>Send, WORKING LINING - WALL</t>
  </si>
  <si>
    <t>Send, MK6/10</t>
  </si>
  <si>
    <t>Send, SINDOFORM K45Z-US</t>
  </si>
  <si>
    <t>Send, 241</t>
  </si>
  <si>
    <t>Send, 254</t>
  </si>
  <si>
    <t>Send, MK6/30</t>
  </si>
  <si>
    <t>Send, 199</t>
  </si>
  <si>
    <t>Send, 209</t>
  </si>
  <si>
    <t>Send, 170</t>
  </si>
  <si>
    <t>Send, MK7/10</t>
  </si>
  <si>
    <t>Send, 51</t>
  </si>
  <si>
    <t>Send, 55</t>
  </si>
  <si>
    <t>Send, 180</t>
  </si>
  <si>
    <t>Send, MK7/30</t>
  </si>
  <si>
    <t>Send, 87</t>
  </si>
  <si>
    <t>Send, 94</t>
  </si>
  <si>
    <t>Send, 190</t>
  </si>
  <si>
    <t>Send, 226</t>
  </si>
  <si>
    <t>Send, 238</t>
  </si>
  <si>
    <t>Send, 200</t>
  </si>
  <si>
    <t>Send, 216</t>
  </si>
  <si>
    <t>Send, 227</t>
  </si>
  <si>
    <t>Send, MK8/10</t>
  </si>
  <si>
    <t>Send, 33</t>
  </si>
  <si>
    <t>Send, 37</t>
  </si>
  <si>
    <t>Send, MK8/30</t>
  </si>
  <si>
    <t>Send, 193</t>
  </si>
  <si>
    <t>Send, 203</t>
  </si>
  <si>
    <t>Send, 30</t>
  </si>
  <si>
    <t>Send, DIDURIT B62-5-BR</t>
  </si>
  <si>
    <t>Send, 0,925</t>
  </si>
  <si>
    <t>Send, 1,025</t>
  </si>
  <si>
    <t>Send, 230</t>
  </si>
  <si>
    <t>Send, COMPRIT M60-5-MX</t>
  </si>
  <si>
    <t>Send, 0,075</t>
  </si>
  <si>
    <t>Send, 0,1</t>
  </si>
  <si>
    <t>R1</t>
  </si>
  <si>
    <t>Paralelo</t>
  </si>
  <si>
    <t>Arco</t>
  </si>
  <si>
    <t>Cunha</t>
  </si>
  <si>
    <t>R2</t>
  </si>
  <si>
    <t>R3</t>
  </si>
  <si>
    <t>Esp</t>
  </si>
  <si>
    <t>Formato</t>
  </si>
  <si>
    <t>Fiada</t>
  </si>
  <si>
    <t>Inclinação (°)</t>
  </si>
  <si>
    <t>REGIÃO DO EQUIPAMENTO</t>
  </si>
  <si>
    <t>150 - STEEL LADLE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</si>
</sst>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
    <numFmt numFmtId="165" formatCode="0.000"/>
    <numFmt numFmtId="166" formatCode="dd/mm/yy;@"/>
    <numFmt numFmtId="167" formatCode="&quot;FIADA&quot;\ 000"/>
    <numFmt numFmtId="168" formatCode="#,##0.000"/>
    <numFmt numFmtId="169" formatCode="0000\-00\-00"/>
    <numFmt numFmtId="170" formatCode="#,##0.0"/>
  </numFmts>
  <fonts count="8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sz val="10"/>
      <name val="MS Sans Serif"/>
      <family val="2"/>
    </font>
    <font>
      <b/>
      <sz val="8"/>
      <color indexed="81"/>
      <name val="Tahoma"/>
      <family val="2"/>
    </font>
    <font>
      <b/>
      <sz val="11"/>
      <name val="Arial"/>
      <family val="2"/>
    </font>
    <font>
      <sz val="11"/>
      <name val="Arial"/>
      <family val="2"/>
    </font>
    <font>
      <b/>
      <sz val="12"/>
      <name val="Arial"/>
      <family val="2"/>
    </font>
    <font>
      <sz val="12"/>
      <name val="Arial"/>
      <family val="2"/>
    </font>
    <font>
      <sz val="10"/>
      <name val="CALIBRIs Serif"/>
    </font>
    <font>
      <b/>
      <sz val="7"/>
      <name val="CALIBRIs Serif"/>
    </font>
    <font>
      <b/>
      <sz val="10"/>
      <name val="CALIBRIs Serif"/>
    </font>
    <font>
      <b/>
      <sz val="12"/>
      <color indexed="10"/>
      <name val="CALIBRIs Serif"/>
    </font>
    <font>
      <b/>
      <sz val="14"/>
      <name val="CALIBRIs Serif"/>
    </font>
    <font>
      <b/>
      <sz val="10"/>
      <name val="Calibri"/>
      <family val="2"/>
    </font>
    <font>
      <sz val="10"/>
      <name val="Calibri"/>
      <family val="2"/>
    </font>
    <font>
      <b/>
      <sz val="10"/>
      <color indexed="22"/>
      <name val="Calibri"/>
      <family val="2"/>
    </font>
    <font>
      <sz val="11"/>
      <color indexed="8"/>
      <name val="Calibri"/>
      <family val="2"/>
    </font>
    <font>
      <sz val="10"/>
      <name val="Calibri"/>
      <family val="2"/>
    </font>
    <font>
      <sz val="10"/>
      <color indexed="22"/>
      <name val="Calibri"/>
      <family val="2"/>
    </font>
    <font>
      <b/>
      <sz val="10"/>
      <name val="Calibri"/>
      <family val="2"/>
    </font>
    <font>
      <sz val="10"/>
      <color indexed="23"/>
      <name val="Calibri"/>
      <family val="2"/>
    </font>
    <font>
      <sz val="8"/>
      <color indexed="23"/>
      <name val="Calibri"/>
      <family val="2"/>
    </font>
    <font>
      <sz val="10"/>
      <color indexed="55"/>
      <name val="Calibri"/>
      <family val="2"/>
    </font>
    <font>
      <sz val="10"/>
      <color indexed="55"/>
      <name val="Arial"/>
      <family val="2"/>
    </font>
    <font>
      <b/>
      <sz val="10"/>
      <color indexed="55"/>
      <name val="Arial"/>
      <family val="2"/>
    </font>
    <font>
      <b/>
      <sz val="20"/>
      <color indexed="10"/>
      <name val="Calibri"/>
      <family val="2"/>
    </font>
    <font>
      <b/>
      <sz val="12"/>
      <name val="Arial"/>
      <family val="2"/>
    </font>
    <font>
      <sz val="30"/>
      <color indexed="55"/>
      <name val="Arial"/>
      <family val="2"/>
    </font>
    <font>
      <sz val="9"/>
      <color indexed="81"/>
      <name val="Tahoma"/>
      <family val="2"/>
    </font>
    <font>
      <sz val="13"/>
      <color indexed="55"/>
      <name val="Arial"/>
      <family val="2"/>
    </font>
    <font>
      <sz val="20"/>
      <color indexed="55"/>
      <name val="Arial"/>
      <family val="2"/>
    </font>
    <font>
      <sz val="22"/>
      <color indexed="55"/>
      <name val="Arial"/>
      <family val="2"/>
    </font>
    <font>
      <sz val="30"/>
      <name val="Arial"/>
      <family val="2"/>
    </font>
    <font>
      <b/>
      <sz val="16"/>
      <name val="CALIBRIs Serif"/>
    </font>
    <font>
      <sz val="12"/>
      <color indexed="8"/>
      <name val="Arial"/>
      <family val="2"/>
    </font>
    <font>
      <b/>
      <sz val="14"/>
      <color indexed="57"/>
      <name val="Arial"/>
      <family val="2"/>
    </font>
    <font>
      <b/>
      <sz val="14"/>
      <color indexed="10"/>
      <name val="Arial"/>
      <family val="2"/>
    </font>
    <font>
      <sz val="8"/>
      <name val="Arial"/>
      <family val="2"/>
    </font>
    <font>
      <sz val="20"/>
      <name val="Arial"/>
      <family val="2"/>
    </font>
    <font>
      <b/>
      <sz val="20"/>
      <color indexed="55"/>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20"/>
      <color theme="1"/>
      <name val="Calibri"/>
      <family val="2"/>
      <scheme val="minor"/>
    </font>
    <font>
      <b/>
      <sz val="16"/>
      <color rgb="FF000000"/>
      <name val="Arial"/>
      <family val="2"/>
    </font>
    <font>
      <b/>
      <sz val="14"/>
      <color rgb="FF000000"/>
      <name val="Arial"/>
      <family val="2"/>
    </font>
    <font>
      <sz val="10"/>
      <color rgb="FFFF0000"/>
      <name val="Calibri"/>
      <family val="2"/>
    </font>
    <font>
      <b/>
      <sz val="9"/>
      <name val="Calibri"/>
      <family val="2"/>
    </font>
    <font>
      <sz val="9"/>
      <name val="Calibri"/>
      <family val="2"/>
    </font>
    <font>
      <sz val="9"/>
      <name val="Arial"/>
      <family val="2"/>
    </font>
    <font>
      <sz val="9"/>
      <color rgb="FFFF0000"/>
      <name val="Arial"/>
      <family val="2"/>
    </font>
    <font>
      <b/>
      <sz val="9"/>
      <color indexed="81"/>
      <name val="Segoe UI"/>
      <family val="2"/>
    </font>
    <font>
      <sz val="10"/>
      <color rgb="FFFF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4"/>
      <color indexed="55"/>
      <name val="Arial"/>
      <family val="2"/>
    </font>
    <font>
      <sz val="16"/>
      <color indexed="55"/>
      <name val="Arial"/>
      <family val="2"/>
    </font>
    <font>
      <b/>
      <sz val="10"/>
      <color rgb="FFFF0000"/>
      <name val="Arial"/>
      <family val="2"/>
    </font>
    <font>
      <sz val="9"/>
      <color indexed="81"/>
      <name val="Segoe UI"/>
      <family val="2"/>
    </font>
    <font>
      <b/>
      <sz val="10"/>
      <color theme="0"/>
      <name val="Arial"/>
      <family val="2"/>
    </font>
    <font>
      <b/>
      <sz val="10"/>
      <color theme="3" tint="-0.249977111117893"/>
      <name val="Arial"/>
      <family val="2"/>
    </font>
    <font>
      <sz val="10"/>
      <color theme="3" tint="-0.249977111117893"/>
      <name val="Arial"/>
      <family val="2"/>
    </font>
    <font>
      <b/>
      <sz val="10"/>
      <color theme="0"/>
      <name val="Calibri"/>
      <family val="2"/>
    </font>
    <font>
      <sz val="10"/>
      <color theme="0"/>
      <name val="Calibri"/>
      <family val="2"/>
    </font>
    <font>
      <b/>
      <sz val="12"/>
      <name val="Calibri"/>
      <family val="2"/>
    </font>
  </fonts>
  <fills count="82">
    <fill>
      <patternFill patternType="none"/>
    </fill>
    <fill>
      <patternFill patternType="gray125"/>
    </fill>
    <fill>
      <patternFill patternType="solid">
        <fgColor indexed="65"/>
        <bgColor indexed="64"/>
      </patternFill>
    </fill>
    <fill>
      <patternFill patternType="solid">
        <fgColor indexed="44"/>
        <bgColor indexed="64"/>
      </patternFill>
    </fill>
    <fill>
      <patternFill patternType="solid">
        <fgColor indexed="50"/>
        <bgColor indexed="64"/>
      </patternFill>
    </fill>
    <fill>
      <patternFill patternType="solid">
        <fgColor indexed="31"/>
        <bgColor indexed="64"/>
      </patternFill>
    </fill>
    <fill>
      <patternFill patternType="solid">
        <fgColor indexed="13"/>
        <bgColor indexed="64"/>
      </patternFill>
    </fill>
    <fill>
      <patternFill patternType="solid">
        <fgColor indexed="55"/>
        <bgColor indexed="64"/>
      </patternFill>
    </fill>
    <fill>
      <patternFill patternType="solid">
        <fgColor indexed="27"/>
        <bgColor indexed="64"/>
      </patternFill>
    </fill>
    <fill>
      <patternFill patternType="solid">
        <fgColor indexed="30"/>
        <bgColor indexed="64"/>
      </patternFill>
    </fill>
    <fill>
      <patternFill patternType="solid">
        <fgColor indexed="9"/>
        <bgColor indexed="64"/>
      </patternFill>
    </fill>
    <fill>
      <patternFill patternType="solid">
        <fgColor indexed="4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69696"/>
        <bgColor indexed="64"/>
      </patternFill>
    </fill>
    <fill>
      <patternFill patternType="solid">
        <fgColor theme="4" tint="0.59999389629810485"/>
        <bgColor indexed="64"/>
      </patternFill>
    </fill>
    <fill>
      <patternFill patternType="gray0625">
        <bgColor theme="4" tint="0.59999389629810485"/>
      </patternFill>
    </fill>
    <fill>
      <patternFill patternType="solid">
        <fgColor theme="8" tint="-0.249977111117893"/>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4"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tint="-0.499984740745262"/>
        <bgColor indexed="64"/>
      </patternFill>
    </fill>
    <fill>
      <patternFill patternType="solid">
        <fgColor rgb="FFC5D9F1"/>
        <bgColor indexed="64"/>
      </patternFill>
    </fill>
    <fill>
      <patternFill patternType="solid">
        <fgColor rgb="FFDAEEF3"/>
        <bgColor indexed="64"/>
      </patternFill>
    </fill>
    <fill>
      <patternFill patternType="solid">
        <fgColor rgb="FFB8CCE4"/>
        <bgColor indexed="64"/>
      </patternFill>
    </fill>
    <fill>
      <patternFill patternType="solid">
        <fgColor rgb="FF92CDDC"/>
        <bgColor indexed="64"/>
      </patternFill>
    </fill>
    <fill>
      <patternFill patternType="solid">
        <fgColor rgb="FF8DB4E2"/>
        <bgColor indexed="64"/>
      </patternFill>
    </fill>
    <fill>
      <patternFill patternType="solid">
        <fgColor rgb="FF538DD5"/>
        <bgColor indexed="64"/>
      </patternFill>
    </fill>
    <fill>
      <patternFill patternType="solid">
        <fgColor theme="0"/>
        <bgColor theme="1"/>
      </patternFill>
    </fill>
    <fill>
      <patternFill patternType="solid">
        <fgColor theme="3" tint="-0.249977111117893"/>
        <bgColor indexed="64"/>
      </patternFill>
    </fill>
    <fill>
      <patternFill patternType="solid">
        <fgColor theme="1"/>
        <bgColor indexed="64"/>
      </patternFill>
    </fill>
    <fill>
      <patternFill patternType="solid">
        <fgColor theme="1" tint="0.14999847407452621"/>
        <bgColor indexed="64"/>
      </patternFill>
    </fill>
  </fills>
  <borders count="113">
    <border>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bottom style="hair">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indexed="8"/>
      </left>
      <right style="thin">
        <color indexed="8"/>
      </right>
      <top style="thin">
        <color indexed="8"/>
      </top>
      <bottom style="thin">
        <color indexed="8"/>
      </bottom>
      <diagonal/>
    </border>
    <border>
      <left style="hair">
        <color indexed="64"/>
      </left>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bottom/>
      <diagonal/>
    </border>
    <border>
      <left style="hair">
        <color indexed="64"/>
      </left>
      <right style="medium">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hair">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hair">
        <color indexed="64"/>
      </top>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hair">
        <color indexed="64"/>
      </top>
      <bottom style="hair">
        <color indexed="64"/>
      </bottom>
      <diagonal/>
    </border>
    <border>
      <left style="thin">
        <color theme="3" tint="-0.24994659260841701"/>
      </left>
      <right style="thin">
        <color indexed="64"/>
      </right>
      <top style="thin">
        <color theme="3" tint="-0.24994659260841701"/>
      </top>
      <bottom style="thin">
        <color theme="3" tint="-0.24994659260841701"/>
      </bottom>
      <diagonal/>
    </border>
    <border>
      <left style="thin">
        <color indexed="64"/>
      </left>
      <right style="thin">
        <color indexed="64"/>
      </right>
      <top style="thin">
        <color theme="3" tint="-0.24994659260841701"/>
      </top>
      <bottom style="thin">
        <color theme="3" tint="-0.24994659260841701"/>
      </bottom>
      <diagonal/>
    </border>
    <border>
      <left style="thin">
        <color indexed="64"/>
      </left>
      <right style="thin">
        <color theme="3" tint="-0.24994659260841701"/>
      </right>
      <top style="thin">
        <color theme="3" tint="-0.24994659260841701"/>
      </top>
      <bottom style="thin">
        <color theme="3" tint="-0.24994659260841701"/>
      </bottom>
      <diagonal/>
    </border>
    <border>
      <left style="thick">
        <color theme="3" tint="-0.24994659260841701"/>
      </left>
      <right style="thick">
        <color theme="3" tint="-0.24994659260841701"/>
      </right>
      <top style="thick">
        <color theme="3" tint="-0.24994659260841701"/>
      </top>
      <bottom style="thin">
        <color theme="3" tint="-0.24994659260841701"/>
      </bottom>
      <diagonal/>
    </border>
    <border>
      <left style="thick">
        <color theme="3" tint="-0.24994659260841701"/>
      </left>
      <right style="thick">
        <color theme="3" tint="-0.24994659260841701"/>
      </right>
      <top style="thin">
        <color theme="3" tint="-0.24994659260841701"/>
      </top>
      <bottom style="thick">
        <color theme="3" tint="-0.24994659260841701"/>
      </bottom>
      <diagonal/>
    </border>
    <border>
      <left style="thick">
        <color theme="3" tint="-0.24994659260841701"/>
      </left>
      <right style="thick">
        <color theme="3" tint="-0.24994659260841701"/>
      </right>
      <top style="thick">
        <color theme="3" tint="-0.24994659260841701"/>
      </top>
      <bottom style="thin">
        <color indexed="64"/>
      </bottom>
      <diagonal/>
    </border>
    <border>
      <left style="thick">
        <color theme="3" tint="-0.24994659260841701"/>
      </left>
      <right style="thick">
        <color theme="3" tint="-0.24994659260841701"/>
      </right>
      <top style="thin">
        <color indexed="64"/>
      </top>
      <bottom style="thick">
        <color theme="3" tint="-0.2499465926084170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s>
  <cellStyleXfs count="80">
    <xf numFmtId="0" fontId="0" fillId="0" borderId="0"/>
    <xf numFmtId="0" fontId="45" fillId="12" borderId="0" applyNumberFormat="0" applyBorder="0" applyAlignment="0" applyProtection="0"/>
    <xf numFmtId="0" fontId="45" fillId="12" borderId="0" applyNumberFormat="0" applyBorder="0" applyAlignment="0" applyProtection="0"/>
    <xf numFmtId="0" fontId="45" fillId="13" borderId="0" applyNumberFormat="0" applyBorder="0" applyAlignment="0" applyProtection="0"/>
    <xf numFmtId="0" fontId="45" fillId="13" borderId="0" applyNumberFormat="0" applyBorder="0" applyAlignment="0" applyProtection="0"/>
    <xf numFmtId="0" fontId="45" fillId="14"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8" borderId="0" applyNumberFormat="0" applyBorder="0" applyAlignment="0" applyProtection="0"/>
    <xf numFmtId="0" fontId="45" fillId="19"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45" fillId="20" borderId="0" applyNumberFormat="0" applyBorder="0" applyAlignment="0" applyProtection="0"/>
    <xf numFmtId="0" fontId="45" fillId="21" borderId="0" applyNumberFormat="0" applyBorder="0" applyAlignment="0" applyProtection="0"/>
    <xf numFmtId="0" fontId="45" fillId="21" borderId="0" applyNumberFormat="0" applyBorder="0" applyAlignment="0" applyProtection="0"/>
    <xf numFmtId="0" fontId="45" fillId="22" borderId="0" applyNumberFormat="0" applyBorder="0" applyAlignment="0" applyProtection="0"/>
    <xf numFmtId="0" fontId="45" fillId="22" borderId="0" applyNumberFormat="0" applyBorder="0" applyAlignment="0" applyProtection="0"/>
    <xf numFmtId="0" fontId="45" fillId="23" borderId="0" applyNumberFormat="0" applyBorder="0" applyAlignment="0" applyProtection="0"/>
    <xf numFmtId="0" fontId="45" fillId="23" borderId="0" applyNumberFormat="0" applyBorder="0" applyAlignment="0" applyProtection="0"/>
    <xf numFmtId="0" fontId="45" fillId="0" borderId="0"/>
    <xf numFmtId="0" fontId="6" fillId="0" borderId="0"/>
    <xf numFmtId="0" fontId="6" fillId="0" borderId="0"/>
    <xf numFmtId="0" fontId="6" fillId="0" borderId="0"/>
    <xf numFmtId="0" fontId="45" fillId="0" borderId="0"/>
    <xf numFmtId="0" fontId="45" fillId="0" borderId="0"/>
    <xf numFmtId="0" fontId="7" fillId="0" borderId="0"/>
    <xf numFmtId="0" fontId="21" fillId="24" borderId="64" applyNumberFormat="0" applyFont="0" applyAlignment="0" applyProtection="0"/>
    <xf numFmtId="0" fontId="21" fillId="24" borderId="64" applyNumberFormat="0" applyFont="0" applyAlignment="0" applyProtection="0"/>
    <xf numFmtId="9" fontId="3" fillId="0" borderId="0" applyFont="0" applyFill="0" applyBorder="0" applyAlignment="0" applyProtection="0"/>
    <xf numFmtId="9" fontId="6" fillId="0" borderId="0" applyFont="0" applyFill="0" applyBorder="0" applyAlignment="0" applyProtection="0"/>
    <xf numFmtId="0" fontId="58" fillId="0" borderId="70" applyNumberFormat="0" applyFill="0" applyAlignment="0" applyProtection="0"/>
    <xf numFmtId="0" fontId="59" fillId="0" borderId="71" applyNumberFormat="0" applyFill="0" applyAlignment="0" applyProtection="0"/>
    <xf numFmtId="0" fontId="60" fillId="0" borderId="72" applyNumberFormat="0" applyFill="0" applyAlignment="0" applyProtection="0"/>
    <xf numFmtId="0" fontId="60" fillId="0" borderId="0" applyNumberFormat="0" applyFill="0" applyBorder="0" applyAlignment="0" applyProtection="0"/>
    <xf numFmtId="0" fontId="61" fillId="40" borderId="0" applyNumberFormat="0" applyBorder="0" applyAlignment="0" applyProtection="0"/>
    <xf numFmtId="0" fontId="62" fillId="41" borderId="0" applyNumberFormat="0" applyBorder="0" applyAlignment="0" applyProtection="0"/>
    <xf numFmtId="0" fontId="63" fillId="43" borderId="73" applyNumberFormat="0" applyAlignment="0" applyProtection="0"/>
    <xf numFmtId="0" fontId="64" fillId="44" borderId="74" applyNumberFormat="0" applyAlignment="0" applyProtection="0"/>
    <xf numFmtId="0" fontId="65" fillId="44" borderId="73" applyNumberFormat="0" applyAlignment="0" applyProtection="0"/>
    <xf numFmtId="0" fontId="66" fillId="0" borderId="75" applyNumberFormat="0" applyFill="0" applyAlignment="0" applyProtection="0"/>
    <xf numFmtId="0" fontId="67" fillId="45" borderId="76" applyNumberFormat="0" applyAlignment="0" applyProtection="0"/>
    <xf numFmtId="0" fontId="46" fillId="0" borderId="0" applyNumberFormat="0" applyFill="0" applyBorder="0" applyAlignment="0" applyProtection="0"/>
    <xf numFmtId="0" fontId="68" fillId="0" borderId="0" applyNumberFormat="0" applyFill="0" applyBorder="0" applyAlignment="0" applyProtection="0"/>
    <xf numFmtId="0" fontId="47" fillId="0" borderId="77" applyNumberFormat="0" applyFill="0" applyAlignment="0" applyProtection="0"/>
    <xf numFmtId="0" fontId="69" fillId="46" borderId="0" applyNumberFormat="0" applyBorder="0" applyAlignment="0" applyProtection="0"/>
    <xf numFmtId="0" fontId="2" fillId="12" borderId="0" applyNumberFormat="0" applyBorder="0" applyAlignment="0" applyProtection="0"/>
    <xf numFmtId="0" fontId="2" fillId="18" borderId="0" applyNumberFormat="0" applyBorder="0" applyAlignment="0" applyProtection="0"/>
    <xf numFmtId="0" fontId="69" fillId="48" borderId="0" applyNumberFormat="0" applyBorder="0" applyAlignment="0" applyProtection="0"/>
    <xf numFmtId="0" fontId="2" fillId="13" borderId="0" applyNumberFormat="0" applyBorder="0" applyAlignment="0" applyProtection="0"/>
    <xf numFmtId="0" fontId="2" fillId="19" borderId="0" applyNumberFormat="0" applyBorder="0" applyAlignment="0" applyProtection="0"/>
    <xf numFmtId="0" fontId="69" fillId="50" borderId="0" applyNumberFormat="0" applyBorder="0" applyAlignment="0" applyProtection="0"/>
    <xf numFmtId="0" fontId="2" fillId="14" borderId="0" applyNumberFormat="0" applyBorder="0" applyAlignment="0" applyProtection="0"/>
    <xf numFmtId="0" fontId="2" fillId="20" borderId="0" applyNumberFormat="0" applyBorder="0" applyAlignment="0" applyProtection="0"/>
    <xf numFmtId="0" fontId="69" fillId="52" borderId="0" applyNumberFormat="0" applyBorder="0" applyAlignment="0" applyProtection="0"/>
    <xf numFmtId="0" fontId="2" fillId="15" borderId="0" applyNumberFormat="0" applyBorder="0" applyAlignment="0" applyProtection="0"/>
    <xf numFmtId="0" fontId="2" fillId="21" borderId="0" applyNumberFormat="0" applyBorder="0" applyAlignment="0" applyProtection="0"/>
    <xf numFmtId="0" fontId="69" fillId="54" borderId="0" applyNumberFormat="0" applyBorder="0" applyAlignment="0" applyProtection="0"/>
    <xf numFmtId="0" fontId="2" fillId="16" borderId="0" applyNumberFormat="0" applyBorder="0" applyAlignment="0" applyProtection="0"/>
    <xf numFmtId="0" fontId="2" fillId="22" borderId="0" applyNumberFormat="0" applyBorder="0" applyAlignment="0" applyProtection="0"/>
    <xf numFmtId="0" fontId="69" fillId="56" borderId="0" applyNumberFormat="0" applyBorder="0" applyAlignment="0" applyProtection="0"/>
    <xf numFmtId="0" fontId="2" fillId="17" borderId="0" applyNumberFormat="0" applyBorder="0" applyAlignment="0" applyProtection="0"/>
    <xf numFmtId="0" fontId="2" fillId="23" borderId="0" applyNumberFormat="0" applyBorder="0" applyAlignment="0" applyProtection="0"/>
    <xf numFmtId="0" fontId="2" fillId="0" borderId="0"/>
    <xf numFmtId="0" fontId="70" fillId="0" borderId="0" applyNumberFormat="0" applyFill="0" applyBorder="0" applyAlignment="0" applyProtection="0"/>
    <xf numFmtId="0" fontId="71" fillId="42" borderId="0" applyNumberFormat="0" applyBorder="0" applyAlignment="0" applyProtection="0"/>
    <xf numFmtId="0" fontId="2" fillId="24" borderId="64" applyNumberFormat="0" applyFont="0" applyAlignment="0" applyProtection="0"/>
    <xf numFmtId="0" fontId="69" fillId="47" borderId="0" applyNumberFormat="0" applyBorder="0" applyAlignment="0" applyProtection="0"/>
    <xf numFmtId="0" fontId="69" fillId="49" borderId="0" applyNumberFormat="0" applyBorder="0" applyAlignment="0" applyProtection="0"/>
    <xf numFmtId="0" fontId="69" fillId="51" borderId="0" applyNumberFormat="0" applyBorder="0" applyAlignment="0" applyProtection="0"/>
    <xf numFmtId="0" fontId="69" fillId="53" borderId="0" applyNumberFormat="0" applyBorder="0" applyAlignment="0" applyProtection="0"/>
    <xf numFmtId="0" fontId="69" fillId="55" borderId="0" applyNumberFormat="0" applyBorder="0" applyAlignment="0" applyProtection="0"/>
    <xf numFmtId="0" fontId="69" fillId="57" borderId="0" applyNumberFormat="0" applyBorder="0" applyAlignment="0" applyProtection="0"/>
    <xf numFmtId="0" fontId="3" fillId="0" borderId="0"/>
    <xf numFmtId="0" fontId="3" fillId="0" borderId="0"/>
  </cellStyleXfs>
  <cellXfs count="977">
    <xf numFmtId="0" fontId="0" fillId="0" borderId="0" xfId="0"/>
    <xf numFmtId="0" fontId="0" fillId="0" borderId="0" xfId="0" applyAlignment="1">
      <alignment horizontal="center"/>
    </xf>
    <xf numFmtId="0" fontId="5" fillId="0" borderId="0" xfId="0" applyFont="1" applyAlignment="1">
      <alignment horizontal="center"/>
    </xf>
    <xf numFmtId="0" fontId="6" fillId="0" borderId="0" xfId="0" applyFont="1" applyAlignment="1">
      <alignment horizontal="center"/>
    </xf>
    <xf numFmtId="0" fontId="0" fillId="0" borderId="1" xfId="0" applyBorder="1"/>
    <xf numFmtId="0" fontId="0" fillId="0" borderId="2" xfId="0" applyBorder="1"/>
    <xf numFmtId="0" fontId="5" fillId="0" borderId="3" xfId="0" applyFont="1" applyBorder="1" applyAlignment="1">
      <alignment vertical="center"/>
    </xf>
    <xf numFmtId="0" fontId="6" fillId="0" borderId="3" xfId="0" applyFont="1" applyBorder="1" applyAlignment="1">
      <alignment horizontal="center" vertical="center"/>
    </xf>
    <xf numFmtId="0" fontId="10" fillId="0" borderId="1" xfId="0" applyFont="1" applyBorder="1"/>
    <xf numFmtId="0" fontId="9" fillId="0" borderId="1" xfId="0" applyFont="1" applyBorder="1"/>
    <xf numFmtId="0" fontId="10" fillId="0" borderId="3" xfId="0" applyFont="1" applyBorder="1" applyAlignment="1">
      <alignment horizontal="center" vertical="center"/>
    </xf>
    <xf numFmtId="0" fontId="13" fillId="0" borderId="0" xfId="31" applyFont="1" applyAlignment="1">
      <alignment vertical="center"/>
    </xf>
    <xf numFmtId="0" fontId="14" fillId="0" borderId="0" xfId="31" applyFont="1" applyAlignment="1">
      <alignment horizontal="center" vertical="center"/>
    </xf>
    <xf numFmtId="0" fontId="6" fillId="3" borderId="0" xfId="0" applyFont="1" applyFill="1" applyAlignment="1">
      <alignment horizontal="center"/>
    </xf>
    <xf numFmtId="0" fontId="5" fillId="3" borderId="0" xfId="0" applyFont="1" applyFill="1" applyAlignment="1">
      <alignment horizontal="center"/>
    </xf>
    <xf numFmtId="0" fontId="5" fillId="5" borderId="0" xfId="0" applyFont="1" applyFill="1" applyAlignment="1">
      <alignment horizontal="center"/>
    </xf>
    <xf numFmtId="2" fontId="6" fillId="0" borderId="0" xfId="0" applyNumberFormat="1" applyFont="1" applyAlignment="1">
      <alignment horizontal="center"/>
    </xf>
    <xf numFmtId="165" fontId="6" fillId="0" borderId="0" xfId="0" applyNumberFormat="1" applyFont="1" applyAlignment="1">
      <alignment horizontal="center"/>
    </xf>
    <xf numFmtId="0" fontId="17" fillId="0" borderId="0" xfId="31" applyFont="1" applyAlignment="1">
      <alignment vertical="center"/>
    </xf>
    <xf numFmtId="0" fontId="6" fillId="9" borderId="0" xfId="0" applyFont="1" applyFill="1" applyAlignment="1">
      <alignment horizontal="center"/>
    </xf>
    <xf numFmtId="0" fontId="28" fillId="0" borderId="0" xfId="0" applyFont="1" applyAlignment="1">
      <alignment horizontal="center"/>
    </xf>
    <xf numFmtId="165" fontId="28" fillId="0" borderId="0" xfId="0" applyNumberFormat="1" applyFont="1" applyAlignment="1">
      <alignment horizontal="center"/>
    </xf>
    <xf numFmtId="0" fontId="29" fillId="0" borderId="0" xfId="0" applyFont="1" applyAlignment="1">
      <alignment horizontal="center"/>
    </xf>
    <xf numFmtId="165" fontId="29" fillId="0" borderId="0" xfId="0" applyNumberFormat="1" applyFont="1" applyAlignment="1">
      <alignment horizontal="center"/>
    </xf>
    <xf numFmtId="2" fontId="28" fillId="0" borderId="0" xfId="0" applyNumberFormat="1" applyFont="1" applyAlignment="1">
      <alignment horizontal="center"/>
    </xf>
    <xf numFmtId="0" fontId="39" fillId="0" borderId="29" xfId="0" applyFont="1" applyBorder="1" applyAlignment="1">
      <alignment horizontal="center" vertical="center" wrapText="1" readingOrder="1"/>
    </xf>
    <xf numFmtId="0" fontId="39" fillId="0" borderId="34" xfId="0" applyFont="1" applyBorder="1" applyAlignment="1">
      <alignment horizontal="center" vertical="center" wrapText="1" readingOrder="1"/>
    </xf>
    <xf numFmtId="0" fontId="39" fillId="0" borderId="35" xfId="0" applyFont="1" applyBorder="1" applyAlignment="1">
      <alignment horizontal="center" vertical="center" wrapText="1" readingOrder="1"/>
    </xf>
    <xf numFmtId="0" fontId="28" fillId="10" borderId="0" xfId="0" applyFont="1" applyFill="1" applyAlignment="1">
      <alignment horizontal="center"/>
    </xf>
    <xf numFmtId="0" fontId="6" fillId="10" borderId="0" xfId="0" applyFont="1" applyFill="1" applyAlignment="1">
      <alignment horizontal="center"/>
    </xf>
    <xf numFmtId="165" fontId="28" fillId="10" borderId="0" xfId="0" applyNumberFormat="1" applyFont="1" applyFill="1" applyAlignment="1">
      <alignment horizontal="center"/>
    </xf>
    <xf numFmtId="0" fontId="29" fillId="10" borderId="0" xfId="0" applyFont="1" applyFill="1" applyAlignment="1">
      <alignment horizontal="center"/>
    </xf>
    <xf numFmtId="0" fontId="5" fillId="11" borderId="0" xfId="0" applyFont="1" applyFill="1" applyAlignment="1">
      <alignment horizontal="center"/>
    </xf>
    <xf numFmtId="0" fontId="39" fillId="0" borderId="0" xfId="0" applyFont="1" applyAlignment="1">
      <alignment horizontal="center" vertical="center" wrapText="1" readingOrder="1"/>
    </xf>
    <xf numFmtId="0" fontId="12" fillId="0" borderId="1" xfId="0" applyFont="1" applyBorder="1"/>
    <xf numFmtId="0" fontId="6" fillId="11" borderId="36" xfId="0" applyFont="1" applyFill="1" applyBorder="1" applyAlignment="1">
      <alignment horizontal="center"/>
    </xf>
    <xf numFmtId="0" fontId="5" fillId="11" borderId="1" xfId="0" applyFont="1" applyFill="1" applyBorder="1" applyAlignment="1">
      <alignment horizontal="center"/>
    </xf>
    <xf numFmtId="0" fontId="6" fillId="11" borderId="1" xfId="0" applyFont="1" applyFill="1" applyBorder="1" applyAlignment="1">
      <alignment horizontal="center"/>
    </xf>
    <xf numFmtId="0" fontId="6" fillId="11" borderId="2" xfId="0" applyFont="1" applyFill="1" applyBorder="1" applyAlignment="1">
      <alignment horizontal="center"/>
    </xf>
    <xf numFmtId="0" fontId="6" fillId="11" borderId="37" xfId="0" applyFont="1" applyFill="1" applyBorder="1" applyAlignment="1">
      <alignment horizontal="center"/>
    </xf>
    <xf numFmtId="0" fontId="6" fillId="11" borderId="0" xfId="0" applyFont="1" applyFill="1" applyAlignment="1">
      <alignment horizontal="center"/>
    </xf>
    <xf numFmtId="0" fontId="6" fillId="11" borderId="38" xfId="0" applyFont="1" applyFill="1" applyBorder="1" applyAlignment="1">
      <alignment horizontal="center"/>
    </xf>
    <xf numFmtId="0" fontId="6" fillId="11" borderId="39" xfId="0" applyFont="1" applyFill="1" applyBorder="1" applyAlignment="1">
      <alignment horizontal="center"/>
    </xf>
    <xf numFmtId="0" fontId="5" fillId="11" borderId="40" xfId="0" applyFont="1" applyFill="1" applyBorder="1" applyAlignment="1">
      <alignment horizontal="center"/>
    </xf>
    <xf numFmtId="0" fontId="6" fillId="11" borderId="40" xfId="0" applyFont="1" applyFill="1" applyBorder="1" applyAlignment="1">
      <alignment horizontal="center"/>
    </xf>
    <xf numFmtId="0" fontId="6" fillId="11" borderId="41" xfId="0" applyFont="1" applyFill="1" applyBorder="1" applyAlignment="1">
      <alignment horizontal="center"/>
    </xf>
    <xf numFmtId="0" fontId="14" fillId="0" borderId="42" xfId="31" applyFont="1" applyBorder="1" applyAlignment="1">
      <alignment horizontal="centerContinuous" vertical="center"/>
    </xf>
    <xf numFmtId="0" fontId="14" fillId="0" borderId="12" xfId="31" applyFont="1" applyBorder="1" applyAlignment="1">
      <alignment horizontal="centerContinuous" vertical="center"/>
    </xf>
    <xf numFmtId="0" fontId="14" fillId="0" borderId="42" xfId="31" applyFont="1" applyBorder="1" applyAlignment="1">
      <alignment horizontal="left" vertical="center"/>
    </xf>
    <xf numFmtId="0" fontId="14" fillId="0" borderId="12" xfId="31" applyFont="1" applyBorder="1" applyAlignment="1">
      <alignment horizontal="center" vertical="center"/>
    </xf>
    <xf numFmtId="0" fontId="14" fillId="0" borderId="43" xfId="31" applyFont="1" applyBorder="1" applyAlignment="1">
      <alignment horizontal="center" vertical="center"/>
    </xf>
    <xf numFmtId="0" fontId="14" fillId="0" borderId="31" xfId="31" applyFont="1" applyBorder="1" applyAlignment="1">
      <alignment horizontal="centerContinuous" vertical="center"/>
    </xf>
    <xf numFmtId="0" fontId="14" fillId="0" borderId="32" xfId="31" applyFont="1" applyBorder="1" applyAlignment="1">
      <alignment horizontal="centerContinuous" vertical="center"/>
    </xf>
    <xf numFmtId="0" fontId="14" fillId="0" borderId="33" xfId="31" applyFont="1" applyBorder="1" applyAlignment="1">
      <alignment horizontal="centerContinuous" vertical="center"/>
    </xf>
    <xf numFmtId="0" fontId="14" fillId="0" borderId="16" xfId="31" applyFont="1" applyBorder="1" applyAlignment="1">
      <alignment horizontal="centerContinuous" vertical="center" wrapText="1"/>
    </xf>
    <xf numFmtId="0" fontId="14" fillId="0" borderId="44" xfId="31" applyFont="1" applyBorder="1" applyAlignment="1">
      <alignment horizontal="center" vertical="center"/>
    </xf>
    <xf numFmtId="0" fontId="14" fillId="0" borderId="36" xfId="31" applyFont="1" applyBorder="1" applyAlignment="1">
      <alignment horizontal="centerContinuous" vertical="center"/>
    </xf>
    <xf numFmtId="0" fontId="14" fillId="0" borderId="1" xfId="31" applyFont="1" applyBorder="1" applyAlignment="1">
      <alignment horizontal="centerContinuous" vertical="center"/>
    </xf>
    <xf numFmtId="0" fontId="6" fillId="0" borderId="0" xfId="0" applyFont="1"/>
    <xf numFmtId="0" fontId="32" fillId="0" borderId="47" xfId="0" applyFont="1" applyBorder="1" applyAlignment="1">
      <alignment vertical="center" textRotation="90"/>
    </xf>
    <xf numFmtId="0" fontId="35" fillId="0" borderId="0" xfId="0" applyFont="1" applyAlignment="1">
      <alignment horizontal="center"/>
    </xf>
    <xf numFmtId="165" fontId="35"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26" borderId="17" xfId="0" applyFont="1" applyFill="1" applyBorder="1"/>
    <xf numFmtId="0" fontId="43" fillId="26" borderId="18" xfId="0" applyFont="1" applyFill="1" applyBorder="1"/>
    <xf numFmtId="0" fontId="43" fillId="26" borderId="19" xfId="0" applyFont="1" applyFill="1" applyBorder="1"/>
    <xf numFmtId="0" fontId="0" fillId="0" borderId="3" xfId="0" applyBorder="1"/>
    <xf numFmtId="0" fontId="0" fillId="0" borderId="3" xfId="0" applyBorder="1" applyAlignment="1">
      <alignment horizontal="center"/>
    </xf>
    <xf numFmtId="0" fontId="47" fillId="0" borderId="3" xfId="0" applyFont="1" applyBorder="1" applyAlignment="1">
      <alignment horizontal="center"/>
    </xf>
    <xf numFmtId="0" fontId="5" fillId="26" borderId="0" xfId="0" applyFont="1" applyFill="1" applyAlignment="1">
      <alignment horizontal="center"/>
    </xf>
    <xf numFmtId="0" fontId="28" fillId="26" borderId="0" xfId="0" applyFont="1" applyFill="1" applyAlignment="1">
      <alignment horizontal="center"/>
    </xf>
    <xf numFmtId="0" fontId="6" fillId="26" borderId="18" xfId="0" applyFont="1" applyFill="1" applyBorder="1"/>
    <xf numFmtId="0" fontId="6" fillId="26" borderId="22" xfId="0" applyFont="1" applyFill="1" applyBorder="1"/>
    <xf numFmtId="0" fontId="6" fillId="26" borderId="19" xfId="0" applyFont="1" applyFill="1" applyBorder="1"/>
    <xf numFmtId="0" fontId="28" fillId="0" borderId="45" xfId="0" applyFont="1" applyBorder="1" applyAlignment="1">
      <alignment horizontal="center"/>
    </xf>
    <xf numFmtId="0" fontId="6" fillId="0" borderId="44" xfId="0" applyFont="1" applyBorder="1" applyAlignment="1">
      <alignment horizontal="center"/>
    </xf>
    <xf numFmtId="0" fontId="5" fillId="0" borderId="49" xfId="0" applyFont="1" applyBorder="1" applyAlignment="1">
      <alignment horizontal="center"/>
    </xf>
    <xf numFmtId="0" fontId="28" fillId="0" borderId="49" xfId="0" applyFont="1" applyBorder="1" applyAlignment="1">
      <alignment horizontal="center"/>
    </xf>
    <xf numFmtId="0" fontId="28" fillId="0" borderId="50" xfId="0" applyFont="1" applyBorder="1" applyAlignment="1">
      <alignment horizontal="center"/>
    </xf>
    <xf numFmtId="0" fontId="6" fillId="0" borderId="21" xfId="0" applyFont="1" applyBorder="1" applyAlignment="1">
      <alignment horizontal="center"/>
    </xf>
    <xf numFmtId="0" fontId="5" fillId="0" borderId="22" xfId="0" applyFont="1" applyBorder="1" applyAlignment="1">
      <alignment horizontal="center"/>
    </xf>
    <xf numFmtId="0" fontId="28" fillId="0" borderId="22" xfId="0" applyFont="1" applyBorder="1" applyAlignment="1">
      <alignment horizontal="center"/>
    </xf>
    <xf numFmtId="0" fontId="28" fillId="0" borderId="23" xfId="0" applyFont="1" applyBorder="1" applyAlignment="1">
      <alignment horizontal="center"/>
    </xf>
    <xf numFmtId="0" fontId="32" fillId="26" borderId="45" xfId="0" applyFont="1" applyFill="1" applyBorder="1" applyAlignment="1">
      <alignment horizontal="center" vertical="center" textRotation="90"/>
    </xf>
    <xf numFmtId="49" fontId="6" fillId="0" borderId="16" xfId="0" applyNumberFormat="1" applyFont="1" applyBorder="1" applyAlignment="1">
      <alignment horizontal="center"/>
    </xf>
    <xf numFmtId="165" fontId="28" fillId="0" borderId="49" xfId="0" applyNumberFormat="1" applyFont="1" applyBorder="1" applyAlignment="1">
      <alignment horizontal="center"/>
    </xf>
    <xf numFmtId="49" fontId="6" fillId="0" borderId="50" xfId="0" applyNumberFormat="1" applyFont="1" applyBorder="1" applyAlignment="1">
      <alignment horizontal="center"/>
    </xf>
    <xf numFmtId="49" fontId="6" fillId="0" borderId="47" xfId="0" applyNumberFormat="1" applyFont="1" applyBorder="1" applyAlignment="1">
      <alignment horizontal="center"/>
    </xf>
    <xf numFmtId="49" fontId="6" fillId="0" borderId="45" xfId="0" applyNumberFormat="1" applyFont="1" applyBorder="1" applyAlignment="1">
      <alignment horizontal="center"/>
    </xf>
    <xf numFmtId="49" fontId="6" fillId="0" borderId="20" xfId="0" applyNumberFormat="1" applyFont="1" applyBorder="1" applyAlignment="1">
      <alignment horizontal="center"/>
    </xf>
    <xf numFmtId="49" fontId="6" fillId="0" borderId="23" xfId="0" applyNumberFormat="1" applyFont="1" applyBorder="1" applyAlignment="1">
      <alignment horizontal="center"/>
    </xf>
    <xf numFmtId="0" fontId="6" fillId="26" borderId="0" xfId="0" applyFont="1" applyFill="1" applyAlignment="1">
      <alignment horizontal="center"/>
    </xf>
    <xf numFmtId="0" fontId="6" fillId="26" borderId="23" xfId="0" applyFont="1" applyFill="1" applyBorder="1"/>
    <xf numFmtId="0" fontId="5" fillId="26" borderId="18" xfId="0" applyFont="1" applyFill="1" applyBorder="1" applyAlignment="1">
      <alignment horizontal="center"/>
    </xf>
    <xf numFmtId="0" fontId="28" fillId="26" borderId="18" xfId="0" applyFont="1" applyFill="1" applyBorder="1" applyAlignment="1">
      <alignment horizontal="center"/>
    </xf>
    <xf numFmtId="165" fontId="29" fillId="26" borderId="19" xfId="0" applyNumberFormat="1" applyFont="1" applyFill="1" applyBorder="1" applyAlignment="1">
      <alignment horizontal="center"/>
    </xf>
    <xf numFmtId="0" fontId="0" fillId="0" borderId="51" xfId="0" applyBorder="1"/>
    <xf numFmtId="0" fontId="0" fillId="0" borderId="51" xfId="0" applyBorder="1" applyAlignment="1">
      <alignment horizontal="center"/>
    </xf>
    <xf numFmtId="0" fontId="28" fillId="26" borderId="19" xfId="0" applyFont="1" applyFill="1" applyBorder="1" applyAlignment="1">
      <alignment horizontal="center"/>
    </xf>
    <xf numFmtId="165" fontId="5" fillId="3" borderId="0" xfId="0" applyNumberFormat="1" applyFont="1" applyFill="1" applyAlignment="1">
      <alignment horizontal="center"/>
    </xf>
    <xf numFmtId="165" fontId="43" fillId="26" borderId="18" xfId="0" applyNumberFormat="1" applyFont="1" applyFill="1" applyBorder="1"/>
    <xf numFmtId="165" fontId="6" fillId="26" borderId="18" xfId="0" applyNumberFormat="1" applyFont="1" applyFill="1" applyBorder="1"/>
    <xf numFmtId="165" fontId="28" fillId="0" borderId="22" xfId="0" applyNumberFormat="1" applyFont="1" applyBorder="1" applyAlignment="1">
      <alignment horizontal="center"/>
    </xf>
    <xf numFmtId="165" fontId="6" fillId="26" borderId="22" xfId="0" applyNumberFormat="1" applyFont="1" applyFill="1" applyBorder="1"/>
    <xf numFmtId="165" fontId="28" fillId="26" borderId="0" xfId="0" applyNumberFormat="1" applyFont="1" applyFill="1" applyAlignment="1">
      <alignment horizontal="center"/>
    </xf>
    <xf numFmtId="165" fontId="28" fillId="26" borderId="18" xfId="0" applyNumberFormat="1" applyFont="1" applyFill="1" applyBorder="1" applyAlignment="1">
      <alignment horizontal="center"/>
    </xf>
    <xf numFmtId="165" fontId="6" fillId="11" borderId="1" xfId="0" applyNumberFormat="1" applyFont="1" applyFill="1" applyBorder="1" applyAlignment="1">
      <alignment horizontal="center"/>
    </xf>
    <xf numFmtId="165" fontId="6" fillId="11" borderId="0" xfId="0" applyNumberFormat="1" applyFont="1" applyFill="1" applyAlignment="1">
      <alignment horizontal="center"/>
    </xf>
    <xf numFmtId="165" fontId="6" fillId="11" borderId="40" xfId="0" applyNumberFormat="1" applyFont="1" applyFill="1" applyBorder="1" applyAlignment="1">
      <alignment horizontal="center"/>
    </xf>
    <xf numFmtId="0" fontId="15" fillId="0" borderId="36" xfId="31" applyFont="1" applyBorder="1" applyAlignment="1">
      <alignment horizontal="left" vertical="center"/>
    </xf>
    <xf numFmtId="0" fontId="15" fillId="0" borderId="1" xfId="31" applyFont="1" applyBorder="1" applyAlignment="1">
      <alignment horizontal="left" vertical="center"/>
    </xf>
    <xf numFmtId="0" fontId="15" fillId="0" borderId="2" xfId="31" applyFont="1" applyBorder="1" applyAlignment="1">
      <alignment horizontal="left" vertical="center"/>
    </xf>
    <xf numFmtId="0" fontId="13" fillId="0" borderId="2" xfId="31" applyFont="1" applyBorder="1" applyAlignment="1" applyProtection="1">
      <alignment horizontal="center" vertical="center"/>
      <protection hidden="1"/>
    </xf>
    <xf numFmtId="0" fontId="13" fillId="0" borderId="46" xfId="31" applyFont="1" applyBorder="1" applyAlignment="1" applyProtection="1">
      <alignment horizontal="center" vertical="center"/>
      <protection hidden="1"/>
    </xf>
    <xf numFmtId="0" fontId="15" fillId="0" borderId="46" xfId="31" applyFont="1" applyBorder="1" applyAlignment="1" applyProtection="1">
      <alignment horizontal="center" vertical="center"/>
      <protection hidden="1"/>
    </xf>
    <xf numFmtId="0" fontId="15" fillId="0" borderId="46" xfId="31" applyFont="1" applyBorder="1" applyAlignment="1">
      <alignment horizontal="center" vertical="center"/>
    </xf>
    <xf numFmtId="0" fontId="13" fillId="0" borderId="46" xfId="31" applyFont="1" applyBorder="1" applyAlignment="1">
      <alignment horizontal="center" vertical="center"/>
    </xf>
    <xf numFmtId="0" fontId="14" fillId="0" borderId="46" xfId="31" applyFont="1" applyBorder="1" applyAlignment="1">
      <alignment horizontal="center" vertical="center"/>
    </xf>
    <xf numFmtId="1" fontId="13" fillId="0" borderId="46" xfId="31" applyNumberFormat="1" applyFont="1" applyBorder="1" applyAlignment="1" applyProtection="1">
      <alignment horizontal="center" vertical="center"/>
      <protection hidden="1"/>
    </xf>
    <xf numFmtId="0" fontId="13" fillId="0" borderId="46" xfId="31" applyFont="1" applyBorder="1" applyAlignment="1" applyProtection="1">
      <alignment horizontal="center" vertical="center"/>
      <protection locked="0"/>
    </xf>
    <xf numFmtId="0" fontId="15" fillId="0" borderId="46" xfId="31" applyFont="1" applyBorder="1" applyAlignment="1" applyProtection="1">
      <alignment horizontal="center" vertical="center"/>
      <protection locked="0"/>
    </xf>
    <xf numFmtId="0" fontId="16" fillId="0" borderId="46" xfId="31" applyFont="1" applyBorder="1" applyAlignment="1" applyProtection="1">
      <alignment horizontal="center" vertical="center"/>
      <protection hidden="1"/>
    </xf>
    <xf numFmtId="0" fontId="15" fillId="0" borderId="36" xfId="31" applyFont="1" applyBorder="1" applyAlignment="1">
      <alignment horizontal="center" vertical="center"/>
    </xf>
    <xf numFmtId="0" fontId="48" fillId="29" borderId="3" xfId="0" applyFont="1" applyFill="1" applyBorder="1"/>
    <xf numFmtId="0" fontId="48" fillId="29" borderId="3" xfId="0" applyFont="1" applyFill="1" applyBorder="1" applyAlignment="1">
      <alignment horizontal="center"/>
    </xf>
    <xf numFmtId="0" fontId="48" fillId="0" borderId="0" xfId="0" applyFont="1"/>
    <xf numFmtId="0" fontId="0" fillId="30" borderId="3" xfId="0" applyFill="1" applyBorder="1"/>
    <xf numFmtId="0" fontId="0" fillId="30" borderId="3" xfId="0" applyFill="1" applyBorder="1" applyAlignment="1">
      <alignment horizontal="center"/>
    </xf>
    <xf numFmtId="0" fontId="47" fillId="0" borderId="0" xfId="0" applyFont="1" applyAlignment="1">
      <alignment horizontal="center"/>
    </xf>
    <xf numFmtId="0" fontId="48" fillId="28" borderId="3" xfId="0" applyFont="1" applyFill="1" applyBorder="1"/>
    <xf numFmtId="0" fontId="48" fillId="28" borderId="3" xfId="0" applyFont="1" applyFill="1" applyBorder="1" applyAlignment="1">
      <alignment horizontal="center"/>
    </xf>
    <xf numFmtId="0" fontId="0" fillId="31" borderId="3" xfId="0" applyFill="1" applyBorder="1"/>
    <xf numFmtId="0" fontId="0" fillId="31" borderId="3" xfId="0" applyFill="1" applyBorder="1" applyAlignment="1">
      <alignment horizontal="center"/>
    </xf>
    <xf numFmtId="0" fontId="0" fillId="28" borderId="3" xfId="0" applyFill="1" applyBorder="1" applyAlignment="1">
      <alignment horizontal="center"/>
    </xf>
    <xf numFmtId="0" fontId="45" fillId="30" borderId="3" xfId="25" applyFill="1" applyBorder="1"/>
    <xf numFmtId="0" fontId="47" fillId="30" borderId="3" xfId="25" applyFont="1" applyFill="1" applyBorder="1" applyAlignment="1">
      <alignment horizontal="center"/>
    </xf>
    <xf numFmtId="0" fontId="6" fillId="28" borderId="3" xfId="0" applyFont="1" applyFill="1" applyBorder="1" applyAlignment="1">
      <alignment horizontal="center"/>
    </xf>
    <xf numFmtId="0" fontId="6" fillId="30" borderId="3" xfId="0" applyFont="1" applyFill="1" applyBorder="1"/>
    <xf numFmtId="0" fontId="6" fillId="30" borderId="3" xfId="0" applyFont="1" applyFill="1" applyBorder="1" applyAlignment="1">
      <alignment horizontal="center"/>
    </xf>
    <xf numFmtId="0" fontId="0" fillId="25" borderId="0" xfId="0" applyFill="1"/>
    <xf numFmtId="0" fontId="45" fillId="28" borderId="3" xfId="25" applyFill="1" applyBorder="1" applyAlignment="1">
      <alignment horizontal="center"/>
    </xf>
    <xf numFmtId="0" fontId="22" fillId="0" borderId="0" xfId="27" applyFont="1" applyAlignment="1">
      <alignment vertical="center"/>
    </xf>
    <xf numFmtId="0" fontId="22" fillId="0" borderId="0" xfId="27" applyFont="1" applyAlignment="1">
      <alignment horizontal="center" vertical="center"/>
    </xf>
    <xf numFmtId="165" fontId="25" fillId="0" borderId="5" xfId="27" applyNumberFormat="1" applyFont="1" applyBorder="1" applyAlignment="1">
      <alignment horizontal="center" vertical="center"/>
    </xf>
    <xf numFmtId="0" fontId="25" fillId="0" borderId="6" xfId="27" applyFont="1" applyBorder="1" applyAlignment="1">
      <alignment horizontal="center" vertical="center"/>
    </xf>
    <xf numFmtId="0" fontId="27" fillId="0" borderId="6" xfId="27" applyFont="1" applyBorder="1" applyAlignment="1">
      <alignment horizontal="center" vertical="center"/>
    </xf>
    <xf numFmtId="165" fontId="25" fillId="0" borderId="6" xfId="27" applyNumberFormat="1" applyFont="1" applyBorder="1" applyAlignment="1">
      <alignment horizontal="center" vertical="center"/>
    </xf>
    <xf numFmtId="164" fontId="26" fillId="0" borderId="6" xfId="27" applyNumberFormat="1" applyFont="1" applyBorder="1" applyAlignment="1">
      <alignment horizontal="center" vertical="center"/>
    </xf>
    <xf numFmtId="9" fontId="22" fillId="0" borderId="6" xfId="34" applyFont="1" applyFill="1" applyBorder="1" applyAlignment="1">
      <alignment horizontal="center" vertical="center"/>
    </xf>
    <xf numFmtId="0" fontId="22" fillId="0" borderId="6" xfId="27" applyFont="1" applyBorder="1" applyAlignment="1">
      <alignment horizontal="center" vertical="center"/>
    </xf>
    <xf numFmtId="1" fontId="24" fillId="0" borderId="5" xfId="27" applyNumberFormat="1" applyFont="1" applyBorder="1" applyAlignment="1">
      <alignment horizontal="center" vertical="center"/>
    </xf>
    <xf numFmtId="0" fontId="18" fillId="0" borderId="7" xfId="27" applyFont="1" applyBorder="1" applyAlignment="1">
      <alignment vertical="center"/>
    </xf>
    <xf numFmtId="0" fontId="22" fillId="0" borderId="5" xfId="27" applyFont="1" applyBorder="1" applyAlignment="1">
      <alignment horizontal="center" vertical="center"/>
    </xf>
    <xf numFmtId="164" fontId="22" fillId="0" borderId="6" xfId="27" applyNumberFormat="1" applyFont="1" applyBorder="1" applyAlignment="1">
      <alignment horizontal="center" vertical="center"/>
    </xf>
    <xf numFmtId="0" fontId="23" fillId="0" borderId="6" xfId="27" applyFont="1" applyBorder="1" applyAlignment="1">
      <alignment horizontal="center" vertical="center"/>
    </xf>
    <xf numFmtId="2" fontId="22" fillId="0" borderId="4" xfId="27" applyNumberFormat="1" applyFont="1" applyBorder="1" applyAlignment="1">
      <alignment horizontal="center" vertical="center"/>
    </xf>
    <xf numFmtId="0" fontId="24" fillId="0" borderId="5" xfId="27" applyFont="1" applyBorder="1" applyAlignment="1">
      <alignment horizontal="center" vertical="center"/>
    </xf>
    <xf numFmtId="0" fontId="24" fillId="0" borderId="7" xfId="27" applyFont="1" applyBorder="1" applyAlignment="1">
      <alignment vertical="center"/>
    </xf>
    <xf numFmtId="0" fontId="18" fillId="4" borderId="6" xfId="26" applyFont="1" applyFill="1" applyBorder="1" applyAlignment="1">
      <alignment horizontal="center" vertical="center"/>
    </xf>
    <xf numFmtId="0" fontId="18" fillId="0" borderId="6" xfId="26" applyFont="1" applyBorder="1" applyAlignment="1">
      <alignment horizontal="center" vertical="center"/>
    </xf>
    <xf numFmtId="2" fontId="18" fillId="0" borderId="6" xfId="26" applyNumberFormat="1" applyFont="1" applyBorder="1" applyAlignment="1">
      <alignment horizontal="center" vertical="center"/>
    </xf>
    <xf numFmtId="0" fontId="19" fillId="0" borderId="6" xfId="26" applyFont="1" applyBorder="1" applyAlignment="1">
      <alignment horizontal="center" vertical="center"/>
    </xf>
    <xf numFmtId="0" fontId="19" fillId="0" borderId="4" xfId="26" applyFont="1" applyBorder="1" applyAlignment="1">
      <alignment horizontal="center" vertical="center"/>
    </xf>
    <xf numFmtId="0" fontId="20" fillId="0" borderId="5" xfId="26" applyFont="1" applyBorder="1" applyAlignment="1">
      <alignment horizontal="center" vertical="center"/>
    </xf>
    <xf numFmtId="0" fontId="20" fillId="0" borderId="7" xfId="26" applyFont="1" applyBorder="1" applyAlignment="1">
      <alignment vertical="center"/>
    </xf>
    <xf numFmtId="0" fontId="19" fillId="0" borderId="0" xfId="26" applyFont="1" applyAlignment="1">
      <alignment vertical="center"/>
    </xf>
    <xf numFmtId="0" fontId="19" fillId="0" borderId="0" xfId="26" applyFont="1" applyAlignment="1">
      <alignment horizontal="center" vertical="center"/>
    </xf>
    <xf numFmtId="1" fontId="19" fillId="0" borderId="6" xfId="26" applyNumberFormat="1" applyFont="1" applyBorder="1" applyAlignment="1">
      <alignment horizontal="center" vertical="center"/>
    </xf>
    <xf numFmtId="167" fontId="19" fillId="8" borderId="4" xfId="26" applyNumberFormat="1" applyFont="1" applyFill="1" applyBorder="1" applyAlignment="1">
      <alignment vertical="center"/>
    </xf>
    <xf numFmtId="0" fontId="22" fillId="8" borderId="5" xfId="27" applyFont="1" applyFill="1" applyBorder="1" applyAlignment="1">
      <alignment horizontal="center" vertical="center"/>
    </xf>
    <xf numFmtId="0" fontId="22" fillId="8" borderId="6" xfId="27" applyFont="1" applyFill="1" applyBorder="1" applyAlignment="1">
      <alignment horizontal="center" vertical="center"/>
    </xf>
    <xf numFmtId="164" fontId="22" fillId="8" borderId="6" xfId="27" applyNumberFormat="1" applyFont="1" applyFill="1" applyBorder="1" applyAlignment="1">
      <alignment horizontal="center" vertical="center"/>
    </xf>
    <xf numFmtId="0" fontId="23" fillId="8" borderId="6" xfId="27" applyFont="1" applyFill="1" applyBorder="1" applyAlignment="1">
      <alignment horizontal="center" vertical="center"/>
    </xf>
    <xf numFmtId="0" fontId="19" fillId="8" borderId="6" xfId="26" applyFont="1" applyFill="1" applyBorder="1" applyAlignment="1">
      <alignment horizontal="center" vertical="center"/>
    </xf>
    <xf numFmtId="0" fontId="19" fillId="8" borderId="4" xfId="26" applyFont="1" applyFill="1" applyBorder="1" applyAlignment="1">
      <alignment horizontal="center" vertical="center"/>
    </xf>
    <xf numFmtId="0" fontId="18" fillId="8" borderId="5" xfId="26" applyFont="1" applyFill="1" applyBorder="1" applyAlignment="1">
      <alignment horizontal="right" vertical="center"/>
    </xf>
    <xf numFmtId="0" fontId="18" fillId="8" borderId="7" xfId="26" applyFont="1" applyFill="1" applyBorder="1" applyAlignment="1">
      <alignment vertical="center"/>
    </xf>
    <xf numFmtId="167" fontId="19" fillId="0" borderId="4" xfId="26" applyNumberFormat="1" applyFont="1" applyBorder="1" applyAlignment="1">
      <alignment vertical="center"/>
    </xf>
    <xf numFmtId="0" fontId="18" fillId="0" borderId="4" xfId="27" applyFont="1" applyBorder="1" applyAlignment="1">
      <alignment vertical="center"/>
    </xf>
    <xf numFmtId="0" fontId="22" fillId="0" borderId="54" xfId="27" applyFont="1" applyBorder="1" applyAlignment="1">
      <alignment horizontal="center" vertical="center"/>
    </xf>
    <xf numFmtId="0" fontId="22" fillId="0" borderId="12" xfId="27" applyFont="1" applyBorder="1" applyAlignment="1">
      <alignment horizontal="center" vertical="center"/>
    </xf>
    <xf numFmtId="164" fontId="22" fillId="0" borderId="12" xfId="27" applyNumberFormat="1" applyFont="1" applyBorder="1" applyAlignment="1">
      <alignment horizontal="center" vertical="center"/>
    </xf>
    <xf numFmtId="0" fontId="23" fillId="0" borderId="12" xfId="27" applyFont="1" applyBorder="1" applyAlignment="1">
      <alignment horizontal="center" vertical="center"/>
    </xf>
    <xf numFmtId="2" fontId="22" fillId="0" borderId="30" xfId="27" applyNumberFormat="1" applyFont="1" applyBorder="1" applyAlignment="1">
      <alignment horizontal="center" vertical="center"/>
    </xf>
    <xf numFmtId="0" fontId="24" fillId="0" borderId="54" xfId="27" applyFont="1" applyBorder="1" applyAlignment="1">
      <alignment horizontal="center" vertical="center"/>
    </xf>
    <xf numFmtId="0" fontId="24" fillId="0" borderId="43" xfId="27" applyFont="1" applyBorder="1" applyAlignment="1">
      <alignment vertical="center"/>
    </xf>
    <xf numFmtId="0" fontId="27" fillId="8" borderId="6" xfId="27" applyFont="1" applyFill="1" applyBorder="1" applyAlignment="1">
      <alignment horizontal="center" vertical="center"/>
    </xf>
    <xf numFmtId="164" fontId="26" fillId="8" borderId="6" xfId="27" applyNumberFormat="1" applyFont="1" applyFill="1" applyBorder="1" applyAlignment="1">
      <alignment horizontal="center" vertical="center"/>
    </xf>
    <xf numFmtId="2" fontId="22" fillId="8" borderId="6" xfId="27" applyNumberFormat="1" applyFont="1" applyFill="1" applyBorder="1" applyAlignment="1">
      <alignment horizontal="center" vertical="center"/>
    </xf>
    <xf numFmtId="1" fontId="22" fillId="8" borderId="4" xfId="27" applyNumberFormat="1" applyFont="1" applyFill="1" applyBorder="1" applyAlignment="1">
      <alignment horizontal="center" vertical="center"/>
    </xf>
    <xf numFmtId="0" fontId="24" fillId="8" borderId="5" xfId="27" applyFont="1" applyFill="1" applyBorder="1" applyAlignment="1">
      <alignment horizontal="center" vertical="center"/>
    </xf>
    <xf numFmtId="0" fontId="24" fillId="8" borderId="7" xfId="27" applyFont="1" applyFill="1" applyBorder="1" applyAlignment="1">
      <alignment vertical="center"/>
    </xf>
    <xf numFmtId="0" fontId="19" fillId="27" borderId="6" xfId="27" applyFont="1" applyFill="1" applyBorder="1" applyAlignment="1">
      <alignment horizontal="center" vertical="center"/>
    </xf>
    <xf numFmtId="0" fontId="19" fillId="27" borderId="9" xfId="27" applyFont="1" applyFill="1" applyBorder="1" applyAlignment="1">
      <alignment horizontal="center" vertical="center"/>
    </xf>
    <xf numFmtId="0" fontId="19" fillId="7" borderId="10" xfId="27" applyFont="1" applyFill="1" applyBorder="1" applyAlignment="1">
      <alignment horizontal="center" vertical="center"/>
    </xf>
    <xf numFmtId="0" fontId="18" fillId="0" borderId="5" xfId="27" applyFont="1" applyBorder="1" applyAlignment="1">
      <alignment horizontal="center" vertical="center"/>
    </xf>
    <xf numFmtId="0" fontId="19" fillId="0" borderId="0" xfId="27" applyFont="1" applyAlignment="1">
      <alignment vertical="center"/>
    </xf>
    <xf numFmtId="0" fontId="19" fillId="0" borderId="0" xfId="27" applyFont="1" applyAlignment="1">
      <alignment horizontal="center" vertical="center"/>
    </xf>
    <xf numFmtId="9" fontId="19" fillId="25" borderId="6" xfId="34" applyFont="1" applyFill="1" applyBorder="1" applyAlignment="1">
      <alignment horizontal="center" vertical="center"/>
    </xf>
    <xf numFmtId="0" fontId="19" fillId="25" borderId="6" xfId="27" applyFont="1" applyFill="1" applyBorder="1" applyAlignment="1">
      <alignment horizontal="center" vertical="center"/>
    </xf>
    <xf numFmtId="2" fontId="19" fillId="25" borderId="6" xfId="27" applyNumberFormat="1" applyFont="1" applyFill="1" applyBorder="1" applyAlignment="1">
      <alignment horizontal="center" vertical="center"/>
    </xf>
    <xf numFmtId="1" fontId="19" fillId="25" borderId="6" xfId="27" applyNumberFormat="1" applyFont="1" applyFill="1" applyBorder="1" applyAlignment="1">
      <alignment horizontal="center" vertical="center"/>
    </xf>
    <xf numFmtId="1" fontId="19" fillId="25" borderId="4" xfId="27" applyNumberFormat="1" applyFont="1" applyFill="1" applyBorder="1" applyAlignment="1">
      <alignment horizontal="center" vertical="center"/>
    </xf>
    <xf numFmtId="1" fontId="18" fillId="0" borderId="5" xfId="27" applyNumberFormat="1" applyFont="1" applyBorder="1" applyAlignment="1">
      <alignment horizontal="center" vertical="center"/>
    </xf>
    <xf numFmtId="0" fontId="19" fillId="0" borderId="4" xfId="27" applyFont="1" applyBorder="1" applyAlignment="1">
      <alignment vertical="center"/>
    </xf>
    <xf numFmtId="0" fontId="19" fillId="0" borderId="6" xfId="27" applyFont="1" applyBorder="1" applyAlignment="1">
      <alignment horizontal="center" vertical="center"/>
    </xf>
    <xf numFmtId="164" fontId="19" fillId="0" borderId="6" xfId="27" applyNumberFormat="1" applyFont="1" applyBorder="1" applyAlignment="1">
      <alignment horizontal="center" vertical="center"/>
    </xf>
    <xf numFmtId="2" fontId="19" fillId="0" borderId="4" xfId="27" applyNumberFormat="1" applyFont="1" applyBorder="1" applyAlignment="1">
      <alignment horizontal="center" vertical="center"/>
    </xf>
    <xf numFmtId="165" fontId="25" fillId="8" borderId="5" xfId="27" applyNumberFormat="1" applyFont="1" applyFill="1" applyBorder="1" applyAlignment="1">
      <alignment horizontal="center" vertical="center"/>
    </xf>
    <xf numFmtId="9" fontId="22" fillId="8" borderId="6" xfId="34" applyFont="1" applyFill="1" applyBorder="1" applyAlignment="1">
      <alignment horizontal="center" vertical="center"/>
    </xf>
    <xf numFmtId="0" fontId="19" fillId="0" borderId="5" xfId="27" applyFont="1" applyBorder="1" applyAlignment="1">
      <alignment horizontal="center" vertical="center"/>
    </xf>
    <xf numFmtId="0" fontId="19" fillId="8" borderId="6" xfId="27" applyFont="1" applyFill="1" applyBorder="1" applyAlignment="1">
      <alignment horizontal="center" vertical="center"/>
    </xf>
    <xf numFmtId="0" fontId="18" fillId="7" borderId="10" xfId="27" applyFont="1" applyFill="1" applyBorder="1" applyAlignment="1">
      <alignment vertical="center"/>
    </xf>
    <xf numFmtId="0" fontId="22" fillId="2" borderId="0" xfId="27" applyFont="1" applyFill="1" applyAlignment="1">
      <alignment horizontal="left" vertical="center"/>
    </xf>
    <xf numFmtId="0" fontId="22" fillId="2" borderId="0" xfId="27" applyFont="1" applyFill="1" applyAlignment="1">
      <alignment vertical="center"/>
    </xf>
    <xf numFmtId="0" fontId="24" fillId="2" borderId="0" xfId="27" applyFont="1" applyFill="1" applyAlignment="1">
      <alignment vertical="center"/>
    </xf>
    <xf numFmtId="0" fontId="19" fillId="8" borderId="4" xfId="27" applyFont="1" applyFill="1" applyBorder="1" applyAlignment="1">
      <alignment vertical="center"/>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0" borderId="25" xfId="27" applyFont="1" applyBorder="1" applyAlignment="1">
      <alignment vertical="center"/>
    </xf>
    <xf numFmtId="0" fontId="22" fillId="0" borderId="25" xfId="27" applyFont="1" applyBorder="1" applyAlignment="1">
      <alignment vertical="center"/>
    </xf>
    <xf numFmtId="0" fontId="24" fillId="0" borderId="25" xfId="27" applyFont="1" applyBorder="1" applyAlignment="1">
      <alignment vertical="center"/>
    </xf>
    <xf numFmtId="0" fontId="18" fillId="0" borderId="25" xfId="27" applyFont="1" applyBorder="1" applyAlignment="1">
      <alignment vertical="center"/>
    </xf>
    <xf numFmtId="0" fontId="24" fillId="7" borderId="47" xfId="27" applyFont="1" applyFill="1" applyBorder="1" applyAlignment="1">
      <alignment horizontal="left" vertical="center"/>
    </xf>
    <xf numFmtId="0" fontId="18" fillId="7" borderId="47" xfId="27" applyFont="1" applyFill="1" applyBorder="1" applyAlignment="1">
      <alignment horizontal="left" vertical="center"/>
    </xf>
    <xf numFmtId="0" fontId="19" fillId="2" borderId="0" xfId="27" applyFont="1" applyFill="1" applyAlignment="1">
      <alignment horizontal="left" vertical="center"/>
    </xf>
    <xf numFmtId="0" fontId="19" fillId="2" borderId="0" xfId="27" applyFont="1" applyFill="1" applyAlignment="1">
      <alignment vertical="center"/>
    </xf>
    <xf numFmtId="0" fontId="18" fillId="2" borderId="0" xfId="27" applyFont="1" applyFill="1" applyAlignment="1">
      <alignment vertical="center"/>
    </xf>
    <xf numFmtId="0" fontId="19" fillId="7" borderId="8" xfId="27" applyFont="1" applyFill="1" applyBorder="1" applyAlignment="1">
      <alignment horizontal="center" vertical="center"/>
    </xf>
    <xf numFmtId="0" fontId="18" fillId="7" borderId="8" xfId="27" applyFont="1" applyFill="1" applyBorder="1" applyAlignment="1">
      <alignment horizontal="center" vertical="center"/>
    </xf>
    <xf numFmtId="0" fontId="18" fillId="7" borderId="11" xfId="27" applyFont="1" applyFill="1" applyBorder="1" applyAlignment="1">
      <alignment vertical="center"/>
    </xf>
    <xf numFmtId="164" fontId="25" fillId="0" borderId="6" xfId="27" applyNumberFormat="1" applyFont="1" applyBorder="1" applyAlignment="1">
      <alignment horizontal="center" vertical="center"/>
    </xf>
    <xf numFmtId="9" fontId="19" fillId="0" borderId="6" xfId="34" applyFont="1" applyFill="1" applyBorder="1" applyAlignment="1">
      <alignment horizontal="center" vertical="center"/>
    </xf>
    <xf numFmtId="0" fontId="19" fillId="8" borderId="5" xfId="27" applyFont="1" applyFill="1" applyBorder="1" applyAlignment="1">
      <alignment horizontal="center" vertical="center"/>
    </xf>
    <xf numFmtId="164" fontId="25" fillId="8" borderId="6" xfId="27" applyNumberFormat="1" applyFont="1" applyFill="1" applyBorder="1" applyAlignment="1">
      <alignment horizontal="center" vertical="center"/>
    </xf>
    <xf numFmtId="1" fontId="19" fillId="8" borderId="6" xfId="27" applyNumberFormat="1" applyFont="1" applyFill="1" applyBorder="1" applyAlignment="1">
      <alignment horizontal="center" vertical="center"/>
    </xf>
    <xf numFmtId="2" fontId="19" fillId="8" borderId="6" xfId="27" applyNumberFormat="1" applyFont="1" applyFill="1" applyBorder="1" applyAlignment="1">
      <alignment horizontal="center" vertical="center"/>
    </xf>
    <xf numFmtId="1" fontId="19" fillId="8" borderId="4" xfId="27" applyNumberFormat="1" applyFont="1" applyFill="1" applyBorder="1" applyAlignment="1">
      <alignment horizontal="center" vertical="center"/>
    </xf>
    <xf numFmtId="0" fontId="18" fillId="8" borderId="5" xfId="27" applyFont="1" applyFill="1" applyBorder="1" applyAlignment="1">
      <alignment horizontal="center" vertical="center"/>
    </xf>
    <xf numFmtId="0" fontId="18" fillId="8" borderId="7" xfId="27" applyFont="1" applyFill="1" applyBorder="1" applyAlignment="1">
      <alignment vertical="center"/>
    </xf>
    <xf numFmtId="0" fontId="18" fillId="0" borderId="8" xfId="27" applyFont="1" applyBorder="1" applyAlignment="1">
      <alignment horizontal="center" vertical="center"/>
    </xf>
    <xf numFmtId="2" fontId="19" fillId="0" borderId="6" xfId="27" applyNumberFormat="1" applyFont="1" applyBorder="1" applyAlignment="1">
      <alignment horizontal="center" vertical="center"/>
    </xf>
    <xf numFmtId="1" fontId="19" fillId="0" borderId="4" xfId="27" applyNumberFormat="1" applyFont="1" applyBorder="1" applyAlignment="1">
      <alignment horizontal="center" vertical="center"/>
    </xf>
    <xf numFmtId="164" fontId="19" fillId="8" borderId="6" xfId="27" applyNumberFormat="1" applyFont="1" applyFill="1" applyBorder="1" applyAlignment="1">
      <alignment horizontal="center" vertical="center"/>
    </xf>
    <xf numFmtId="0" fontId="19" fillId="0" borderId="4" xfId="27" applyFont="1" applyBorder="1" applyAlignment="1">
      <alignment horizontal="center" vertical="center"/>
    </xf>
    <xf numFmtId="0" fontId="19" fillId="0" borderId="14" xfId="27" applyFont="1" applyBorder="1" applyAlignment="1">
      <alignment horizontal="center" vertical="center"/>
    </xf>
    <xf numFmtId="9" fontId="19" fillId="8" borderId="6" xfId="34" applyFont="1" applyFill="1" applyBorder="1" applyAlignment="1">
      <alignment horizontal="center" vertical="center"/>
    </xf>
    <xf numFmtId="0" fontId="19" fillId="4" borderId="6" xfId="27" applyFont="1" applyFill="1" applyBorder="1" applyAlignment="1">
      <alignment horizontal="center" vertical="center"/>
    </xf>
    <xf numFmtId="0" fontId="18" fillId="0" borderId="6" xfId="27" applyFont="1" applyBorder="1" applyAlignment="1">
      <alignment horizontal="center" vertical="center"/>
    </xf>
    <xf numFmtId="0" fontId="25" fillId="0" borderId="6" xfId="26" applyFont="1" applyBorder="1" applyAlignment="1">
      <alignment horizontal="center" vertical="center"/>
    </xf>
    <xf numFmtId="0" fontId="19" fillId="0" borderId="12" xfId="27" applyFont="1" applyBorder="1" applyAlignment="1">
      <alignment horizontal="center" vertical="center"/>
    </xf>
    <xf numFmtId="2" fontId="19" fillId="0" borderId="30" xfId="27" applyNumberFormat="1" applyFont="1" applyBorder="1" applyAlignment="1">
      <alignment horizontal="center" vertical="center"/>
    </xf>
    <xf numFmtId="0" fontId="18" fillId="0" borderId="14" xfId="27" applyFont="1" applyBorder="1" applyAlignment="1">
      <alignment horizontal="center" vertical="center"/>
    </xf>
    <xf numFmtId="0" fontId="24" fillId="7" borderId="44" xfId="27" applyFont="1" applyFill="1" applyBorder="1" applyAlignment="1">
      <alignment horizontal="left" vertical="center"/>
    </xf>
    <xf numFmtId="165" fontId="25" fillId="0" borderId="14" xfId="27" applyNumberFormat="1" applyFont="1" applyBorder="1" applyAlignment="1">
      <alignment horizontal="center" vertical="center"/>
    </xf>
    <xf numFmtId="0" fontId="24" fillId="7" borderId="24" xfId="27" applyFont="1" applyFill="1" applyBorder="1" applyAlignment="1">
      <alignment horizontal="left" vertical="center"/>
    </xf>
    <xf numFmtId="0" fontId="18" fillId="7" borderId="24" xfId="27" applyFont="1" applyFill="1" applyBorder="1" applyAlignment="1">
      <alignment horizontal="left" vertical="center"/>
    </xf>
    <xf numFmtId="0" fontId="18" fillId="7" borderId="44" xfId="26" applyFont="1" applyFill="1" applyBorder="1" applyAlignment="1">
      <alignment horizontal="left" vertical="center"/>
    </xf>
    <xf numFmtId="0" fontId="19" fillId="33" borderId="24" xfId="27" applyFont="1" applyFill="1" applyBorder="1" applyAlignment="1">
      <alignment horizontal="left" vertical="center"/>
    </xf>
    <xf numFmtId="0" fontId="18" fillId="34" borderId="24" xfId="26" applyFont="1" applyFill="1" applyBorder="1" applyAlignment="1">
      <alignment horizontal="left" vertical="center"/>
    </xf>
    <xf numFmtId="167" fontId="19" fillId="8" borderId="24" xfId="26" applyNumberFormat="1" applyFont="1" applyFill="1" applyBorder="1" applyAlignment="1">
      <alignment horizontal="left" vertical="center"/>
    </xf>
    <xf numFmtId="2" fontId="19" fillId="8" borderId="6" xfId="26" applyNumberFormat="1" applyFont="1" applyFill="1" applyBorder="1" applyAlignment="1">
      <alignment horizontal="center" vertical="center"/>
    </xf>
    <xf numFmtId="9" fontId="22" fillId="0" borderId="4" xfId="34" applyFont="1" applyFill="1" applyBorder="1" applyAlignment="1">
      <alignment horizontal="center" vertical="center"/>
    </xf>
    <xf numFmtId="1" fontId="22" fillId="0" borderId="25" xfId="27" applyNumberFormat="1" applyFont="1" applyBorder="1" applyAlignment="1">
      <alignment horizontal="center" vertical="center"/>
    </xf>
    <xf numFmtId="1" fontId="22" fillId="0" borderId="14" xfId="27" applyNumberFormat="1" applyFont="1" applyBorder="1" applyAlignment="1">
      <alignment horizontal="center" vertical="center"/>
    </xf>
    <xf numFmtId="1" fontId="22" fillId="34" borderId="24" xfId="27" applyNumberFormat="1" applyFont="1" applyFill="1" applyBorder="1" applyAlignment="1">
      <alignment horizontal="center" vertical="center"/>
    </xf>
    <xf numFmtId="0" fontId="22" fillId="34" borderId="24" xfId="27" applyFont="1" applyFill="1" applyBorder="1" applyAlignment="1">
      <alignment horizontal="center" vertical="center"/>
    </xf>
    <xf numFmtId="2" fontId="19" fillId="8" borderId="14" xfId="26" applyNumberFormat="1" applyFont="1" applyFill="1" applyBorder="1" applyAlignment="1">
      <alignment horizontal="center" vertical="center"/>
    </xf>
    <xf numFmtId="1" fontId="19" fillId="34" borderId="24" xfId="26" applyNumberFormat="1" applyFont="1" applyFill="1" applyBorder="1" applyAlignment="1">
      <alignment horizontal="center" vertical="center"/>
    </xf>
    <xf numFmtId="0" fontId="22" fillId="0" borderId="4" xfId="27" applyFont="1" applyBorder="1" applyAlignment="1">
      <alignment horizontal="center" vertical="center"/>
    </xf>
    <xf numFmtId="2" fontId="22" fillId="34" borderId="24" xfId="27" applyNumberFormat="1" applyFont="1" applyFill="1" applyBorder="1" applyAlignment="1">
      <alignment horizontal="center" vertical="center"/>
    </xf>
    <xf numFmtId="1" fontId="24" fillId="0" borderId="25" xfId="27" applyNumberFormat="1" applyFont="1" applyBorder="1" applyAlignment="1">
      <alignment horizontal="center" vertical="center"/>
    </xf>
    <xf numFmtId="0" fontId="18" fillId="34" borderId="24" xfId="27" applyFont="1" applyFill="1" applyBorder="1" applyAlignment="1">
      <alignment vertical="center"/>
    </xf>
    <xf numFmtId="0" fontId="18" fillId="7" borderId="44" xfId="27" applyFont="1" applyFill="1" applyBorder="1" applyAlignment="1">
      <alignment horizontal="left" vertical="center"/>
    </xf>
    <xf numFmtId="0" fontId="19" fillId="34" borderId="24" xfId="27" applyFont="1" applyFill="1" applyBorder="1" applyAlignment="1">
      <alignment horizontal="left" vertical="center"/>
    </xf>
    <xf numFmtId="1" fontId="19" fillId="34" borderId="24" xfId="27" applyNumberFormat="1" applyFont="1" applyFill="1" applyBorder="1" applyAlignment="1">
      <alignment horizontal="center" vertical="center"/>
    </xf>
    <xf numFmtId="1" fontId="18" fillId="0" borderId="14" xfId="27" applyNumberFormat="1" applyFont="1" applyBorder="1" applyAlignment="1">
      <alignment horizontal="center" vertical="center"/>
    </xf>
    <xf numFmtId="0" fontId="19" fillId="8" borderId="14" xfId="27" applyFont="1" applyFill="1" applyBorder="1" applyAlignment="1">
      <alignment horizontal="center" vertical="center"/>
    </xf>
    <xf numFmtId="1" fontId="19" fillId="0" borderId="25" xfId="27" applyNumberFormat="1" applyFont="1" applyBorder="1" applyAlignment="1">
      <alignment horizontal="center" vertical="center"/>
    </xf>
    <xf numFmtId="0" fontId="19" fillId="34" borderId="24" xfId="27" applyFont="1" applyFill="1" applyBorder="1" applyAlignment="1">
      <alignment horizontal="center" vertical="center"/>
    </xf>
    <xf numFmtId="0" fontId="6" fillId="0" borderId="1" xfId="0" applyFont="1" applyBorder="1" applyAlignment="1">
      <alignment horizontal="center"/>
    </xf>
    <xf numFmtId="0" fontId="24" fillId="35" borderId="16" xfId="27" applyFont="1" applyFill="1" applyBorder="1" applyAlignment="1">
      <alignment horizontal="left" vertical="center"/>
    </xf>
    <xf numFmtId="0" fontId="24" fillId="35" borderId="25" xfId="27" applyFont="1" applyFill="1" applyBorder="1" applyAlignment="1">
      <alignment vertical="center"/>
    </xf>
    <xf numFmtId="0" fontId="22" fillId="35" borderId="5" xfId="27" applyFont="1" applyFill="1" applyBorder="1" applyAlignment="1">
      <alignment horizontal="center" vertical="center"/>
    </xf>
    <xf numFmtId="0" fontId="22" fillId="35" borderId="6" xfId="27" applyFont="1" applyFill="1" applyBorder="1" applyAlignment="1">
      <alignment horizontal="center" vertical="center"/>
    </xf>
    <xf numFmtId="0" fontId="22" fillId="35" borderId="4" xfId="27" applyFont="1" applyFill="1" applyBorder="1" applyAlignment="1">
      <alignment horizontal="center" vertical="center"/>
    </xf>
    <xf numFmtId="0" fontId="24" fillId="35" borderId="5" xfId="27" applyFont="1" applyFill="1" applyBorder="1" applyAlignment="1">
      <alignment horizontal="center" vertical="center"/>
    </xf>
    <xf numFmtId="0" fontId="24" fillId="35" borderId="7" xfId="27" applyFont="1" applyFill="1" applyBorder="1" applyAlignment="1">
      <alignment vertical="center"/>
    </xf>
    <xf numFmtId="0" fontId="24" fillId="35" borderId="47" xfId="27" applyFont="1" applyFill="1" applyBorder="1" applyAlignment="1">
      <alignment horizontal="left" vertical="center"/>
    </xf>
    <xf numFmtId="0" fontId="18" fillId="33" borderId="25" xfId="27" applyFont="1" applyFill="1" applyBorder="1" applyAlignment="1">
      <alignment vertical="center"/>
    </xf>
    <xf numFmtId="0" fontId="19" fillId="33" borderId="5" xfId="27" applyFont="1" applyFill="1" applyBorder="1" applyAlignment="1">
      <alignment horizontal="center" vertical="center"/>
    </xf>
    <xf numFmtId="0" fontId="19" fillId="33" borderId="6" xfId="27" applyFont="1" applyFill="1" applyBorder="1" applyAlignment="1">
      <alignment horizontal="center" vertical="center"/>
    </xf>
    <xf numFmtId="164" fontId="19" fillId="33" borderId="6" xfId="27" applyNumberFormat="1" applyFont="1" applyFill="1" applyBorder="1" applyAlignment="1">
      <alignment horizontal="center" vertical="center"/>
    </xf>
    <xf numFmtId="0" fontId="23" fillId="33" borderId="6" xfId="27" applyFont="1" applyFill="1" applyBorder="1" applyAlignment="1">
      <alignment horizontal="center" vertical="center"/>
    </xf>
    <xf numFmtId="0" fontId="19" fillId="33" borderId="9" xfId="27" applyFont="1" applyFill="1" applyBorder="1" applyAlignment="1">
      <alignment horizontal="center" vertical="center"/>
    </xf>
    <xf numFmtId="0" fontId="19" fillId="33" borderId="10" xfId="27" applyFont="1" applyFill="1" applyBorder="1" applyAlignment="1">
      <alignment horizontal="center" vertical="center"/>
    </xf>
    <xf numFmtId="0" fontId="18" fillId="33" borderId="5" xfId="27" applyFont="1" applyFill="1" applyBorder="1" applyAlignment="1">
      <alignment horizontal="center" vertical="center"/>
    </xf>
    <xf numFmtId="0" fontId="18" fillId="33" borderId="7" xfId="27" applyFont="1" applyFill="1" applyBorder="1" applyAlignment="1">
      <alignment vertical="center"/>
    </xf>
    <xf numFmtId="0" fontId="18" fillId="34" borderId="15" xfId="27" applyFont="1" applyFill="1" applyBorder="1" applyAlignment="1">
      <alignment vertical="center"/>
    </xf>
    <xf numFmtId="0" fontId="18" fillId="34" borderId="57" xfId="27" applyFont="1" applyFill="1" applyBorder="1" applyAlignment="1">
      <alignment vertical="center"/>
    </xf>
    <xf numFmtId="10" fontId="22" fillId="34" borderId="24" xfId="27" applyNumberFormat="1" applyFont="1" applyFill="1" applyBorder="1" applyAlignment="1">
      <alignment horizontal="center" vertical="center"/>
    </xf>
    <xf numFmtId="49" fontId="3" fillId="0" borderId="47" xfId="0" applyNumberFormat="1" applyFont="1" applyBorder="1" applyAlignment="1">
      <alignment horizontal="center"/>
    </xf>
    <xf numFmtId="165" fontId="3" fillId="11" borderId="0" xfId="0" applyNumberFormat="1" applyFont="1" applyFill="1" applyAlignment="1">
      <alignment horizontal="center"/>
    </xf>
    <xf numFmtId="0" fontId="3" fillId="0" borderId="44" xfId="0" applyFont="1" applyBorder="1" applyAlignment="1">
      <alignment horizontal="center"/>
    </xf>
    <xf numFmtId="0" fontId="3" fillId="0" borderId="0" xfId="0" applyFont="1" applyAlignment="1">
      <alignment horizontal="center"/>
    </xf>
    <xf numFmtId="0" fontId="3" fillId="0" borderId="3" xfId="0" applyFont="1" applyBorder="1" applyAlignment="1">
      <alignment horizontal="center" shrinkToFit="1"/>
    </xf>
    <xf numFmtId="0" fontId="3" fillId="0" borderId="0" xfId="0" applyFont="1" applyAlignment="1">
      <alignment horizontal="center" shrinkToFit="1"/>
    </xf>
    <xf numFmtId="0" fontId="3" fillId="28" borderId="3" xfId="0" applyFont="1" applyFill="1" applyBorder="1" applyAlignment="1">
      <alignment horizontal="center"/>
    </xf>
    <xf numFmtId="0" fontId="19" fillId="35" borderId="6" xfId="27" applyFont="1" applyFill="1" applyBorder="1" applyAlignment="1">
      <alignment horizontal="center" vertical="center"/>
    </xf>
    <xf numFmtId="164" fontId="19" fillId="0" borderId="5" xfId="27" applyNumberFormat="1" applyFont="1" applyBorder="1" applyAlignment="1">
      <alignment horizontal="center" vertical="center"/>
    </xf>
    <xf numFmtId="2" fontId="19" fillId="0" borderId="5" xfId="27" applyNumberFormat="1" applyFont="1" applyBorder="1" applyAlignment="1">
      <alignment horizontal="center" vertical="center"/>
    </xf>
    <xf numFmtId="0" fontId="19" fillId="27" borderId="14" xfId="27" applyFont="1" applyFill="1" applyBorder="1" applyAlignment="1">
      <alignment horizontal="center" vertical="center"/>
    </xf>
    <xf numFmtId="0" fontId="22" fillId="35" borderId="14" xfId="27" applyFont="1" applyFill="1" applyBorder="1" applyAlignment="1">
      <alignment horizontal="center" vertical="center"/>
    </xf>
    <xf numFmtId="0" fontId="19" fillId="0" borderId="26" xfId="27" applyFont="1" applyBorder="1" applyAlignment="1">
      <alignment vertical="center"/>
    </xf>
    <xf numFmtId="0" fontId="19" fillId="0" borderId="20" xfId="27" applyFont="1" applyBorder="1" applyAlignment="1">
      <alignment vertical="center"/>
    </xf>
    <xf numFmtId="0" fontId="3" fillId="30" borderId="3" xfId="0" applyFont="1" applyFill="1" applyBorder="1"/>
    <xf numFmtId="2" fontId="25" fillId="0" borderId="6" xfId="26" applyNumberFormat="1" applyFont="1" applyBorder="1" applyAlignment="1">
      <alignment horizontal="center" vertical="center"/>
    </xf>
    <xf numFmtId="0" fontId="18" fillId="26" borderId="24" xfId="27" applyFont="1" applyFill="1" applyBorder="1" applyAlignment="1">
      <alignment horizontal="center" vertical="center"/>
    </xf>
    <xf numFmtId="167" fontId="19" fillId="26" borderId="18" xfId="26" applyNumberFormat="1" applyFont="1" applyFill="1" applyBorder="1" applyAlignment="1">
      <alignment vertical="center"/>
    </xf>
    <xf numFmtId="0" fontId="19" fillId="26" borderId="18" xfId="27" applyFont="1" applyFill="1" applyBorder="1" applyAlignment="1">
      <alignment horizontal="center" vertical="center"/>
    </xf>
    <xf numFmtId="164" fontId="19" fillId="26" borderId="18" xfId="27" applyNumberFormat="1" applyFont="1" applyFill="1" applyBorder="1" applyAlignment="1">
      <alignment horizontal="center" vertical="center"/>
    </xf>
    <xf numFmtId="0" fontId="23" fillId="26" borderId="18" xfId="27" applyFont="1" applyFill="1" applyBorder="1" applyAlignment="1">
      <alignment horizontal="center" vertical="center"/>
    </xf>
    <xf numFmtId="0" fontId="19" fillId="26" borderId="18" xfId="26" applyFont="1" applyFill="1" applyBorder="1" applyAlignment="1">
      <alignment horizontal="center" vertical="center"/>
    </xf>
    <xf numFmtId="1" fontId="19" fillId="26" borderId="18" xfId="26" applyNumberFormat="1" applyFont="1" applyFill="1" applyBorder="1" applyAlignment="1">
      <alignment horizontal="center" vertical="center"/>
    </xf>
    <xf numFmtId="2" fontId="19" fillId="26" borderId="18" xfId="27" applyNumberFormat="1" applyFont="1" applyFill="1" applyBorder="1" applyAlignment="1">
      <alignment horizontal="center" vertical="center"/>
    </xf>
    <xf numFmtId="0" fontId="18" fillId="26" borderId="18" xfId="27" applyFont="1" applyFill="1" applyBorder="1" applyAlignment="1">
      <alignment horizontal="center" vertical="center"/>
    </xf>
    <xf numFmtId="0" fontId="18" fillId="26" borderId="19" xfId="27" applyFont="1" applyFill="1" applyBorder="1" applyAlignment="1">
      <alignment vertical="center"/>
    </xf>
    <xf numFmtId="0" fontId="0" fillId="0" borderId="3" xfId="0" applyBorder="1" applyAlignment="1">
      <alignment horizontal="center" vertical="center"/>
    </xf>
    <xf numFmtId="0" fontId="3" fillId="0" borderId="3" xfId="0" applyFont="1" applyBorder="1" applyAlignment="1">
      <alignment horizontal="center" vertical="center"/>
    </xf>
    <xf numFmtId="0" fontId="10" fillId="0" borderId="65" xfId="0" applyFont="1" applyBorder="1" applyAlignment="1">
      <alignment horizontal="center" vertical="center"/>
    </xf>
    <xf numFmtId="0" fontId="10" fillId="0" borderId="66" xfId="0" applyFont="1" applyBorder="1" applyAlignment="1">
      <alignment horizontal="center" vertical="center"/>
    </xf>
    <xf numFmtId="0" fontId="10" fillId="0" borderId="67" xfId="0" applyFont="1" applyBorder="1" applyAlignment="1">
      <alignment horizontal="center" vertical="center"/>
    </xf>
    <xf numFmtId="0" fontId="3" fillId="36" borderId="51" xfId="0" applyFont="1" applyFill="1" applyBorder="1" applyAlignment="1">
      <alignment horizontal="center" vertical="center"/>
    </xf>
    <xf numFmtId="0" fontId="3" fillId="0" borderId="52" xfId="0" applyFont="1" applyBorder="1" applyAlignment="1">
      <alignment horizontal="center" vertical="center"/>
    </xf>
    <xf numFmtId="1" fontId="0" fillId="32" borderId="53" xfId="0" applyNumberFormat="1" applyFill="1" applyBorder="1" applyAlignment="1">
      <alignment horizontal="center"/>
    </xf>
    <xf numFmtId="1" fontId="0" fillId="0" borderId="3" xfId="0" applyNumberFormat="1" applyBorder="1" applyAlignment="1">
      <alignment horizontal="center" vertical="center"/>
    </xf>
    <xf numFmtId="0" fontId="3" fillId="37" borderId="39" xfId="0" applyFont="1" applyFill="1" applyBorder="1" applyAlignment="1">
      <alignment horizontal="center" vertical="center"/>
    </xf>
    <xf numFmtId="0" fontId="0" fillId="37" borderId="55" xfId="0" applyFill="1" applyBorder="1" applyAlignment="1">
      <alignment horizontal="center" vertical="center"/>
    </xf>
    <xf numFmtId="0" fontId="19" fillId="0" borderId="3" xfId="27" applyFont="1" applyBorder="1" applyAlignment="1">
      <alignment horizontal="center" vertical="center"/>
    </xf>
    <xf numFmtId="164" fontId="51" fillId="0" borderId="6" xfId="27" applyNumberFormat="1" applyFont="1" applyBorder="1" applyAlignment="1">
      <alignment horizontal="center" vertical="center"/>
    </xf>
    <xf numFmtId="164" fontId="52" fillId="0" borderId="6" xfId="27" applyNumberFormat="1" applyFont="1" applyBorder="1" applyAlignment="1">
      <alignment horizontal="center" vertical="center"/>
    </xf>
    <xf numFmtId="164" fontId="53" fillId="0" borderId="6" xfId="27" applyNumberFormat="1" applyFont="1" applyBorder="1" applyAlignment="1">
      <alignment horizontal="center" vertical="center"/>
    </xf>
    <xf numFmtId="0" fontId="3" fillId="31" borderId="3" xfId="0" applyFont="1" applyFill="1" applyBorder="1"/>
    <xf numFmtId="0" fontId="18" fillId="34" borderId="16" xfId="26" applyFont="1" applyFill="1" applyBorder="1" applyAlignment="1">
      <alignment vertical="center"/>
    </xf>
    <xf numFmtId="0" fontId="18" fillId="34" borderId="69" xfId="26" applyFont="1" applyFill="1" applyBorder="1" applyAlignment="1">
      <alignment vertical="center"/>
    </xf>
    <xf numFmtId="2" fontId="19" fillId="0" borderId="25" xfId="27" applyNumberFormat="1" applyFont="1" applyBorder="1" applyAlignment="1">
      <alignment horizontal="center" vertical="center"/>
    </xf>
    <xf numFmtId="0" fontId="54" fillId="0" borderId="0" xfId="0" applyFont="1"/>
    <xf numFmtId="0" fontId="53" fillId="0" borderId="0" xfId="27" applyFont="1" applyAlignment="1">
      <alignment horizontal="center" vertical="center"/>
    </xf>
    <xf numFmtId="2" fontId="53" fillId="0" borderId="0" xfId="27" applyNumberFormat="1" applyFont="1" applyAlignment="1">
      <alignment horizontal="center" vertical="center"/>
    </xf>
    <xf numFmtId="164" fontId="19" fillId="8" borderId="4" xfId="27" applyNumberFormat="1" applyFont="1" applyFill="1" applyBorder="1" applyAlignment="1">
      <alignment horizontal="center" vertical="center"/>
    </xf>
    <xf numFmtId="0" fontId="3" fillId="0" borderId="51" xfId="0" applyFont="1" applyBorder="1"/>
    <xf numFmtId="0" fontId="3" fillId="0" borderId="3" xfId="0" applyFont="1" applyBorder="1"/>
    <xf numFmtId="0" fontId="3" fillId="0" borderId="3" xfId="0" applyFont="1" applyBorder="1" applyAlignment="1">
      <alignment horizontal="center"/>
    </xf>
    <xf numFmtId="1" fontId="0" fillId="0" borderId="0" xfId="0" applyNumberFormat="1"/>
    <xf numFmtId="2" fontId="0" fillId="0" borderId="0" xfId="0" applyNumberFormat="1"/>
    <xf numFmtId="0" fontId="3" fillId="39" borderId="0" xfId="0" applyFont="1" applyFill="1"/>
    <xf numFmtId="0" fontId="3" fillId="0" borderId="0" xfId="0" applyFont="1"/>
    <xf numFmtId="165" fontId="3" fillId="0" borderId="0" xfId="0" applyNumberFormat="1" applyFont="1" applyAlignment="1">
      <alignment horizontal="center"/>
    </xf>
    <xf numFmtId="2" fontId="47" fillId="0" borderId="0" xfId="0" applyNumberFormat="1" applyFont="1"/>
    <xf numFmtId="165" fontId="5" fillId="0" borderId="0" xfId="0" applyNumberFormat="1" applyFont="1" applyAlignment="1">
      <alignment horizontal="center"/>
    </xf>
    <xf numFmtId="0" fontId="0" fillId="39" borderId="0" xfId="0" applyFill="1"/>
    <xf numFmtId="0" fontId="5" fillId="0" borderId="3" xfId="0" applyFont="1" applyBorder="1" applyAlignment="1">
      <alignment horizontal="center"/>
    </xf>
    <xf numFmtId="165" fontId="57" fillId="0" borderId="0" xfId="0" applyNumberFormat="1" applyFont="1" applyAlignment="1">
      <alignment horizontal="center"/>
    </xf>
    <xf numFmtId="0" fontId="57" fillId="0" borderId="0" xfId="0" applyFont="1" applyAlignment="1">
      <alignment horizontal="center"/>
    </xf>
    <xf numFmtId="3" fontId="0" fillId="0" borderId="0" xfId="0" applyNumberFormat="1"/>
    <xf numFmtId="0" fontId="3" fillId="39" borderId="0" xfId="0" applyFont="1" applyFill="1" applyAlignment="1">
      <alignment horizontal="center"/>
    </xf>
    <xf numFmtId="0" fontId="43" fillId="26" borderId="17" xfId="0" applyFont="1" applyFill="1" applyBorder="1" applyAlignment="1">
      <alignment horizontal="center"/>
    </xf>
    <xf numFmtId="0" fontId="43" fillId="26" borderId="17" xfId="0" applyFont="1" applyFill="1" applyBorder="1" applyAlignment="1">
      <alignment horizontal="left"/>
    </xf>
    <xf numFmtId="0" fontId="43" fillId="26" borderId="48" xfId="0" applyFont="1" applyFill="1" applyBorder="1"/>
    <xf numFmtId="0" fontId="6" fillId="26" borderId="49" xfId="0" applyFont="1" applyFill="1" applyBorder="1"/>
    <xf numFmtId="0" fontId="32" fillId="0" borderId="23" xfId="0" applyFont="1" applyBorder="1" applyAlignment="1">
      <alignment horizontal="center" vertical="center" textRotation="90"/>
    </xf>
    <xf numFmtId="170" fontId="0" fillId="0" borderId="3" xfId="0" applyNumberFormat="1" applyBorder="1"/>
    <xf numFmtId="0" fontId="2" fillId="65" borderId="79" xfId="68" applyFill="1" applyBorder="1" applyAlignment="1">
      <alignment horizontal="center"/>
    </xf>
    <xf numFmtId="0" fontId="2" fillId="66" borderId="79" xfId="68" applyFill="1" applyBorder="1" applyAlignment="1">
      <alignment horizontal="center"/>
    </xf>
    <xf numFmtId="0" fontId="5" fillId="28" borderId="3" xfId="0" applyFont="1" applyFill="1" applyBorder="1" applyAlignment="1">
      <alignment horizontal="center"/>
    </xf>
    <xf numFmtId="0" fontId="0" fillId="36" borderId="3" xfId="0" applyFill="1" applyBorder="1" applyAlignment="1">
      <alignment horizontal="center"/>
    </xf>
    <xf numFmtId="0" fontId="0" fillId="68" borderId="3" xfId="0" applyFill="1" applyBorder="1" applyAlignment="1">
      <alignment horizontal="center"/>
    </xf>
    <xf numFmtId="0" fontId="6" fillId="0" borderId="3" xfId="0" applyFont="1" applyBorder="1" applyAlignment="1">
      <alignment horizontal="center"/>
    </xf>
    <xf numFmtId="0" fontId="5" fillId="26" borderId="22" xfId="0" applyFont="1" applyFill="1" applyBorder="1" applyAlignment="1">
      <alignment horizontal="center"/>
    </xf>
    <xf numFmtId="0" fontId="2" fillId="28" borderId="3" xfId="68" applyFill="1" applyBorder="1" applyAlignment="1">
      <alignment horizontal="center"/>
    </xf>
    <xf numFmtId="0" fontId="0" fillId="60" borderId="3" xfId="0" applyFill="1" applyBorder="1" applyAlignment="1">
      <alignment horizontal="center"/>
    </xf>
    <xf numFmtId="3" fontId="5" fillId="0" borderId="3" xfId="0" applyNumberFormat="1" applyFont="1" applyBorder="1"/>
    <xf numFmtId="0" fontId="0" fillId="38" borderId="3" xfId="0" applyFill="1" applyBorder="1" applyAlignment="1">
      <alignment horizontal="center"/>
    </xf>
    <xf numFmtId="1" fontId="3" fillId="28" borderId="3" xfId="0" applyNumberFormat="1" applyFont="1" applyFill="1" applyBorder="1"/>
    <xf numFmtId="1" fontId="0" fillId="28" borderId="3" xfId="0" applyNumberFormat="1" applyFill="1" applyBorder="1"/>
    <xf numFmtId="170" fontId="0" fillId="58" borderId="3" xfId="0" applyNumberFormat="1" applyFill="1" applyBorder="1"/>
    <xf numFmtId="0" fontId="43" fillId="26" borderId="21" xfId="0" applyFont="1" applyFill="1" applyBorder="1"/>
    <xf numFmtId="0" fontId="0" fillId="58" borderId="3" xfId="0" applyFill="1" applyBorder="1" applyAlignment="1">
      <alignment horizontal="center"/>
    </xf>
    <xf numFmtId="0" fontId="5" fillId="26" borderId="49" xfId="0" applyFont="1" applyFill="1" applyBorder="1" applyAlignment="1">
      <alignment horizontal="center"/>
    </xf>
    <xf numFmtId="3" fontId="0" fillId="0" borderId="3" xfId="0" applyNumberFormat="1" applyBorder="1"/>
    <xf numFmtId="0" fontId="43" fillId="26" borderId="48" xfId="0" applyFont="1" applyFill="1" applyBorder="1" applyAlignment="1">
      <alignment horizontal="left"/>
    </xf>
    <xf numFmtId="170" fontId="0" fillId="34" borderId="3" xfId="0" applyNumberFormat="1" applyFill="1" applyBorder="1"/>
    <xf numFmtId="0" fontId="5" fillId="0" borderId="3" xfId="0" applyFont="1" applyBorder="1" applyAlignment="1">
      <alignment horizontal="center" vertical="center"/>
    </xf>
    <xf numFmtId="0" fontId="5" fillId="58" borderId="3" xfId="0" applyFont="1" applyFill="1" applyBorder="1" applyAlignment="1">
      <alignment horizontal="center"/>
    </xf>
    <xf numFmtId="170" fontId="0" fillId="36" borderId="3" xfId="0" applyNumberFormat="1" applyFill="1" applyBorder="1"/>
    <xf numFmtId="0" fontId="0" fillId="34" borderId="3" xfId="0" applyFill="1" applyBorder="1" applyAlignment="1">
      <alignment horizontal="center"/>
    </xf>
    <xf numFmtId="0" fontId="3" fillId="28" borderId="3" xfId="0" applyFont="1" applyFill="1" applyBorder="1"/>
    <xf numFmtId="0" fontId="2" fillId="34" borderId="79" xfId="68" applyFill="1" applyBorder="1" applyAlignment="1">
      <alignment horizontal="center"/>
    </xf>
    <xf numFmtId="0" fontId="2" fillId="58" borderId="78" xfId="68" applyFill="1" applyBorder="1" applyAlignment="1">
      <alignment horizontal="center"/>
    </xf>
    <xf numFmtId="0" fontId="2" fillId="58" borderId="79" xfId="68" applyFill="1" applyBorder="1" applyAlignment="1">
      <alignment horizontal="center"/>
    </xf>
    <xf numFmtId="0" fontId="2" fillId="59" borderId="79" xfId="68" applyFill="1" applyBorder="1" applyAlignment="1">
      <alignment horizontal="center"/>
    </xf>
    <xf numFmtId="0" fontId="2" fillId="36" borderId="79" xfId="68" applyFill="1" applyBorder="1" applyAlignment="1">
      <alignment horizontal="center"/>
    </xf>
    <xf numFmtId="0" fontId="2" fillId="60" borderId="79" xfId="68" applyFill="1" applyBorder="1" applyAlignment="1">
      <alignment horizontal="center"/>
    </xf>
    <xf numFmtId="0" fontId="2" fillId="62" borderId="79" xfId="68" applyFill="1" applyBorder="1" applyAlignment="1">
      <alignment horizontal="center"/>
    </xf>
    <xf numFmtId="0" fontId="2" fillId="58" borderId="81" xfId="68" applyFill="1" applyBorder="1" applyAlignment="1">
      <alignment horizontal="center"/>
    </xf>
    <xf numFmtId="0" fontId="2" fillId="62" borderId="82" xfId="68" applyFill="1" applyBorder="1" applyAlignment="1">
      <alignment horizontal="center"/>
    </xf>
    <xf numFmtId="0" fontId="2" fillId="34" borderId="3" xfId="68" applyFill="1" applyBorder="1" applyAlignment="1">
      <alignment horizontal="center"/>
    </xf>
    <xf numFmtId="0" fontId="2" fillId="36" borderId="3" xfId="68" applyFill="1" applyBorder="1" applyAlignment="1">
      <alignment horizontal="center"/>
    </xf>
    <xf numFmtId="0" fontId="2" fillId="58" borderId="52" xfId="68" applyFill="1" applyBorder="1" applyAlignment="1">
      <alignment horizontal="center"/>
    </xf>
    <xf numFmtId="0" fontId="2" fillId="58" borderId="51" xfId="68" applyFill="1" applyBorder="1" applyAlignment="1">
      <alignment horizontal="center"/>
    </xf>
    <xf numFmtId="0" fontId="2" fillId="58" borderId="3" xfId="68" applyFill="1" applyBorder="1" applyAlignment="1">
      <alignment horizontal="center"/>
    </xf>
    <xf numFmtId="0" fontId="2" fillId="59" borderId="3" xfId="68" applyFill="1" applyBorder="1" applyAlignment="1">
      <alignment horizontal="center"/>
    </xf>
    <xf numFmtId="0" fontId="2" fillId="60" borderId="3" xfId="68" applyFill="1" applyBorder="1" applyAlignment="1">
      <alignment horizontal="center"/>
    </xf>
    <xf numFmtId="0" fontId="2" fillId="62" borderId="3" xfId="68" applyFill="1" applyBorder="1" applyAlignment="1">
      <alignment horizontal="center"/>
    </xf>
    <xf numFmtId="0" fontId="2" fillId="62" borderId="53" xfId="68" applyFill="1" applyBorder="1" applyAlignment="1">
      <alignment horizontal="center"/>
    </xf>
    <xf numFmtId="0" fontId="2" fillId="34" borderId="85" xfId="68" applyFill="1" applyBorder="1" applyAlignment="1">
      <alignment horizontal="center"/>
    </xf>
    <xf numFmtId="0" fontId="2" fillId="58" borderId="85" xfId="68" applyFill="1" applyBorder="1" applyAlignment="1">
      <alignment horizontal="center"/>
    </xf>
    <xf numFmtId="0" fontId="2" fillId="36" borderId="85" xfId="68" applyFill="1" applyBorder="1" applyAlignment="1">
      <alignment horizontal="center"/>
    </xf>
    <xf numFmtId="0" fontId="2" fillId="59" borderId="85" xfId="68" applyFill="1" applyBorder="1" applyAlignment="1">
      <alignment horizontal="center"/>
    </xf>
    <xf numFmtId="0" fontId="2" fillId="62" borderId="85" xfId="68" applyFill="1" applyBorder="1" applyAlignment="1">
      <alignment horizontal="center"/>
    </xf>
    <xf numFmtId="0" fontId="2" fillId="60" borderId="85" xfId="68" applyFill="1" applyBorder="1" applyAlignment="1">
      <alignment horizontal="center"/>
    </xf>
    <xf numFmtId="0" fontId="2" fillId="58" borderId="84" xfId="68" applyFill="1" applyBorder="1" applyAlignment="1">
      <alignment horizontal="center"/>
    </xf>
    <xf numFmtId="0" fontId="2" fillId="58" borderId="83" xfId="68" applyFill="1" applyBorder="1" applyAlignment="1">
      <alignment horizontal="center"/>
    </xf>
    <xf numFmtId="0" fontId="2" fillId="62" borderId="86" xfId="68" applyFill="1" applyBorder="1" applyAlignment="1">
      <alignment horizontal="center"/>
    </xf>
    <xf numFmtId="0" fontId="2" fillId="63" borderId="79" xfId="68" applyFill="1" applyBorder="1" applyAlignment="1">
      <alignment horizontal="center"/>
    </xf>
    <xf numFmtId="0" fontId="2" fillId="63" borderId="3" xfId="68" applyFill="1" applyBorder="1" applyAlignment="1">
      <alignment horizontal="center"/>
    </xf>
    <xf numFmtId="0" fontId="2" fillId="63" borderId="85" xfId="68" applyFill="1" applyBorder="1" applyAlignment="1">
      <alignment horizontal="center"/>
    </xf>
    <xf numFmtId="0" fontId="2" fillId="58" borderId="91" xfId="68" applyFill="1" applyBorder="1" applyAlignment="1">
      <alignment horizontal="center"/>
    </xf>
    <xf numFmtId="0" fontId="2" fillId="59" borderId="46" xfId="68" applyFill="1" applyBorder="1" applyAlignment="1">
      <alignment horizontal="center"/>
    </xf>
    <xf numFmtId="0" fontId="2" fillId="59" borderId="87" xfId="68" applyFill="1" applyBorder="1" applyAlignment="1">
      <alignment horizontal="center"/>
    </xf>
    <xf numFmtId="0" fontId="2" fillId="61" borderId="84" xfId="68" applyFill="1" applyBorder="1" applyAlignment="1">
      <alignment horizontal="center"/>
    </xf>
    <xf numFmtId="0" fontId="2" fillId="62" borderId="84" xfId="68" applyFill="1" applyBorder="1" applyAlignment="1">
      <alignment horizontal="center"/>
    </xf>
    <xf numFmtId="0" fontId="2" fillId="61" borderId="90" xfId="68" applyFill="1" applyBorder="1" applyAlignment="1">
      <alignment horizontal="center"/>
    </xf>
    <xf numFmtId="0" fontId="2" fillId="60" borderId="84" xfId="68" applyFill="1" applyBorder="1" applyAlignment="1">
      <alignment horizontal="center"/>
    </xf>
    <xf numFmtId="0" fontId="2" fillId="25" borderId="79" xfId="68" applyFill="1" applyBorder="1" applyAlignment="1">
      <alignment horizontal="center"/>
    </xf>
    <xf numFmtId="0" fontId="2" fillId="25" borderId="3" xfId="68" applyFill="1" applyBorder="1" applyAlignment="1">
      <alignment horizontal="center"/>
    </xf>
    <xf numFmtId="0" fontId="2" fillId="59" borderId="80" xfId="68" applyFill="1" applyBorder="1" applyAlignment="1">
      <alignment horizontal="center"/>
    </xf>
    <xf numFmtId="0" fontId="2" fillId="62" borderId="81" xfId="68" applyFill="1" applyBorder="1" applyAlignment="1">
      <alignment horizontal="center"/>
    </xf>
    <xf numFmtId="0" fontId="2" fillId="62" borderId="51" xfId="68" applyFill="1" applyBorder="1" applyAlignment="1">
      <alignment horizontal="center"/>
    </xf>
    <xf numFmtId="0" fontId="2" fillId="60" borderId="81" xfId="68" applyFill="1" applyBorder="1" applyAlignment="1">
      <alignment horizontal="center"/>
    </xf>
    <xf numFmtId="0" fontId="2" fillId="60" borderId="51" xfId="68" applyFill="1" applyBorder="1" applyAlignment="1">
      <alignment horizontal="center"/>
    </xf>
    <xf numFmtId="0" fontId="2" fillId="61" borderId="81" xfId="68" applyFill="1" applyBorder="1" applyAlignment="1">
      <alignment horizontal="center"/>
    </xf>
    <xf numFmtId="0" fontId="2" fillId="61" borderId="51" xfId="68" applyFill="1" applyBorder="1" applyAlignment="1">
      <alignment horizontal="center"/>
    </xf>
    <xf numFmtId="0" fontId="2" fillId="25" borderId="78" xfId="68" applyFill="1" applyBorder="1" applyAlignment="1">
      <alignment horizontal="center"/>
    </xf>
    <xf numFmtId="0" fontId="2" fillId="61" borderId="88" xfId="68" applyFill="1" applyBorder="1" applyAlignment="1">
      <alignment horizontal="center"/>
    </xf>
    <xf numFmtId="0" fontId="2" fillId="61" borderId="89" xfId="68" applyFill="1" applyBorder="1" applyAlignment="1">
      <alignment horizontal="center"/>
    </xf>
    <xf numFmtId="0" fontId="0" fillId="59" borderId="3" xfId="0" applyFill="1" applyBorder="1" applyAlignment="1">
      <alignment horizontal="center"/>
    </xf>
    <xf numFmtId="170" fontId="0" fillId="59" borderId="3" xfId="0" applyNumberFormat="1" applyFill="1" applyBorder="1"/>
    <xf numFmtId="0" fontId="0" fillId="62" borderId="3" xfId="0" applyFill="1" applyBorder="1" applyAlignment="1">
      <alignment horizontal="center"/>
    </xf>
    <xf numFmtId="170" fontId="0" fillId="62" borderId="3" xfId="0" applyNumberFormat="1" applyFill="1" applyBorder="1"/>
    <xf numFmtId="170" fontId="0" fillId="0" borderId="3" xfId="0" applyNumberFormat="1" applyBorder="1" applyAlignment="1">
      <alignment horizontal="center"/>
    </xf>
    <xf numFmtId="0" fontId="0" fillId="61" borderId="3" xfId="0" applyFill="1" applyBorder="1" applyAlignment="1">
      <alignment horizontal="center"/>
    </xf>
    <xf numFmtId="3" fontId="0" fillId="62" borderId="3" xfId="0" applyNumberFormat="1" applyFill="1" applyBorder="1" applyAlignment="1">
      <alignment horizontal="center"/>
    </xf>
    <xf numFmtId="170" fontId="0" fillId="62" borderId="3" xfId="0" applyNumberFormat="1" applyFill="1" applyBorder="1" applyAlignment="1">
      <alignment horizontal="center"/>
    </xf>
    <xf numFmtId="3" fontId="0" fillId="61" borderId="3" xfId="0" applyNumberFormat="1" applyFill="1" applyBorder="1" applyAlignment="1">
      <alignment horizontal="center"/>
    </xf>
    <xf numFmtId="170" fontId="0" fillId="61" borderId="3" xfId="0" applyNumberFormat="1" applyFill="1" applyBorder="1" applyAlignment="1">
      <alignment horizontal="center"/>
    </xf>
    <xf numFmtId="170" fontId="0" fillId="38" borderId="3" xfId="0" applyNumberFormat="1" applyFill="1" applyBorder="1"/>
    <xf numFmtId="0" fontId="43" fillId="26" borderId="48" xfId="0" applyFont="1" applyFill="1" applyBorder="1" applyAlignment="1">
      <alignment horizontal="center"/>
    </xf>
    <xf numFmtId="0" fontId="43" fillId="26" borderId="21" xfId="0" applyFont="1" applyFill="1" applyBorder="1" applyAlignment="1">
      <alignment horizontal="center"/>
    </xf>
    <xf numFmtId="0" fontId="5" fillId="34" borderId="3" xfId="0" applyFont="1" applyFill="1" applyBorder="1" applyAlignment="1">
      <alignment horizontal="center"/>
    </xf>
    <xf numFmtId="0" fontId="5" fillId="36" borderId="3" xfId="0" applyFont="1" applyFill="1" applyBorder="1" applyAlignment="1">
      <alignment horizontal="center"/>
    </xf>
    <xf numFmtId="0" fontId="5" fillId="59" borderId="3" xfId="0" applyFont="1" applyFill="1" applyBorder="1" applyAlignment="1">
      <alignment horizontal="center"/>
    </xf>
    <xf numFmtId="0" fontId="5" fillId="62" borderId="3" xfId="0" applyFont="1" applyFill="1" applyBorder="1" applyAlignment="1">
      <alignment horizontal="center"/>
    </xf>
    <xf numFmtId="0" fontId="2" fillId="67" borderId="3" xfId="68" applyFill="1" applyBorder="1" applyAlignment="1">
      <alignment horizontal="center"/>
    </xf>
    <xf numFmtId="0" fontId="2" fillId="64" borderId="3" xfId="68" applyFill="1" applyBorder="1" applyAlignment="1">
      <alignment horizontal="center"/>
    </xf>
    <xf numFmtId="0" fontId="2" fillId="66" borderId="3" xfId="68" applyFill="1" applyBorder="1" applyAlignment="1">
      <alignment horizontal="center"/>
    </xf>
    <xf numFmtId="0" fontId="6" fillId="58" borderId="44" xfId="0" applyFont="1" applyFill="1" applyBorder="1" applyAlignment="1">
      <alignment horizontal="center"/>
    </xf>
    <xf numFmtId="0" fontId="5" fillId="58" borderId="0" xfId="0" applyFont="1" applyFill="1" applyAlignment="1">
      <alignment horizontal="center"/>
    </xf>
    <xf numFmtId="0" fontId="6" fillId="25" borderId="44" xfId="0" applyFont="1" applyFill="1" applyBorder="1" applyAlignment="1">
      <alignment horizontal="center"/>
    </xf>
    <xf numFmtId="0" fontId="5" fillId="25" borderId="0" xfId="0" applyFont="1" applyFill="1" applyAlignment="1">
      <alignment horizontal="center"/>
    </xf>
    <xf numFmtId="0" fontId="6" fillId="34" borderId="44" xfId="0" applyFont="1" applyFill="1" applyBorder="1" applyAlignment="1">
      <alignment horizontal="center"/>
    </xf>
    <xf numFmtId="0" fontId="5" fillId="34" borderId="0" xfId="0" applyFont="1" applyFill="1" applyAlignment="1">
      <alignment horizontal="center"/>
    </xf>
    <xf numFmtId="0" fontId="6" fillId="36" borderId="44" xfId="0" applyFont="1" applyFill="1" applyBorder="1" applyAlignment="1">
      <alignment horizontal="center"/>
    </xf>
    <xf numFmtId="0" fontId="5" fillId="36" borderId="0" xfId="0" applyFont="1" applyFill="1" applyAlignment="1">
      <alignment horizontal="center"/>
    </xf>
    <xf numFmtId="0" fontId="5" fillId="28" borderId="0" xfId="0" applyFont="1" applyFill="1" applyAlignment="1">
      <alignment horizontal="center"/>
    </xf>
    <xf numFmtId="0" fontId="6" fillId="59" borderId="44" xfId="0" applyFont="1" applyFill="1" applyBorder="1" applyAlignment="1">
      <alignment horizontal="center"/>
    </xf>
    <xf numFmtId="0" fontId="5" fillId="59" borderId="0" xfId="0" applyFont="1" applyFill="1" applyAlignment="1">
      <alignment horizontal="center"/>
    </xf>
    <xf numFmtId="0" fontId="6" fillId="68" borderId="44" xfId="0" applyFont="1" applyFill="1" applyBorder="1" applyAlignment="1">
      <alignment horizontal="center"/>
    </xf>
    <xf numFmtId="0" fontId="5" fillId="68" borderId="0" xfId="0" applyFont="1" applyFill="1" applyAlignment="1">
      <alignment horizontal="center"/>
    </xf>
    <xf numFmtId="0" fontId="6" fillId="62" borderId="44" xfId="0" applyFont="1" applyFill="1" applyBorder="1" applyAlignment="1">
      <alignment horizontal="center"/>
    </xf>
    <xf numFmtId="0" fontId="5" fillId="62" borderId="0" xfId="0" applyFont="1" applyFill="1" applyAlignment="1">
      <alignment horizontal="center"/>
    </xf>
    <xf numFmtId="0" fontId="6" fillId="38" borderId="44" xfId="0" applyFont="1" applyFill="1" applyBorder="1" applyAlignment="1">
      <alignment horizontal="center"/>
    </xf>
    <xf numFmtId="0" fontId="5" fillId="38" borderId="0" xfId="0" applyFont="1" applyFill="1" applyAlignment="1">
      <alignment horizontal="center"/>
    </xf>
    <xf numFmtId="0" fontId="6" fillId="60" borderId="44" xfId="0" applyFont="1" applyFill="1" applyBorder="1" applyAlignment="1">
      <alignment horizontal="center"/>
    </xf>
    <xf numFmtId="0" fontId="5" fillId="60" borderId="0" xfId="0" applyFont="1" applyFill="1" applyAlignment="1">
      <alignment horizontal="center"/>
    </xf>
    <xf numFmtId="0" fontId="6" fillId="61" borderId="44" xfId="0" applyFont="1" applyFill="1" applyBorder="1" applyAlignment="1">
      <alignment horizontal="center"/>
    </xf>
    <xf numFmtId="0" fontId="5" fillId="61" borderId="0" xfId="0" applyFont="1" applyFill="1" applyAlignment="1">
      <alignment horizontal="center"/>
    </xf>
    <xf numFmtId="165" fontId="29" fillId="25" borderId="16" xfId="0" applyNumberFormat="1" applyFont="1" applyFill="1" applyBorder="1" applyAlignment="1">
      <alignment horizontal="center"/>
    </xf>
    <xf numFmtId="165" fontId="29" fillId="25" borderId="47" xfId="0" applyNumberFormat="1" applyFont="1" applyFill="1" applyBorder="1" applyAlignment="1">
      <alignment horizontal="center"/>
    </xf>
    <xf numFmtId="165" fontId="29" fillId="25" borderId="20" xfId="0" applyNumberFormat="1" applyFont="1" applyFill="1" applyBorder="1" applyAlignment="1">
      <alignment horizontal="center"/>
    </xf>
    <xf numFmtId="0" fontId="0" fillId="34" borderId="3" xfId="0" applyFill="1" applyBorder="1"/>
    <xf numFmtId="0" fontId="0" fillId="69" borderId="3" xfId="0" applyFill="1" applyBorder="1"/>
    <xf numFmtId="0" fontId="0" fillId="69" borderId="3" xfId="0" applyFill="1" applyBorder="1" applyAlignment="1">
      <alignment horizontal="center"/>
    </xf>
    <xf numFmtId="0" fontId="3" fillId="36" borderId="3" xfId="0" applyFont="1" applyFill="1" applyBorder="1"/>
    <xf numFmtId="0" fontId="0" fillId="36" borderId="3" xfId="0" applyFill="1" applyBorder="1"/>
    <xf numFmtId="0" fontId="3" fillId="68" borderId="3" xfId="0" applyFont="1" applyFill="1" applyBorder="1"/>
    <xf numFmtId="0" fontId="0" fillId="68" borderId="3" xfId="0" applyFill="1" applyBorder="1"/>
    <xf numFmtId="0" fontId="0" fillId="59" borderId="3" xfId="0" applyFill="1" applyBorder="1"/>
    <xf numFmtId="0" fontId="0" fillId="62" borderId="3" xfId="0" applyFill="1" applyBorder="1"/>
    <xf numFmtId="0" fontId="3" fillId="58" borderId="3" xfId="0" applyFont="1" applyFill="1" applyBorder="1" applyAlignment="1">
      <alignment horizontal="center"/>
    </xf>
    <xf numFmtId="0" fontId="19" fillId="8" borderId="8" xfId="27" applyFont="1" applyFill="1" applyBorder="1" applyAlignment="1">
      <alignment horizontal="center" vertical="center"/>
    </xf>
    <xf numFmtId="0" fontId="19" fillId="0" borderId="8" xfId="27" applyFont="1" applyBorder="1" applyAlignment="1">
      <alignment horizontal="center" vertical="center"/>
    </xf>
    <xf numFmtId="0" fontId="18" fillId="0" borderId="15" xfId="27" applyFont="1" applyBorder="1" applyAlignment="1">
      <alignment vertical="center"/>
    </xf>
    <xf numFmtId="0" fontId="18" fillId="0" borderId="26" xfId="27" applyFont="1" applyBorder="1" applyAlignment="1">
      <alignment vertical="center"/>
    </xf>
    <xf numFmtId="0" fontId="18" fillId="0" borderId="20" xfId="27" applyFont="1" applyBorder="1" applyAlignment="1">
      <alignment vertical="center"/>
    </xf>
    <xf numFmtId="0" fontId="24" fillId="35" borderId="47" xfId="27" applyFont="1" applyFill="1" applyBorder="1" applyAlignment="1">
      <alignment vertical="center"/>
    </xf>
    <xf numFmtId="170" fontId="0" fillId="0" borderId="0" xfId="0" applyNumberFormat="1"/>
    <xf numFmtId="164" fontId="5" fillId="0" borderId="0" xfId="0" applyNumberFormat="1" applyFont="1" applyAlignment="1">
      <alignment horizontal="center"/>
    </xf>
    <xf numFmtId="0" fontId="57" fillId="0" borderId="3" xfId="0" applyFont="1" applyBorder="1"/>
    <xf numFmtId="0" fontId="19" fillId="36" borderId="28" xfId="27" applyFont="1" applyFill="1" applyBorder="1" applyAlignment="1">
      <alignment horizontal="center" vertical="center"/>
    </xf>
    <xf numFmtId="0" fontId="27" fillId="36" borderId="28" xfId="27" applyFont="1" applyFill="1" applyBorder="1" applyAlignment="1">
      <alignment horizontal="center" vertical="center"/>
    </xf>
    <xf numFmtId="2" fontId="19" fillId="36" borderId="28" xfId="27" applyNumberFormat="1" applyFont="1" applyFill="1" applyBorder="1" applyAlignment="1">
      <alignment horizontal="center" vertical="center"/>
    </xf>
    <xf numFmtId="1" fontId="22" fillId="34" borderId="20" xfId="27" applyNumberFormat="1" applyFont="1" applyFill="1" applyBorder="1" applyAlignment="1">
      <alignment horizontal="center" vertical="center"/>
    </xf>
    <xf numFmtId="0" fontId="22" fillId="34" borderId="20" xfId="27" applyFont="1" applyFill="1" applyBorder="1" applyAlignment="1">
      <alignment horizontal="center" vertical="center"/>
    </xf>
    <xf numFmtId="0" fontId="18" fillId="34" borderId="20" xfId="27" applyFont="1" applyFill="1" applyBorder="1" applyAlignment="1">
      <alignment vertical="center"/>
    </xf>
    <xf numFmtId="0" fontId="24" fillId="35" borderId="24" xfId="27" applyFont="1" applyFill="1" applyBorder="1" applyAlignment="1">
      <alignment vertical="center"/>
    </xf>
    <xf numFmtId="0" fontId="22" fillId="35" borderId="93" xfId="27" applyFont="1" applyFill="1" applyBorder="1" applyAlignment="1">
      <alignment horizontal="center" vertical="center"/>
    </xf>
    <xf numFmtId="0" fontId="22" fillId="35" borderId="94" xfId="27" applyFont="1" applyFill="1" applyBorder="1" applyAlignment="1">
      <alignment horizontal="center" vertical="center"/>
    </xf>
    <xf numFmtId="0" fontId="19" fillId="35" borderId="94" xfId="27" applyFont="1" applyFill="1" applyBorder="1" applyAlignment="1">
      <alignment horizontal="center" vertical="center"/>
    </xf>
    <xf numFmtId="0" fontId="22" fillId="35" borderId="95" xfId="27" applyFont="1" applyFill="1" applyBorder="1" applyAlignment="1">
      <alignment horizontal="center" vertical="center"/>
    </xf>
    <xf numFmtId="0" fontId="24" fillId="35" borderId="96" xfId="27" applyFont="1" applyFill="1" applyBorder="1" applyAlignment="1">
      <alignment horizontal="center" vertical="center"/>
    </xf>
    <xf numFmtId="0" fontId="24" fillId="35" borderId="97" xfId="27" applyFont="1" applyFill="1" applyBorder="1" applyAlignment="1">
      <alignment vertical="center"/>
    </xf>
    <xf numFmtId="0" fontId="19" fillId="3" borderId="68" xfId="27" applyFont="1" applyFill="1" applyBorder="1" applyAlignment="1">
      <alignment vertical="center"/>
    </xf>
    <xf numFmtId="0" fontId="19" fillId="3" borderId="27" xfId="27" applyFont="1" applyFill="1" applyBorder="1" applyAlignment="1">
      <alignment vertical="center"/>
    </xf>
    <xf numFmtId="0" fontId="19" fillId="0" borderId="44" xfId="27" applyFont="1" applyBorder="1" applyAlignment="1">
      <alignment vertical="center"/>
    </xf>
    <xf numFmtId="0" fontId="19" fillId="3" borderId="98" xfId="27" applyFont="1" applyFill="1" applyBorder="1" applyAlignment="1">
      <alignment vertical="center"/>
    </xf>
    <xf numFmtId="0" fontId="19" fillId="3" borderId="99" xfId="27" applyFont="1" applyFill="1" applyBorder="1" applyAlignment="1">
      <alignment vertical="center"/>
    </xf>
    <xf numFmtId="0" fontId="18" fillId="7" borderId="4" xfId="27" applyFont="1" applyFill="1" applyBorder="1" applyAlignment="1">
      <alignment vertical="center"/>
    </xf>
    <xf numFmtId="0" fontId="19" fillId="7" borderId="5" xfId="27" applyFont="1" applyFill="1" applyBorder="1" applyAlignment="1">
      <alignment horizontal="center" vertical="center"/>
    </xf>
    <xf numFmtId="0" fontId="19" fillId="7" borderId="4" xfId="27" applyFont="1" applyFill="1" applyBorder="1" applyAlignment="1">
      <alignment horizontal="center" vertical="center"/>
    </xf>
    <xf numFmtId="0" fontId="18" fillId="7" borderId="5" xfId="27" applyFont="1" applyFill="1" applyBorder="1" applyAlignment="1">
      <alignment horizontal="center" vertical="center"/>
    </xf>
    <xf numFmtId="0" fontId="18" fillId="7" borderId="7" xfId="27" applyFont="1" applyFill="1" applyBorder="1" applyAlignment="1">
      <alignment vertical="center"/>
    </xf>
    <xf numFmtId="0" fontId="3" fillId="0" borderId="46" xfId="0" applyFont="1" applyBorder="1" applyAlignment="1">
      <alignment horizontal="center" shrinkToFit="1"/>
    </xf>
    <xf numFmtId="49" fontId="3" fillId="28" borderId="47" xfId="0" applyNumberFormat="1" applyFont="1" applyFill="1" applyBorder="1" applyAlignment="1">
      <alignment horizontal="center"/>
    </xf>
    <xf numFmtId="0" fontId="6" fillId="28" borderId="44" xfId="0" applyFont="1" applyFill="1" applyBorder="1" applyAlignment="1">
      <alignment horizontal="center"/>
    </xf>
    <xf numFmtId="165" fontId="28" fillId="28" borderId="0" xfId="0" applyNumberFormat="1" applyFont="1" applyFill="1" applyAlignment="1">
      <alignment horizontal="center"/>
    </xf>
    <xf numFmtId="0" fontId="5" fillId="0" borderId="3" xfId="0" applyFont="1" applyBorder="1" applyAlignment="1">
      <alignment horizontal="right"/>
    </xf>
    <xf numFmtId="170" fontId="0" fillId="58" borderId="3" xfId="0" applyNumberFormat="1" applyFill="1" applyBorder="1" applyAlignment="1">
      <alignment horizontal="right"/>
    </xf>
    <xf numFmtId="170" fontId="0" fillId="34" borderId="3" xfId="0" applyNumberFormat="1" applyFill="1" applyBorder="1" applyAlignment="1">
      <alignment horizontal="right"/>
    </xf>
    <xf numFmtId="0" fontId="0" fillId="36" borderId="3" xfId="0" applyFill="1" applyBorder="1" applyAlignment="1">
      <alignment horizontal="right"/>
    </xf>
    <xf numFmtId="0" fontId="5" fillId="36" borderId="3" xfId="0" applyFont="1" applyFill="1" applyBorder="1" applyAlignment="1">
      <alignment horizontal="right"/>
    </xf>
    <xf numFmtId="170" fontId="0" fillId="59" borderId="3" xfId="0" applyNumberFormat="1" applyFill="1" applyBorder="1" applyAlignment="1">
      <alignment horizontal="right"/>
    </xf>
    <xf numFmtId="170" fontId="0" fillId="62" borderId="3" xfId="0" applyNumberFormat="1" applyFill="1" applyBorder="1" applyAlignment="1">
      <alignment horizontal="right"/>
    </xf>
    <xf numFmtId="0" fontId="3" fillId="70" borderId="3" xfId="0" applyFont="1" applyFill="1" applyBorder="1" applyAlignment="1">
      <alignment horizontal="center"/>
    </xf>
    <xf numFmtId="0" fontId="5" fillId="70" borderId="3" xfId="0" applyFont="1" applyFill="1" applyBorder="1" applyAlignment="1">
      <alignment horizontal="center"/>
    </xf>
    <xf numFmtId="0" fontId="5" fillId="70" borderId="3" xfId="0" applyFont="1" applyFill="1" applyBorder="1" applyAlignment="1">
      <alignment horizontal="right"/>
    </xf>
    <xf numFmtId="0" fontId="3" fillId="68" borderId="3" xfId="0" applyFont="1" applyFill="1" applyBorder="1" applyAlignment="1">
      <alignment horizontal="center"/>
    </xf>
    <xf numFmtId="0" fontId="5" fillId="68" borderId="3" xfId="0" applyFont="1" applyFill="1" applyBorder="1" applyAlignment="1">
      <alignment horizontal="center"/>
    </xf>
    <xf numFmtId="0" fontId="5" fillId="68" borderId="3" xfId="0" applyFont="1" applyFill="1" applyBorder="1" applyAlignment="1">
      <alignment horizontal="right"/>
    </xf>
    <xf numFmtId="0" fontId="3" fillId="38" borderId="3" xfId="0" applyFont="1" applyFill="1" applyBorder="1" applyAlignment="1">
      <alignment horizontal="center"/>
    </xf>
    <xf numFmtId="0" fontId="5" fillId="38" borderId="3" xfId="0" applyFont="1" applyFill="1" applyBorder="1" applyAlignment="1">
      <alignment horizontal="center"/>
    </xf>
    <xf numFmtId="0" fontId="5" fillId="38" borderId="3" xfId="0" applyFont="1" applyFill="1" applyBorder="1" applyAlignment="1">
      <alignment horizontal="right"/>
    </xf>
    <xf numFmtId="0" fontId="3" fillId="60" borderId="3" xfId="0" applyFont="1" applyFill="1" applyBorder="1" applyAlignment="1">
      <alignment horizontal="center"/>
    </xf>
    <xf numFmtId="0" fontId="5" fillId="60" borderId="3" xfId="0" applyFont="1" applyFill="1" applyBorder="1" applyAlignment="1">
      <alignment horizontal="center"/>
    </xf>
    <xf numFmtId="0" fontId="5" fillId="60" borderId="3" xfId="0" applyFont="1" applyFill="1" applyBorder="1" applyAlignment="1">
      <alignment horizontal="right"/>
    </xf>
    <xf numFmtId="2" fontId="3" fillId="0" borderId="0" xfId="0" applyNumberFormat="1" applyFont="1" applyAlignment="1">
      <alignment horizontal="center"/>
    </xf>
    <xf numFmtId="0" fontId="3" fillId="0" borderId="44" xfId="0" quotePrefix="1" applyFont="1" applyBorder="1" applyAlignment="1">
      <alignment horizontal="center"/>
    </xf>
    <xf numFmtId="17" fontId="3" fillId="0" borderId="44" xfId="0" applyNumberFormat="1" applyFont="1" applyBorder="1" applyAlignment="1">
      <alignment horizontal="center"/>
    </xf>
    <xf numFmtId="17" fontId="3" fillId="0" borderId="44" xfId="0" quotePrefix="1" applyNumberFormat="1" applyFont="1" applyBorder="1" applyAlignment="1">
      <alignment horizontal="center"/>
    </xf>
    <xf numFmtId="0" fontId="3" fillId="0" borderId="48" xfId="0" applyFont="1" applyBorder="1" applyAlignment="1">
      <alignment horizontal="center"/>
    </xf>
    <xf numFmtId="0" fontId="3" fillId="0" borderId="21" xfId="0" applyFont="1" applyBorder="1" applyAlignment="1">
      <alignment horizontal="center"/>
    </xf>
    <xf numFmtId="0" fontId="2" fillId="71" borderId="79" xfId="68" applyFill="1" applyBorder="1" applyAlignment="1">
      <alignment horizontal="center"/>
    </xf>
    <xf numFmtId="0" fontId="2" fillId="71" borderId="3" xfId="68" applyFill="1" applyBorder="1" applyAlignment="1">
      <alignment horizontal="center"/>
    </xf>
    <xf numFmtId="0" fontId="2" fillId="71" borderId="85" xfId="68" applyFill="1" applyBorder="1" applyAlignment="1">
      <alignment horizontal="center"/>
    </xf>
    <xf numFmtId="0" fontId="1" fillId="71" borderId="79" xfId="68" applyFont="1" applyFill="1" applyBorder="1" applyAlignment="1">
      <alignment horizontal="center"/>
    </xf>
    <xf numFmtId="0" fontId="2" fillId="27" borderId="81" xfId="68" applyFill="1" applyBorder="1" applyAlignment="1">
      <alignment horizontal="center"/>
    </xf>
    <xf numFmtId="0" fontId="2" fillId="27" borderId="51" xfId="68" applyFill="1" applyBorder="1" applyAlignment="1">
      <alignment horizontal="center"/>
    </xf>
    <xf numFmtId="0" fontId="2" fillId="27" borderId="84" xfId="68" applyFill="1" applyBorder="1" applyAlignment="1">
      <alignment horizontal="center"/>
    </xf>
    <xf numFmtId="0" fontId="2" fillId="27" borderId="79" xfId="68" applyFill="1" applyBorder="1" applyAlignment="1">
      <alignment horizontal="center"/>
    </xf>
    <xf numFmtId="0" fontId="2" fillId="27" borderId="3" xfId="68" applyFill="1" applyBorder="1" applyAlignment="1">
      <alignment horizontal="center"/>
    </xf>
    <xf numFmtId="0" fontId="2" fillId="27" borderId="85" xfId="68" applyFill="1" applyBorder="1" applyAlignment="1">
      <alignment horizontal="center"/>
    </xf>
    <xf numFmtId="0" fontId="2" fillId="39" borderId="81" xfId="68" applyFill="1" applyBorder="1" applyAlignment="1">
      <alignment horizontal="center"/>
    </xf>
    <xf numFmtId="0" fontId="2" fillId="39" borderId="51" xfId="68" applyFill="1" applyBorder="1" applyAlignment="1">
      <alignment horizontal="center"/>
    </xf>
    <xf numFmtId="0" fontId="2" fillId="39" borderId="84" xfId="68" applyFill="1" applyBorder="1" applyAlignment="1">
      <alignment horizontal="center"/>
    </xf>
    <xf numFmtId="0" fontId="2" fillId="39" borderId="79" xfId="68" applyFill="1" applyBorder="1" applyAlignment="1">
      <alignment horizontal="center"/>
    </xf>
    <xf numFmtId="0" fontId="2" fillId="39" borderId="3" xfId="68" applyFill="1" applyBorder="1" applyAlignment="1">
      <alignment horizontal="center"/>
    </xf>
    <xf numFmtId="0" fontId="2" fillId="39" borderId="85" xfId="68" applyFill="1" applyBorder="1" applyAlignment="1">
      <alignment horizontal="center"/>
    </xf>
    <xf numFmtId="0" fontId="1" fillId="39" borderId="79" xfId="68" applyFont="1" applyFill="1" applyBorder="1" applyAlignment="1">
      <alignment horizontal="center"/>
    </xf>
    <xf numFmtId="0" fontId="1" fillId="58" borderId="79" xfId="68" applyFont="1" applyFill="1" applyBorder="1" applyAlignment="1">
      <alignment horizontal="center"/>
    </xf>
    <xf numFmtId="0" fontId="1" fillId="34" borderId="79" xfId="68" applyFont="1" applyFill="1" applyBorder="1" applyAlignment="1">
      <alignment horizontal="center"/>
    </xf>
    <xf numFmtId="0" fontId="1" fillId="36" borderId="79" xfId="68" applyFont="1" applyFill="1" applyBorder="1" applyAlignment="1">
      <alignment horizontal="center"/>
    </xf>
    <xf numFmtId="0" fontId="1" fillId="59" borderId="79" xfId="68" applyFont="1" applyFill="1" applyBorder="1" applyAlignment="1">
      <alignment horizontal="center"/>
    </xf>
    <xf numFmtId="0" fontId="1" fillId="62" borderId="81" xfId="68" applyFont="1" applyFill="1" applyBorder="1" applyAlignment="1">
      <alignment horizontal="center"/>
    </xf>
    <xf numFmtId="0" fontId="2" fillId="61" borderId="3" xfId="68" applyFill="1" applyBorder="1" applyAlignment="1">
      <alignment horizontal="center"/>
    </xf>
    <xf numFmtId="0" fontId="2" fillId="61" borderId="85" xfId="68" applyFill="1" applyBorder="1" applyAlignment="1">
      <alignment horizontal="center"/>
    </xf>
    <xf numFmtId="0" fontId="1" fillId="61" borderId="81" xfId="68" applyFont="1" applyFill="1" applyBorder="1" applyAlignment="1">
      <alignment horizontal="center"/>
    </xf>
    <xf numFmtId="0" fontId="2" fillId="59" borderId="81" xfId="68" applyFill="1" applyBorder="1" applyAlignment="1">
      <alignment horizontal="center"/>
    </xf>
    <xf numFmtId="0" fontId="2" fillId="59" borderId="51" xfId="68" applyFill="1" applyBorder="1" applyAlignment="1">
      <alignment horizontal="center"/>
    </xf>
    <xf numFmtId="0" fontId="2" fillId="59" borderId="84" xfId="68" applyFill="1" applyBorder="1" applyAlignment="1">
      <alignment horizontal="center"/>
    </xf>
    <xf numFmtId="1" fontId="0" fillId="28" borderId="3" xfId="0" applyNumberFormat="1" applyFill="1" applyBorder="1" applyAlignment="1">
      <alignment horizontal="center"/>
    </xf>
    <xf numFmtId="0" fontId="3" fillId="25" borderId="0" xfId="0" applyFont="1" applyFill="1" applyAlignment="1">
      <alignment horizontal="center"/>
    </xf>
    <xf numFmtId="165" fontId="3" fillId="25" borderId="0" xfId="0" applyNumberFormat="1" applyFont="1" applyFill="1" applyAlignment="1">
      <alignment horizontal="center"/>
    </xf>
    <xf numFmtId="1" fontId="0" fillId="36" borderId="53" xfId="0" applyNumberFormat="1" applyFill="1" applyBorder="1" applyAlignment="1">
      <alignment horizontal="center" vertical="center"/>
    </xf>
    <xf numFmtId="0" fontId="3" fillId="0" borderId="0" xfId="79"/>
    <xf numFmtId="0" fontId="3" fillId="0" borderId="46" xfId="79" applyBorder="1" applyAlignment="1">
      <alignment horizontal="center" shrinkToFit="1"/>
    </xf>
    <xf numFmtId="0" fontId="3" fillId="0" borderId="0" xfId="79" applyAlignment="1">
      <alignment horizontal="center" shrinkToFit="1"/>
    </xf>
    <xf numFmtId="0" fontId="0" fillId="72" borderId="3" xfId="0" applyFill="1" applyBorder="1"/>
    <xf numFmtId="0" fontId="0" fillId="72" borderId="3" xfId="0" applyFill="1" applyBorder="1" applyAlignment="1">
      <alignment horizontal="center"/>
    </xf>
    <xf numFmtId="0" fontId="0" fillId="73" borderId="3" xfId="0" applyFill="1" applyBorder="1"/>
    <xf numFmtId="0" fontId="0" fillId="73" borderId="3" xfId="0" applyFill="1" applyBorder="1" applyAlignment="1">
      <alignment horizontal="center"/>
    </xf>
    <xf numFmtId="0" fontId="0" fillId="74" borderId="3" xfId="0" applyFill="1" applyBorder="1" applyAlignment="1">
      <alignment horizontal="center"/>
    </xf>
    <xf numFmtId="0" fontId="0" fillId="74" borderId="3" xfId="0" applyFill="1" applyBorder="1"/>
    <xf numFmtId="0" fontId="0" fillId="75" borderId="3" xfId="0" applyFill="1" applyBorder="1"/>
    <xf numFmtId="0" fontId="0" fillId="75" borderId="3" xfId="0" applyFill="1" applyBorder="1" applyAlignment="1">
      <alignment horizontal="center"/>
    </xf>
    <xf numFmtId="0" fontId="0" fillId="76" borderId="3" xfId="0" applyFill="1" applyBorder="1"/>
    <xf numFmtId="0" fontId="0" fillId="76" borderId="3" xfId="0" applyFill="1" applyBorder="1" applyAlignment="1">
      <alignment horizontal="center"/>
    </xf>
    <xf numFmtId="0" fontId="0" fillId="77" borderId="3" xfId="0" applyFill="1" applyBorder="1"/>
    <xf numFmtId="0" fontId="0" fillId="77" borderId="3" xfId="0" applyFill="1" applyBorder="1" applyAlignment="1">
      <alignment horizontal="center"/>
    </xf>
    <xf numFmtId="0" fontId="3" fillId="28" borderId="44" xfId="0" applyFont="1" applyFill="1" applyBorder="1" applyAlignment="1">
      <alignment horizontal="center"/>
    </xf>
    <xf numFmtId="165" fontId="3" fillId="28" borderId="0" xfId="0" applyNumberFormat="1" applyFont="1" applyFill="1" applyAlignment="1">
      <alignment horizontal="center"/>
    </xf>
    <xf numFmtId="0" fontId="28" fillId="28" borderId="0" xfId="0" applyFont="1" applyFill="1" applyAlignment="1">
      <alignment horizontal="center"/>
    </xf>
    <xf numFmtId="0" fontId="28" fillId="28" borderId="45" xfId="0" applyFont="1" applyFill="1" applyBorder="1" applyAlignment="1">
      <alignment horizontal="center"/>
    </xf>
    <xf numFmtId="0" fontId="3" fillId="28" borderId="0" xfId="0" applyFont="1" applyFill="1" applyAlignment="1">
      <alignment horizontal="center"/>
    </xf>
    <xf numFmtId="0" fontId="29" fillId="28" borderId="0" xfId="0" applyFont="1" applyFill="1" applyAlignment="1">
      <alignment horizontal="center"/>
    </xf>
    <xf numFmtId="0" fontId="74" fillId="28" borderId="0" xfId="0" applyFont="1" applyFill="1" applyAlignment="1">
      <alignment horizontal="center"/>
    </xf>
    <xf numFmtId="165" fontId="57" fillId="28" borderId="0" xfId="0" applyNumberFormat="1" applyFont="1" applyFill="1" applyAlignment="1">
      <alignment horizontal="center"/>
    </xf>
    <xf numFmtId="0" fontId="57" fillId="28" borderId="44" xfId="0" applyFont="1" applyFill="1" applyBorder="1" applyAlignment="1">
      <alignment horizontal="center"/>
    </xf>
    <xf numFmtId="0" fontId="3" fillId="30" borderId="0" xfId="0" applyFont="1" applyFill="1" applyAlignment="1">
      <alignment horizontal="center"/>
    </xf>
    <xf numFmtId="0" fontId="5" fillId="30" borderId="0" xfId="0" applyFont="1" applyFill="1" applyAlignment="1">
      <alignment horizontal="center"/>
    </xf>
    <xf numFmtId="165" fontId="3" fillId="30" borderId="0" xfId="0" applyNumberFormat="1" applyFont="1" applyFill="1" applyAlignment="1">
      <alignment horizontal="center"/>
    </xf>
    <xf numFmtId="2" fontId="3" fillId="30" borderId="0" xfId="0" applyNumberFormat="1" applyFont="1" applyFill="1" applyAlignment="1">
      <alignment horizontal="center"/>
    </xf>
    <xf numFmtId="3" fontId="0" fillId="38" borderId="3" xfId="0" applyNumberFormat="1" applyFill="1" applyBorder="1" applyAlignment="1">
      <alignment horizontal="center"/>
    </xf>
    <xf numFmtId="1" fontId="19" fillId="34" borderId="24" xfId="27" quotePrefix="1" applyNumberFormat="1" applyFont="1" applyFill="1" applyBorder="1" applyAlignment="1">
      <alignment horizontal="center" vertical="center"/>
    </xf>
    <xf numFmtId="1" fontId="19" fillId="34" borderId="20" xfId="27" applyNumberFormat="1" applyFont="1" applyFill="1" applyBorder="1" applyAlignment="1">
      <alignment horizontal="center" vertical="center"/>
    </xf>
    <xf numFmtId="0" fontId="19" fillId="34" borderId="20" xfId="27" applyFont="1" applyFill="1" applyBorder="1" applyAlignment="1">
      <alignment horizontal="center" vertical="center"/>
    </xf>
    <xf numFmtId="0" fontId="19" fillId="0" borderId="24" xfId="27" applyFont="1" applyBorder="1" applyAlignment="1">
      <alignment horizontal="center" vertical="center"/>
    </xf>
    <xf numFmtId="0" fontId="22" fillId="0" borderId="25" xfId="27" applyFont="1" applyBorder="1" applyAlignment="1">
      <alignment horizontal="center" vertical="center"/>
    </xf>
    <xf numFmtId="0" fontId="19" fillId="28" borderId="20" xfId="27" applyFont="1" applyFill="1" applyBorder="1" applyAlignment="1">
      <alignment horizontal="center" vertical="center"/>
    </xf>
    <xf numFmtId="0" fontId="19" fillId="34" borderId="15" xfId="27" applyFont="1" applyFill="1" applyBorder="1" applyAlignment="1">
      <alignment horizontal="center" vertical="center"/>
    </xf>
    <xf numFmtId="0" fontId="19" fillId="34" borderId="100" xfId="27" applyFont="1" applyFill="1" applyBorder="1" applyAlignment="1">
      <alignment horizontal="center" vertical="center"/>
    </xf>
    <xf numFmtId="0" fontId="19" fillId="34" borderId="57" xfId="27" applyFont="1" applyFill="1" applyBorder="1" applyAlignment="1">
      <alignment horizontal="center" vertical="center"/>
    </xf>
    <xf numFmtId="1" fontId="19" fillId="34" borderId="15" xfId="26" applyNumberFormat="1" applyFont="1" applyFill="1" applyBorder="1" applyAlignment="1">
      <alignment horizontal="center" vertical="center"/>
    </xf>
    <xf numFmtId="1" fontId="19" fillId="34" borderId="100" xfId="26" applyNumberFormat="1" applyFont="1" applyFill="1" applyBorder="1" applyAlignment="1">
      <alignment horizontal="center" vertical="center"/>
    </xf>
    <xf numFmtId="1" fontId="19" fillId="34" borderId="57" xfId="26" applyNumberFormat="1" applyFont="1" applyFill="1" applyBorder="1" applyAlignment="1">
      <alignment horizontal="center" vertical="center"/>
    </xf>
    <xf numFmtId="1" fontId="0" fillId="0" borderId="55" xfId="0" applyNumberFormat="1" applyBorder="1" applyAlignment="1">
      <alignment horizontal="center" vertical="center"/>
    </xf>
    <xf numFmtId="0" fontId="19" fillId="0" borderId="25" xfId="27" applyFont="1" applyBorder="1" applyAlignment="1">
      <alignment horizontal="center" vertical="center"/>
    </xf>
    <xf numFmtId="164" fontId="19" fillId="0" borderId="25" xfId="27" applyNumberFormat="1" applyFont="1" applyBorder="1" applyAlignment="1">
      <alignment horizontal="center" vertical="center"/>
    </xf>
    <xf numFmtId="0" fontId="18" fillId="34" borderId="100" xfId="27" applyFont="1" applyFill="1" applyBorder="1" applyAlignment="1">
      <alignment vertical="center"/>
    </xf>
    <xf numFmtId="0" fontId="19" fillId="74" borderId="15" xfId="27" applyFont="1" applyFill="1" applyBorder="1" applyAlignment="1">
      <alignment horizontal="center" vertical="center"/>
    </xf>
    <xf numFmtId="0" fontId="19" fillId="74" borderId="100" xfId="27" applyFont="1" applyFill="1" applyBorder="1" applyAlignment="1">
      <alignment horizontal="center" vertical="center"/>
    </xf>
    <xf numFmtId="0" fontId="19" fillId="74" borderId="57" xfId="27" applyFont="1" applyFill="1" applyBorder="1" applyAlignment="1">
      <alignment horizontal="center" vertical="center"/>
    </xf>
    <xf numFmtId="164" fontId="19" fillId="8" borderId="12" xfId="27" applyNumberFormat="1" applyFont="1" applyFill="1" applyBorder="1" applyAlignment="1">
      <alignment horizontal="center" vertical="center"/>
    </xf>
    <xf numFmtId="164" fontId="19" fillId="8" borderId="30" xfId="27" applyNumberFormat="1" applyFont="1" applyFill="1" applyBorder="1" applyAlignment="1">
      <alignment horizontal="center" vertical="center"/>
    </xf>
    <xf numFmtId="164" fontId="27" fillId="0" borderId="6" xfId="27" applyNumberFormat="1" applyFont="1" applyBorder="1" applyAlignment="1">
      <alignment horizontal="center" vertical="center"/>
    </xf>
    <xf numFmtId="2" fontId="27" fillId="0" borderId="6" xfId="27" applyNumberFormat="1" applyFont="1" applyBorder="1" applyAlignment="1">
      <alignment horizontal="center" vertical="center"/>
    </xf>
    <xf numFmtId="0" fontId="19" fillId="34" borderId="24" xfId="27" quotePrefix="1" applyFont="1" applyFill="1" applyBorder="1" applyAlignment="1">
      <alignment horizontal="center" vertical="center"/>
    </xf>
    <xf numFmtId="0" fontId="3" fillId="34" borderId="44" xfId="0" applyFont="1" applyFill="1" applyBorder="1" applyAlignment="1">
      <alignment horizontal="center"/>
    </xf>
    <xf numFmtId="0" fontId="0" fillId="0" borderId="0" xfId="0" applyAlignment="1">
      <alignment horizontal="center" vertical="center"/>
    </xf>
    <xf numFmtId="0" fontId="3" fillId="0" borderId="0" xfId="0" applyFont="1" applyAlignment="1">
      <alignment horizontal="center" vertical="center"/>
    </xf>
    <xf numFmtId="49" fontId="0" fillId="0" borderId="0" xfId="0" applyNumberFormat="1" applyAlignment="1">
      <alignment horizontal="center" vertical="center"/>
    </xf>
    <xf numFmtId="0" fontId="0" fillId="0" borderId="38" xfId="0" applyBorder="1" applyAlignment="1">
      <alignment horizontal="center" vertical="center"/>
    </xf>
    <xf numFmtId="0" fontId="76" fillId="79" borderId="104" xfId="0" applyFont="1" applyFill="1" applyBorder="1" applyAlignment="1">
      <alignment horizontal="center" vertical="center"/>
    </xf>
    <xf numFmtId="0" fontId="78" fillId="0" borderId="105" xfId="0" applyFont="1" applyBorder="1" applyAlignment="1">
      <alignment horizontal="center" vertical="center"/>
    </xf>
    <xf numFmtId="0" fontId="76" fillId="79" borderId="106" xfId="0" applyFont="1" applyFill="1" applyBorder="1" applyAlignment="1">
      <alignment horizontal="center" vertical="center"/>
    </xf>
    <xf numFmtId="0" fontId="78" fillId="0" borderId="107" xfId="0" applyFont="1" applyBorder="1" applyAlignment="1">
      <alignment horizontal="center" vertical="center"/>
    </xf>
    <xf numFmtId="164" fontId="19" fillId="0" borderId="4" xfId="27" applyNumberFormat="1" applyFont="1" applyBorder="1" applyAlignment="1">
      <alignment horizontal="center" vertical="center"/>
    </xf>
    <xf numFmtId="164" fontId="19" fillId="0" borderId="12" xfId="27" applyNumberFormat="1" applyFont="1" applyBorder="1" applyAlignment="1">
      <alignment horizontal="center" vertical="center"/>
    </xf>
    <xf numFmtId="164" fontId="19" fillId="34" borderId="24" xfId="27" quotePrefix="1" applyNumberFormat="1" applyFont="1" applyFill="1" applyBorder="1" applyAlignment="1">
      <alignment horizontal="center" vertical="center"/>
    </xf>
    <xf numFmtId="0" fontId="19" fillId="74" borderId="56" xfId="27" applyFont="1" applyFill="1" applyBorder="1" applyAlignment="1">
      <alignment horizontal="center" vertical="center"/>
    </xf>
    <xf numFmtId="0" fontId="19" fillId="74" borderId="110" xfId="27" applyFont="1" applyFill="1" applyBorder="1" applyAlignment="1">
      <alignment horizontal="center" vertical="center"/>
    </xf>
    <xf numFmtId="164" fontId="19" fillId="0" borderId="78" xfId="27" applyNumberFormat="1" applyFont="1" applyBorder="1" applyAlignment="1">
      <alignment horizontal="center" vertical="center"/>
    </xf>
    <xf numFmtId="164" fontId="19" fillId="0" borderId="79" xfId="27" applyNumberFormat="1" applyFont="1" applyBorder="1" applyAlignment="1">
      <alignment horizontal="center" vertical="center"/>
    </xf>
    <xf numFmtId="164" fontId="19" fillId="0" borderId="82" xfId="27" applyNumberFormat="1" applyFont="1" applyBorder="1" applyAlignment="1">
      <alignment horizontal="center" vertical="center"/>
    </xf>
    <xf numFmtId="0" fontId="19" fillId="0" borderId="78" xfId="27" applyFont="1" applyBorder="1" applyAlignment="1">
      <alignment horizontal="center" vertical="center"/>
    </xf>
    <xf numFmtId="2" fontId="19" fillId="0" borderId="83" xfId="27" applyNumberFormat="1" applyFont="1" applyBorder="1" applyAlignment="1">
      <alignment horizontal="center" vertical="center"/>
    </xf>
    <xf numFmtId="1" fontId="0" fillId="0" borderId="51" xfId="0" applyNumberFormat="1" applyBorder="1" applyAlignment="1">
      <alignment horizontal="center" vertical="center"/>
    </xf>
    <xf numFmtId="1" fontId="0" fillId="0" borderId="84" xfId="0" applyNumberFormat="1" applyBorder="1" applyAlignment="1">
      <alignment horizontal="center" vertical="center"/>
    </xf>
    <xf numFmtId="0" fontId="19" fillId="74" borderId="40" xfId="27" applyFont="1" applyFill="1" applyBorder="1" applyAlignment="1">
      <alignment horizontal="center" vertical="center"/>
    </xf>
    <xf numFmtId="2" fontId="19" fillId="0" borderId="81" xfId="27" applyNumberFormat="1" applyFont="1" applyBorder="1" applyAlignment="1">
      <alignment horizontal="center" vertical="center"/>
    </xf>
    <xf numFmtId="2" fontId="19" fillId="0" borderId="51" xfId="27" applyNumberFormat="1" applyFont="1" applyBorder="1" applyAlignment="1">
      <alignment horizontal="center" vertical="center"/>
    </xf>
    <xf numFmtId="2" fontId="19" fillId="0" borderId="84" xfId="27" applyNumberFormat="1" applyFont="1" applyBorder="1" applyAlignment="1">
      <alignment horizontal="center" vertical="center"/>
    </xf>
    <xf numFmtId="0" fontId="19" fillId="0" borderId="81" xfId="27" applyFont="1" applyBorder="1" applyAlignment="1">
      <alignment horizontal="center" vertical="center"/>
    </xf>
    <xf numFmtId="0" fontId="19" fillId="7" borderId="111" xfId="27" applyFont="1" applyFill="1" applyBorder="1" applyAlignment="1">
      <alignment horizontal="center" vertical="center"/>
    </xf>
    <xf numFmtId="0" fontId="19" fillId="7" borderId="112" xfId="27" applyFont="1" applyFill="1" applyBorder="1" applyAlignment="1">
      <alignment horizontal="center" vertical="center"/>
    </xf>
    <xf numFmtId="0" fontId="19" fillId="0" borderId="54" xfId="27" applyFont="1" applyBorder="1" applyAlignment="1">
      <alignment horizontal="center" vertical="center"/>
    </xf>
    <xf numFmtId="0" fontId="19" fillId="7" borderId="9" xfId="27" applyFont="1" applyFill="1" applyBorder="1" applyAlignment="1">
      <alignment horizontal="center" vertical="center"/>
    </xf>
    <xf numFmtId="164" fontId="18" fillId="27" borderId="69" xfId="27" applyNumberFormat="1" applyFont="1" applyFill="1" applyBorder="1" applyAlignment="1">
      <alignment horizontal="center" vertical="center"/>
    </xf>
    <xf numFmtId="164" fontId="18" fillId="27" borderId="108" xfId="27" applyNumberFormat="1" applyFont="1" applyFill="1" applyBorder="1" applyAlignment="1">
      <alignment horizontal="center" vertical="center"/>
    </xf>
    <xf numFmtId="164" fontId="18" fillId="27" borderId="109" xfId="27" applyNumberFormat="1" applyFont="1" applyFill="1" applyBorder="1" applyAlignment="1">
      <alignment horizontal="center" vertical="center"/>
    </xf>
    <xf numFmtId="0" fontId="9" fillId="27" borderId="65" xfId="0" applyFont="1" applyFill="1" applyBorder="1" applyAlignment="1">
      <alignment horizontal="center" vertical="center"/>
    </xf>
    <xf numFmtId="0" fontId="9" fillId="27" borderId="66" xfId="0" applyFont="1" applyFill="1" applyBorder="1" applyAlignment="1">
      <alignment horizontal="center" vertical="center"/>
    </xf>
    <xf numFmtId="0" fontId="19" fillId="0" borderId="69" xfId="27" applyFont="1" applyBorder="1" applyAlignment="1">
      <alignment horizontal="center" vertical="center"/>
    </xf>
    <xf numFmtId="0" fontId="19" fillId="0" borderId="108" xfId="27" applyFont="1" applyBorder="1" applyAlignment="1">
      <alignment horizontal="center" vertical="center"/>
    </xf>
    <xf numFmtId="0" fontId="19" fillId="0" borderId="109" xfId="27" applyFont="1" applyBorder="1" applyAlignment="1">
      <alignment horizontal="center" vertical="center"/>
    </xf>
    <xf numFmtId="1" fontId="19" fillId="0" borderId="51" xfId="27" applyNumberFormat="1" applyFont="1" applyBorder="1" applyAlignment="1">
      <alignment horizontal="center" vertical="center"/>
    </xf>
    <xf numFmtId="1" fontId="19" fillId="0" borderId="84" xfId="27" applyNumberFormat="1" applyFont="1" applyBorder="1" applyAlignment="1">
      <alignment horizontal="center" vertical="center"/>
    </xf>
    <xf numFmtId="0" fontId="18" fillId="27" borderId="24" xfId="27" applyFont="1" applyFill="1" applyBorder="1" applyAlignment="1">
      <alignment horizontal="center" vertical="center"/>
    </xf>
    <xf numFmtId="164" fontId="18" fillId="27" borderId="65" xfId="27" applyNumberFormat="1" applyFont="1" applyFill="1" applyBorder="1" applyAlignment="1">
      <alignment horizontal="center" vertical="center"/>
    </xf>
    <xf numFmtId="0" fontId="5" fillId="27" borderId="66" xfId="0" applyFont="1" applyFill="1" applyBorder="1" applyAlignment="1">
      <alignment horizontal="center" vertical="center"/>
    </xf>
    <xf numFmtId="0" fontId="5" fillId="27" borderId="67" xfId="0" applyFont="1" applyFill="1" applyBorder="1" applyAlignment="1">
      <alignment horizontal="center" vertical="center"/>
    </xf>
    <xf numFmtId="0" fontId="18" fillId="27" borderId="18" xfId="27" applyFont="1" applyFill="1" applyBorder="1" applyAlignment="1">
      <alignment horizontal="center" vertical="center"/>
    </xf>
    <xf numFmtId="0" fontId="18" fillId="27" borderId="65" xfId="27" applyFont="1" applyFill="1" applyBorder="1" applyAlignment="1">
      <alignment horizontal="center" vertical="center"/>
    </xf>
    <xf numFmtId="0" fontId="18" fillId="27" borderId="66" xfId="27" applyFont="1" applyFill="1" applyBorder="1" applyAlignment="1">
      <alignment horizontal="center" vertical="center"/>
    </xf>
    <xf numFmtId="0" fontId="18" fillId="27" borderId="67" xfId="27" applyFont="1" applyFill="1" applyBorder="1" applyAlignment="1">
      <alignment horizontal="center" vertical="center"/>
    </xf>
    <xf numFmtId="0" fontId="18" fillId="27" borderId="88" xfId="27" applyFont="1" applyFill="1" applyBorder="1" applyAlignment="1">
      <alignment horizontal="center" vertical="center"/>
    </xf>
    <xf numFmtId="0" fontId="18" fillId="27" borderId="89" xfId="27" applyFont="1" applyFill="1" applyBorder="1" applyAlignment="1">
      <alignment horizontal="center" vertical="center"/>
    </xf>
    <xf numFmtId="2" fontId="18" fillId="27" borderId="90" xfId="27" applyNumberFormat="1" applyFont="1" applyFill="1" applyBorder="1" applyAlignment="1">
      <alignment horizontal="center" vertical="center"/>
    </xf>
    <xf numFmtId="164" fontId="18" fillId="27" borderId="66" xfId="27" applyNumberFormat="1" applyFont="1" applyFill="1" applyBorder="1" applyAlignment="1">
      <alignment horizontal="center" vertical="center"/>
    </xf>
    <xf numFmtId="164" fontId="18" fillId="27" borderId="67" xfId="27" applyNumberFormat="1" applyFont="1" applyFill="1" applyBorder="1" applyAlignment="1">
      <alignment horizontal="center" vertical="center"/>
    </xf>
    <xf numFmtId="0" fontId="19" fillId="7" borderId="30" xfId="27" applyFont="1" applyFill="1" applyBorder="1" applyAlignment="1">
      <alignment horizontal="center" vertical="center"/>
    </xf>
    <xf numFmtId="1" fontId="19" fillId="0" borderId="24" xfId="27" applyNumberFormat="1" applyFont="1" applyBorder="1" applyAlignment="1">
      <alignment horizontal="center" vertical="center"/>
    </xf>
    <xf numFmtId="0" fontId="9" fillId="27" borderId="67" xfId="0" applyFont="1" applyFill="1" applyBorder="1" applyAlignment="1">
      <alignment horizontal="center" vertical="center"/>
    </xf>
    <xf numFmtId="0" fontId="3" fillId="36" borderId="89" xfId="0" applyFont="1" applyFill="1" applyBorder="1" applyAlignment="1">
      <alignment horizontal="center" vertical="center"/>
    </xf>
    <xf numFmtId="0" fontId="18" fillId="34" borderId="69" xfId="27" applyFont="1" applyFill="1" applyBorder="1" applyAlignment="1">
      <alignment vertical="center"/>
    </xf>
    <xf numFmtId="0" fontId="18" fillId="34" borderId="108" xfId="27" applyFont="1" applyFill="1" applyBorder="1" applyAlignment="1">
      <alignment vertical="center"/>
    </xf>
    <xf numFmtId="0" fontId="18" fillId="34" borderId="109" xfId="27" applyFont="1" applyFill="1" applyBorder="1" applyAlignment="1">
      <alignment vertical="center"/>
    </xf>
    <xf numFmtId="164" fontId="3" fillId="0" borderId="51" xfId="0" applyNumberFormat="1" applyFont="1" applyBorder="1" applyAlignment="1">
      <alignment horizontal="center" vertical="center"/>
    </xf>
    <xf numFmtId="164" fontId="3" fillId="0" borderId="84" xfId="0" applyNumberFormat="1" applyFont="1" applyBorder="1" applyAlignment="1">
      <alignment horizontal="center" vertical="center"/>
    </xf>
    <xf numFmtId="164" fontId="3" fillId="0" borderId="89" xfId="0" applyNumberFormat="1" applyFont="1" applyBorder="1" applyAlignment="1">
      <alignment horizontal="center" vertical="center"/>
    </xf>
    <xf numFmtId="164" fontId="3" fillId="0" borderId="90" xfId="0" applyNumberFormat="1" applyFont="1" applyBorder="1" applyAlignment="1">
      <alignment horizontal="center" vertical="center"/>
    </xf>
    <xf numFmtId="1" fontId="19" fillId="0" borderId="52" xfId="27" applyNumberFormat="1" applyFont="1" applyBorder="1" applyAlignment="1">
      <alignment horizontal="center" vertical="center"/>
    </xf>
    <xf numFmtId="1" fontId="19" fillId="0" borderId="83" xfId="27" applyNumberFormat="1" applyFont="1" applyBorder="1" applyAlignment="1">
      <alignment horizontal="center" vertical="center"/>
    </xf>
    <xf numFmtId="0" fontId="19" fillId="0" borderId="88" xfId="27" applyFont="1" applyBorder="1" applyAlignment="1">
      <alignment horizontal="center" vertical="center"/>
    </xf>
    <xf numFmtId="1" fontId="19" fillId="0" borderId="89" xfId="27" applyNumberFormat="1" applyFont="1" applyBorder="1" applyAlignment="1">
      <alignment horizontal="center" vertical="center"/>
    </xf>
    <xf numFmtId="1" fontId="19" fillId="0" borderId="90" xfId="27" applyNumberFormat="1" applyFont="1" applyBorder="1" applyAlignment="1">
      <alignment horizontal="center" vertical="center"/>
    </xf>
    <xf numFmtId="2" fontId="19" fillId="0" borderId="78" xfId="27" applyNumberFormat="1" applyFont="1" applyBorder="1" applyAlignment="1">
      <alignment horizontal="center" vertical="center"/>
    </xf>
    <xf numFmtId="2" fontId="19" fillId="0" borderId="52" xfId="27" applyNumberFormat="1" applyFont="1" applyBorder="1" applyAlignment="1">
      <alignment horizontal="center" vertical="center"/>
    </xf>
    <xf numFmtId="2" fontId="19" fillId="0" borderId="88" xfId="27" applyNumberFormat="1" applyFont="1" applyBorder="1" applyAlignment="1">
      <alignment horizontal="center" vertical="center"/>
    </xf>
    <xf numFmtId="2" fontId="19" fillId="0" borderId="89" xfId="27" applyNumberFormat="1" applyFont="1" applyBorder="1" applyAlignment="1">
      <alignment horizontal="center" vertical="center"/>
    </xf>
    <xf numFmtId="2" fontId="19" fillId="0" borderId="90" xfId="27" applyNumberFormat="1" applyFont="1" applyBorder="1" applyAlignment="1">
      <alignment horizontal="center" vertical="center"/>
    </xf>
    <xf numFmtId="1" fontId="0" fillId="0" borderId="52" xfId="0" applyNumberFormat="1" applyBorder="1" applyAlignment="1">
      <alignment horizontal="center" vertical="center"/>
    </xf>
    <xf numFmtId="1" fontId="0" fillId="0" borderId="83" xfId="0" applyNumberFormat="1" applyBorder="1" applyAlignment="1">
      <alignment horizontal="center" vertical="center"/>
    </xf>
    <xf numFmtId="1" fontId="0" fillId="0" borderId="89" xfId="0" applyNumberFormat="1" applyBorder="1" applyAlignment="1">
      <alignment horizontal="center" vertical="center"/>
    </xf>
    <xf numFmtId="1" fontId="0" fillId="0" borderId="90" xfId="0" applyNumberFormat="1" applyBorder="1" applyAlignment="1">
      <alignment horizontal="center" vertical="center"/>
    </xf>
    <xf numFmtId="0" fontId="24" fillId="80" borderId="17" xfId="27" applyFont="1" applyFill="1" applyBorder="1" applyAlignment="1">
      <alignment horizontal="left" vertical="center"/>
    </xf>
    <xf numFmtId="0" fontId="18" fillId="80" borderId="18" xfId="27" applyFont="1" applyFill="1" applyBorder="1" applyAlignment="1">
      <alignment vertical="center"/>
    </xf>
    <xf numFmtId="0" fontId="22" fillId="80" borderId="18" xfId="27" applyFont="1" applyFill="1" applyBorder="1" applyAlignment="1">
      <alignment vertical="center"/>
    </xf>
    <xf numFmtId="1" fontId="22" fillId="80" borderId="18" xfId="27" applyNumberFormat="1" applyFont="1" applyFill="1" applyBorder="1" applyAlignment="1">
      <alignment vertical="center"/>
    </xf>
    <xf numFmtId="0" fontId="24" fillId="80" borderId="18" xfId="27" applyFont="1" applyFill="1" applyBorder="1" applyAlignment="1">
      <alignment vertical="center"/>
    </xf>
    <xf numFmtId="0" fontId="24" fillId="80" borderId="19" xfId="27" applyFont="1" applyFill="1" applyBorder="1" applyAlignment="1">
      <alignment vertical="center"/>
    </xf>
    <xf numFmtId="0" fontId="18" fillId="81" borderId="18" xfId="27" applyFont="1" applyFill="1" applyBorder="1" applyAlignment="1">
      <alignment vertical="center"/>
    </xf>
    <xf numFmtId="0" fontId="22" fillId="81" borderId="18" xfId="27" applyFont="1" applyFill="1" applyBorder="1" applyAlignment="1">
      <alignment vertical="center"/>
    </xf>
    <xf numFmtId="1" fontId="22" fillId="81" borderId="18" xfId="27" applyNumberFormat="1" applyFont="1" applyFill="1" applyBorder="1" applyAlignment="1">
      <alignment vertical="center"/>
    </xf>
    <xf numFmtId="0" fontId="24" fillId="81" borderId="18" xfId="27" applyFont="1" applyFill="1" applyBorder="1" applyAlignment="1">
      <alignment vertical="center"/>
    </xf>
    <xf numFmtId="0" fontId="24" fillId="81" borderId="19" xfId="27" applyFont="1" applyFill="1" applyBorder="1" applyAlignment="1">
      <alignment vertical="center"/>
    </xf>
    <xf numFmtId="0" fontId="79" fillId="81" borderId="17" xfId="27" applyFont="1" applyFill="1" applyBorder="1" applyAlignment="1">
      <alignment horizontal="left" vertical="center"/>
    </xf>
    <xf numFmtId="0" fontId="79" fillId="80" borderId="48" xfId="27" applyFont="1" applyFill="1" applyBorder="1" applyAlignment="1">
      <alignment horizontal="left" vertical="center"/>
    </xf>
    <xf numFmtId="0" fontId="79" fillId="80" borderId="49" xfId="27" applyFont="1" applyFill="1" applyBorder="1" applyAlignment="1">
      <alignment vertical="center"/>
    </xf>
    <xf numFmtId="0" fontId="80" fillId="80" borderId="49" xfId="27" applyFont="1" applyFill="1" applyBorder="1" applyAlignment="1">
      <alignment vertical="center"/>
    </xf>
    <xf numFmtId="1" fontId="80" fillId="80" borderId="49" xfId="27" applyNumberFormat="1" applyFont="1" applyFill="1" applyBorder="1" applyAlignment="1">
      <alignment vertical="center"/>
    </xf>
    <xf numFmtId="0" fontId="79" fillId="80" borderId="50" xfId="27" applyFont="1" applyFill="1" applyBorder="1" applyAlignment="1">
      <alignment vertical="center"/>
    </xf>
    <xf numFmtId="0" fontId="24" fillId="0" borderId="44" xfId="27" applyFont="1" applyBorder="1" applyAlignment="1">
      <alignment horizontal="left" vertical="center"/>
    </xf>
    <xf numFmtId="0" fontId="18" fillId="0" borderId="0" xfId="27" applyFont="1" applyAlignment="1">
      <alignment vertical="center"/>
    </xf>
    <xf numFmtId="1" fontId="22" fillId="0" borderId="0" xfId="27" applyNumberFormat="1" applyFont="1" applyAlignment="1">
      <alignment vertical="center"/>
    </xf>
    <xf numFmtId="0" fontId="24" fillId="0" borderId="0" xfId="27" applyFont="1" applyAlignment="1">
      <alignment vertical="center"/>
    </xf>
    <xf numFmtId="0" fontId="24" fillId="0" borderId="45" xfId="27" applyFont="1" applyBorder="1" applyAlignment="1">
      <alignment vertical="center"/>
    </xf>
    <xf numFmtId="0" fontId="81" fillId="33" borderId="0" xfId="27" applyFont="1" applyFill="1" applyAlignment="1">
      <alignment horizontal="center" vertical="center"/>
    </xf>
    <xf numFmtId="0" fontId="36" fillId="0" borderId="49" xfId="0" applyFont="1" applyBorder="1" applyAlignment="1">
      <alignment horizontal="center" vertical="center" textRotation="90"/>
    </xf>
    <xf numFmtId="0" fontId="36" fillId="0" borderId="0" xfId="0" applyFont="1" applyAlignment="1">
      <alignment horizontal="center" vertical="center" textRotation="90"/>
    </xf>
    <xf numFmtId="0" fontId="36" fillId="0" borderId="22" xfId="0" applyFont="1" applyBorder="1" applyAlignment="1">
      <alignment horizontal="center" vertical="center" textRotation="90"/>
    </xf>
    <xf numFmtId="0" fontId="36" fillId="0" borderId="47" xfId="0" applyFont="1" applyBorder="1" applyAlignment="1">
      <alignment horizontal="center" vertical="center" textRotation="90"/>
    </xf>
    <xf numFmtId="0" fontId="73" fillId="25" borderId="48" xfId="0" applyFont="1" applyFill="1" applyBorder="1" applyAlignment="1">
      <alignment horizontal="center" vertical="center"/>
    </xf>
    <xf numFmtId="0" fontId="73" fillId="25" borderId="49" xfId="0" applyFont="1" applyFill="1" applyBorder="1" applyAlignment="1">
      <alignment horizontal="center" vertical="center"/>
    </xf>
    <xf numFmtId="0" fontId="73" fillId="25" borderId="50" xfId="0" applyFont="1" applyFill="1" applyBorder="1" applyAlignment="1">
      <alignment horizontal="center" vertical="center"/>
    </xf>
    <xf numFmtId="0" fontId="73" fillId="25" borderId="44" xfId="0" applyFont="1" applyFill="1" applyBorder="1" applyAlignment="1">
      <alignment horizontal="center" vertical="center"/>
    </xf>
    <xf numFmtId="0" fontId="73" fillId="25" borderId="0" xfId="0" applyFont="1" applyFill="1" applyAlignment="1">
      <alignment horizontal="center" vertical="center"/>
    </xf>
    <xf numFmtId="0" fontId="73" fillId="25" borderId="45" xfId="0" applyFont="1" applyFill="1" applyBorder="1" applyAlignment="1">
      <alignment horizontal="center" vertical="center"/>
    </xf>
    <xf numFmtId="0" fontId="73" fillId="25" borderId="48" xfId="0" applyFont="1" applyFill="1" applyBorder="1" applyAlignment="1">
      <alignment horizontal="center" vertical="center" wrapText="1"/>
    </xf>
    <xf numFmtId="0" fontId="73" fillId="25" borderId="49" xfId="0" applyFont="1" applyFill="1" applyBorder="1" applyAlignment="1">
      <alignment horizontal="center" vertical="center" wrapText="1"/>
    </xf>
    <xf numFmtId="0" fontId="73" fillId="25" borderId="50" xfId="0" applyFont="1" applyFill="1" applyBorder="1" applyAlignment="1">
      <alignment horizontal="center" vertical="center" wrapText="1"/>
    </xf>
    <xf numFmtId="0" fontId="73" fillId="25" borderId="44" xfId="0" applyFont="1" applyFill="1" applyBorder="1" applyAlignment="1">
      <alignment horizontal="center" vertical="center" wrapText="1"/>
    </xf>
    <xf numFmtId="0" fontId="73" fillId="25" borderId="0" xfId="0" applyFont="1" applyFill="1" applyAlignment="1">
      <alignment horizontal="center" vertical="center" wrapText="1"/>
    </xf>
    <xf numFmtId="0" fontId="73" fillId="25" borderId="45" xfId="0" applyFont="1" applyFill="1" applyBorder="1" applyAlignment="1">
      <alignment horizontal="center" vertical="center" wrapText="1"/>
    </xf>
    <xf numFmtId="0" fontId="73" fillId="25" borderId="21" xfId="0" applyFont="1" applyFill="1" applyBorder="1" applyAlignment="1">
      <alignment horizontal="center" vertical="center" wrapText="1"/>
    </xf>
    <xf numFmtId="0" fontId="73" fillId="25" borderId="22" xfId="0" applyFont="1" applyFill="1" applyBorder="1" applyAlignment="1">
      <alignment horizontal="center" vertical="center" wrapText="1"/>
    </xf>
    <xf numFmtId="0" fontId="73" fillId="25" borderId="23" xfId="0" applyFont="1" applyFill="1" applyBorder="1" applyAlignment="1">
      <alignment horizontal="center" vertical="center" wrapText="1"/>
    </xf>
    <xf numFmtId="0" fontId="72" fillId="25" borderId="48" xfId="0" applyFont="1" applyFill="1" applyBorder="1" applyAlignment="1">
      <alignment horizontal="center" vertical="center" wrapText="1"/>
    </xf>
    <xf numFmtId="0" fontId="72" fillId="25" borderId="49" xfId="0" applyFont="1" applyFill="1" applyBorder="1" applyAlignment="1">
      <alignment horizontal="center" vertical="center" wrapText="1"/>
    </xf>
    <xf numFmtId="0" fontId="72" fillId="25" borderId="50" xfId="0" applyFont="1" applyFill="1" applyBorder="1" applyAlignment="1">
      <alignment horizontal="center" vertical="center" wrapText="1"/>
    </xf>
    <xf numFmtId="0" fontId="72" fillId="25" borderId="21" xfId="0" applyFont="1" applyFill="1" applyBorder="1" applyAlignment="1">
      <alignment horizontal="center" vertical="center" wrapText="1"/>
    </xf>
    <xf numFmtId="0" fontId="72" fillId="25" borderId="22" xfId="0" applyFont="1" applyFill="1" applyBorder="1" applyAlignment="1">
      <alignment horizontal="center" vertical="center" wrapText="1"/>
    </xf>
    <xf numFmtId="0" fontId="72" fillId="25" borderId="23" xfId="0" applyFont="1" applyFill="1" applyBorder="1" applyAlignment="1">
      <alignment horizontal="center" vertical="center" wrapText="1"/>
    </xf>
    <xf numFmtId="0" fontId="73" fillId="25" borderId="21" xfId="0" applyFont="1" applyFill="1" applyBorder="1" applyAlignment="1">
      <alignment horizontal="center" vertical="center"/>
    </xf>
    <xf numFmtId="0" fontId="73" fillId="25" borderId="22" xfId="0" applyFont="1" applyFill="1" applyBorder="1" applyAlignment="1">
      <alignment horizontal="center" vertical="center"/>
    </xf>
    <xf numFmtId="0" fontId="73" fillId="25" borderId="23" xfId="0" applyFont="1" applyFill="1" applyBorder="1" applyAlignment="1">
      <alignment horizontal="center" vertical="center"/>
    </xf>
    <xf numFmtId="0" fontId="35" fillId="0" borderId="16" xfId="0" applyFont="1" applyBorder="1" applyAlignment="1">
      <alignment horizontal="center" vertical="center" textRotation="90"/>
    </xf>
    <xf numFmtId="0" fontId="35" fillId="0" borderId="47" xfId="0" applyFont="1" applyBorder="1" applyAlignment="1">
      <alignment horizontal="center" vertical="center" textRotation="90"/>
    </xf>
    <xf numFmtId="0" fontId="32" fillId="0" borderId="16" xfId="0" applyFont="1" applyBorder="1" applyAlignment="1">
      <alignment horizontal="center" vertical="center" textRotation="90"/>
    </xf>
    <xf numFmtId="0" fontId="32" fillId="0" borderId="47" xfId="0" applyFont="1" applyBorder="1" applyAlignment="1">
      <alignment horizontal="center" vertical="center" textRotation="90"/>
    </xf>
    <xf numFmtId="0" fontId="32" fillId="0" borderId="20" xfId="0" applyFont="1" applyBorder="1" applyAlignment="1">
      <alignment horizontal="center" vertical="center" textRotation="90"/>
    </xf>
    <xf numFmtId="0" fontId="34" fillId="0" borderId="16" xfId="0" applyFont="1" applyBorder="1" applyAlignment="1">
      <alignment horizontal="center" vertical="center" textRotation="90"/>
    </xf>
    <xf numFmtId="0" fontId="34" fillId="0" borderId="47" xfId="0" applyFont="1" applyBorder="1" applyAlignment="1">
      <alignment horizontal="center" vertical="center" textRotation="90"/>
    </xf>
    <xf numFmtId="0" fontId="34" fillId="0" borderId="20" xfId="0" applyFont="1" applyBorder="1" applyAlignment="1">
      <alignment horizontal="center" vertical="center" textRotation="90"/>
    </xf>
    <xf numFmtId="0" fontId="32" fillId="10" borderId="16" xfId="0" applyFont="1" applyFill="1" applyBorder="1" applyAlignment="1">
      <alignment horizontal="center" vertical="center" textRotation="90"/>
    </xf>
    <xf numFmtId="0" fontId="32" fillId="10" borderId="47" xfId="0" applyFont="1" applyFill="1" applyBorder="1" applyAlignment="1">
      <alignment horizontal="center" vertical="center" textRotation="90"/>
    </xf>
    <xf numFmtId="0" fontId="37" fillId="11" borderId="46" xfId="0" applyFont="1" applyFill="1" applyBorder="1" applyAlignment="1">
      <alignment horizontal="center" vertical="center" textRotation="90"/>
    </xf>
    <xf numFmtId="0" fontId="37" fillId="11" borderId="58" xfId="0" applyFont="1" applyFill="1" applyBorder="1" applyAlignment="1">
      <alignment horizontal="center" vertical="center" textRotation="90"/>
    </xf>
    <xf numFmtId="0" fontId="37" fillId="11" borderId="51" xfId="0" applyFont="1" applyFill="1" applyBorder="1" applyAlignment="1">
      <alignment horizontal="center" vertical="center" textRotation="90"/>
    </xf>
    <xf numFmtId="0" fontId="18" fillId="3" borderId="16" xfId="27" applyFont="1" applyFill="1" applyBorder="1" applyAlignment="1">
      <alignment horizontal="center" vertical="center"/>
    </xf>
    <xf numFmtId="0" fontId="18" fillId="3" borderId="20" xfId="27" applyFont="1" applyFill="1" applyBorder="1" applyAlignment="1">
      <alignment horizontal="center" vertical="center"/>
    </xf>
    <xf numFmtId="0" fontId="18" fillId="34" borderId="16" xfId="26" applyFont="1" applyFill="1" applyBorder="1" applyAlignment="1">
      <alignment horizontal="left" vertical="center"/>
    </xf>
    <xf numFmtId="0" fontId="18" fillId="34" borderId="26" xfId="26" applyFont="1" applyFill="1" applyBorder="1" applyAlignment="1">
      <alignment horizontal="left" vertical="center"/>
    </xf>
    <xf numFmtId="0" fontId="19" fillId="0" borderId="10" xfId="27" applyFont="1" applyBorder="1" applyAlignment="1">
      <alignment horizontal="center" vertical="center"/>
    </xf>
    <xf numFmtId="0" fontId="19" fillId="0" borderId="13" xfId="27" applyFont="1" applyBorder="1" applyAlignment="1">
      <alignment horizontal="center" vertical="center"/>
    </xf>
    <xf numFmtId="0" fontId="19" fillId="0" borderId="3" xfId="27"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9" fillId="27" borderId="17" xfId="0" applyFont="1" applyFill="1" applyBorder="1" applyAlignment="1">
      <alignment horizontal="center" vertical="center"/>
    </xf>
    <xf numFmtId="0" fontId="9" fillId="27" borderId="18" xfId="0" applyFont="1" applyFill="1" applyBorder="1" applyAlignment="1">
      <alignment horizontal="center" vertical="center"/>
    </xf>
    <xf numFmtId="0" fontId="9" fillId="27" borderId="19" xfId="0" applyFont="1" applyFill="1" applyBorder="1" applyAlignment="1">
      <alignment horizontal="center" vertical="center"/>
    </xf>
    <xf numFmtId="0" fontId="51" fillId="0" borderId="92" xfId="27" applyFont="1" applyBorder="1" applyAlignment="1">
      <alignment horizontal="center" vertical="center" wrapText="1"/>
    </xf>
    <xf numFmtId="0" fontId="51" fillId="0" borderId="26" xfId="27" applyFont="1" applyBorder="1" applyAlignment="1">
      <alignment horizontal="center" vertical="center" wrapText="1"/>
    </xf>
    <xf numFmtId="0" fontId="18" fillId="3" borderId="47" xfId="27" applyFont="1" applyFill="1" applyBorder="1" applyAlignment="1">
      <alignment horizontal="center" vertical="center"/>
    </xf>
    <xf numFmtId="0" fontId="18" fillId="3" borderId="16" xfId="27" applyFont="1" applyFill="1" applyBorder="1" applyAlignment="1">
      <alignment horizontal="center" vertical="center" wrapText="1"/>
    </xf>
    <xf numFmtId="0" fontId="18" fillId="3" borderId="20" xfId="27" applyFont="1" applyFill="1" applyBorder="1" applyAlignment="1">
      <alignment horizontal="center" vertical="center" wrapText="1"/>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28" borderId="0" xfId="27" applyFont="1" applyFill="1" applyAlignment="1">
      <alignment horizontal="center" vertical="center"/>
    </xf>
    <xf numFmtId="0" fontId="17" fillId="6" borderId="55" xfId="31" applyFont="1" applyFill="1" applyBorder="1" applyAlignment="1">
      <alignment horizontal="center" vertical="center"/>
    </xf>
    <xf numFmtId="0" fontId="17" fillId="6" borderId="1" xfId="31" applyFont="1" applyFill="1" applyBorder="1" applyAlignment="1">
      <alignment horizontal="center" vertical="center"/>
    </xf>
    <xf numFmtId="0" fontId="17" fillId="6" borderId="56" xfId="31" applyFont="1" applyFill="1" applyBorder="1" applyAlignment="1">
      <alignment horizontal="center" vertical="center"/>
    </xf>
    <xf numFmtId="0" fontId="17" fillId="6" borderId="59" xfId="31" applyFont="1" applyFill="1" applyBorder="1" applyAlignment="1">
      <alignment horizontal="center" vertical="center"/>
    </xf>
    <xf numFmtId="0" fontId="14" fillId="0" borderId="36" xfId="31" applyFont="1" applyBorder="1" applyAlignment="1">
      <alignment horizontal="center" vertical="center"/>
    </xf>
    <xf numFmtId="0" fontId="14" fillId="0" borderId="1" xfId="31" applyFont="1" applyBorder="1" applyAlignment="1">
      <alignment horizontal="center" vertical="center"/>
    </xf>
    <xf numFmtId="0" fontId="14" fillId="0" borderId="2" xfId="31" applyFont="1" applyBorder="1" applyAlignment="1">
      <alignment horizontal="center" vertical="center"/>
    </xf>
    <xf numFmtId="0" fontId="38" fillId="0" borderId="0" xfId="31" applyFont="1" applyAlignment="1">
      <alignment horizontal="center" vertical="center"/>
    </xf>
    <xf numFmtId="0" fontId="15" fillId="0" borderId="3" xfId="31" applyFont="1" applyBorder="1" applyAlignment="1">
      <alignment horizontal="center" vertical="center" shrinkToFit="1"/>
    </xf>
    <xf numFmtId="0" fontId="5" fillId="0" borderId="3" xfId="0" applyFont="1" applyBorder="1" applyAlignment="1">
      <alignment horizontal="center" vertical="center" shrinkToFit="1"/>
    </xf>
    <xf numFmtId="166" fontId="6" fillId="0" borderId="55" xfId="0" applyNumberFormat="1" applyFont="1" applyBorder="1" applyAlignment="1">
      <alignment horizontal="center" vertical="center"/>
    </xf>
    <xf numFmtId="166" fontId="6" fillId="0" borderId="56" xfId="0" applyNumberFormat="1" applyFont="1" applyBorder="1" applyAlignment="1">
      <alignment horizontal="center" vertical="center"/>
    </xf>
    <xf numFmtId="166" fontId="6" fillId="0" borderId="59" xfId="0" applyNumberFormat="1" applyFont="1"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59" xfId="0" applyBorder="1" applyAlignment="1">
      <alignment horizontal="center" vertical="center"/>
    </xf>
    <xf numFmtId="0" fontId="0" fillId="0" borderId="3" xfId="0" applyBorder="1" applyAlignment="1">
      <alignment horizontal="center" vertical="center"/>
    </xf>
    <xf numFmtId="169" fontId="6" fillId="0" borderId="36" xfId="0" applyNumberFormat="1" applyFont="1" applyBorder="1" applyAlignment="1">
      <alignment horizontal="center" vertical="center"/>
    </xf>
    <xf numFmtId="169" fontId="6" fillId="0" borderId="1" xfId="0" applyNumberFormat="1" applyFont="1" applyBorder="1"/>
    <xf numFmtId="0" fontId="3" fillId="0" borderId="3" xfId="0" applyFont="1" applyBorder="1" applyAlignment="1">
      <alignment horizontal="center" vertical="center"/>
    </xf>
    <xf numFmtId="1" fontId="3" fillId="0" borderId="55" xfId="0" applyNumberFormat="1" applyFont="1" applyBorder="1" applyAlignment="1">
      <alignment horizontal="center" vertical="center"/>
    </xf>
    <xf numFmtId="1" fontId="6" fillId="0" borderId="56" xfId="0" applyNumberFormat="1" applyFont="1" applyBorder="1" applyAlignment="1">
      <alignment horizontal="center" vertical="center"/>
    </xf>
    <xf numFmtId="1" fontId="6" fillId="0" borderId="59" xfId="0" applyNumberFormat="1" applyFont="1" applyBorder="1" applyAlignment="1">
      <alignment horizontal="center" vertical="center"/>
    </xf>
    <xf numFmtId="1" fontId="10" fillId="0" borderId="36" xfId="0" applyNumberFormat="1" applyFont="1" applyBorder="1" applyAlignment="1">
      <alignment horizontal="center" vertical="center"/>
    </xf>
    <xf numFmtId="0" fontId="10" fillId="0" borderId="1" xfId="0" applyFont="1" applyBorder="1"/>
    <xf numFmtId="0" fontId="9" fillId="0" borderId="3" xfId="0" applyFont="1" applyBorder="1" applyAlignment="1">
      <alignment horizontal="center" vertical="center"/>
    </xf>
    <xf numFmtId="0" fontId="11" fillId="0" borderId="3" xfId="0" applyFont="1" applyBorder="1" applyAlignment="1">
      <alignment horizontal="center" vertical="center"/>
    </xf>
    <xf numFmtId="1" fontId="11" fillId="0" borderId="36" xfId="0" applyNumberFormat="1" applyFont="1" applyBorder="1" applyAlignment="1">
      <alignment horizontal="center" vertical="center"/>
    </xf>
    <xf numFmtId="0" fontId="0" fillId="0" borderId="1" xfId="0" applyBorder="1"/>
    <xf numFmtId="0" fontId="0" fillId="0" borderId="2" xfId="0" applyBorder="1"/>
    <xf numFmtId="0" fontId="0" fillId="0" borderId="39" xfId="0" applyBorder="1"/>
    <xf numFmtId="0" fontId="0" fillId="0" borderId="40" xfId="0" applyBorder="1"/>
    <xf numFmtId="0" fontId="0" fillId="0" borderId="41" xfId="0" applyBorder="1"/>
    <xf numFmtId="0" fontId="12" fillId="0" borderId="55" xfId="0" applyFont="1" applyBorder="1" applyAlignment="1">
      <alignment horizontal="center" vertical="center"/>
    </xf>
    <xf numFmtId="0" fontId="0" fillId="0" borderId="56" xfId="0" applyBorder="1"/>
    <xf numFmtId="0" fontId="0" fillId="0" borderId="59" xfId="0" applyBorder="1"/>
    <xf numFmtId="0" fontId="9" fillId="0" borderId="55" xfId="0" applyFont="1" applyBorder="1" applyAlignment="1">
      <alignment horizontal="center" vertical="center"/>
    </xf>
    <xf numFmtId="0" fontId="9" fillId="0" borderId="56" xfId="0" applyFont="1" applyBorder="1" applyAlignment="1">
      <alignment horizontal="center" vertical="center"/>
    </xf>
    <xf numFmtId="0" fontId="9" fillId="0" borderId="59" xfId="0" applyFont="1" applyBorder="1" applyAlignment="1">
      <alignment horizontal="center" vertical="center"/>
    </xf>
    <xf numFmtId="0" fontId="5" fillId="0" borderId="39" xfId="0" applyFont="1" applyBorder="1" applyAlignment="1">
      <alignment horizontal="center" vertical="center"/>
    </xf>
    <xf numFmtId="0" fontId="5" fillId="0" borderId="40" xfId="0" applyFont="1" applyBorder="1" applyAlignment="1">
      <alignment horizontal="center" vertical="center"/>
    </xf>
    <xf numFmtId="0" fontId="5" fillId="0" borderId="41" xfId="0" applyFont="1" applyBorder="1" applyAlignment="1">
      <alignment horizontal="center" vertical="center"/>
    </xf>
    <xf numFmtId="0" fontId="6" fillId="0" borderId="55" xfId="0" applyFont="1" applyBorder="1" applyAlignment="1">
      <alignment horizontal="center" vertical="center"/>
    </xf>
    <xf numFmtId="0" fontId="6" fillId="0" borderId="56" xfId="0" applyFont="1" applyBorder="1" applyAlignment="1">
      <alignment horizontal="center" vertical="center"/>
    </xf>
    <xf numFmtId="1" fontId="11" fillId="0" borderId="1" xfId="0" applyNumberFormat="1" applyFont="1" applyBorder="1" applyAlignment="1">
      <alignment horizontal="center" vertical="center"/>
    </xf>
    <xf numFmtId="1" fontId="11" fillId="0" borderId="2" xfId="0" applyNumberFormat="1" applyFont="1" applyBorder="1" applyAlignment="1">
      <alignment horizontal="center" vertical="center"/>
    </xf>
    <xf numFmtId="1" fontId="11" fillId="0" borderId="37" xfId="0" applyNumberFormat="1" applyFont="1" applyBorder="1" applyAlignment="1">
      <alignment horizontal="center" vertical="center"/>
    </xf>
    <xf numFmtId="1" fontId="11" fillId="0" borderId="0" xfId="0" applyNumberFormat="1" applyFont="1" applyAlignment="1">
      <alignment horizontal="center" vertical="center"/>
    </xf>
    <xf numFmtId="1" fontId="11" fillId="0" borderId="38" xfId="0" applyNumberFormat="1" applyFont="1" applyBorder="1" applyAlignment="1">
      <alignment horizontal="center" vertical="center"/>
    </xf>
    <xf numFmtId="1" fontId="11" fillId="0" borderId="39" xfId="0" applyNumberFormat="1" applyFont="1" applyBorder="1" applyAlignment="1">
      <alignment horizontal="center" vertical="center"/>
    </xf>
    <xf numFmtId="1" fontId="11" fillId="0" borderId="40" xfId="0" applyNumberFormat="1" applyFont="1" applyBorder="1" applyAlignment="1">
      <alignment horizontal="center" vertical="center"/>
    </xf>
    <xf numFmtId="1" fontId="11" fillId="0" borderId="41" xfId="0" applyNumberFormat="1" applyFont="1" applyBorder="1" applyAlignment="1">
      <alignment horizontal="center" vertical="center"/>
    </xf>
    <xf numFmtId="0" fontId="6" fillId="0" borderId="36" xfId="0" applyFont="1" applyBorder="1" applyAlignment="1">
      <alignment horizontal="center"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7" xfId="0" applyFont="1" applyBorder="1" applyAlignment="1">
      <alignment horizontal="center" vertical="center"/>
    </xf>
    <xf numFmtId="0" fontId="6" fillId="0" borderId="0" xfId="0" applyFont="1" applyAlignment="1">
      <alignment horizontal="center" vertical="center"/>
    </xf>
    <xf numFmtId="0" fontId="6" fillId="0" borderId="38" xfId="0" applyFont="1" applyBorder="1" applyAlignment="1">
      <alignment horizontal="center" vertical="center"/>
    </xf>
    <xf numFmtId="0" fontId="6" fillId="0" borderId="39" xfId="0" applyFont="1" applyBorder="1" applyAlignment="1">
      <alignment horizontal="center" vertical="center"/>
    </xf>
    <xf numFmtId="0" fontId="6" fillId="0" borderId="40" xfId="0" applyFont="1" applyBorder="1" applyAlignment="1">
      <alignment horizontal="center" vertical="center"/>
    </xf>
    <xf numFmtId="0" fontId="6" fillId="0" borderId="41" xfId="0" applyFont="1" applyBorder="1" applyAlignment="1">
      <alignment horizontal="center" vertical="center"/>
    </xf>
    <xf numFmtId="1" fontId="9" fillId="0" borderId="56" xfId="0" applyNumberFormat="1" applyFont="1" applyBorder="1" applyAlignment="1">
      <alignment horizontal="center" vertical="center"/>
    </xf>
    <xf numFmtId="1" fontId="9" fillId="0" borderId="59" xfId="0" applyNumberFormat="1" applyFont="1" applyBorder="1" applyAlignment="1">
      <alignment horizontal="center" vertical="center"/>
    </xf>
    <xf numFmtId="0" fontId="11" fillId="0" borderId="55" xfId="0" applyFont="1" applyBorder="1" applyAlignment="1">
      <alignment horizontal="center" vertical="center"/>
    </xf>
    <xf numFmtId="0" fontId="11" fillId="0" borderId="56" xfId="0" applyFont="1" applyBorder="1" applyAlignment="1">
      <alignment horizontal="center" vertical="center"/>
    </xf>
    <xf numFmtId="0" fontId="11" fillId="0" borderId="59" xfId="0" applyFont="1" applyBorder="1" applyAlignment="1">
      <alignment horizontal="center" vertical="center"/>
    </xf>
    <xf numFmtId="0" fontId="5" fillId="0" borderId="3" xfId="0" applyFont="1" applyBorder="1" applyAlignment="1">
      <alignment horizontal="right"/>
    </xf>
    <xf numFmtId="168" fontId="5" fillId="0" borderId="3" xfId="0" applyNumberFormat="1" applyFont="1" applyBorder="1" applyAlignment="1">
      <alignment horizontal="center"/>
    </xf>
    <xf numFmtId="0" fontId="5" fillId="0" borderId="3" xfId="0" applyFont="1" applyBorder="1" applyAlignment="1">
      <alignment horizontal="center"/>
    </xf>
    <xf numFmtId="0" fontId="3" fillId="0" borderId="46" xfId="0" applyFont="1" applyBorder="1" applyAlignment="1">
      <alignment horizontal="center" shrinkToFit="1"/>
    </xf>
    <xf numFmtId="165" fontId="3" fillId="0" borderId="46" xfId="0" applyNumberFormat="1" applyFont="1" applyBorder="1" applyAlignment="1">
      <alignment horizontal="center" shrinkToFit="1"/>
    </xf>
    <xf numFmtId="165" fontId="3" fillId="0" borderId="3" xfId="0" applyNumberFormat="1" applyFont="1" applyBorder="1" applyAlignment="1">
      <alignment horizontal="center" shrinkToFit="1"/>
    </xf>
    <xf numFmtId="0" fontId="11" fillId="0" borderId="46" xfId="0" applyFont="1" applyBorder="1" applyAlignment="1">
      <alignment horizontal="center"/>
    </xf>
    <xf numFmtId="0" fontId="12" fillId="0" borderId="46" xfId="0" applyFont="1" applyBorder="1" applyAlignment="1">
      <alignment horizontal="left"/>
    </xf>
    <xf numFmtId="0" fontId="5" fillId="0" borderId="46" xfId="0" applyFont="1" applyBorder="1" applyAlignment="1">
      <alignment horizontal="right"/>
    </xf>
    <xf numFmtId="168" fontId="5" fillId="0" borderId="46" xfId="0" applyNumberFormat="1" applyFont="1" applyBorder="1" applyAlignment="1">
      <alignment horizontal="center"/>
    </xf>
    <xf numFmtId="0" fontId="5" fillId="0" borderId="46" xfId="0" applyFont="1" applyBorder="1" applyAlignment="1">
      <alignment horizontal="center"/>
    </xf>
    <xf numFmtId="0" fontId="0" fillId="0" borderId="36" xfId="0" applyBorder="1" applyAlignment="1">
      <alignment horizontal="center"/>
    </xf>
    <xf numFmtId="0" fontId="0" fillId="0" borderId="1" xfId="0" applyBorder="1" applyAlignment="1">
      <alignment horizontal="center"/>
    </xf>
    <xf numFmtId="0" fontId="3" fillId="0" borderId="39" xfId="0" applyFont="1" applyBorder="1" applyAlignment="1">
      <alignment horizontal="center"/>
    </xf>
    <xf numFmtId="0" fontId="0" fillId="0" borderId="40" xfId="0" applyBorder="1" applyAlignment="1">
      <alignment horizontal="center"/>
    </xf>
    <xf numFmtId="0" fontId="4" fillId="0" borderId="3" xfId="0" applyFont="1" applyBorder="1" applyAlignment="1">
      <alignment horizontal="center" vertical="center"/>
    </xf>
    <xf numFmtId="0" fontId="0" fillId="0" borderId="41" xfId="0" applyBorder="1" applyAlignment="1">
      <alignment horizontal="center"/>
    </xf>
    <xf numFmtId="0" fontId="0" fillId="0" borderId="2" xfId="0" applyBorder="1" applyAlignment="1">
      <alignment horizontal="center"/>
    </xf>
    <xf numFmtId="0" fontId="0" fillId="0" borderId="0" xfId="0" applyAlignment="1">
      <alignment horizontal="center" vertical="center"/>
    </xf>
    <xf numFmtId="0" fontId="11" fillId="0" borderId="36" xfId="0" applyFont="1" applyBorder="1" applyAlignment="1">
      <alignment horizontal="center"/>
    </xf>
    <xf numFmtId="0" fontId="11" fillId="0" borderId="1" xfId="0" applyFont="1" applyBorder="1" applyAlignment="1">
      <alignment horizontal="center"/>
    </xf>
    <xf numFmtId="0" fontId="3" fillId="0" borderId="36" xfId="0" applyFont="1" applyBorder="1" applyAlignment="1">
      <alignment horizontal="center" vertical="center" wrapText="1"/>
    </xf>
    <xf numFmtId="0" fontId="0" fillId="0" borderId="2" xfId="0" applyBorder="1" applyAlignment="1">
      <alignment horizontal="center" vertical="center" wrapText="1"/>
    </xf>
    <xf numFmtId="0" fontId="0" fillId="0" borderId="39" xfId="0" applyBorder="1" applyAlignment="1">
      <alignment horizontal="center" vertical="center" wrapText="1"/>
    </xf>
    <xf numFmtId="0" fontId="0" fillId="0" borderId="41" xfId="0" applyBorder="1" applyAlignment="1">
      <alignment horizontal="center" vertical="center" wrapText="1"/>
    </xf>
    <xf numFmtId="0" fontId="11" fillId="0" borderId="3" xfId="0" applyFont="1" applyBorder="1" applyAlignment="1">
      <alignment horizontal="left"/>
    </xf>
    <xf numFmtId="168" fontId="11" fillId="0" borderId="3" xfId="0" applyNumberFormat="1" applyFont="1" applyBorder="1" applyAlignment="1">
      <alignment horizontal="center"/>
    </xf>
    <xf numFmtId="0" fontId="11" fillId="0" borderId="3" xfId="0" applyFont="1" applyBorder="1" applyAlignment="1">
      <alignment horizontal="center"/>
    </xf>
    <xf numFmtId="0" fontId="12" fillId="0" borderId="46" xfId="0" applyFont="1" applyBorder="1" applyAlignment="1">
      <alignment horizontal="center"/>
    </xf>
    <xf numFmtId="168" fontId="12" fillId="0" borderId="46" xfId="0" applyNumberFormat="1" applyFont="1" applyBorder="1" applyAlignment="1">
      <alignment horizontal="center"/>
    </xf>
    <xf numFmtId="0" fontId="41" fillId="0" borderId="62" xfId="0" applyFont="1" applyBorder="1" applyAlignment="1">
      <alignment horizontal="center" vertical="center"/>
    </xf>
    <xf numFmtId="0" fontId="41" fillId="0" borderId="49" xfId="0" applyFont="1" applyBorder="1" applyAlignment="1">
      <alignment horizontal="center" vertical="center"/>
    </xf>
    <xf numFmtId="0" fontId="41" fillId="0" borderId="50" xfId="0" applyFont="1" applyBorder="1" applyAlignment="1">
      <alignment horizontal="center" vertical="center"/>
    </xf>
    <xf numFmtId="0" fontId="41" fillId="0" borderId="63" xfId="0" applyFont="1" applyBorder="1" applyAlignment="1">
      <alignment horizontal="center"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0" fillId="0" borderId="3" xfId="0" applyFont="1" applyBorder="1" applyAlignment="1">
      <alignment horizontal="left" vertical="center"/>
    </xf>
    <xf numFmtId="0" fontId="31" fillId="0" borderId="3" xfId="0" applyFont="1" applyBorder="1" applyAlignment="1">
      <alignment horizontal="center"/>
    </xf>
    <xf numFmtId="0" fontId="31" fillId="0" borderId="3" xfId="0" applyFont="1" applyBorder="1" applyAlignment="1">
      <alignment horizontal="center" vertical="center"/>
    </xf>
    <xf numFmtId="0" fontId="9" fillId="0" borderId="3" xfId="0" applyFont="1" applyBorder="1" applyAlignment="1">
      <alignment horizontal="center"/>
    </xf>
    <xf numFmtId="0" fontId="40" fillId="0" borderId="48" xfId="0" applyFont="1" applyBorder="1" applyAlignment="1">
      <alignment horizontal="center" vertical="center"/>
    </xf>
    <xf numFmtId="0" fontId="40" fillId="0" borderId="49" xfId="0" applyFont="1" applyBorder="1" applyAlignment="1">
      <alignment horizontal="center" vertical="center"/>
    </xf>
    <xf numFmtId="0" fontId="40" fillId="0" borderId="60" xfId="0" applyFont="1" applyBorder="1" applyAlignment="1">
      <alignment horizontal="center" vertical="center"/>
    </xf>
    <xf numFmtId="0" fontId="40" fillId="0" borderId="21" xfId="0" applyFont="1" applyBorder="1" applyAlignment="1">
      <alignment horizontal="center" vertical="center"/>
    </xf>
    <xf numFmtId="0" fontId="40" fillId="0" borderId="22" xfId="0" applyFont="1" applyBorder="1" applyAlignment="1">
      <alignment horizontal="center" vertical="center"/>
    </xf>
    <xf numFmtId="0" fontId="40" fillId="0" borderId="61" xfId="0" applyFont="1" applyBorder="1" applyAlignment="1">
      <alignment horizontal="center" vertical="center"/>
    </xf>
    <xf numFmtId="168" fontId="12" fillId="0" borderId="3" xfId="0" applyNumberFormat="1" applyFont="1" applyBorder="1" applyAlignment="1">
      <alignment horizontal="center"/>
    </xf>
    <xf numFmtId="165" fontId="12" fillId="0" borderId="3" xfId="0" applyNumberFormat="1" applyFont="1" applyBorder="1" applyAlignment="1">
      <alignment horizontal="center"/>
    </xf>
    <xf numFmtId="168" fontId="0" fillId="0" borderId="0" xfId="0" applyNumberFormat="1" applyAlignment="1">
      <alignment horizontal="center" vertical="center"/>
    </xf>
    <xf numFmtId="165" fontId="11" fillId="0" borderId="3" xfId="0" applyNumberFormat="1" applyFont="1" applyBorder="1" applyAlignment="1">
      <alignment horizontal="center"/>
    </xf>
    <xf numFmtId="0" fontId="9" fillId="0" borderId="46" xfId="0" applyFont="1" applyBorder="1" applyAlignment="1">
      <alignment horizontal="center"/>
    </xf>
    <xf numFmtId="0" fontId="11" fillId="0" borderId="55" xfId="0" applyFont="1" applyBorder="1" applyAlignment="1">
      <alignment horizontal="center"/>
    </xf>
    <xf numFmtId="0" fontId="11" fillId="0" borderId="56" xfId="0" applyFont="1" applyBorder="1" applyAlignment="1">
      <alignment horizontal="center"/>
    </xf>
    <xf numFmtId="0" fontId="11" fillId="0" borderId="59" xfId="0" applyFont="1" applyBorder="1" applyAlignment="1">
      <alignment horizontal="center"/>
    </xf>
    <xf numFmtId="0" fontId="31" fillId="0" borderId="46" xfId="0" applyFont="1" applyBorder="1" applyAlignment="1">
      <alignment horizontal="center"/>
    </xf>
    <xf numFmtId="0" fontId="12" fillId="0" borderId="3" xfId="0" applyFont="1" applyBorder="1" applyAlignment="1">
      <alignment horizontal="left"/>
    </xf>
    <xf numFmtId="0" fontId="77" fillId="78" borderId="101" xfId="0" applyFont="1" applyFill="1" applyBorder="1" applyAlignment="1">
      <alignment horizontal="center" vertical="center"/>
    </xf>
    <xf numFmtId="0" fontId="77" fillId="78" borderId="102" xfId="0" applyFont="1" applyFill="1" applyBorder="1" applyAlignment="1">
      <alignment horizontal="center" vertical="center"/>
    </xf>
    <xf numFmtId="0" fontId="77" fillId="78" borderId="103" xfId="0" applyFont="1" applyFill="1" applyBorder="1" applyAlignment="1">
      <alignment horizontal="center" vertical="center"/>
    </xf>
    <xf numFmtId="0" fontId="3" fillId="0" borderId="36" xfId="79" applyBorder="1" applyAlignment="1">
      <alignment horizontal="center" vertical="center"/>
    </xf>
    <xf numFmtId="0" fontId="3" fillId="0" borderId="1" xfId="79" applyBorder="1" applyAlignment="1">
      <alignment horizontal="center" vertical="center"/>
    </xf>
    <xf numFmtId="0" fontId="3" fillId="0" borderId="2" xfId="79" applyBorder="1" applyAlignment="1">
      <alignment horizontal="center" vertical="center"/>
    </xf>
    <xf numFmtId="0" fontId="3" fillId="0" borderId="37" xfId="79" applyBorder="1" applyAlignment="1">
      <alignment horizontal="center" vertical="center"/>
    </xf>
    <xf numFmtId="0" fontId="3" fillId="0" borderId="0" xfId="79" applyAlignment="1">
      <alignment horizontal="center" vertical="center"/>
    </xf>
    <xf numFmtId="0" fontId="3" fillId="0" borderId="38" xfId="79" applyBorder="1" applyAlignment="1">
      <alignment horizontal="center" vertical="center"/>
    </xf>
    <xf numFmtId="0" fontId="3" fillId="0" borderId="39" xfId="79" applyBorder="1" applyAlignment="1">
      <alignment horizontal="center" vertical="center"/>
    </xf>
    <xf numFmtId="0" fontId="3" fillId="0" borderId="40" xfId="79" applyBorder="1" applyAlignment="1">
      <alignment horizontal="center" vertical="center"/>
    </xf>
    <xf numFmtId="0" fontId="3" fillId="0" borderId="41" xfId="79" applyBorder="1" applyAlignment="1">
      <alignment horizontal="center" vertical="center"/>
    </xf>
    <xf numFmtId="1" fontId="11" fillId="0" borderId="36" xfId="79" applyNumberFormat="1" applyFont="1" applyBorder="1" applyAlignment="1">
      <alignment horizontal="center" vertical="center"/>
    </xf>
    <xf numFmtId="0" fontId="3" fillId="0" borderId="1" xfId="79" applyBorder="1"/>
    <xf numFmtId="0" fontId="3" fillId="0" borderId="2" xfId="79" applyBorder="1"/>
    <xf numFmtId="0" fontId="3" fillId="0" borderId="39" xfId="79" applyBorder="1"/>
    <xf numFmtId="0" fontId="3" fillId="0" borderId="40" xfId="79" applyBorder="1"/>
    <xf numFmtId="0" fontId="3" fillId="0" borderId="41" xfId="79" applyBorder="1"/>
    <xf numFmtId="1" fontId="11" fillId="0" borderId="1" xfId="79" applyNumberFormat="1" applyFont="1" applyBorder="1" applyAlignment="1">
      <alignment horizontal="center" vertical="center"/>
    </xf>
    <xf numFmtId="1" fontId="11" fillId="0" borderId="2" xfId="79" applyNumberFormat="1" applyFont="1" applyBorder="1" applyAlignment="1">
      <alignment horizontal="center" vertical="center"/>
    </xf>
    <xf numFmtId="1" fontId="11" fillId="0" borderId="37" xfId="79" applyNumberFormat="1" applyFont="1" applyBorder="1" applyAlignment="1">
      <alignment horizontal="center" vertical="center"/>
    </xf>
    <xf numFmtId="1" fontId="11" fillId="0" borderId="0" xfId="79" applyNumberFormat="1" applyFont="1" applyAlignment="1">
      <alignment horizontal="center" vertical="center"/>
    </xf>
    <xf numFmtId="1" fontId="11" fillId="0" borderId="38" xfId="79" applyNumberFormat="1" applyFont="1" applyBorder="1" applyAlignment="1">
      <alignment horizontal="center" vertical="center"/>
    </xf>
    <xf numFmtId="1" fontId="11" fillId="0" borderId="39" xfId="79" applyNumberFormat="1" applyFont="1" applyBorder="1" applyAlignment="1">
      <alignment horizontal="center" vertical="center"/>
    </xf>
    <xf numFmtId="1" fontId="11" fillId="0" borderId="40" xfId="79" applyNumberFormat="1" applyFont="1" applyBorder="1" applyAlignment="1">
      <alignment horizontal="center" vertical="center"/>
    </xf>
    <xf numFmtId="1" fontId="11" fillId="0" borderId="41" xfId="79" applyNumberFormat="1" applyFont="1" applyBorder="1" applyAlignment="1">
      <alignment horizontal="center" vertical="center"/>
    </xf>
    <xf numFmtId="0" fontId="9" fillId="0" borderId="55" xfId="79" applyFont="1" applyBorder="1" applyAlignment="1">
      <alignment horizontal="center" vertical="center"/>
    </xf>
    <xf numFmtId="0" fontId="9" fillId="0" borderId="56" xfId="79" applyFont="1" applyBorder="1" applyAlignment="1">
      <alignment horizontal="center" vertical="center"/>
    </xf>
    <xf numFmtId="0" fontId="9" fillId="0" borderId="59" xfId="79" applyFont="1" applyBorder="1" applyAlignment="1">
      <alignment horizontal="center" vertical="center"/>
    </xf>
    <xf numFmtId="1" fontId="9" fillId="0" borderId="56" xfId="79" applyNumberFormat="1" applyFont="1" applyBorder="1" applyAlignment="1">
      <alignment horizontal="center" vertical="center"/>
    </xf>
    <xf numFmtId="1" fontId="9" fillId="0" borderId="59" xfId="79" applyNumberFormat="1" applyFont="1" applyBorder="1" applyAlignment="1">
      <alignment horizontal="center" vertical="center"/>
    </xf>
    <xf numFmtId="0" fontId="12" fillId="0" borderId="55" xfId="79" applyFont="1" applyBorder="1" applyAlignment="1">
      <alignment horizontal="center" vertical="center"/>
    </xf>
    <xf numFmtId="0" fontId="3" fillId="0" borderId="56" xfId="79" applyBorder="1"/>
    <xf numFmtId="0" fontId="3" fillId="0" borderId="59" xfId="79" applyBorder="1"/>
    <xf numFmtId="0" fontId="3" fillId="0" borderId="55" xfId="79" applyBorder="1" applyAlignment="1">
      <alignment horizontal="center" vertical="center"/>
    </xf>
    <xf numFmtId="0" fontId="3" fillId="0" borderId="56" xfId="79" applyBorder="1" applyAlignment="1">
      <alignment horizontal="center" vertical="center"/>
    </xf>
    <xf numFmtId="0" fontId="5" fillId="0" borderId="39" xfId="79" applyFont="1" applyBorder="1" applyAlignment="1">
      <alignment horizontal="center" vertical="center"/>
    </xf>
    <xf numFmtId="0" fontId="5" fillId="0" borderId="40" xfId="79" applyFont="1" applyBorder="1" applyAlignment="1">
      <alignment horizontal="center" vertical="center"/>
    </xf>
    <xf numFmtId="0" fontId="5" fillId="0" borderId="41" xfId="79" applyFont="1" applyBorder="1" applyAlignment="1">
      <alignment horizontal="center" vertical="center"/>
    </xf>
    <xf numFmtId="0" fontId="4" fillId="0" borderId="3" xfId="79" applyFont="1" applyBorder="1" applyAlignment="1">
      <alignment horizontal="center" vertical="center"/>
    </xf>
    <xf numFmtId="0" fontId="3" fillId="0" borderId="3" xfId="79" applyBorder="1" applyAlignment="1">
      <alignment horizontal="center" vertical="center"/>
    </xf>
    <xf numFmtId="0" fontId="3" fillId="0" borderId="46" xfId="79" applyBorder="1" applyAlignment="1">
      <alignment horizontal="center" shrinkToFit="1"/>
    </xf>
    <xf numFmtId="165" fontId="3" fillId="0" borderId="46" xfId="79" applyNumberFormat="1" applyBorder="1" applyAlignment="1">
      <alignment horizontal="center" shrinkToFit="1"/>
    </xf>
  </cellXfs>
  <cellStyles count="80">
    <cellStyle name="20% - Ênfase1" xfId="51" builtinId="30" customBuiltin="1"/>
    <cellStyle name="20% - Ênfase1 2" xfId="1" xr:uid="{00000000-0005-0000-0000-000000000000}"/>
    <cellStyle name="20% - Ênfase1 3" xfId="2" xr:uid="{00000000-0005-0000-0000-000001000000}"/>
    <cellStyle name="20% - Ênfase2" xfId="54" builtinId="34" customBuiltin="1"/>
    <cellStyle name="20% - Ênfase2 2" xfId="3" xr:uid="{00000000-0005-0000-0000-000002000000}"/>
    <cellStyle name="20% - Ênfase2 3" xfId="4" xr:uid="{00000000-0005-0000-0000-000003000000}"/>
    <cellStyle name="20% - Ênfase3" xfId="57" builtinId="38" customBuiltin="1"/>
    <cellStyle name="20% - Ênfase3 2" xfId="5" xr:uid="{00000000-0005-0000-0000-000004000000}"/>
    <cellStyle name="20% - Ênfase3 3" xfId="6" xr:uid="{00000000-0005-0000-0000-000005000000}"/>
    <cellStyle name="20% - Ênfase4" xfId="60" builtinId="42" customBuiltin="1"/>
    <cellStyle name="20% - Ênfase4 2" xfId="7" xr:uid="{00000000-0005-0000-0000-000006000000}"/>
    <cellStyle name="20% - Ênfase4 3" xfId="8" xr:uid="{00000000-0005-0000-0000-000007000000}"/>
    <cellStyle name="20% - Ênfase5" xfId="63" builtinId="46" customBuiltin="1"/>
    <cellStyle name="20% - Ênfase5 2" xfId="9" xr:uid="{00000000-0005-0000-0000-000008000000}"/>
    <cellStyle name="20% - Ênfase5 3" xfId="10" xr:uid="{00000000-0005-0000-0000-000009000000}"/>
    <cellStyle name="20% - Ênfase6" xfId="66" builtinId="50" customBuiltin="1"/>
    <cellStyle name="20% - Ênfase6 2" xfId="11" xr:uid="{00000000-0005-0000-0000-00000A000000}"/>
    <cellStyle name="20% - Ênfase6 3" xfId="12" xr:uid="{00000000-0005-0000-0000-00000B000000}"/>
    <cellStyle name="40% - Ênfase1" xfId="52" builtinId="31" customBuiltin="1"/>
    <cellStyle name="40% - Ênfase1 2" xfId="13" xr:uid="{00000000-0005-0000-0000-00000C000000}"/>
    <cellStyle name="40% - Ênfase1 3" xfId="14" xr:uid="{00000000-0005-0000-0000-00000D000000}"/>
    <cellStyle name="40% - Ênfase2" xfId="55" builtinId="35" customBuiltin="1"/>
    <cellStyle name="40% - Ênfase2 2" xfId="15" xr:uid="{00000000-0005-0000-0000-00000E000000}"/>
    <cellStyle name="40% - Ênfase2 3" xfId="16" xr:uid="{00000000-0005-0000-0000-00000F000000}"/>
    <cellStyle name="40% - Ênfase3" xfId="58" builtinId="39" customBuiltin="1"/>
    <cellStyle name="40% - Ênfase3 2" xfId="17" xr:uid="{00000000-0005-0000-0000-000010000000}"/>
    <cellStyle name="40% - Ênfase3 3" xfId="18" xr:uid="{00000000-0005-0000-0000-000011000000}"/>
    <cellStyle name="40% - Ênfase4" xfId="61" builtinId="43" customBuiltin="1"/>
    <cellStyle name="40% - Ênfase4 2" xfId="19" xr:uid="{00000000-0005-0000-0000-000012000000}"/>
    <cellStyle name="40% - Ênfase4 3" xfId="20" xr:uid="{00000000-0005-0000-0000-000013000000}"/>
    <cellStyle name="40% - Ênfase5" xfId="64" builtinId="47" customBuiltin="1"/>
    <cellStyle name="40% - Ênfase5 2" xfId="21" xr:uid="{00000000-0005-0000-0000-000014000000}"/>
    <cellStyle name="40% - Ênfase5 3" xfId="22" xr:uid="{00000000-0005-0000-0000-000015000000}"/>
    <cellStyle name="40% - Ênfase6" xfId="67" builtinId="51" customBuiltin="1"/>
    <cellStyle name="40% - Ênfase6 2" xfId="23" xr:uid="{00000000-0005-0000-0000-000016000000}"/>
    <cellStyle name="40% - Ênfase6 3" xfId="24" xr:uid="{00000000-0005-0000-0000-000017000000}"/>
    <cellStyle name="60% - Ênfase1 2" xfId="72" xr:uid="{96BFF5DC-3B4F-4F41-999A-6E3EB70C4902}"/>
    <cellStyle name="60% - Ênfase2 2" xfId="73" xr:uid="{2C9671E8-0496-498C-9945-E057DFFCC07B}"/>
    <cellStyle name="60% - Ênfase3 2" xfId="74" xr:uid="{56976BF7-88C4-4323-8FF4-7BB7718B07AE}"/>
    <cellStyle name="60% - Ênfase4 2" xfId="75" xr:uid="{4C085EC7-EDF6-4FCB-95A4-FDF8D93E191A}"/>
    <cellStyle name="60% - Ênfase5 2" xfId="76" xr:uid="{4727D59E-E188-4F94-9686-9DC093640EB0}"/>
    <cellStyle name="60% - Ênfase6 2" xfId="77" xr:uid="{BEBBD97C-AAAB-4897-A571-146EE86FA761}"/>
    <cellStyle name="Bom" xfId="40" builtinId="26" customBuiltin="1"/>
    <cellStyle name="Cálculo" xfId="44" builtinId="22" customBuiltin="1"/>
    <cellStyle name="Célula de Verificação" xfId="46" builtinId="23" customBuiltin="1"/>
    <cellStyle name="Célula Vinculada" xfId="45" builtinId="24" customBuiltin="1"/>
    <cellStyle name="Ênfase1" xfId="50" builtinId="29" customBuiltin="1"/>
    <cellStyle name="Ênfase2" xfId="53" builtinId="33" customBuiltin="1"/>
    <cellStyle name="Ênfase3" xfId="56" builtinId="37" customBuiltin="1"/>
    <cellStyle name="Ênfase4" xfId="59" builtinId="41" customBuiltin="1"/>
    <cellStyle name="Ênfase5" xfId="62" builtinId="45" customBuiltin="1"/>
    <cellStyle name="Ênfase6" xfId="65" builtinId="49" customBuiltin="1"/>
    <cellStyle name="Entrada" xfId="42" builtinId="20" customBuiltin="1"/>
    <cellStyle name="Neutro 2" xfId="70" xr:uid="{B98B686D-033F-4019-93F1-4509F6B00957}"/>
    <cellStyle name="Normal" xfId="0" builtinId="0"/>
    <cellStyle name="Normal 2" xfId="25" xr:uid="{00000000-0005-0000-0000-000019000000}"/>
    <cellStyle name="Normal 2 2" xfId="26" xr:uid="{00000000-0005-0000-0000-00001A000000}"/>
    <cellStyle name="Normal 3" xfId="27" xr:uid="{00000000-0005-0000-0000-00001B000000}"/>
    <cellStyle name="Normal 4" xfId="68" xr:uid="{46175B81-9E91-436A-A035-67BA0162822A}"/>
    <cellStyle name="Normal 4 2" xfId="28" xr:uid="{00000000-0005-0000-0000-00001C000000}"/>
    <cellStyle name="Normal 5" xfId="29" xr:uid="{00000000-0005-0000-0000-00001D000000}"/>
    <cellStyle name="Normal 5 2" xfId="30" xr:uid="{00000000-0005-0000-0000-00001E000000}"/>
    <cellStyle name="Normal 6" xfId="79" xr:uid="{8FE89A7D-EB5E-491A-852D-83A4B57DE31D}"/>
    <cellStyle name="Normal_Lista de Recomendadas - 2007" xfId="31" xr:uid="{00000000-0005-0000-0000-00001F000000}"/>
    <cellStyle name="Nota 2" xfId="32" xr:uid="{00000000-0005-0000-0000-000020000000}"/>
    <cellStyle name="Nota 3" xfId="33" xr:uid="{00000000-0005-0000-0000-000021000000}"/>
    <cellStyle name="Nota 4" xfId="71" xr:uid="{893A6308-BF55-45B5-A6B2-505E4A19F93C}"/>
    <cellStyle name="Porcentagem" xfId="34" builtinId="5"/>
    <cellStyle name="Porcentagem 2 2" xfId="35" xr:uid="{00000000-0005-0000-0000-000023000000}"/>
    <cellStyle name="Ruim" xfId="41" builtinId="27" customBuiltin="1"/>
    <cellStyle name="Saída" xfId="43" builtinId="21" customBuiltin="1"/>
    <cellStyle name="Standard 2" xfId="78" xr:uid="{43F12B08-864D-4552-8A9F-7B874576D16E}"/>
    <cellStyle name="Texto de Aviso" xfId="47" builtinId="11" customBuiltin="1"/>
    <cellStyle name="Texto Explicativo" xfId="48" builtinId="53" customBuiltin="1"/>
    <cellStyle name="Título 1" xfId="36" builtinId="16" customBuiltin="1"/>
    <cellStyle name="Título 2" xfId="37" builtinId="17" customBuiltin="1"/>
    <cellStyle name="Título 3" xfId="38" builtinId="18" customBuiltin="1"/>
    <cellStyle name="Título 4" xfId="39" builtinId="19" customBuiltin="1"/>
    <cellStyle name="Título 5" xfId="69" xr:uid="{71B21050-9695-4E0C-BF79-735403FDB95A}"/>
    <cellStyle name="Total" xfId="49" builtinId="25" customBuiltin="1"/>
  </cellStyles>
  <dxfs count="126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font>
        <b/>
        <i val="0"/>
      </font>
      <fill>
        <patternFill>
          <bgColor theme="9" tint="0.59996337778862885"/>
        </patternFill>
      </fill>
    </dxf>
    <dxf>
      <font>
        <b/>
        <i val="0"/>
      </font>
      <fill>
        <patternFill>
          <bgColor rgb="FFFFFF99"/>
        </patternFill>
      </fill>
    </dxf>
    <dxf>
      <font>
        <b/>
        <i val="0"/>
        <color theme="0"/>
      </font>
      <fill>
        <patternFill>
          <bgColor theme="3" tint="-0.24994659260841701"/>
        </patternFill>
      </fill>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171" formatCode="&quot;Automatico&quot;"/>
    </dxf>
    <dxf>
      <font>
        <b/>
        <i val="0"/>
      </font>
      <fill>
        <patternFill>
          <bgColor rgb="FFFFFF99"/>
        </patternFill>
      </fill>
    </dxf>
    <dxf>
      <font>
        <b/>
        <i val="0"/>
      </font>
      <fill>
        <patternFill>
          <bgColor theme="9" tint="0.59996337778862885"/>
        </patternFill>
      </fill>
    </dxf>
    <dxf>
      <font>
        <b/>
        <i val="0"/>
      </font>
      <fill>
        <patternFill>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dxf>
    <dxf>
      <font>
        <b/>
        <color theme="1"/>
      </font>
      <border>
        <top style="double">
          <color theme="1"/>
        </top>
      </border>
    </dxf>
    <dxf>
      <font>
        <b/>
        <color theme="0"/>
      </font>
      <fill>
        <patternFill patternType="solid">
          <fgColor theme="1"/>
          <bgColor theme="3" tint="-0.24994659260841701"/>
        </patternFill>
      </fill>
    </dxf>
    <dxf>
      <font>
        <color theme="3" tint="-0.24994659260841701"/>
      </font>
      <border>
        <left style="thin">
          <color theme="3" tint="-0.24994659260841701"/>
        </left>
        <right style="thin">
          <color theme="3" tint="-0.24994659260841701"/>
        </right>
        <top style="thin">
          <color theme="3" tint="-0.24994659260841701"/>
        </top>
        <bottom style="thin">
          <color theme="3" tint="-0.24994659260841701"/>
        </bottom>
      </border>
    </dxf>
    <dxf>
      <fill>
        <patternFill patternType="solid">
          <fgColor theme="3" tint="0.79998168889431442"/>
          <bgColor theme="0" tint="-0.14996795556505021"/>
        </patternFill>
      </fill>
    </dxf>
    <dxf>
      <fill>
        <patternFill patternType="solid">
          <fgColor theme="3" tint="0.79998168889431442"/>
          <bgColor theme="0" tint="-0.14996795556505021"/>
        </patternFill>
      </fill>
    </dxf>
    <dxf>
      <font>
        <b/>
        <color theme="1"/>
      </font>
    </dxf>
    <dxf>
      <font>
        <b/>
        <color theme="1"/>
      </font>
    </dxf>
    <dxf>
      <font>
        <b/>
        <color theme="1"/>
      </font>
      <border>
        <top style="thin">
          <color theme="1"/>
        </top>
      </border>
    </dxf>
    <dxf>
      <font>
        <b/>
        <i val="0"/>
        <color theme="3" tint="-0.24994659260841701"/>
      </font>
      <border>
        <bottom style="thin">
          <color theme="1"/>
        </bottom>
      </border>
    </dxf>
    <dxf>
      <font>
        <color theme="3" tint="-0.24994659260841701"/>
      </font>
      <border>
        <top style="thin">
          <color theme="3" tint="-0.24994659260841701"/>
        </top>
        <bottom style="thin">
          <color theme="3" tint="-0.2499465926084170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thin">
          <color theme="1"/>
        </top>
      </border>
    </dxf>
    <dxf>
      <font>
        <b/>
        <i val="0"/>
        <color theme="3" tint="-0.24994659260841701"/>
      </font>
      <border>
        <bottom style="thin">
          <color theme="3" tint="-0.24994659260841701"/>
        </bottom>
      </border>
    </dxf>
    <dxf>
      <font>
        <color theme="3" tint="-0.24994659260841701"/>
      </font>
      <border>
        <top style="thin">
          <color theme="3" tint="-0.24994659260841701"/>
        </top>
        <bottom style="thin">
          <color theme="3" tint="-0.24994659260841701"/>
        </bottom>
        <vertical style="thin">
          <color theme="3" tint="-0.24994659260841701"/>
        </vertical>
      </border>
    </dxf>
  </dxfs>
  <tableStyles count="3" defaultTableStyle="TableStyleMedium9" defaultPivotStyle="PivotStyleLight16">
    <tableStyle name="TableStyleLight1 2" pivot="0" count="7" xr9:uid="{543BB556-A30E-4391-BFB4-6DDBC0654A67}">
      <tableStyleElement type="wholeTable" dxfId="1263"/>
      <tableStyleElement type="headerRow" dxfId="1262"/>
      <tableStyleElement type="totalRow" dxfId="1261"/>
      <tableStyleElement type="firstColumn" dxfId="1260"/>
      <tableStyleElement type="lastColumn" dxfId="1259"/>
      <tableStyleElement type="firstRowStripe" dxfId="1258"/>
      <tableStyleElement type="firstColumnStripe" dxfId="1257"/>
    </tableStyle>
    <tableStyle name="TableStyleLight1 3" pivot="0" count="7" xr9:uid="{46910C32-2D29-4EDA-9822-BFD4503B9799}">
      <tableStyleElement type="wholeTable" dxfId="1256"/>
      <tableStyleElement type="headerRow" dxfId="1255"/>
      <tableStyleElement type="totalRow" dxfId="1254"/>
      <tableStyleElement type="firstColumn" dxfId="1253"/>
      <tableStyleElement type="lastColumn" dxfId="1252"/>
      <tableStyleElement type="firstRowStripe" dxfId="1251"/>
      <tableStyleElement type="firstColumnStripe" dxfId="1250"/>
    </tableStyle>
    <tableStyle name="TableStyleLight8 2" pivot="0" count="9" xr9:uid="{39BA5085-BC09-44BF-9FD8-824131C290D1}">
      <tableStyleElement type="wholeTable" dxfId="1249"/>
      <tableStyleElement type="headerRow" dxfId="1248"/>
      <tableStyleElement type="totalRow" dxfId="1247"/>
      <tableStyleElement type="firstColumn" dxfId="1246"/>
      <tableStyleElement type="lastColumn" dxfId="1245"/>
      <tableStyleElement type="firstRowStripe" dxfId="1244"/>
      <tableStyleElement type="secondRowStripe" dxfId="1243"/>
      <tableStyleElement type="firstColumnStripe" dxfId="1242"/>
      <tableStyleElement type="secondColumnStripe" dxfId="1241"/>
    </tableStyle>
  </tableStyles>
  <colors>
    <mruColors>
      <color rgb="FFB8CCE4"/>
      <color rgb="FFC5D9F1"/>
      <color rgb="FFFFFFCC"/>
      <color rgb="FF538DD5"/>
      <color rgb="FF92CDDC"/>
      <color rgb="FF8DB4E2"/>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6.png"/><Relationship Id="rId5" Type="http://schemas.openxmlformats.org/officeDocument/2006/relationships/image" Target="../media/image11.sv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4" Type="http://schemas.openxmlformats.org/officeDocument/2006/relationships/image" Target="../media/image13.sv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5.svg"/><Relationship Id="rId5" Type="http://schemas.openxmlformats.org/officeDocument/2006/relationships/image" Target="../media/image14.png"/><Relationship Id="rId4" Type="http://schemas.openxmlformats.org/officeDocument/2006/relationships/image" Target="../media/image13.sv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5</xdr:col>
      <xdr:colOff>123265</xdr:colOff>
      <xdr:row>112</xdr:row>
      <xdr:rowOff>123265</xdr:rowOff>
    </xdr:from>
    <xdr:to>
      <xdr:col>10</xdr:col>
      <xdr:colOff>400338</xdr:colOff>
      <xdr:row>119</xdr:row>
      <xdr:rowOff>132048</xdr:rowOff>
    </xdr:to>
    <xdr:pic>
      <xdr:nvPicPr>
        <xdr:cNvPr id="2" name="Imagem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6314515" y="18639865"/>
          <a:ext cx="4466168" cy="11498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0</xdr:row>
          <xdr:rowOff>38100</xdr:rowOff>
        </xdr:from>
        <xdr:to>
          <xdr:col>24</xdr:col>
          <xdr:colOff>1623060</xdr:colOff>
          <xdr:row>0</xdr:row>
          <xdr:rowOff>373380</xdr:rowOff>
        </xdr:to>
        <xdr:sp macro="" textlink="">
          <xdr:nvSpPr>
            <xdr:cNvPr id="88216" name="Button 152" hidden="1">
              <a:extLst>
                <a:ext uri="{63B3BB69-23CF-44E3-9099-C40C66FF867C}">
                  <a14:compatExt spid="_x0000_s88216"/>
                </a:ext>
                <a:ext uri="{FF2B5EF4-FFF2-40B4-BE49-F238E27FC236}">
                  <a16:creationId xmlns:a16="http://schemas.microsoft.com/office/drawing/2014/main" id="{00000000-0008-0000-0400-0000985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CALCULAR</a:t>
              </a:r>
            </a:p>
          </xdr:txBody>
        </xdr:sp>
        <xdr:clientData fPrintsWithSheet="0"/>
      </xdr:twoCellAnchor>
    </mc:Choice>
    <mc:Fallback/>
  </mc:AlternateContent>
  <xdr:twoCellAnchor editAs="oneCell">
    <xdr:from>
      <xdr:col>1</xdr:col>
      <xdr:colOff>107256</xdr:colOff>
      <xdr:row>334</xdr:row>
      <xdr:rowOff>128068</xdr:rowOff>
    </xdr:from>
    <xdr:to>
      <xdr:col>1</xdr:col>
      <xdr:colOff>1846142</xdr:colOff>
      <xdr:row>348</xdr:row>
      <xdr:rowOff>97950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387403" y="64898068"/>
          <a:ext cx="1745871" cy="264704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0</xdr:colOff>
          <xdr:row>591</xdr:row>
          <xdr:rowOff>0</xdr:rowOff>
        </xdr:from>
        <xdr:to>
          <xdr:col>13</xdr:col>
          <xdr:colOff>38100</xdr:colOff>
          <xdr:row>592</xdr:row>
          <xdr:rowOff>68580</xdr:rowOff>
        </xdr:to>
        <xdr:sp macro="" textlink="">
          <xdr:nvSpPr>
            <xdr:cNvPr id="97537" name="TempCombo" hidden="1">
              <a:extLst>
                <a:ext uri="{63B3BB69-23CF-44E3-9099-C40C66FF867C}">
                  <a14:compatExt spid="_x0000_s97537"/>
                </a:ext>
                <a:ext uri="{FF2B5EF4-FFF2-40B4-BE49-F238E27FC236}">
                  <a16:creationId xmlns:a16="http://schemas.microsoft.com/office/drawing/2014/main" id="{00000000-0008-0000-0400-0000017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22525</xdr:colOff>
      <xdr:row>531</xdr:row>
      <xdr:rowOff>133204</xdr:rowOff>
    </xdr:from>
    <xdr:to>
      <xdr:col>16</xdr:col>
      <xdr:colOff>516985</xdr:colOff>
      <xdr:row>538</xdr:row>
      <xdr:rowOff>59050</xdr:rowOff>
    </xdr:to>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alphaModFix amt="92000"/>
        </a:blip>
        <a:stretch>
          <a:fillRect/>
        </a:stretch>
      </xdr:blipFill>
      <xdr:spPr>
        <a:xfrm>
          <a:off x="3686736" y="101768652"/>
          <a:ext cx="3437030" cy="1278396"/>
        </a:xfrm>
        <a:prstGeom prst="rect">
          <a:avLst/>
        </a:prstGeom>
      </xdr:spPr>
    </xdr:pic>
    <xdr:clientData/>
  </xdr:twoCellAnchor>
  <xdr:twoCellAnchor editAs="absolute">
    <xdr:from>
      <xdr:col>2</xdr:col>
      <xdr:colOff>20731</xdr:colOff>
      <xdr:row>1128</xdr:row>
      <xdr:rowOff>97043</xdr:rowOff>
    </xdr:from>
    <xdr:to>
      <xdr:col>14</xdr:col>
      <xdr:colOff>745361</xdr:colOff>
      <xdr:row>1135</xdr:row>
      <xdr:rowOff>18444</xdr:rowOff>
    </xdr:to>
    <xdr:pic>
      <xdr:nvPicPr>
        <xdr:cNvPr id="13" name="Imagem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2">
          <a:alphaModFix amt="92000"/>
        </a:blip>
        <a:stretch>
          <a:fillRect/>
        </a:stretch>
      </xdr:blipFill>
      <xdr:spPr>
        <a:xfrm>
          <a:off x="2308412" y="215466706"/>
          <a:ext cx="3305735" cy="1272046"/>
        </a:xfrm>
        <a:prstGeom prst="rect">
          <a:avLst/>
        </a:prstGeom>
      </xdr:spPr>
    </xdr:pic>
    <xdr:clientData/>
  </xdr:twoCellAnchor>
  <xdr:twoCellAnchor editAs="oneCell">
    <xdr:from>
      <xdr:col>1</xdr:col>
      <xdr:colOff>113967</xdr:colOff>
      <xdr:row>431</xdr:row>
      <xdr:rowOff>145098</xdr:rowOff>
    </xdr:from>
    <xdr:to>
      <xdr:col>1</xdr:col>
      <xdr:colOff>2022777</xdr:colOff>
      <xdr:row>441</xdr:row>
      <xdr:rowOff>134023</xdr:rowOff>
    </xdr:to>
    <xdr:pic>
      <xdr:nvPicPr>
        <xdr:cNvPr id="6" name="Picture 4" descr="3stein">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05320" y="79964598"/>
          <a:ext cx="1908810" cy="1880590"/>
        </a:xfrm>
        <a:prstGeom prst="rect">
          <a:avLst/>
        </a:prstGeom>
        <a:noFill/>
      </xdr:spPr>
    </xdr:pic>
    <xdr:clientData/>
  </xdr:twoCellAnchor>
  <xdr:oneCellAnchor>
    <xdr:from>
      <xdr:col>1</xdr:col>
      <xdr:colOff>107256</xdr:colOff>
      <xdr:row>969</xdr:row>
      <xdr:rowOff>128068</xdr:rowOff>
    </xdr:from>
    <xdr:ext cx="1740791" cy="2633072"/>
    <xdr:pic>
      <xdr:nvPicPr>
        <xdr:cNvPr id="7" name="Imagem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396704" y="61472878"/>
          <a:ext cx="1740791" cy="2633072"/>
        </a:xfrm>
        <a:prstGeom prst="rect">
          <a:avLst/>
        </a:prstGeom>
      </xdr:spPr>
    </xdr:pic>
    <xdr:clientData/>
  </xdr:oneCellAnchor>
  <xdr:oneCellAnchor>
    <xdr:from>
      <xdr:col>1</xdr:col>
      <xdr:colOff>113967</xdr:colOff>
      <xdr:row>1066</xdr:row>
      <xdr:rowOff>145098</xdr:rowOff>
    </xdr:from>
    <xdr:ext cx="1908810" cy="1895830"/>
    <xdr:pic>
      <xdr:nvPicPr>
        <xdr:cNvPr id="8" name="Picture 4" descr="3stein">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05320" y="79962693"/>
          <a:ext cx="1908810" cy="1895830"/>
        </a:xfrm>
        <a:prstGeom prst="rect">
          <a:avLst/>
        </a:prstGeom>
        <a:noFill/>
      </xdr:spPr>
    </xdr:pic>
    <xdr:clientData/>
  </xdr:oneCellAnchor>
  <xdr:twoCellAnchor>
    <xdr:from>
      <xdr:col>28</xdr:col>
      <xdr:colOff>78441</xdr:colOff>
      <xdr:row>1</xdr:row>
      <xdr:rowOff>93457</xdr:rowOff>
    </xdr:from>
    <xdr:to>
      <xdr:col>29</xdr:col>
      <xdr:colOff>67235</xdr:colOff>
      <xdr:row>1</xdr:row>
      <xdr:rowOff>399602</xdr:rowOff>
    </xdr:to>
    <xdr:sp macro="[0]!LADLE_TEMPLATE" textlink="">
      <xdr:nvSpPr>
        <xdr:cNvPr id="5" name="Retângulo: Cantos Arredondados 4">
          <a:extLst>
            <a:ext uri="{FF2B5EF4-FFF2-40B4-BE49-F238E27FC236}">
              <a16:creationId xmlns:a16="http://schemas.microsoft.com/office/drawing/2014/main" id="{00000000-0008-0000-0400-000005000000}"/>
            </a:ext>
          </a:extLst>
        </xdr:cNvPr>
        <xdr:cNvSpPr/>
      </xdr:nvSpPr>
      <xdr:spPr>
        <a:xfrm>
          <a:off x="18187147" y="474457"/>
          <a:ext cx="1299882" cy="3061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t>GERAR TEMPLATE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80010</xdr:colOff>
      <xdr:row>1</xdr:row>
      <xdr:rowOff>11430</xdr:rowOff>
    </xdr:from>
    <xdr:to>
      <xdr:col>14</xdr:col>
      <xdr:colOff>750503</xdr:colOff>
      <xdr:row>1</xdr:row>
      <xdr:rowOff>133350</xdr:rowOff>
    </xdr:to>
    <xdr:sp macro="" textlink="">
      <xdr:nvSpPr>
        <xdr:cNvPr id="2" name="Texto 3">
          <a:extLst>
            <a:ext uri="{FF2B5EF4-FFF2-40B4-BE49-F238E27FC236}">
              <a16:creationId xmlns:a16="http://schemas.microsoft.com/office/drawing/2014/main" id="{00000000-0008-0000-0500-000002000000}"/>
            </a:ext>
          </a:extLst>
        </xdr:cNvPr>
        <xdr:cNvSpPr txBox="1">
          <a:spLocks noChangeArrowheads="1"/>
        </xdr:cNvSpPr>
      </xdr:nvSpPr>
      <xdr:spPr bwMode="auto">
        <a:xfrm>
          <a:off x="5695950" y="257175"/>
          <a:ext cx="1524000" cy="11430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Quantidade</a:t>
          </a:r>
        </a:p>
      </xdr:txBody>
    </xdr:sp>
    <xdr:clientData/>
  </xdr:twoCellAnchor>
  <xdr:twoCellAnchor>
    <xdr:from>
      <xdr:col>13</xdr:col>
      <xdr:colOff>66675</xdr:colOff>
      <xdr:row>1</xdr:row>
      <xdr:rowOff>171450</xdr:rowOff>
    </xdr:from>
    <xdr:to>
      <xdr:col>13</xdr:col>
      <xdr:colOff>775466</xdr:colOff>
      <xdr:row>1</xdr:row>
      <xdr:rowOff>300149</xdr:rowOff>
    </xdr:to>
    <xdr:sp macro="" textlink="">
      <xdr:nvSpPr>
        <xdr:cNvPr id="3" name="Texto 4">
          <a:extLst>
            <a:ext uri="{FF2B5EF4-FFF2-40B4-BE49-F238E27FC236}">
              <a16:creationId xmlns:a16="http://schemas.microsoft.com/office/drawing/2014/main" id="{00000000-0008-0000-0500-000003000000}"/>
            </a:ext>
          </a:extLst>
        </xdr:cNvPr>
        <xdr:cNvSpPr txBox="1">
          <a:spLocks noChangeArrowheads="1"/>
        </xdr:cNvSpPr>
      </xdr:nvSpPr>
      <xdr:spPr bwMode="auto">
        <a:xfrm>
          <a:off x="5676900" y="409575"/>
          <a:ext cx="70485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Calculada</a:t>
          </a:r>
        </a:p>
      </xdr:txBody>
    </xdr:sp>
    <xdr:clientData/>
  </xdr:twoCellAnchor>
  <xdr:twoCellAnchor>
    <xdr:from>
      <xdr:col>14</xdr:col>
      <xdr:colOff>66675</xdr:colOff>
      <xdr:row>1</xdr:row>
      <xdr:rowOff>171450</xdr:rowOff>
    </xdr:from>
    <xdr:to>
      <xdr:col>14</xdr:col>
      <xdr:colOff>779164</xdr:colOff>
      <xdr:row>1</xdr:row>
      <xdr:rowOff>300149</xdr:rowOff>
    </xdr:to>
    <xdr:sp macro="" textlink="">
      <xdr:nvSpPr>
        <xdr:cNvPr id="4" name="Texto 5">
          <a:extLst>
            <a:ext uri="{FF2B5EF4-FFF2-40B4-BE49-F238E27FC236}">
              <a16:creationId xmlns:a16="http://schemas.microsoft.com/office/drawing/2014/main" id="{00000000-0008-0000-0500-000004000000}"/>
            </a:ext>
          </a:extLst>
        </xdr:cNvPr>
        <xdr:cNvSpPr txBox="1">
          <a:spLocks noChangeArrowheads="1"/>
        </xdr:cNvSpPr>
      </xdr:nvSpPr>
      <xdr:spPr bwMode="auto">
        <a:xfrm>
          <a:off x="6524625" y="409575"/>
          <a:ext cx="72390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Recomendada</a:t>
          </a:r>
        </a:p>
      </xdr:txBody>
    </xdr:sp>
    <xdr:clientData/>
  </xdr:twoCellAnchor>
  <xdr:twoCellAnchor>
    <xdr:from>
      <xdr:col>13</xdr:col>
      <xdr:colOff>0</xdr:colOff>
      <xdr:row>1</xdr:row>
      <xdr:rowOff>152400</xdr:rowOff>
    </xdr:from>
    <xdr:to>
      <xdr:col>15</xdr:col>
      <xdr:colOff>0</xdr:colOff>
      <xdr:row>1</xdr:row>
      <xdr:rowOff>152400</xdr:rowOff>
    </xdr:to>
    <xdr:sp macro="" textlink="">
      <xdr:nvSpPr>
        <xdr:cNvPr id="93181" name="Line 4">
          <a:extLst>
            <a:ext uri="{FF2B5EF4-FFF2-40B4-BE49-F238E27FC236}">
              <a16:creationId xmlns:a16="http://schemas.microsoft.com/office/drawing/2014/main" id="{00000000-0008-0000-0500-0000FD6B0100}"/>
            </a:ext>
          </a:extLst>
        </xdr:cNvPr>
        <xdr:cNvSpPr>
          <a:spLocks noChangeShapeType="1"/>
        </xdr:cNvSpPr>
      </xdr:nvSpPr>
      <xdr:spPr bwMode="auto">
        <a:xfrm flipH="1" flipV="1">
          <a:off x="5610225" y="390525"/>
          <a:ext cx="1695450" cy="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38</xdr:col>
          <xdr:colOff>30480</xdr:colOff>
          <xdr:row>0</xdr:row>
          <xdr:rowOff>213360</xdr:rowOff>
        </xdr:from>
        <xdr:to>
          <xdr:col>40</xdr:col>
          <xdr:colOff>441960</xdr:colOff>
          <xdr:row>2</xdr:row>
          <xdr:rowOff>137160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EDITAR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5279" name="Imagem 2" descr="Descrição: cid:image002.png@01D34F58.D11CAC70">
          <a:extLst>
            <a:ext uri="{FF2B5EF4-FFF2-40B4-BE49-F238E27FC236}">
              <a16:creationId xmlns:a16="http://schemas.microsoft.com/office/drawing/2014/main" id="{00000000-0008-0000-0600-00002F7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83930" name="Imagem 2" descr="Descrição: cid:image002.png@01D34F58.D11CAC70">
          <a:extLst>
            <a:ext uri="{FF2B5EF4-FFF2-40B4-BE49-F238E27FC236}">
              <a16:creationId xmlns:a16="http://schemas.microsoft.com/office/drawing/2014/main" id="{00000000-0008-0000-0700-0000DA47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0</xdr:colOff>
      <xdr:row>2</xdr:row>
      <xdr:rowOff>0</xdr:rowOff>
    </xdr:from>
    <xdr:to>
      <xdr:col>35</xdr:col>
      <xdr:colOff>224700</xdr:colOff>
      <xdr:row>6</xdr:row>
      <xdr:rowOff>133260</xdr:rowOff>
    </xdr:to>
    <xdr:grpSp>
      <xdr:nvGrpSpPr>
        <xdr:cNvPr id="2" name="Agrupar 1">
          <a:extLst>
            <a:ext uri="{FF2B5EF4-FFF2-40B4-BE49-F238E27FC236}">
              <a16:creationId xmlns:a16="http://schemas.microsoft.com/office/drawing/2014/main" id="{00000000-0008-0000-0700-000002000000}"/>
            </a:ext>
          </a:extLst>
        </xdr:cNvPr>
        <xdr:cNvGrpSpPr/>
      </xdr:nvGrpSpPr>
      <xdr:grpSpPr>
        <a:xfrm>
          <a:off x="8515350" y="323850"/>
          <a:ext cx="718095" cy="727620"/>
          <a:chOff x="3930015" y="194309"/>
          <a:chExt cx="762000" cy="674370"/>
        </a:xfrm>
        <a:effectLst>
          <a:outerShdw blurRad="50800" dist="38100" dir="2700000" algn="tl" rotWithShape="0">
            <a:prstClr val="black">
              <a:alpha val="40000"/>
            </a:prstClr>
          </a:outerShdw>
        </a:effectLst>
      </xdr:grpSpPr>
      <xdr:sp macro="[0]!createListSAP" textlink="">
        <xdr:nvSpPr>
          <xdr:cNvPr id="3" name="Retângulo: Cantos Arredondados 2" descr="Repetir com preenchimento sólido">
            <a:extLst>
              <a:ext uri="{FF2B5EF4-FFF2-40B4-BE49-F238E27FC236}">
                <a16:creationId xmlns:a16="http://schemas.microsoft.com/office/drawing/2014/main" id="{00000000-0008-0000-07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a:fillRect/>
                </a:stretch>
              </a:blipFill>
            </a:endParaRPr>
          </a:p>
        </xdr:txBody>
      </xdr:sp>
      <xdr:pic macro="[0]!createListSAP">
        <xdr:nvPicPr>
          <xdr:cNvPr id="4" name="Gráfico 3" descr="Transferência com preenchimento sólido">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4055426" y="301593"/>
            <a:ext cx="502277" cy="469117"/>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6269" name="Imagem 2" descr="Descrição: cid:image002.png@01D34F58.D11CAC70">
          <a:extLst>
            <a:ext uri="{FF2B5EF4-FFF2-40B4-BE49-F238E27FC236}">
              <a16:creationId xmlns:a16="http://schemas.microsoft.com/office/drawing/2014/main" id="{00000000-0008-0000-0800-00000D7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251460</xdr:colOff>
          <xdr:row>5</xdr:row>
          <xdr:rowOff>152400</xdr:rowOff>
        </xdr:from>
        <xdr:to>
          <xdr:col>48</xdr:col>
          <xdr:colOff>251460</xdr:colOff>
          <xdr:row>8</xdr:row>
          <xdr:rowOff>106680</xdr:rowOff>
        </xdr:to>
        <xdr:sp macro="" textlink="">
          <xdr:nvSpPr>
            <xdr:cNvPr id="58124" name="Button 780" hidden="1">
              <a:extLst>
                <a:ext uri="{63B3BB69-23CF-44E3-9099-C40C66FF867C}">
                  <a14:compatExt spid="_x0000_s58124"/>
                </a:ext>
                <a:ext uri="{FF2B5EF4-FFF2-40B4-BE49-F238E27FC236}">
                  <a16:creationId xmlns:a16="http://schemas.microsoft.com/office/drawing/2014/main" id="{00000000-0008-0000-0800-00000CE3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pt-BR" sz="1400" b="1" i="0" u="none" strike="noStrike" baseline="0">
                  <a:solidFill>
                    <a:srgbClr val="000000"/>
                  </a:solidFill>
                  <a:latin typeface="Arial"/>
                  <a:cs typeface="Arial"/>
                </a:rPr>
                <a:t>Converter Unidades - SI para INGLESAS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251460</xdr:colOff>
          <xdr:row>9</xdr:row>
          <xdr:rowOff>60960</xdr:rowOff>
        </xdr:from>
        <xdr:to>
          <xdr:col>48</xdr:col>
          <xdr:colOff>251460</xdr:colOff>
          <xdr:row>11</xdr:row>
          <xdr:rowOff>106680</xdr:rowOff>
        </xdr:to>
        <xdr:sp macro="" textlink="">
          <xdr:nvSpPr>
            <xdr:cNvPr id="58125" name="Button 781" hidden="1">
              <a:extLst>
                <a:ext uri="{63B3BB69-23CF-44E3-9099-C40C66FF867C}">
                  <a14:compatExt spid="_x0000_s58125"/>
                </a:ext>
                <a:ext uri="{FF2B5EF4-FFF2-40B4-BE49-F238E27FC236}">
                  <a16:creationId xmlns:a16="http://schemas.microsoft.com/office/drawing/2014/main" id="{00000000-0008-0000-0800-00000DE3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pt-BR" sz="1400" b="1" i="0" u="none" strike="noStrike" baseline="0">
                  <a:solidFill>
                    <a:srgbClr val="000000"/>
                  </a:solidFill>
                  <a:latin typeface="Arial"/>
                  <a:cs typeface="Arial"/>
                </a:rPr>
                <a:t>Converter Unidades - INGLESAS para 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13</xdr:row>
          <xdr:rowOff>30480</xdr:rowOff>
        </xdr:from>
        <xdr:to>
          <xdr:col>42</xdr:col>
          <xdr:colOff>137160</xdr:colOff>
          <xdr:row>16</xdr:row>
          <xdr:rowOff>99060</xdr:rowOff>
        </xdr:to>
        <xdr:sp macro="" textlink="">
          <xdr:nvSpPr>
            <xdr:cNvPr id="80537" name="Button 1689" hidden="1">
              <a:extLst>
                <a:ext uri="{63B3BB69-23CF-44E3-9099-C40C66FF867C}">
                  <a14:compatExt spid="_x0000_s80537"/>
                </a:ext>
                <a:ext uri="{FF2B5EF4-FFF2-40B4-BE49-F238E27FC236}">
                  <a16:creationId xmlns:a16="http://schemas.microsoft.com/office/drawing/2014/main" id="{00000000-0008-0000-0800-0000993A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Salvar Lista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17</xdr:row>
          <xdr:rowOff>30480</xdr:rowOff>
        </xdr:from>
        <xdr:to>
          <xdr:col>42</xdr:col>
          <xdr:colOff>137160</xdr:colOff>
          <xdr:row>20</xdr:row>
          <xdr:rowOff>99060</xdr:rowOff>
        </xdr:to>
        <xdr:sp macro="" textlink="">
          <xdr:nvSpPr>
            <xdr:cNvPr id="80538" name="Button 1690" hidden="1">
              <a:extLst>
                <a:ext uri="{63B3BB69-23CF-44E3-9099-C40C66FF867C}">
                  <a14:compatExt spid="_x0000_s80538"/>
                </a:ext>
                <a:ext uri="{FF2B5EF4-FFF2-40B4-BE49-F238E27FC236}">
                  <a16:creationId xmlns:a16="http://schemas.microsoft.com/office/drawing/2014/main" id="{00000000-0008-0000-0800-00009A3A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Lista Compilada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609599</xdr:colOff>
      <xdr:row>1</xdr:row>
      <xdr:rowOff>0</xdr:rowOff>
    </xdr:from>
    <xdr:to>
      <xdr:col>7</xdr:col>
      <xdr:colOff>539999</xdr:colOff>
      <xdr:row>4</xdr:row>
      <xdr:rowOff>21840</xdr:rowOff>
    </xdr:to>
    <xdr:grpSp>
      <xdr:nvGrpSpPr>
        <xdr:cNvPr id="2" name="Agrupar 1">
          <a:extLst>
            <a:ext uri="{FF2B5EF4-FFF2-40B4-BE49-F238E27FC236}">
              <a16:creationId xmlns:a16="http://schemas.microsoft.com/office/drawing/2014/main" id="{00000000-0008-0000-0900-000002000000}"/>
            </a:ext>
          </a:extLst>
        </xdr:cNvPr>
        <xdr:cNvGrpSpPr/>
      </xdr:nvGrpSpPr>
      <xdr:grpSpPr>
        <a:xfrm>
          <a:off x="8553449" y="171450"/>
          <a:ext cx="541905" cy="532380"/>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9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327656</xdr:colOff>
      <xdr:row>1</xdr:row>
      <xdr:rowOff>22857</xdr:rowOff>
    </xdr:from>
    <xdr:to>
      <xdr:col>2</xdr:col>
      <xdr:colOff>277106</xdr:colOff>
      <xdr:row>4</xdr:row>
      <xdr:rowOff>54222</xdr:rowOff>
    </xdr:to>
    <xdr:grpSp>
      <xdr:nvGrpSpPr>
        <xdr:cNvPr id="2" name="Agrupar 1">
          <a:extLst>
            <a:ext uri="{FF2B5EF4-FFF2-40B4-BE49-F238E27FC236}">
              <a16:creationId xmlns:a16="http://schemas.microsoft.com/office/drawing/2014/main" id="{00000000-0008-0000-0B00-000002000000}"/>
            </a:ext>
          </a:extLst>
        </xdr:cNvPr>
        <xdr:cNvGrpSpPr/>
      </xdr:nvGrpSpPr>
      <xdr:grpSpPr>
        <a:xfrm>
          <a:off x="5648321" y="190497"/>
          <a:ext cx="545715" cy="553335"/>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B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twoCellAnchor>
    <xdr:from>
      <xdr:col>2</xdr:col>
      <xdr:colOff>826770</xdr:colOff>
      <xdr:row>1</xdr:row>
      <xdr:rowOff>19050</xdr:rowOff>
    </xdr:from>
    <xdr:to>
      <xdr:col>3</xdr:col>
      <xdr:colOff>282825</xdr:colOff>
      <xdr:row>4</xdr:row>
      <xdr:rowOff>54225</xdr:rowOff>
    </xdr:to>
    <xdr:grpSp>
      <xdr:nvGrpSpPr>
        <xdr:cNvPr id="5" name="Agrupar 4">
          <a:extLst>
            <a:ext uri="{FF2B5EF4-FFF2-40B4-BE49-F238E27FC236}">
              <a16:creationId xmlns:a16="http://schemas.microsoft.com/office/drawing/2014/main" id="{00000000-0008-0000-0B00-000005000000}"/>
            </a:ext>
          </a:extLst>
        </xdr:cNvPr>
        <xdr:cNvGrpSpPr/>
      </xdr:nvGrpSpPr>
      <xdr:grpSpPr>
        <a:xfrm>
          <a:off x="6739890" y="186690"/>
          <a:ext cx="566670" cy="557145"/>
          <a:chOff x="3910965" y="1032509"/>
          <a:chExt cx="762000" cy="683895"/>
        </a:xfrm>
        <a:effectLst>
          <a:outerShdw blurRad="50800" dist="38100" dir="2700000" algn="tl" rotWithShape="0">
            <a:prstClr val="black">
              <a:alpha val="40000"/>
            </a:prstClr>
          </a:outerShdw>
        </a:effectLst>
      </xdr:grpSpPr>
      <xdr:sp macro="[0]!ExportarTxt" textlink="">
        <xdr:nvSpPr>
          <xdr:cNvPr id="6" name="Retângulo: Cantos Arredondados 5" descr="Repetir com preenchimento sólido">
            <a:extLst>
              <a:ext uri="{FF2B5EF4-FFF2-40B4-BE49-F238E27FC236}">
                <a16:creationId xmlns:a16="http://schemas.microsoft.com/office/drawing/2014/main" id="{00000000-0008-0000-0B00-000006000000}"/>
              </a:ext>
            </a:extLst>
          </xdr:cNvPr>
          <xdr:cNvSpPr/>
        </xdr:nvSpPr>
        <xdr:spPr>
          <a:xfrm>
            <a:off x="3910965" y="1032509"/>
            <a:ext cx="762000" cy="683895"/>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ExportarTxt">
        <xdr:nvPicPr>
          <xdr:cNvPr id="7" name="Gráfico 6" descr="Disco com preenchimento sólido">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055836" y="1188063"/>
            <a:ext cx="467864" cy="392721"/>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2" name="Imagem 2" descr="Descrição: cid:image002.png@01D34F58.D11CAC70">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2" xr16:uid="{A1CDA63F-6960-491E-A354-C1AE460B60CB}" autoFormatId="16" applyNumberFormats="0" applyBorderFormats="0" applyFontFormats="0" applyPatternFormats="0" applyAlignmentFormats="0" applyWidthHeightFormats="0">
  <queryTableRefresh nextId="4" unboundColumnsRight="2">
    <queryTableFields count="3">
      <queryTableField id="1" name="Brand" tableColumnId="1"/>
      <queryTableField id="2" dataBound="0" tableColumnId="2"/>
      <queryTableField id="3" dataBound="0"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2" adjustColumnWidth="0" connectionId="7" xr16:uid="{0493219B-4DE7-454E-905E-A605AF7C542B}" autoFormatId="16" applyNumberFormats="0" applyBorderFormats="0" applyFontFormats="0" applyPatternFormats="0" applyAlignmentFormats="0" applyWidthHeightFormats="0">
  <queryTableRefresh nextId="3" unboundColumnsRight="1">
    <queryTableFields count="2">
      <queryTableField id="1" name="Shape" tableColumnId="1"/>
      <queryTableField id="2" dataBound="0"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2" connectionId="6" xr16:uid="{E5C98437-C0BF-4D0D-B3C1-EF83F97D7288}" autoFormatId="16" applyNumberFormats="0" applyBorderFormats="0" applyFontFormats="0" applyPatternFormats="0" applyAlignmentFormats="0" applyWidthHeightFormats="0">
  <queryTableRefresh nextId="12">
    <queryTableFields count="6">
      <queryTableField id="1" name="Item" tableColumnId="1"/>
      <queryTableField id="3" name="Shape" tableColumnId="3"/>
      <queryTableField id="2" name="Brand" tableColumnId="2"/>
      <queryTableField id="8" name="Add-On" tableColumnId="8"/>
      <queryTableField id="4" name="Theoretical quantity" tableColumnId="4"/>
      <queryTableField id="5" name="Order quantity"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3" connectionId="4" xr16:uid="{FD5972C6-7F6D-45A3-9C13-5EED9F57F77D}" autoFormatId="16" applyNumberFormats="0" applyBorderFormats="0" applyFontFormats="0" applyPatternFormats="0" applyAlignmentFormats="0" applyWidthHeightFormats="0">
  <queryTableRefresh nextId="3">
    <queryTableFields count="1">
      <queryTableField id="2" name="AutoHotkey.ahk"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1" connectionId="5" xr16:uid="{4F995CBC-E5A4-473B-B0E5-C6E9DDCFBDB8}" autoFormatId="16" applyNumberFormats="0" applyBorderFormats="0" applyFontFormats="0" applyPatternFormats="0" applyAlignmentFormats="0" applyWidthHeightFormats="0">
  <queryTableRefresh nextId="2">
    <queryTableFields count="1">
      <queryTableField id="1" name="Item"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0872F9-64FA-4BEB-A4F2-37F7D0003464}" name="Tabela1" displayName="Tabela1" ref="F1:G10" totalsRowShown="0">
  <tableColumns count="2">
    <tableColumn id="1" xr3:uid="{DD49B9D1-EA32-4BAF-9DDA-8AB718E7BD38}" name="Descrição"/>
    <tableColumn id="2" xr3:uid="{43ED6EEA-3EC5-4D2C-9960-ADBCE38CD5D5}" name="Valor Classificaçã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83EB79-E81B-4D9E-89E3-7F4781D67AF3}" name="BRANDS" displayName="BRANDS" ref="A1:C10" tableType="queryTable" totalsRowShown="0" headerRowDxfId="37" dataDxfId="36">
  <autoFilter ref="A1:C10" xr:uid="{B083EB79-E81B-4D9E-89E3-7F4781D67AF3}">
    <filterColumn colId="0" hiddenButton="1"/>
    <filterColumn colId="1" hiddenButton="1"/>
    <filterColumn colId="2" hiddenButton="1"/>
  </autoFilter>
  <tableColumns count="3">
    <tableColumn id="1" xr3:uid="{5C0FDE9E-614A-41B6-875F-1639ED8601F7}" uniqueName="1" name="Brand" queryTableFieldId="1" dataDxfId="35"/>
    <tableColumn id="2" xr3:uid="{DA505512-EDA9-4C2D-A54C-7BFFD538D6E1}" uniqueName="2" name="State" queryTableFieldId="2" dataDxfId="34"/>
    <tableColumn id="3" xr3:uid="{1858C212-3B2E-4DE1-BD02-D83C3AEB2DAA}" uniqueName="3" name="Brand Type" queryTableFieldId="3" dataDxfId="33"/>
  </tableColumns>
  <tableStyleInfo name="TableStyleLight1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7110FC-B102-4900-8348-8E3E09A39EF3}" name="SHAPES" displayName="SHAPES" ref="E1:F13" tableType="queryTable" totalsRowShown="0" headerRowDxfId="32" dataDxfId="31">
  <autoFilter ref="E1:F13" xr:uid="{AD7110FC-B102-4900-8348-8E3E09A39EF3}">
    <filterColumn colId="0" hiddenButton="1"/>
    <filterColumn colId="1" hiddenButton="1"/>
  </autoFilter>
  <tableColumns count="2">
    <tableColumn id="1" xr3:uid="{4C45D739-B918-4ECF-87C8-4F6105130A82}" uniqueName="1" name="Shape" queryTableFieldId="1" dataDxfId="30"/>
    <tableColumn id="2" xr3:uid="{F2FF2CEA-1C57-47E4-8CA3-8B4F5B52E4AA}" uniqueName="2" name="State" queryTableFieldId="2" dataDxfId="29"/>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5C7FDD-0BE4-4244-8B33-D282275971DD}" name="Tabela2" displayName="Tabela2" ref="A1:S24" totalsRowShown="0" headerRowDxfId="25">
  <autoFilter ref="A1:S24" xr:uid="{195C7FDD-0BE4-4244-8B33-D282275971D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2" xr3:uid="{0DB6D875-F629-4B86-A97E-B83D3F4D70FD}" name="Item (Reference)" dataDxfId="24">
      <calculatedColumnFormula array="1">IFERROR(IF(Tabela2[[#This Row],[State]]="Automatico",IF(Tabela2[[#This Row],[Shape]]="","",(ROW()-1)*10),INDEX(Tabela2[[#All],[Item (Reference)]],ROW()-1)),"")</calculatedColumnFormula>
    </tableColumn>
    <tableColumn id="14" xr3:uid="{55C418EF-B9D3-42C5-8522-B5192390BBED}" name="Item" dataDxfId="23">
      <calculatedColumnFormula>IFERROR((ROW()-1)*10,"")</calculatedColumnFormula>
    </tableColumn>
    <tableColumn id="13" xr3:uid="{66D52ADE-ED62-41C0-8047-00CDAA726823}" name="State" dataDxfId="22">
      <calculatedColumnFormula>IFERROR(IF(Tabela2[[#This Row],[Shape]]="","Automatico",IF(_xlfn.XLOOKUP(Tabela2[[#This Row],[Brand]],BRANDS[Brand],BRANDS[State])="Manual","Manual",IF(Tabela2[[#This Row],[Shape]]="-","Automatico",IF(_xlfn.XLOOKUP(Tabela2[[#This Row],[Shape]],SHAPES[Shape],SHAPES[State])="Manual","Manual","Automatico")))),"")</calculatedColumnFormula>
    </tableColumn>
    <tableColumn id="17" xr3:uid="{478B76BD-B1F6-4096-BF65-9B9368632CA9}" name="Brand Type" dataDxfId="21">
      <calculatedColumnFormula>IFERROR(IF(Tabela2[[#This Row],[Shape]]="","Normal",IF(_xlfn.XLOOKUP(Tabela2[[#This Row],[Brand]],BRANDS[Brand],BRANDS[Brand Type])="","Normal",_xlfn.XLOOKUP(Tabela2[[#This Row],[Brand]],BRANDS[Brand],BRANDS[Brand Type]))),"")</calculatedColumnFormula>
    </tableColumn>
    <tableColumn id="3" xr3:uid="{56CC4561-5EAB-4F8B-9AAC-DF7754B0A9A4}" name="Brand" dataDxfId="20"/>
    <tableColumn id="4" xr3:uid="{075435FB-71BB-4A57-9C82-E7EA34A5EF41}" name="Shape" dataDxfId="19"/>
    <tableColumn id="5" xr3:uid="{3FA6835C-C244-44C5-B111-9C0398941240}" name="Qnt 1" dataDxfId="18"/>
    <tableColumn id="6" xr3:uid="{20B2B5E6-D613-43A9-8396-554CFE3EFEE3}" name="Qnt 2" dataDxfId="17"/>
    <tableColumn id="7" xr3:uid="{57607A83-3873-4335-8FC7-3E6ACAF4B0A4}" name="Qnt 1 (Reference)" dataDxfId="16">
      <calculatedColumnFormula>IFERROR(IF(Tabela2[[#This Row],[Shape]]="","",IF(Tabela2[[#This Row],[Shape]]="-",Tabela2[[#This Row],[Qnt 1]]/1000,Tabela2[[#This Row],[Qnt 1]])),"")</calculatedColumnFormula>
    </tableColumn>
    <tableColumn id="8" xr3:uid="{8CBE1050-57BF-4C1D-8118-5722811AAAD2}" name="Qnt 2 (Reference)" dataDxfId="15">
      <calculatedColumnFormula>IFERROR(IF(Tabela2[[#This Row],[Shape]]="","",IF(Tabela2[[#This Row],[Shape]]="-",Tabela2[[#This Row],[Qnt 2]]/1000,Tabela2[[#This Row],[Qnt 2]])),"")</calculatedColumnFormula>
    </tableColumn>
    <tableColumn id="15" xr3:uid="{B9B270BD-76D1-4B61-B0CB-F616FBC5EBCB}" name="Brand (Reference)" dataDxfId="14">
      <calculatedColumnFormula array="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calculatedColumnFormula>
    </tableColumn>
    <tableColumn id="16" xr3:uid="{3EB10294-62D2-4E4B-9037-B74D916D9C78}" name="Add-On" dataDxfId="13">
      <calculatedColumnFormula array="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calculatedColumnFormula>
    </tableColumn>
    <tableColumn id="19" xr3:uid="{6F7C08CD-AD27-4593-8278-500237F1CB8A}" name="Delay1" dataDxfId="12">
      <calculatedColumnFormula>IFERROR(IF(SAP_FINAL!$C$11="Office",2000,IF(SAP_FINAL!$C$11="VPN",3500,5000)),"")</calculatedColumnFormula>
    </tableColumn>
    <tableColumn id="18" xr3:uid="{51C70BE8-F616-4EEA-9924-4E9E90F802DA}" name="Delay2" dataDxfId="11">
      <calculatedColumnFormula>IFERROR(IF(SAP_FINAL!$C$11="Office",2500,IF(SAP_FINAL!$C$11="VPN",4000,5000)),"")</calculatedColumnFormula>
    </tableColumn>
    <tableColumn id="9" xr3:uid="{2DFFBC59-C25C-4806-802F-60E667102557}" name="Reference1" dataDxfId="10">
      <calculatedColumnFormula array="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calculatedColumnFormula>
    </tableColumn>
    <tableColumn id="10" xr3:uid="{FF8FDC7E-027C-4985-AD34-F8822433C26C}" name="Reference2" dataDxfId="9">
      <calculatedColumnFormula>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calculatedColumnFormula>
    </tableColumn>
    <tableColumn id="11" xr3:uid="{8D966149-7C95-42AE-8CE9-936ADC247FD9}" name="Reference3" dataDxfId="8">
      <calculatedColumnFormula>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calculatedColumnFormula>
    </tableColumn>
    <tableColumn id="12" xr3:uid="{767E8C0B-923E-4248-A734-A7B06954C144}" name="Reference4" dataDxfId="7">
      <calculatedColumnFormula>IFERROR(IF(Tabela2[[#This Row],[Item (Reference)]]="","",IF(Tabela2[[#This Row],[Shape]]="-",Tabela2[[#This Row],[Reference2]],Tabela2[[#This Row],[Reference3]])),"")</calculatedColumnFormula>
    </tableColumn>
    <tableColumn id="1" xr3:uid="{13529F86-2212-4D36-B619-6C041D627DB3}" name="Código" dataDxfId="6">
      <calculatedColumnFormula>IFERROR(IF(Tabela2[[#This Row],[State]]="Automatico",Tabela2[[#This Row],[Reference1]]&amp;"|"&amp;Tabela2[[#This Row],[Reference4]],""),"")</calculatedColumnFormula>
    </tableColumn>
  </tableColumns>
  <tableStyleInfo name="TableStyleLight1 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19AE23-79A8-47A7-A7D7-C15B9A2C3CAC}" name="MANUAL_SAP" displayName="MANUAL_SAP" ref="E2:J3" tableType="queryTable" insertRow="1" totalsRowShown="0">
  <autoFilter ref="E2:J3" xr:uid="{8E19AE23-79A8-47A7-A7D7-C15B9A2C3CAC}"/>
  <tableColumns count="6">
    <tableColumn id="1" xr3:uid="{27D3371E-4563-4B6F-BCE0-9194DC16F463}" uniqueName="1" name="Item" queryTableFieldId="1"/>
    <tableColumn id="3" xr3:uid="{E6419E08-BD02-4C68-A386-E2FEBD3801CE}" uniqueName="3" name="Shape" queryTableFieldId="3"/>
    <tableColumn id="2" xr3:uid="{4CE8DF74-A03A-4647-BF44-B0E23707F93F}" uniqueName="2" name="Brand" queryTableFieldId="2"/>
    <tableColumn id="8" xr3:uid="{D8B3FD51-659D-4A29-9B01-76FA71846560}" uniqueName="8" name="Add-On" queryTableFieldId="8"/>
    <tableColumn id="4" xr3:uid="{828D9F5C-4BC4-45BC-BAEA-22412B418445}" uniqueName="4" name="Theoretical quantity" queryTableFieldId="4"/>
    <tableColumn id="5" xr3:uid="{BE16B4E0-93F6-41DC-A01D-051D1BC584AA}" uniqueName="5" name="Order quantity" queryTableFieldId="5"/>
  </tableColumns>
  <tableStyleInfo name="TableStyleLight8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16497D-6BD4-4D1F-B783-41DCFA450802}" name="FINAL_CODE_2" displayName="FINAL_CODE_2" ref="A1:A576" tableType="queryTable" totalsRowShown="0">
  <autoFilter ref="A1:A576" xr:uid="{E816497D-6BD4-4D1F-B783-41DCFA450802}">
    <filterColumn colId="0" hiddenButton="1"/>
  </autoFilter>
  <tableColumns count="1">
    <tableColumn id="1" xr3:uid="{31012002-7B0B-4DFA-B205-898179DBCD7A}" uniqueName="1" name="AutoHotkey.ahk" queryTableFieldId="2" dataDxfId="5"/>
  </tableColumns>
  <tableStyleInfo name="TableStyleLight8 2"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36C5E6-3061-4888-B5D2-874467C0441A}" name="ITEM_REFERENCE" displayName="ITEM_REFERENCE" ref="A1:A24" tableType="queryTable" totalsRowShown="0">
  <autoFilter ref="A1:A24" xr:uid="{DD36C5E6-3061-4888-B5D2-874467C0441A}"/>
  <tableColumns count="1">
    <tableColumn id="1" xr3:uid="{5BB6275C-A198-4DED-9072-50F63DC7B4B0}" uniqueName="1" name="Item" queryTableFieldId="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5.vml"/><Relationship Id="rId7" Type="http://schemas.openxmlformats.org/officeDocument/2006/relationships/ctrlProp" Target="../ctrlProps/ctrlProp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table" Target="../tables/table6.xml"/><Relationship Id="rId4"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G13"/>
  <sheetViews>
    <sheetView showGridLines="0" workbookViewId="0">
      <selection activeCell="F11" sqref="F11"/>
    </sheetView>
  </sheetViews>
  <sheetFormatPr defaultRowHeight="13.2"/>
  <cols>
    <col min="1" max="1" width="14.44140625" style="1" bestFit="1" customWidth="1"/>
    <col min="2" max="2" width="37.33203125" style="1" customWidth="1"/>
    <col min="6" max="6" width="16.6640625" bestFit="1" customWidth="1"/>
    <col min="7" max="7" width="20.44140625" customWidth="1"/>
  </cols>
  <sheetData>
    <row r="1" spans="1:7">
      <c r="A1" s="13" t="s">
        <v>30</v>
      </c>
      <c r="B1" s="13" t="s">
        <v>24</v>
      </c>
      <c r="F1" t="s">
        <v>24</v>
      </c>
      <c r="G1" t="s">
        <v>2164</v>
      </c>
    </row>
    <row r="2" spans="1:7">
      <c r="A2" s="3" t="s">
        <v>2</v>
      </c>
      <c r="B2" s="3" t="s">
        <v>31</v>
      </c>
      <c r="F2" t="s">
        <v>2165</v>
      </c>
      <c r="G2">
        <v>1</v>
      </c>
    </row>
    <row r="3" spans="1:7">
      <c r="A3" s="3" t="s">
        <v>524</v>
      </c>
      <c r="B3" s="3" t="s">
        <v>32</v>
      </c>
      <c r="F3" t="s">
        <v>2166</v>
      </c>
      <c r="G3">
        <v>2</v>
      </c>
    </row>
    <row r="4" spans="1:7">
      <c r="A4" s="3" t="s">
        <v>29</v>
      </c>
      <c r="B4" s="3" t="s">
        <v>33</v>
      </c>
      <c r="F4" t="s">
        <v>2167</v>
      </c>
      <c r="G4">
        <v>3</v>
      </c>
    </row>
    <row r="5" spans="1:7">
      <c r="A5" s="3" t="s">
        <v>14</v>
      </c>
      <c r="B5" s="306" t="s">
        <v>1077</v>
      </c>
      <c r="F5" t="s">
        <v>2168</v>
      </c>
      <c r="G5">
        <v>4</v>
      </c>
    </row>
    <row r="6" spans="1:7">
      <c r="A6" s="3" t="s">
        <v>35</v>
      </c>
      <c r="B6" s="3" t="s">
        <v>34</v>
      </c>
      <c r="F6" t="s">
        <v>2169</v>
      </c>
      <c r="G6">
        <v>5</v>
      </c>
    </row>
    <row r="7" spans="1:7">
      <c r="A7" s="3" t="s">
        <v>75</v>
      </c>
      <c r="B7" s="3" t="s">
        <v>36</v>
      </c>
      <c r="F7" t="s">
        <v>2170</v>
      </c>
      <c r="G7">
        <v>6</v>
      </c>
    </row>
    <row r="8" spans="1:7">
      <c r="F8" t="s">
        <v>2171</v>
      </c>
      <c r="G8">
        <v>7</v>
      </c>
    </row>
    <row r="9" spans="1:7">
      <c r="F9" t="s">
        <v>2172</v>
      </c>
      <c r="G9">
        <v>8</v>
      </c>
    </row>
    <row r="10" spans="1:7">
      <c r="A10" s="3"/>
      <c r="B10" s="3"/>
      <c r="F10" t="s">
        <v>2173</v>
      </c>
      <c r="G10">
        <v>9</v>
      </c>
    </row>
    <row r="11" spans="1:7">
      <c r="A11" s="3"/>
      <c r="B11" s="3"/>
    </row>
    <row r="12" spans="1:7">
      <c r="A12" s="3"/>
      <c r="B12" s="3"/>
    </row>
    <row r="13" spans="1:7">
      <c r="A13" s="3"/>
      <c r="B13" s="3"/>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A3"/>
  <sheetViews>
    <sheetView workbookViewId="0"/>
  </sheetViews>
  <sheetFormatPr defaultColWidth="9.33203125" defaultRowHeight="13.2"/>
  <cols>
    <col min="1" max="1" width="15.5546875" customWidth="1"/>
  </cols>
  <sheetData>
    <row r="1" spans="1:1">
      <c r="A1" s="58" t="s">
        <v>422</v>
      </c>
    </row>
    <row r="2" spans="1:1">
      <c r="A2" s="58" t="s">
        <v>423</v>
      </c>
    </row>
    <row r="3" spans="1:1">
      <c r="A3" s="58" t="s">
        <v>424</v>
      </c>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dimension ref="A1:AI173"/>
  <sheetViews>
    <sheetView zoomScale="90" zoomScaleNormal="90" workbookViewId="0">
      <pane xSplit="1" ySplit="1" topLeftCell="B14" activePane="bottomRight" state="frozen"/>
      <selection sqref="A1:X1"/>
      <selection pane="topRight" sqref="A1:X1"/>
      <selection pane="bottomLeft" sqref="A1:X1"/>
      <selection pane="bottomRight" activeCell="M43" sqref="M43"/>
    </sheetView>
  </sheetViews>
  <sheetFormatPr defaultColWidth="9.33203125" defaultRowHeight="13.2"/>
  <cols>
    <col min="1" max="1" width="39" style="2" customWidth="1"/>
    <col min="2" max="2" width="21.44140625" style="1" customWidth="1"/>
    <col min="3" max="3" width="12.33203125" style="1" bestFit="1" customWidth="1"/>
    <col min="4" max="4" width="12.6640625" style="1" bestFit="1" customWidth="1"/>
    <col min="5" max="5" width="25.6640625" style="2" customWidth="1"/>
    <col min="6" max="6" width="19.44140625" style="2" bestFit="1" customWidth="1"/>
    <col min="7" max="7" width="12.33203125" style="2" bestFit="1" customWidth="1"/>
    <col min="8" max="8" width="19" style="2" customWidth="1"/>
    <col min="9" max="9" width="12.33203125" style="2" bestFit="1" customWidth="1"/>
    <col min="10" max="10" width="9.44140625" style="2" bestFit="1" customWidth="1"/>
    <col min="11" max="16384" width="9.33203125" style="1"/>
  </cols>
  <sheetData>
    <row r="1" spans="1:35">
      <c r="A1" s="15" t="s">
        <v>647</v>
      </c>
      <c r="B1" s="15" t="s">
        <v>648</v>
      </c>
      <c r="C1" s="15" t="s">
        <v>649</v>
      </c>
      <c r="D1" s="15" t="s">
        <v>104</v>
      </c>
      <c r="E1" s="15" t="s">
        <v>0</v>
      </c>
      <c r="F1" s="15" t="s">
        <v>104</v>
      </c>
      <c r="G1" s="15" t="s">
        <v>650</v>
      </c>
      <c r="H1" s="15" t="s">
        <v>104</v>
      </c>
      <c r="I1" s="15" t="s">
        <v>650</v>
      </c>
      <c r="J1" s="15" t="s">
        <v>651</v>
      </c>
    </row>
    <row r="2" spans="1:35" s="126" customFormat="1" ht="25.8">
      <c r="A2" s="124" t="s">
        <v>2174</v>
      </c>
      <c r="B2" s="124"/>
      <c r="C2" s="124"/>
      <c r="D2" s="124"/>
      <c r="E2" s="124"/>
      <c r="F2" s="125"/>
      <c r="G2" s="124"/>
      <c r="H2" s="124"/>
      <c r="I2" s="125"/>
      <c r="J2" s="124"/>
      <c r="K2"/>
      <c r="L2"/>
      <c r="M2"/>
      <c r="N2"/>
      <c r="O2"/>
      <c r="P2"/>
      <c r="Q2"/>
      <c r="R2"/>
      <c r="S2"/>
      <c r="T2"/>
      <c r="U2"/>
      <c r="V2"/>
      <c r="W2"/>
      <c r="X2"/>
      <c r="Y2"/>
    </row>
    <row r="3" spans="1:35" s="140" customFormat="1" ht="14.4">
      <c r="A3" s="317"/>
      <c r="B3" s="141"/>
      <c r="C3" s="127">
        <v>1</v>
      </c>
      <c r="D3" s="127"/>
      <c r="E3" s="138" t="s">
        <v>16</v>
      </c>
      <c r="F3" s="139" t="s">
        <v>16</v>
      </c>
      <c r="G3" s="127"/>
      <c r="H3" s="127" t="s">
        <v>2165</v>
      </c>
      <c r="I3" s="128">
        <f>IF(H3="","",VLOOKUP(H3,Tabela1[],2,0))</f>
        <v>1</v>
      </c>
      <c r="J3" s="127" t="s">
        <v>524</v>
      </c>
      <c r="K3"/>
      <c r="L3"/>
      <c r="M3"/>
      <c r="N3"/>
      <c r="O3"/>
      <c r="P3"/>
      <c r="Q3"/>
      <c r="R3"/>
      <c r="S3"/>
      <c r="T3"/>
      <c r="U3"/>
      <c r="V3"/>
      <c r="W3"/>
      <c r="X3"/>
      <c r="Y3"/>
      <c r="Z3"/>
      <c r="AA3"/>
      <c r="AB3"/>
      <c r="AC3"/>
      <c r="AD3"/>
      <c r="AE3"/>
      <c r="AF3"/>
      <c r="AG3"/>
      <c r="AH3"/>
      <c r="AI3"/>
    </row>
    <row r="4" spans="1:35" s="140" customFormat="1" ht="14.4">
      <c r="A4" s="317"/>
      <c r="B4" s="141"/>
      <c r="C4" s="127">
        <v>1</v>
      </c>
      <c r="D4" s="127"/>
      <c r="E4" s="138" t="s">
        <v>16</v>
      </c>
      <c r="F4" s="139" t="s">
        <v>16</v>
      </c>
      <c r="G4" s="127"/>
      <c r="H4" s="127" t="s">
        <v>2165</v>
      </c>
      <c r="I4" s="128">
        <f>IF(H4="","",VLOOKUP(H4,Tabela1[],2,0))</f>
        <v>1</v>
      </c>
      <c r="J4" s="127" t="s">
        <v>524</v>
      </c>
      <c r="K4"/>
      <c r="L4"/>
      <c r="M4"/>
      <c r="N4"/>
      <c r="O4"/>
      <c r="P4"/>
      <c r="Q4"/>
      <c r="R4"/>
      <c r="S4"/>
      <c r="T4"/>
      <c r="U4"/>
      <c r="V4"/>
      <c r="W4"/>
      <c r="X4"/>
      <c r="Y4"/>
      <c r="Z4"/>
      <c r="AA4"/>
      <c r="AB4"/>
      <c r="AC4"/>
      <c r="AD4"/>
      <c r="AE4"/>
      <c r="AF4"/>
      <c r="AG4"/>
      <c r="AH4"/>
      <c r="AI4"/>
    </row>
    <row r="5" spans="1:35" s="140" customFormat="1" ht="14.4">
      <c r="A5" s="317"/>
      <c r="B5" s="141"/>
      <c r="C5" s="127">
        <v>1</v>
      </c>
      <c r="D5" s="127"/>
      <c r="E5" s="138" t="s">
        <v>16</v>
      </c>
      <c r="F5" s="139" t="s">
        <v>16</v>
      </c>
      <c r="G5" s="127"/>
      <c r="H5" s="127" t="s">
        <v>2165</v>
      </c>
      <c r="I5" s="128">
        <f>IF(H5="","",VLOOKUP(H5,Tabela1[],2,0))</f>
        <v>1</v>
      </c>
      <c r="J5" s="127" t="s">
        <v>524</v>
      </c>
      <c r="K5"/>
      <c r="L5"/>
      <c r="M5"/>
      <c r="N5"/>
      <c r="O5"/>
      <c r="P5"/>
      <c r="Q5"/>
      <c r="R5"/>
      <c r="S5"/>
      <c r="T5"/>
      <c r="U5"/>
      <c r="V5"/>
      <c r="W5"/>
      <c r="X5"/>
      <c r="Y5"/>
      <c r="Z5"/>
      <c r="AA5"/>
      <c r="AB5"/>
      <c r="AC5"/>
      <c r="AD5"/>
      <c r="AE5"/>
      <c r="AF5"/>
      <c r="AG5"/>
      <c r="AH5"/>
      <c r="AI5"/>
    </row>
    <row r="6" spans="1:35" s="140" customFormat="1" ht="14.4">
      <c r="A6" s="317"/>
      <c r="B6" s="141"/>
      <c r="C6" s="127">
        <v>1</v>
      </c>
      <c r="D6" s="127"/>
      <c r="E6" s="138" t="s">
        <v>16</v>
      </c>
      <c r="F6" s="139" t="s">
        <v>16</v>
      </c>
      <c r="G6" s="127"/>
      <c r="H6" s="127" t="s">
        <v>2165</v>
      </c>
      <c r="I6" s="128">
        <f>IF(H6="","",VLOOKUP(H6,Tabela1[],2,0))</f>
        <v>1</v>
      </c>
      <c r="J6" s="127" t="s">
        <v>524</v>
      </c>
      <c r="K6"/>
      <c r="L6"/>
      <c r="M6"/>
      <c r="N6"/>
      <c r="O6"/>
      <c r="P6"/>
      <c r="Q6"/>
      <c r="R6"/>
      <c r="S6"/>
      <c r="T6"/>
      <c r="U6"/>
      <c r="V6"/>
      <c r="W6"/>
      <c r="X6"/>
      <c r="Y6"/>
      <c r="Z6"/>
      <c r="AA6"/>
      <c r="AB6"/>
      <c r="AC6"/>
      <c r="AD6"/>
      <c r="AE6"/>
      <c r="AF6"/>
      <c r="AG6"/>
      <c r="AH6"/>
      <c r="AI6"/>
    </row>
    <row r="7" spans="1:35" s="140" customFormat="1" ht="14.4">
      <c r="A7" s="317"/>
      <c r="B7" s="141"/>
      <c r="C7" s="127">
        <v>1</v>
      </c>
      <c r="D7" s="127"/>
      <c r="E7" s="138" t="s">
        <v>16</v>
      </c>
      <c r="F7" s="139" t="s">
        <v>16</v>
      </c>
      <c r="G7" s="127"/>
      <c r="H7" s="127" t="s">
        <v>2165</v>
      </c>
      <c r="I7" s="128">
        <f>IF(H7="","",VLOOKUP(H7,Tabela1[],2,0))</f>
        <v>1</v>
      </c>
      <c r="J7" s="127" t="s">
        <v>524</v>
      </c>
      <c r="K7"/>
      <c r="L7"/>
      <c r="M7"/>
      <c r="N7"/>
      <c r="O7"/>
      <c r="P7"/>
      <c r="Q7"/>
      <c r="R7"/>
      <c r="S7"/>
      <c r="T7"/>
      <c r="U7"/>
      <c r="V7"/>
      <c r="W7"/>
      <c r="X7"/>
      <c r="Y7"/>
      <c r="Z7"/>
      <c r="AA7"/>
      <c r="AB7"/>
      <c r="AC7"/>
      <c r="AD7"/>
      <c r="AE7"/>
      <c r="AF7"/>
      <c r="AG7"/>
      <c r="AH7"/>
      <c r="AI7"/>
    </row>
    <row r="8" spans="1:35" s="140" customFormat="1" ht="14.4">
      <c r="A8" s="317"/>
      <c r="B8" s="141"/>
      <c r="C8" s="127">
        <v>1</v>
      </c>
      <c r="D8" s="127"/>
      <c r="E8" s="138" t="s">
        <v>16</v>
      </c>
      <c r="F8" s="139" t="s">
        <v>16</v>
      </c>
      <c r="G8" s="127"/>
      <c r="H8" s="127" t="s">
        <v>2165</v>
      </c>
      <c r="I8" s="128">
        <f>IF(H8="","",VLOOKUP(H8,Tabela1[],2,0))</f>
        <v>1</v>
      </c>
      <c r="J8" s="127" t="s">
        <v>524</v>
      </c>
      <c r="K8"/>
      <c r="L8"/>
      <c r="M8"/>
      <c r="N8"/>
      <c r="O8"/>
      <c r="P8"/>
      <c r="Q8"/>
      <c r="R8"/>
      <c r="S8"/>
      <c r="T8"/>
      <c r="U8"/>
      <c r="V8"/>
      <c r="W8"/>
      <c r="X8"/>
      <c r="Y8"/>
      <c r="Z8"/>
      <c r="AA8"/>
      <c r="AB8"/>
      <c r="AC8"/>
      <c r="AD8"/>
      <c r="AE8"/>
      <c r="AF8"/>
      <c r="AG8"/>
      <c r="AH8"/>
      <c r="AI8"/>
    </row>
    <row r="9" spans="1:35" s="140" customFormat="1" ht="14.4">
      <c r="A9" s="317"/>
      <c r="B9" s="141"/>
      <c r="C9" s="127">
        <v>1</v>
      </c>
      <c r="D9" s="127"/>
      <c r="E9" s="138" t="s">
        <v>16</v>
      </c>
      <c r="F9" s="139" t="s">
        <v>16</v>
      </c>
      <c r="G9" s="127"/>
      <c r="H9" s="127" t="s">
        <v>2165</v>
      </c>
      <c r="I9" s="128">
        <f>IF(H9="","",VLOOKUP(H9,Tabela1[],2,0))</f>
        <v>1</v>
      </c>
      <c r="J9" s="127" t="s">
        <v>524</v>
      </c>
      <c r="K9"/>
      <c r="L9"/>
      <c r="M9"/>
      <c r="N9"/>
      <c r="O9"/>
      <c r="P9"/>
      <c r="Q9"/>
      <c r="R9"/>
      <c r="S9"/>
      <c r="T9"/>
      <c r="U9"/>
      <c r="V9"/>
      <c r="W9"/>
      <c r="X9"/>
      <c r="Y9"/>
      <c r="Z9"/>
      <c r="AA9"/>
      <c r="AB9"/>
      <c r="AC9"/>
      <c r="AD9"/>
      <c r="AE9"/>
      <c r="AF9"/>
      <c r="AG9"/>
      <c r="AH9"/>
      <c r="AI9"/>
    </row>
    <row r="10" spans="1:35" s="140" customFormat="1" ht="14.4">
      <c r="A10" s="317"/>
      <c r="B10" s="141"/>
      <c r="C10" s="127">
        <v>1</v>
      </c>
      <c r="D10" s="127"/>
      <c r="E10" s="138" t="s">
        <v>16</v>
      </c>
      <c r="F10" s="139" t="s">
        <v>16</v>
      </c>
      <c r="G10" s="127"/>
      <c r="H10" s="127" t="s">
        <v>2165</v>
      </c>
      <c r="I10" s="128">
        <f>IF(H10="","",VLOOKUP(H10,Tabela1[],2,0))</f>
        <v>1</v>
      </c>
      <c r="J10" s="127" t="s">
        <v>524</v>
      </c>
      <c r="K10"/>
      <c r="L10"/>
      <c r="M10"/>
      <c r="N10"/>
      <c r="O10"/>
      <c r="P10"/>
      <c r="Q10"/>
      <c r="R10"/>
      <c r="S10"/>
      <c r="T10"/>
      <c r="U10"/>
      <c r="V10"/>
      <c r="W10"/>
      <c r="X10"/>
      <c r="Y10"/>
      <c r="Z10"/>
      <c r="AA10"/>
      <c r="AB10"/>
      <c r="AC10"/>
      <c r="AD10"/>
      <c r="AE10"/>
      <c r="AF10"/>
      <c r="AG10"/>
      <c r="AH10"/>
      <c r="AI10"/>
    </row>
    <row r="11" spans="1:35" s="140" customFormat="1" ht="14.4">
      <c r="A11" s="317"/>
      <c r="B11" s="141"/>
      <c r="C11" s="127">
        <v>1</v>
      </c>
      <c r="D11" s="127"/>
      <c r="E11" s="138" t="s">
        <v>16</v>
      </c>
      <c r="F11" s="139" t="s">
        <v>16</v>
      </c>
      <c r="G11" s="127"/>
      <c r="H11" s="127" t="s">
        <v>2165</v>
      </c>
      <c r="I11" s="128">
        <f>IF(H11="","",VLOOKUP(H11,Tabela1[],2,0))</f>
        <v>1</v>
      </c>
      <c r="J11" s="127" t="s">
        <v>524</v>
      </c>
      <c r="K11"/>
      <c r="L11"/>
      <c r="M11"/>
      <c r="N11"/>
      <c r="O11"/>
      <c r="P11"/>
      <c r="Q11"/>
      <c r="R11"/>
      <c r="S11"/>
      <c r="T11"/>
      <c r="U11"/>
      <c r="V11"/>
      <c r="W11"/>
      <c r="X11"/>
      <c r="Y11"/>
      <c r="Z11"/>
      <c r="AA11"/>
      <c r="AB11"/>
      <c r="AC11"/>
      <c r="AD11"/>
      <c r="AE11"/>
      <c r="AF11"/>
      <c r="AG11"/>
      <c r="AH11"/>
      <c r="AI11"/>
    </row>
    <row r="12" spans="1:35" s="140" customFormat="1" ht="14.4">
      <c r="A12" s="138"/>
      <c r="B12" s="141"/>
      <c r="C12" s="127">
        <v>1</v>
      </c>
      <c r="D12" s="127"/>
      <c r="E12" s="138" t="s">
        <v>16</v>
      </c>
      <c r="F12" s="139" t="s">
        <v>16</v>
      </c>
      <c r="G12" s="127"/>
      <c r="H12" s="127" t="s">
        <v>2165</v>
      </c>
      <c r="I12" s="128">
        <f>IF(H12="","",VLOOKUP(H12,Tabela1[],2,0))</f>
        <v>1</v>
      </c>
      <c r="J12" s="127" t="s">
        <v>524</v>
      </c>
      <c r="K12"/>
      <c r="L12"/>
      <c r="M12"/>
      <c r="N12"/>
      <c r="O12"/>
      <c r="P12"/>
      <c r="Q12"/>
      <c r="R12"/>
      <c r="S12"/>
      <c r="T12"/>
      <c r="U12"/>
      <c r="V12"/>
      <c r="W12"/>
      <c r="X12"/>
      <c r="Y12"/>
      <c r="Z12"/>
      <c r="AA12"/>
      <c r="AB12"/>
      <c r="AC12"/>
      <c r="AD12"/>
      <c r="AE12"/>
      <c r="AF12"/>
      <c r="AG12"/>
      <c r="AH12"/>
      <c r="AI12"/>
    </row>
    <row r="13" spans="1:35" customFormat="1">
      <c r="A13" s="67"/>
      <c r="B13" s="67"/>
      <c r="C13" s="67"/>
      <c r="D13" s="67"/>
      <c r="E13" s="67"/>
      <c r="F13" s="68"/>
      <c r="G13" s="67"/>
      <c r="H13" s="67"/>
      <c r="I13" s="68"/>
      <c r="J13" s="67"/>
    </row>
    <row r="14" spans="1:35" customFormat="1">
      <c r="A14" s="67"/>
      <c r="B14" s="67"/>
      <c r="C14" s="67"/>
      <c r="D14" s="67"/>
      <c r="E14" s="67"/>
      <c r="F14" s="68"/>
      <c r="G14" s="67"/>
      <c r="H14" s="67"/>
      <c r="I14" s="68"/>
      <c r="J14" s="67"/>
    </row>
    <row r="15" spans="1:35" s="126" customFormat="1" ht="25.8">
      <c r="A15" s="124" t="s">
        <v>2175</v>
      </c>
      <c r="B15" s="124"/>
      <c r="C15" s="124"/>
      <c r="D15" s="124"/>
      <c r="E15" s="124"/>
      <c r="F15" s="125"/>
      <c r="G15" s="124"/>
      <c r="H15" s="124"/>
      <c r="I15" s="125"/>
      <c r="J15" s="124"/>
      <c r="K15"/>
      <c r="L15"/>
      <c r="M15"/>
      <c r="N15"/>
      <c r="O15"/>
      <c r="P15"/>
      <c r="Q15"/>
      <c r="R15"/>
      <c r="S15"/>
      <c r="T15"/>
      <c r="U15"/>
      <c r="V15"/>
      <c r="W15"/>
      <c r="X15"/>
      <c r="Y15"/>
    </row>
    <row r="16" spans="1:35" s="140" customFormat="1" ht="14.4">
      <c r="A16" s="317"/>
      <c r="B16" s="141"/>
      <c r="C16" s="127">
        <v>1</v>
      </c>
      <c r="D16" s="127"/>
      <c r="E16" s="138" t="s">
        <v>16</v>
      </c>
      <c r="F16" s="139" t="s">
        <v>16</v>
      </c>
      <c r="G16" s="127"/>
      <c r="H16" s="127" t="s">
        <v>2166</v>
      </c>
      <c r="I16" s="128">
        <f>IF(H16="","",VLOOKUP(H16,Tabela1[],2,0))</f>
        <v>2</v>
      </c>
      <c r="J16" s="127" t="s">
        <v>524</v>
      </c>
      <c r="K16"/>
      <c r="L16"/>
      <c r="M16"/>
      <c r="N16"/>
      <c r="O16"/>
      <c r="P16"/>
      <c r="Q16"/>
      <c r="R16"/>
      <c r="S16"/>
      <c r="T16"/>
      <c r="U16"/>
      <c r="V16"/>
      <c r="W16"/>
      <c r="X16"/>
      <c r="Y16"/>
      <c r="Z16"/>
      <c r="AA16"/>
      <c r="AB16"/>
      <c r="AC16"/>
      <c r="AD16"/>
      <c r="AE16"/>
      <c r="AF16"/>
      <c r="AG16"/>
      <c r="AH16"/>
      <c r="AI16"/>
    </row>
    <row r="17" spans="1:35" s="140" customFormat="1" ht="14.4">
      <c r="A17" s="317"/>
      <c r="B17" s="141"/>
      <c r="C17" s="127">
        <v>1</v>
      </c>
      <c r="D17" s="127"/>
      <c r="E17" s="138" t="s">
        <v>16</v>
      </c>
      <c r="F17" s="139" t="s">
        <v>16</v>
      </c>
      <c r="G17" s="127"/>
      <c r="H17" s="127" t="s">
        <v>2166</v>
      </c>
      <c r="I17" s="128">
        <f>IF(H17="","",VLOOKUP(H17,Tabela1[],2,0))</f>
        <v>2</v>
      </c>
      <c r="J17" s="127" t="s">
        <v>524</v>
      </c>
      <c r="K17"/>
      <c r="L17"/>
      <c r="M17"/>
      <c r="N17"/>
      <c r="O17"/>
      <c r="P17"/>
      <c r="Q17"/>
      <c r="R17"/>
      <c r="S17"/>
      <c r="T17"/>
      <c r="U17"/>
      <c r="V17"/>
      <c r="W17"/>
      <c r="X17"/>
      <c r="Y17"/>
      <c r="Z17"/>
      <c r="AA17"/>
      <c r="AB17"/>
      <c r="AC17"/>
      <c r="AD17"/>
      <c r="AE17"/>
      <c r="AF17"/>
      <c r="AG17"/>
      <c r="AH17"/>
      <c r="AI17"/>
    </row>
    <row r="18" spans="1:35" s="140" customFormat="1" ht="14.4">
      <c r="A18" s="317"/>
      <c r="B18" s="141"/>
      <c r="C18" s="127">
        <v>1</v>
      </c>
      <c r="D18" s="127"/>
      <c r="E18" s="138" t="s">
        <v>16</v>
      </c>
      <c r="F18" s="139" t="s">
        <v>16</v>
      </c>
      <c r="G18" s="127"/>
      <c r="H18" s="127" t="s">
        <v>2166</v>
      </c>
      <c r="I18" s="128">
        <f>IF(H18="","",VLOOKUP(H18,Tabela1[],2,0))</f>
        <v>2</v>
      </c>
      <c r="J18" s="127" t="s">
        <v>524</v>
      </c>
      <c r="K18"/>
      <c r="L18"/>
      <c r="M18"/>
      <c r="N18"/>
      <c r="O18"/>
      <c r="P18"/>
      <c r="Q18"/>
      <c r="R18"/>
      <c r="S18"/>
      <c r="T18"/>
      <c r="U18"/>
      <c r="V18"/>
      <c r="W18"/>
      <c r="X18"/>
      <c r="Y18"/>
      <c r="Z18"/>
      <c r="AA18"/>
      <c r="AB18"/>
      <c r="AC18"/>
      <c r="AD18"/>
      <c r="AE18"/>
      <c r="AF18"/>
      <c r="AG18"/>
      <c r="AH18"/>
      <c r="AI18"/>
    </row>
    <row r="19" spans="1:35" s="140" customFormat="1" ht="14.4">
      <c r="A19" s="317"/>
      <c r="B19" s="141"/>
      <c r="C19" s="127">
        <v>1</v>
      </c>
      <c r="D19" s="127"/>
      <c r="E19" s="138" t="s">
        <v>16</v>
      </c>
      <c r="F19" s="139" t="s">
        <v>16</v>
      </c>
      <c r="G19" s="127"/>
      <c r="H19" s="127" t="s">
        <v>2166</v>
      </c>
      <c r="I19" s="128">
        <f>IF(H19="","",VLOOKUP(H19,Tabela1[],2,0))</f>
        <v>2</v>
      </c>
      <c r="J19" s="127" t="s">
        <v>524</v>
      </c>
      <c r="K19"/>
      <c r="L19"/>
      <c r="M19"/>
      <c r="N19"/>
      <c r="O19"/>
      <c r="P19"/>
      <c r="Q19"/>
      <c r="R19"/>
      <c r="S19"/>
      <c r="T19"/>
      <c r="U19"/>
      <c r="V19"/>
      <c r="W19"/>
      <c r="X19"/>
      <c r="Y19"/>
      <c r="Z19"/>
      <c r="AA19"/>
      <c r="AB19"/>
      <c r="AC19"/>
      <c r="AD19"/>
      <c r="AE19"/>
      <c r="AF19"/>
      <c r="AG19"/>
      <c r="AH19"/>
      <c r="AI19"/>
    </row>
    <row r="20" spans="1:35" s="140" customFormat="1" ht="14.4">
      <c r="A20" s="317"/>
      <c r="B20" s="141"/>
      <c r="C20" s="127">
        <v>1</v>
      </c>
      <c r="D20" s="127"/>
      <c r="E20" s="138" t="s">
        <v>16</v>
      </c>
      <c r="F20" s="139" t="s">
        <v>16</v>
      </c>
      <c r="G20" s="127"/>
      <c r="H20" s="127" t="s">
        <v>2166</v>
      </c>
      <c r="I20" s="128">
        <f>IF(H20="","",VLOOKUP(H20,Tabela1[],2,0))</f>
        <v>2</v>
      </c>
      <c r="J20" s="127" t="s">
        <v>524</v>
      </c>
      <c r="K20"/>
      <c r="L20"/>
      <c r="M20"/>
      <c r="N20"/>
      <c r="O20"/>
      <c r="P20"/>
      <c r="Q20"/>
      <c r="R20"/>
      <c r="S20"/>
      <c r="T20"/>
      <c r="U20"/>
      <c r="V20"/>
      <c r="W20"/>
      <c r="X20"/>
      <c r="Y20"/>
      <c r="Z20"/>
      <c r="AA20"/>
      <c r="AB20"/>
      <c r="AC20"/>
      <c r="AD20"/>
      <c r="AE20"/>
      <c r="AF20"/>
      <c r="AG20"/>
      <c r="AH20"/>
      <c r="AI20"/>
    </row>
    <row r="21" spans="1:35" s="140" customFormat="1" ht="14.4">
      <c r="A21" s="317"/>
      <c r="B21" s="141"/>
      <c r="C21" s="127">
        <v>1</v>
      </c>
      <c r="D21" s="127"/>
      <c r="E21" s="138" t="s">
        <v>16</v>
      </c>
      <c r="F21" s="139" t="s">
        <v>16</v>
      </c>
      <c r="G21" s="127"/>
      <c r="H21" s="127" t="s">
        <v>2166</v>
      </c>
      <c r="I21" s="128">
        <f>IF(H21="","",VLOOKUP(H21,Tabela1[],2,0))</f>
        <v>2</v>
      </c>
      <c r="J21" s="127" t="s">
        <v>524</v>
      </c>
      <c r="K21"/>
      <c r="L21"/>
      <c r="M21"/>
      <c r="N21"/>
      <c r="O21"/>
      <c r="P21"/>
      <c r="Q21"/>
      <c r="R21"/>
      <c r="S21"/>
      <c r="T21"/>
      <c r="U21"/>
      <c r="V21"/>
      <c r="W21"/>
      <c r="X21"/>
      <c r="Y21"/>
      <c r="Z21"/>
      <c r="AA21"/>
      <c r="AB21"/>
      <c r="AC21"/>
      <c r="AD21"/>
      <c r="AE21"/>
      <c r="AF21"/>
      <c r="AG21"/>
      <c r="AH21"/>
      <c r="AI21"/>
    </row>
    <row r="22" spans="1:35" s="140" customFormat="1" ht="14.4">
      <c r="A22" s="317"/>
      <c r="B22" s="141"/>
      <c r="C22" s="127">
        <v>1</v>
      </c>
      <c r="D22" s="127"/>
      <c r="E22" s="138" t="s">
        <v>16</v>
      </c>
      <c r="F22" s="139" t="s">
        <v>16</v>
      </c>
      <c r="G22" s="127"/>
      <c r="H22" s="127" t="s">
        <v>2166</v>
      </c>
      <c r="I22" s="128">
        <f>IF(H22="","",VLOOKUP(H22,Tabela1[],2,0))</f>
        <v>2</v>
      </c>
      <c r="J22" s="127" t="s">
        <v>524</v>
      </c>
      <c r="K22"/>
      <c r="L22"/>
      <c r="M22"/>
      <c r="N22"/>
      <c r="O22"/>
      <c r="P22"/>
      <c r="Q22"/>
      <c r="R22"/>
      <c r="S22"/>
      <c r="T22"/>
      <c r="U22"/>
      <c r="V22"/>
      <c r="W22"/>
      <c r="X22"/>
      <c r="Y22"/>
      <c r="Z22"/>
      <c r="AA22"/>
      <c r="AB22"/>
      <c r="AC22"/>
      <c r="AD22"/>
      <c r="AE22"/>
      <c r="AF22"/>
      <c r="AG22"/>
      <c r="AH22"/>
      <c r="AI22"/>
    </row>
    <row r="23" spans="1:35" s="140" customFormat="1" ht="14.4">
      <c r="A23" s="317"/>
      <c r="B23" s="141"/>
      <c r="C23" s="127">
        <v>1</v>
      </c>
      <c r="D23" s="127"/>
      <c r="E23" s="138" t="s">
        <v>16</v>
      </c>
      <c r="F23" s="139" t="s">
        <v>16</v>
      </c>
      <c r="G23" s="127"/>
      <c r="H23" s="127" t="s">
        <v>2166</v>
      </c>
      <c r="I23" s="128">
        <f>IF(H23="","",VLOOKUP(H23,Tabela1[],2,0))</f>
        <v>2</v>
      </c>
      <c r="J23" s="127" t="s">
        <v>524</v>
      </c>
      <c r="K23"/>
      <c r="L23"/>
      <c r="M23"/>
      <c r="N23"/>
      <c r="O23"/>
      <c r="P23"/>
      <c r="Q23"/>
      <c r="R23"/>
      <c r="S23"/>
      <c r="T23"/>
      <c r="U23"/>
      <c r="V23"/>
      <c r="W23"/>
      <c r="X23"/>
      <c r="Y23"/>
      <c r="Z23"/>
      <c r="AA23"/>
      <c r="AB23"/>
      <c r="AC23"/>
      <c r="AD23"/>
      <c r="AE23"/>
      <c r="AF23"/>
      <c r="AG23"/>
      <c r="AH23"/>
      <c r="AI23"/>
    </row>
    <row r="24" spans="1:35" s="140" customFormat="1" ht="14.4">
      <c r="A24" s="317"/>
      <c r="B24" s="141"/>
      <c r="C24" s="127">
        <v>1</v>
      </c>
      <c r="D24" s="127"/>
      <c r="E24" s="138" t="s">
        <v>16</v>
      </c>
      <c r="F24" s="139" t="s">
        <v>16</v>
      </c>
      <c r="G24" s="127"/>
      <c r="H24" s="127" t="s">
        <v>2166</v>
      </c>
      <c r="I24" s="128">
        <f>IF(H24="","",VLOOKUP(H24,Tabela1[],2,0))</f>
        <v>2</v>
      </c>
      <c r="J24" s="127" t="s">
        <v>524</v>
      </c>
      <c r="K24"/>
      <c r="L24"/>
      <c r="M24"/>
      <c r="N24"/>
      <c r="O24"/>
      <c r="P24"/>
      <c r="Q24"/>
      <c r="R24"/>
      <c r="S24"/>
      <c r="T24"/>
      <c r="U24"/>
      <c r="V24"/>
      <c r="W24"/>
      <c r="X24"/>
      <c r="Y24"/>
      <c r="Z24"/>
      <c r="AA24"/>
      <c r="AB24"/>
      <c r="AC24"/>
      <c r="AD24"/>
      <c r="AE24"/>
      <c r="AF24"/>
      <c r="AG24"/>
      <c r="AH24"/>
      <c r="AI24"/>
    </row>
    <row r="25" spans="1:35" s="140" customFormat="1" ht="14.4">
      <c r="A25" s="138"/>
      <c r="B25" s="141"/>
      <c r="C25" s="127">
        <v>1</v>
      </c>
      <c r="D25" s="127"/>
      <c r="E25" s="138" t="s">
        <v>16</v>
      </c>
      <c r="F25" s="139" t="s">
        <v>16</v>
      </c>
      <c r="G25" s="127"/>
      <c r="H25" s="127" t="s">
        <v>2166</v>
      </c>
      <c r="I25" s="128">
        <f>IF(H25="","",VLOOKUP(H25,Tabela1[],2,0))</f>
        <v>2</v>
      </c>
      <c r="J25" s="127" t="s">
        <v>524</v>
      </c>
      <c r="K25"/>
      <c r="L25"/>
      <c r="M25"/>
      <c r="N25"/>
      <c r="O25"/>
      <c r="P25"/>
      <c r="Q25"/>
      <c r="R25"/>
      <c r="S25"/>
      <c r="T25"/>
      <c r="U25"/>
      <c r="V25"/>
      <c r="W25"/>
      <c r="X25"/>
      <c r="Y25"/>
      <c r="Z25"/>
      <c r="AA25"/>
      <c r="AB25"/>
      <c r="AC25"/>
      <c r="AD25"/>
      <c r="AE25"/>
      <c r="AF25"/>
      <c r="AG25"/>
      <c r="AH25"/>
      <c r="AI25"/>
    </row>
    <row r="26" spans="1:35" customFormat="1">
      <c r="A26" s="67"/>
      <c r="B26" s="67"/>
      <c r="C26" s="67"/>
      <c r="D26" s="67"/>
      <c r="E26" s="67"/>
      <c r="F26" s="68"/>
      <c r="G26" s="67"/>
      <c r="H26" s="67"/>
      <c r="I26" s="68"/>
      <c r="J26" s="67"/>
    </row>
    <row r="27" spans="1:35" customFormat="1">
      <c r="A27" s="67"/>
      <c r="B27" s="67"/>
      <c r="C27" s="67"/>
      <c r="D27" s="67"/>
      <c r="E27" s="67"/>
      <c r="F27" s="68"/>
      <c r="G27" s="67"/>
      <c r="H27" s="67"/>
      <c r="I27" s="68"/>
      <c r="J27" s="67"/>
    </row>
    <row r="28" spans="1:35" s="126" customFormat="1" ht="25.8">
      <c r="A28" s="124" t="s">
        <v>2176</v>
      </c>
      <c r="B28" s="124"/>
      <c r="C28" s="124"/>
      <c r="D28" s="124"/>
      <c r="E28" s="124"/>
      <c r="F28" s="125"/>
      <c r="G28" s="124"/>
      <c r="H28" s="124"/>
      <c r="I28" s="125"/>
      <c r="J28" s="124"/>
    </row>
    <row r="29" spans="1:35" customFormat="1" ht="14.4">
      <c r="A29" s="317"/>
      <c r="B29" s="141"/>
      <c r="C29" s="135">
        <v>25</v>
      </c>
      <c r="D29" s="135"/>
      <c r="E29" s="135" t="s">
        <v>16</v>
      </c>
      <c r="F29" s="135" t="s">
        <v>16</v>
      </c>
      <c r="G29" s="136"/>
      <c r="H29" s="127" t="s">
        <v>2170</v>
      </c>
      <c r="I29" s="128">
        <f>IF(H29="","",VLOOKUP(H29,Tabela1[],2,0))</f>
        <v>6</v>
      </c>
      <c r="J29" s="135" t="s">
        <v>2</v>
      </c>
    </row>
    <row r="30" spans="1:35" customFormat="1" ht="14.4">
      <c r="A30" s="317"/>
      <c r="B30" s="141"/>
      <c r="C30" s="135">
        <v>25</v>
      </c>
      <c r="D30" s="135"/>
      <c r="E30" s="135" t="s">
        <v>16</v>
      </c>
      <c r="F30" s="135" t="s">
        <v>16</v>
      </c>
      <c r="G30" s="136"/>
      <c r="H30" s="127" t="s">
        <v>2170</v>
      </c>
      <c r="I30" s="128">
        <f>IF(H30="","",VLOOKUP(H30,Tabela1[],2,0))</f>
        <v>6</v>
      </c>
      <c r="J30" s="135" t="s">
        <v>2</v>
      </c>
    </row>
    <row r="31" spans="1:35" customFormat="1" ht="14.4">
      <c r="A31" s="317"/>
      <c r="B31" s="141"/>
      <c r="C31" s="135">
        <v>25</v>
      </c>
      <c r="D31" s="135"/>
      <c r="E31" s="135" t="s">
        <v>16</v>
      </c>
      <c r="F31" s="135" t="s">
        <v>16</v>
      </c>
      <c r="G31" s="136"/>
      <c r="H31" s="127" t="s">
        <v>2170</v>
      </c>
      <c r="I31" s="128">
        <f>IF(H31="","",VLOOKUP(H31,Tabela1[],2,0))</f>
        <v>6</v>
      </c>
      <c r="J31" s="135" t="s">
        <v>2</v>
      </c>
    </row>
    <row r="32" spans="1:35" customFormat="1" ht="14.4">
      <c r="A32" s="317"/>
      <c r="B32" s="141"/>
      <c r="C32" s="135">
        <v>25</v>
      </c>
      <c r="D32" s="135"/>
      <c r="E32" s="135" t="s">
        <v>16</v>
      </c>
      <c r="F32" s="135" t="s">
        <v>16</v>
      </c>
      <c r="G32" s="136"/>
      <c r="H32" s="127" t="s">
        <v>2170</v>
      </c>
      <c r="I32" s="128">
        <f>IF(H32="","",VLOOKUP(H32,Tabela1[],2,0))</f>
        <v>6</v>
      </c>
      <c r="J32" s="135" t="s">
        <v>2</v>
      </c>
    </row>
    <row r="33" spans="1:10" customFormat="1" ht="14.4">
      <c r="A33" s="135"/>
      <c r="B33" s="141"/>
      <c r="C33" s="135">
        <v>25</v>
      </c>
      <c r="D33" s="135"/>
      <c r="E33" s="135" t="s">
        <v>16</v>
      </c>
      <c r="F33" s="135" t="s">
        <v>16</v>
      </c>
      <c r="G33" s="136"/>
      <c r="H33" s="127" t="s">
        <v>2170</v>
      </c>
      <c r="I33" s="128">
        <f>IF(H33="","",VLOOKUP(H33,Tabela1[],2,0))</f>
        <v>6</v>
      </c>
      <c r="J33" s="135" t="s">
        <v>2</v>
      </c>
    </row>
    <row r="34" spans="1:10" customFormat="1" ht="14.4">
      <c r="A34" s="135"/>
      <c r="B34" s="141"/>
      <c r="C34" s="135">
        <v>25</v>
      </c>
      <c r="D34" s="135"/>
      <c r="E34" s="135" t="s">
        <v>16</v>
      </c>
      <c r="F34" s="135" t="s">
        <v>16</v>
      </c>
      <c r="G34" s="136"/>
      <c r="H34" s="127" t="s">
        <v>2170</v>
      </c>
      <c r="I34" s="128">
        <f>IF(H34="","",VLOOKUP(H34,Tabela1[],2,0))</f>
        <v>6</v>
      </c>
      <c r="J34" s="135" t="s">
        <v>2</v>
      </c>
    </row>
    <row r="35" spans="1:10" customFormat="1" ht="14.4">
      <c r="A35" s="135"/>
      <c r="B35" s="141"/>
      <c r="C35" s="135">
        <v>25</v>
      </c>
      <c r="D35" s="135"/>
      <c r="E35" s="135" t="s">
        <v>16</v>
      </c>
      <c r="F35" s="135" t="s">
        <v>16</v>
      </c>
      <c r="G35" s="136"/>
      <c r="H35" s="127" t="s">
        <v>2170</v>
      </c>
      <c r="I35" s="128">
        <f>IF(H35="","",VLOOKUP(H35,Tabela1[],2,0))</f>
        <v>6</v>
      </c>
      <c r="J35" s="135" t="s">
        <v>2</v>
      </c>
    </row>
    <row r="36" spans="1:10" customFormat="1" ht="14.4">
      <c r="A36" s="135"/>
      <c r="B36" s="141"/>
      <c r="C36" s="135">
        <v>25</v>
      </c>
      <c r="D36" s="135"/>
      <c r="E36" s="135" t="s">
        <v>16</v>
      </c>
      <c r="F36" s="135" t="s">
        <v>16</v>
      </c>
      <c r="G36" s="136"/>
      <c r="H36" s="127" t="s">
        <v>2170</v>
      </c>
      <c r="I36" s="128">
        <f>IF(H36="","",VLOOKUP(H36,Tabela1[],2,0))</f>
        <v>6</v>
      </c>
      <c r="J36" s="135" t="s">
        <v>2</v>
      </c>
    </row>
    <row r="37" spans="1:10" customFormat="1" ht="14.4">
      <c r="A37" s="135"/>
      <c r="B37" s="141"/>
      <c r="C37" s="135">
        <v>25</v>
      </c>
      <c r="D37" s="135"/>
      <c r="E37" s="135" t="s">
        <v>16</v>
      </c>
      <c r="F37" s="135" t="s">
        <v>16</v>
      </c>
      <c r="G37" s="136"/>
      <c r="H37" s="127" t="s">
        <v>2170</v>
      </c>
      <c r="I37" s="128">
        <f>IF(H37="","",VLOOKUP(H37,Tabela1[],2,0))</f>
        <v>6</v>
      </c>
      <c r="J37" s="135" t="s">
        <v>2</v>
      </c>
    </row>
    <row r="38" spans="1:10" customFormat="1" ht="14.4">
      <c r="A38" s="67"/>
      <c r="B38" s="67"/>
      <c r="C38" s="67"/>
      <c r="D38" s="67"/>
      <c r="E38" s="67"/>
      <c r="F38" s="67"/>
      <c r="G38" s="69"/>
      <c r="H38" s="68"/>
      <c r="I38" s="69"/>
      <c r="J38" s="67"/>
    </row>
    <row r="39" spans="1:10" customFormat="1" ht="14.4">
      <c r="A39" s="67"/>
      <c r="B39" s="67"/>
      <c r="C39" s="67"/>
      <c r="D39" s="67"/>
      <c r="E39" s="67"/>
      <c r="F39" s="67"/>
      <c r="G39" s="69"/>
      <c r="H39" s="68"/>
      <c r="I39" s="69"/>
      <c r="J39" s="67"/>
    </row>
    <row r="40" spans="1:10" s="126" customFormat="1" ht="25.8">
      <c r="A40" s="124" t="s">
        <v>2177</v>
      </c>
      <c r="B40" s="124"/>
      <c r="C40" s="124"/>
      <c r="D40" s="124"/>
      <c r="E40" s="124"/>
      <c r="F40" s="125"/>
      <c r="G40" s="124"/>
      <c r="H40" s="124"/>
      <c r="I40" s="125"/>
      <c r="J40" s="124"/>
    </row>
    <row r="41" spans="1:10" customFormat="1" ht="14.4">
      <c r="A41" s="317"/>
      <c r="B41" s="141"/>
      <c r="C41" s="135">
        <v>25</v>
      </c>
      <c r="D41" s="135"/>
      <c r="E41" s="135" t="s">
        <v>16</v>
      </c>
      <c r="F41" s="135" t="s">
        <v>16</v>
      </c>
      <c r="G41" s="136"/>
      <c r="H41" s="127" t="s">
        <v>2171</v>
      </c>
      <c r="I41" s="128">
        <f>IF(H41="","",VLOOKUP(H41,Tabela1[],2,0))</f>
        <v>7</v>
      </c>
      <c r="J41" s="135" t="s">
        <v>2</v>
      </c>
    </row>
    <row r="42" spans="1:10" customFormat="1" ht="14.4">
      <c r="A42" s="317"/>
      <c r="B42" s="141"/>
      <c r="C42" s="135">
        <v>25</v>
      </c>
      <c r="D42" s="135"/>
      <c r="E42" s="135" t="s">
        <v>16</v>
      </c>
      <c r="F42" s="135" t="s">
        <v>16</v>
      </c>
      <c r="G42" s="136"/>
      <c r="H42" s="127" t="s">
        <v>2171</v>
      </c>
      <c r="I42" s="128">
        <f>IF(H42="","",VLOOKUP(H42,Tabela1[],2,0))</f>
        <v>7</v>
      </c>
      <c r="J42" s="135" t="s">
        <v>2</v>
      </c>
    </row>
    <row r="43" spans="1:10" customFormat="1" ht="14.4">
      <c r="A43" s="317"/>
      <c r="B43" s="141"/>
      <c r="C43" s="135">
        <v>25</v>
      </c>
      <c r="D43" s="135"/>
      <c r="E43" s="135" t="s">
        <v>16</v>
      </c>
      <c r="F43" s="135" t="s">
        <v>16</v>
      </c>
      <c r="G43" s="136"/>
      <c r="H43" s="127" t="s">
        <v>2171</v>
      </c>
      <c r="I43" s="128">
        <f>IF(H43="","",VLOOKUP(H43,Tabela1[],2,0))</f>
        <v>7</v>
      </c>
      <c r="J43" s="135" t="s">
        <v>2</v>
      </c>
    </row>
    <row r="44" spans="1:10" customFormat="1" ht="14.4">
      <c r="A44" s="317"/>
      <c r="B44" s="141"/>
      <c r="C44" s="135">
        <v>25</v>
      </c>
      <c r="D44" s="135"/>
      <c r="E44" s="135" t="s">
        <v>16</v>
      </c>
      <c r="F44" s="135" t="s">
        <v>16</v>
      </c>
      <c r="G44" s="136"/>
      <c r="H44" s="127" t="s">
        <v>2171</v>
      </c>
      <c r="I44" s="128">
        <f>IF(H44="","",VLOOKUP(H44,Tabela1[],2,0))</f>
        <v>7</v>
      </c>
      <c r="J44" s="135" t="s">
        <v>2</v>
      </c>
    </row>
    <row r="45" spans="1:10" customFormat="1" ht="14.4">
      <c r="A45" s="135"/>
      <c r="B45" s="141"/>
      <c r="C45" s="135">
        <v>25</v>
      </c>
      <c r="D45" s="135"/>
      <c r="E45" s="135" t="s">
        <v>16</v>
      </c>
      <c r="F45" s="135" t="s">
        <v>16</v>
      </c>
      <c r="G45" s="136"/>
      <c r="H45" s="127" t="s">
        <v>2171</v>
      </c>
      <c r="I45" s="128">
        <f>IF(H45="","",VLOOKUP(H45,Tabela1[],2,0))</f>
        <v>7</v>
      </c>
      <c r="J45" s="135" t="s">
        <v>2</v>
      </c>
    </row>
    <row r="46" spans="1:10" customFormat="1" ht="14.4">
      <c r="A46" s="135"/>
      <c r="B46" s="141"/>
      <c r="C46" s="135">
        <v>25</v>
      </c>
      <c r="D46" s="135"/>
      <c r="E46" s="135" t="s">
        <v>16</v>
      </c>
      <c r="F46" s="135" t="s">
        <v>16</v>
      </c>
      <c r="G46" s="136"/>
      <c r="H46" s="127" t="s">
        <v>2171</v>
      </c>
      <c r="I46" s="128">
        <f>IF(H46="","",VLOOKUP(H46,Tabela1[],2,0))</f>
        <v>7</v>
      </c>
      <c r="J46" s="135" t="s">
        <v>2</v>
      </c>
    </row>
    <row r="47" spans="1:10" customFormat="1" ht="14.4">
      <c r="A47" s="135"/>
      <c r="B47" s="141"/>
      <c r="C47" s="135">
        <v>25</v>
      </c>
      <c r="D47" s="135"/>
      <c r="E47" s="135" t="s">
        <v>16</v>
      </c>
      <c r="F47" s="135" t="s">
        <v>16</v>
      </c>
      <c r="G47" s="136"/>
      <c r="H47" s="127" t="s">
        <v>2171</v>
      </c>
      <c r="I47" s="128">
        <f>IF(H47="","",VLOOKUP(H47,Tabela1[],2,0))</f>
        <v>7</v>
      </c>
      <c r="J47" s="135" t="s">
        <v>2</v>
      </c>
    </row>
    <row r="48" spans="1:10" customFormat="1" ht="14.4">
      <c r="A48" s="135"/>
      <c r="B48" s="141"/>
      <c r="C48" s="135">
        <v>25</v>
      </c>
      <c r="D48" s="135"/>
      <c r="E48" s="135" t="s">
        <v>16</v>
      </c>
      <c r="F48" s="135" t="s">
        <v>16</v>
      </c>
      <c r="G48" s="136"/>
      <c r="H48" s="127" t="s">
        <v>2171</v>
      </c>
      <c r="I48" s="128">
        <f>IF(H48="","",VLOOKUP(H48,Tabela1[],2,0))</f>
        <v>7</v>
      </c>
      <c r="J48" s="135" t="s">
        <v>2</v>
      </c>
    </row>
    <row r="49" spans="1:10" customFormat="1" ht="14.4">
      <c r="A49" s="135"/>
      <c r="B49" s="141"/>
      <c r="C49" s="135">
        <v>25</v>
      </c>
      <c r="D49" s="135"/>
      <c r="E49" s="135" t="s">
        <v>16</v>
      </c>
      <c r="F49" s="135" t="s">
        <v>16</v>
      </c>
      <c r="G49" s="136"/>
      <c r="H49" s="127" t="s">
        <v>2171</v>
      </c>
      <c r="I49" s="128">
        <f>IF(H49="","",VLOOKUP(H49,Tabela1[],2,0))</f>
        <v>7</v>
      </c>
      <c r="J49" s="135" t="s">
        <v>2</v>
      </c>
    </row>
    <row r="50" spans="1:10" customFormat="1" ht="14.4">
      <c r="A50" s="67"/>
      <c r="B50" s="67"/>
      <c r="C50" s="67"/>
      <c r="D50" s="67"/>
      <c r="E50" s="67"/>
      <c r="F50" s="67"/>
      <c r="G50" s="69"/>
      <c r="H50" s="68"/>
      <c r="I50" s="69"/>
      <c r="J50" s="67"/>
    </row>
    <row r="51" spans="1:10" customFormat="1" ht="14.4">
      <c r="A51" s="67"/>
      <c r="B51" s="67"/>
      <c r="C51" s="67"/>
      <c r="D51" s="67"/>
      <c r="E51" s="67"/>
      <c r="F51" s="67"/>
      <c r="G51" s="69"/>
      <c r="H51" s="68"/>
      <c r="I51" s="69"/>
      <c r="J51" s="67"/>
    </row>
    <row r="52" spans="1:10" s="126" customFormat="1" ht="25.8">
      <c r="A52" s="124" t="s">
        <v>639</v>
      </c>
      <c r="B52" s="124"/>
      <c r="C52" s="124"/>
      <c r="D52" s="124"/>
      <c r="E52" s="124"/>
      <c r="F52" s="125"/>
      <c r="G52" s="124"/>
      <c r="H52" s="124"/>
      <c r="I52" s="125"/>
      <c r="J52" s="124"/>
    </row>
    <row r="53" spans="1:10" customFormat="1" ht="14.4">
      <c r="A53" s="135"/>
      <c r="B53" s="141"/>
      <c r="C53" s="135">
        <v>25</v>
      </c>
      <c r="D53" s="135"/>
      <c r="E53" s="135" t="s">
        <v>16</v>
      </c>
      <c r="F53" s="135" t="s">
        <v>16</v>
      </c>
      <c r="G53" s="136" t="s">
        <v>16</v>
      </c>
      <c r="H53" s="127" t="s">
        <v>2169</v>
      </c>
      <c r="I53" s="128">
        <f>IF(H53="","",VLOOKUP(H53,Tabela1[],2,0))</f>
        <v>5</v>
      </c>
      <c r="J53" s="135" t="s">
        <v>2</v>
      </c>
    </row>
    <row r="54" spans="1:10" customFormat="1" ht="14.4">
      <c r="A54" s="135"/>
      <c r="B54" s="141"/>
      <c r="C54" s="135">
        <v>25</v>
      </c>
      <c r="D54" s="135"/>
      <c r="E54" s="135" t="s">
        <v>16</v>
      </c>
      <c r="F54" s="135" t="s">
        <v>16</v>
      </c>
      <c r="G54" s="136" t="s">
        <v>16</v>
      </c>
      <c r="H54" s="127" t="s">
        <v>2169</v>
      </c>
      <c r="I54" s="128">
        <f>IF(H54="","",VLOOKUP(H54,Tabela1[],2,0))</f>
        <v>5</v>
      </c>
      <c r="J54" s="135" t="s">
        <v>2</v>
      </c>
    </row>
    <row r="55" spans="1:10" customFormat="1" ht="14.4">
      <c r="A55" s="135"/>
      <c r="B55" s="141"/>
      <c r="C55" s="135">
        <v>25</v>
      </c>
      <c r="D55" s="135"/>
      <c r="E55" s="135" t="s">
        <v>16</v>
      </c>
      <c r="F55" s="135" t="s">
        <v>16</v>
      </c>
      <c r="G55" s="136" t="s">
        <v>16</v>
      </c>
      <c r="H55" s="127" t="s">
        <v>2169</v>
      </c>
      <c r="I55" s="128">
        <f>IF(H55="","",VLOOKUP(H55,Tabela1[],2,0))</f>
        <v>5</v>
      </c>
      <c r="J55" s="135" t="s">
        <v>2</v>
      </c>
    </row>
    <row r="56" spans="1:10" customFormat="1" ht="14.4">
      <c r="A56" s="135"/>
      <c r="B56" s="141"/>
      <c r="C56" s="135">
        <v>25</v>
      </c>
      <c r="D56" s="135"/>
      <c r="E56" s="135" t="s">
        <v>16</v>
      </c>
      <c r="F56" s="135" t="s">
        <v>16</v>
      </c>
      <c r="G56" s="136" t="s">
        <v>16</v>
      </c>
      <c r="H56" s="127" t="s">
        <v>2169</v>
      </c>
      <c r="I56" s="128">
        <f>IF(H56="","",VLOOKUP(H56,Tabela1[],2,0))</f>
        <v>5</v>
      </c>
      <c r="J56" s="135" t="s">
        <v>2</v>
      </c>
    </row>
    <row r="57" spans="1:10" customFormat="1" ht="14.4">
      <c r="A57" s="67"/>
      <c r="B57" s="67"/>
      <c r="C57" s="67"/>
      <c r="D57" s="67"/>
      <c r="E57" s="67"/>
      <c r="F57" s="67"/>
      <c r="G57" s="69"/>
      <c r="H57" s="68"/>
      <c r="I57" s="69"/>
      <c r="J57" s="67"/>
    </row>
    <row r="58" spans="1:10" customFormat="1" ht="14.4">
      <c r="A58" s="67"/>
      <c r="B58" s="67"/>
      <c r="C58" s="67"/>
      <c r="D58" s="67"/>
      <c r="E58" s="67"/>
      <c r="F58" s="67"/>
      <c r="G58" s="69"/>
      <c r="H58" s="68"/>
      <c r="I58" s="69"/>
      <c r="J58" s="67"/>
    </row>
    <row r="59" spans="1:10" s="126" customFormat="1" ht="25.8">
      <c r="A59" s="130" t="s">
        <v>1757</v>
      </c>
      <c r="B59" s="130"/>
      <c r="C59" s="130"/>
      <c r="D59" s="130"/>
      <c r="E59" s="130"/>
      <c r="F59" s="131"/>
      <c r="G59" s="130"/>
      <c r="H59" s="130"/>
      <c r="I59" s="131"/>
      <c r="J59" s="130"/>
    </row>
    <row r="60" spans="1:10" ht="15" customHeight="1">
      <c r="A60" s="132" t="s">
        <v>1762</v>
      </c>
      <c r="B60" s="132">
        <v>7.85</v>
      </c>
      <c r="C60" s="132">
        <v>1</v>
      </c>
      <c r="D60" s="132"/>
      <c r="E60" s="132" t="s">
        <v>16</v>
      </c>
      <c r="F60" s="133" t="s">
        <v>16</v>
      </c>
      <c r="G60" s="132" t="s">
        <v>108</v>
      </c>
      <c r="H60" s="132" t="s">
        <v>2173</v>
      </c>
      <c r="I60" s="133">
        <f>IF(H60="","",VLOOKUP(H60,Tabela1[],2,0))</f>
        <v>9</v>
      </c>
      <c r="J60" s="132" t="s">
        <v>1</v>
      </c>
    </row>
    <row r="61" spans="1:10" ht="15" customHeight="1">
      <c r="A61" s="132" t="s">
        <v>21</v>
      </c>
      <c r="B61" s="132">
        <v>7.85</v>
      </c>
      <c r="C61" s="132">
        <v>1</v>
      </c>
      <c r="D61" s="132"/>
      <c r="E61" s="132" t="s">
        <v>16</v>
      </c>
      <c r="F61" s="133" t="s">
        <v>16</v>
      </c>
      <c r="G61" s="132" t="s">
        <v>108</v>
      </c>
      <c r="H61" s="132" t="s">
        <v>2173</v>
      </c>
      <c r="I61" s="133">
        <f>IF(H61="","",VLOOKUP(H61,Tabela1[],2,0))</f>
        <v>9</v>
      </c>
      <c r="J61" s="132" t="s">
        <v>1</v>
      </c>
    </row>
    <row r="62" spans="1:10" ht="15" customHeight="1">
      <c r="A62" s="132" t="s">
        <v>58</v>
      </c>
      <c r="B62" s="132">
        <v>7.85</v>
      </c>
      <c r="C62" s="132">
        <v>1</v>
      </c>
      <c r="D62" s="132"/>
      <c r="E62" s="132" t="s">
        <v>16</v>
      </c>
      <c r="F62" s="133" t="s">
        <v>16</v>
      </c>
      <c r="G62" s="132" t="s">
        <v>108</v>
      </c>
      <c r="H62" s="132" t="s">
        <v>2173</v>
      </c>
      <c r="I62" s="133">
        <f>IF(H62="","",VLOOKUP(H62,Tabela1[],2,0))</f>
        <v>9</v>
      </c>
      <c r="J62" s="132" t="s">
        <v>1</v>
      </c>
    </row>
    <row r="63" spans="1:10" ht="15" customHeight="1">
      <c r="A63" s="132" t="s">
        <v>1758</v>
      </c>
      <c r="B63" s="132">
        <v>8</v>
      </c>
      <c r="C63" s="132">
        <v>1</v>
      </c>
      <c r="D63" s="132"/>
      <c r="E63" s="132" t="s">
        <v>16</v>
      </c>
      <c r="F63" s="133" t="s">
        <v>16</v>
      </c>
      <c r="G63" s="132" t="s">
        <v>108</v>
      </c>
      <c r="H63" s="132" t="s">
        <v>2173</v>
      </c>
      <c r="I63" s="133">
        <f>IF(H63="","",VLOOKUP(H63,Tabela1[],2,0))</f>
        <v>9</v>
      </c>
      <c r="J63" s="132" t="s">
        <v>1</v>
      </c>
    </row>
    <row r="64" spans="1:10" ht="15" customHeight="1">
      <c r="A64" s="132" t="s">
        <v>1759</v>
      </c>
      <c r="B64" s="132">
        <v>8</v>
      </c>
      <c r="C64" s="132">
        <v>1</v>
      </c>
      <c r="D64" s="132"/>
      <c r="E64" s="132" t="s">
        <v>16</v>
      </c>
      <c r="F64" s="133" t="s">
        <v>16</v>
      </c>
      <c r="G64" s="132" t="s">
        <v>108</v>
      </c>
      <c r="H64" s="132" t="s">
        <v>2173</v>
      </c>
      <c r="I64" s="133">
        <f>IF(H64="","",VLOOKUP(H64,Tabela1[],2,0))</f>
        <v>9</v>
      </c>
      <c r="J64" s="132" t="s">
        <v>1</v>
      </c>
    </row>
    <row r="65" spans="1:10" ht="15" customHeight="1">
      <c r="A65" s="132" t="s">
        <v>1760</v>
      </c>
      <c r="B65" s="132">
        <v>8</v>
      </c>
      <c r="C65" s="132">
        <v>1</v>
      </c>
      <c r="D65" s="132"/>
      <c r="E65" s="132" t="s">
        <v>16</v>
      </c>
      <c r="F65" s="133" t="s">
        <v>16</v>
      </c>
      <c r="G65" s="132" t="s">
        <v>108</v>
      </c>
      <c r="H65" s="132" t="s">
        <v>2173</v>
      </c>
      <c r="I65" s="133">
        <f>IF(H65="","",VLOOKUP(H65,Tabela1[],2,0))</f>
        <v>9</v>
      </c>
      <c r="J65" s="132" t="s">
        <v>1</v>
      </c>
    </row>
    <row r="66" spans="1:10" ht="15" customHeight="1">
      <c r="A66" s="132" t="s">
        <v>1763</v>
      </c>
      <c r="B66" s="132">
        <v>8</v>
      </c>
      <c r="C66" s="132">
        <v>1</v>
      </c>
      <c r="D66" s="132"/>
      <c r="E66" s="132" t="s">
        <v>16</v>
      </c>
      <c r="F66" s="133" t="s">
        <v>16</v>
      </c>
      <c r="G66" s="132" t="s">
        <v>108</v>
      </c>
      <c r="H66" s="132" t="s">
        <v>2173</v>
      </c>
      <c r="I66" s="133">
        <f>IF(H66="","",VLOOKUP(H66,Tabela1[],2,0))</f>
        <v>9</v>
      </c>
      <c r="J66" s="132" t="s">
        <v>1</v>
      </c>
    </row>
    <row r="67" spans="1:10" ht="15" customHeight="1">
      <c r="A67" s="132" t="s">
        <v>1761</v>
      </c>
      <c r="B67" s="132">
        <v>8</v>
      </c>
      <c r="C67" s="132">
        <v>1</v>
      </c>
      <c r="D67" s="132"/>
      <c r="E67" s="132" t="s">
        <v>16</v>
      </c>
      <c r="F67" s="133" t="s">
        <v>16</v>
      </c>
      <c r="G67" s="132" t="s">
        <v>108</v>
      </c>
      <c r="H67" s="132" t="s">
        <v>2173</v>
      </c>
      <c r="I67" s="133">
        <f>IF(H67="","",VLOOKUP(H67,Tabela1[],2,0))</f>
        <v>9</v>
      </c>
      <c r="J67" s="132" t="s">
        <v>1</v>
      </c>
    </row>
    <row r="68" spans="1:10" ht="15" customHeight="1">
      <c r="A68" s="344" t="s">
        <v>1083</v>
      </c>
      <c r="B68" s="132">
        <v>1</v>
      </c>
      <c r="C68" s="132">
        <v>185</v>
      </c>
      <c r="D68" s="132"/>
      <c r="E68" s="132" t="s">
        <v>1091</v>
      </c>
      <c r="F68" s="133" t="s">
        <v>16</v>
      </c>
      <c r="G68" s="132" t="s">
        <v>108</v>
      </c>
      <c r="H68" s="132" t="s">
        <v>2173</v>
      </c>
      <c r="I68" s="133">
        <f>IF(H68="","",VLOOKUP(H68,Tabela1[],2,0))</f>
        <v>9</v>
      </c>
      <c r="J68" s="132" t="s">
        <v>1</v>
      </c>
    </row>
    <row r="69" spans="1:10" ht="15" customHeight="1">
      <c r="A69" s="344" t="s">
        <v>1084</v>
      </c>
      <c r="B69" s="132">
        <v>1</v>
      </c>
      <c r="C69" s="132">
        <v>140</v>
      </c>
      <c r="D69" s="132"/>
      <c r="E69" s="132" t="s">
        <v>1092</v>
      </c>
      <c r="F69" s="133" t="s">
        <v>16</v>
      </c>
      <c r="G69" s="132" t="s">
        <v>108</v>
      </c>
      <c r="H69" s="132" t="s">
        <v>2173</v>
      </c>
      <c r="I69" s="133">
        <f>IF(H69="","",VLOOKUP(H69,Tabela1[],2,0))</f>
        <v>9</v>
      </c>
      <c r="J69" s="132" t="s">
        <v>1</v>
      </c>
    </row>
    <row r="70" spans="1:10" ht="15" customHeight="1">
      <c r="A70" s="344" t="s">
        <v>1085</v>
      </c>
      <c r="B70" s="132">
        <v>1</v>
      </c>
      <c r="C70" s="132">
        <v>120</v>
      </c>
      <c r="D70" s="132"/>
      <c r="E70" s="132" t="s">
        <v>1093</v>
      </c>
      <c r="F70" s="133" t="s">
        <v>16</v>
      </c>
      <c r="G70" s="132" t="s">
        <v>108</v>
      </c>
      <c r="H70" s="132" t="s">
        <v>2173</v>
      </c>
      <c r="I70" s="133">
        <f>IF(H70="","",VLOOKUP(H70,Tabela1[],2,0))</f>
        <v>9</v>
      </c>
      <c r="J70" s="132" t="s">
        <v>1</v>
      </c>
    </row>
    <row r="71" spans="1:10" ht="15" customHeight="1">
      <c r="A71" s="344" t="s">
        <v>1086</v>
      </c>
      <c r="B71" s="132">
        <v>1</v>
      </c>
      <c r="C71" s="132">
        <v>180</v>
      </c>
      <c r="D71" s="132"/>
      <c r="E71" s="132" t="s">
        <v>1093</v>
      </c>
      <c r="F71" s="133" t="s">
        <v>16</v>
      </c>
      <c r="G71" s="132" t="s">
        <v>108</v>
      </c>
      <c r="H71" s="132" t="s">
        <v>2173</v>
      </c>
      <c r="I71" s="133">
        <f>IF(H71="","",VLOOKUP(H71,Tabela1[],2,0))</f>
        <v>9</v>
      </c>
      <c r="J71" s="132" t="s">
        <v>1</v>
      </c>
    </row>
    <row r="72" spans="1:10" ht="15" customHeight="1">
      <c r="A72" s="344" t="s">
        <v>1837</v>
      </c>
      <c r="B72" s="132">
        <v>1</v>
      </c>
      <c r="C72" s="132">
        <v>140</v>
      </c>
      <c r="D72" s="132"/>
      <c r="E72" s="344" t="s">
        <v>1839</v>
      </c>
      <c r="F72" s="133" t="s">
        <v>16</v>
      </c>
      <c r="G72" s="132" t="s">
        <v>108</v>
      </c>
      <c r="H72" s="132" t="s">
        <v>2173</v>
      </c>
      <c r="I72" s="133">
        <f>IF(H72="","",VLOOKUP(H72,Tabela1[],2,0))</f>
        <v>9</v>
      </c>
      <c r="J72" s="132" t="s">
        <v>1</v>
      </c>
    </row>
    <row r="73" spans="1:10" ht="15" customHeight="1">
      <c r="A73" s="344" t="s">
        <v>1838</v>
      </c>
      <c r="B73" s="132">
        <v>1</v>
      </c>
      <c r="C73" s="132">
        <v>140</v>
      </c>
      <c r="D73" s="132"/>
      <c r="E73" s="344" t="s">
        <v>1840</v>
      </c>
      <c r="F73" s="133" t="s">
        <v>16</v>
      </c>
      <c r="G73" s="132" t="s">
        <v>108</v>
      </c>
      <c r="H73" s="132" t="s">
        <v>2173</v>
      </c>
      <c r="I73" s="133">
        <f>IF(H73="","",VLOOKUP(H73,Tabela1[],2,0))</f>
        <v>9</v>
      </c>
      <c r="J73" s="132" t="s">
        <v>1</v>
      </c>
    </row>
    <row r="74" spans="1:10" customFormat="1" ht="14.4">
      <c r="A74" s="67"/>
      <c r="B74" s="67"/>
      <c r="C74" s="67"/>
      <c r="D74" s="67"/>
      <c r="E74" s="67"/>
      <c r="F74" s="67"/>
      <c r="G74" s="69"/>
      <c r="H74" s="68"/>
      <c r="I74" s="69"/>
      <c r="J74" s="67"/>
    </row>
    <row r="75" spans="1:10" customFormat="1" ht="14.4">
      <c r="A75" s="67"/>
      <c r="B75" s="67"/>
      <c r="C75" s="67"/>
      <c r="D75" s="67"/>
      <c r="E75" s="67"/>
      <c r="F75" s="67"/>
      <c r="G75" s="69"/>
      <c r="H75" s="68"/>
      <c r="I75" s="69"/>
      <c r="J75" s="67"/>
    </row>
    <row r="76" spans="1:10" s="126" customFormat="1" ht="25.8">
      <c r="A76" s="130" t="s">
        <v>640</v>
      </c>
      <c r="B76" s="130"/>
      <c r="C76" s="130"/>
      <c r="D76" s="130"/>
      <c r="E76" s="130"/>
      <c r="F76" s="131"/>
      <c r="G76" s="130"/>
      <c r="H76" s="130"/>
      <c r="I76" s="131"/>
      <c r="J76" s="130"/>
    </row>
    <row r="77" spans="1:10" ht="15" customHeight="1">
      <c r="A77" s="97" t="s">
        <v>74</v>
      </c>
      <c r="B77" s="97">
        <v>1.55</v>
      </c>
      <c r="C77" s="97">
        <v>35</v>
      </c>
      <c r="D77" s="97"/>
      <c r="E77" s="97" t="s">
        <v>509</v>
      </c>
      <c r="F77" s="98" t="s">
        <v>16</v>
      </c>
      <c r="G77" s="97">
        <v>22</v>
      </c>
      <c r="H77" s="67" t="s">
        <v>2169</v>
      </c>
      <c r="I77" s="68">
        <f>IF(H77="","",VLOOKUP(H77,Tabela1[],2,0))</f>
        <v>5</v>
      </c>
      <c r="J77" s="97" t="s">
        <v>2</v>
      </c>
    </row>
    <row r="78" spans="1:10" ht="15" customHeight="1">
      <c r="A78" s="67" t="s">
        <v>73</v>
      </c>
      <c r="B78" s="67">
        <v>0.8</v>
      </c>
      <c r="C78" s="67">
        <v>20</v>
      </c>
      <c r="D78" s="67"/>
      <c r="E78" s="67" t="s">
        <v>509</v>
      </c>
      <c r="F78" s="68" t="s">
        <v>16</v>
      </c>
      <c r="G78" s="67">
        <v>22</v>
      </c>
      <c r="H78" s="67" t="s">
        <v>2169</v>
      </c>
      <c r="I78" s="68">
        <f>IF(H78="","",VLOOKUP(H78,Tabela1[],2,0))</f>
        <v>5</v>
      </c>
      <c r="J78" s="67" t="s">
        <v>2</v>
      </c>
    </row>
    <row r="79" spans="1:10" ht="15" customHeight="1">
      <c r="A79" s="67" t="s">
        <v>522</v>
      </c>
      <c r="B79" s="67">
        <v>0.20200000000000001</v>
      </c>
      <c r="C79" s="67">
        <v>1</v>
      </c>
      <c r="D79" s="67"/>
      <c r="E79" s="67" t="s">
        <v>646</v>
      </c>
      <c r="F79" s="68" t="s">
        <v>510</v>
      </c>
      <c r="G79" s="67" t="s">
        <v>108</v>
      </c>
      <c r="H79" s="67" t="s">
        <v>2167</v>
      </c>
      <c r="I79" s="68">
        <f>IF(H79="","",VLOOKUP(H79,Tabela1[],2,0))</f>
        <v>3</v>
      </c>
      <c r="J79" s="67" t="s">
        <v>1</v>
      </c>
    </row>
    <row r="80" spans="1:10" ht="15" customHeight="1">
      <c r="A80" s="67" t="s">
        <v>521</v>
      </c>
      <c r="B80" s="67">
        <v>0.39200000000000002</v>
      </c>
      <c r="C80" s="67">
        <v>1</v>
      </c>
      <c r="D80" s="67"/>
      <c r="E80" s="67" t="s">
        <v>646</v>
      </c>
      <c r="F80" s="68" t="s">
        <v>510</v>
      </c>
      <c r="G80" s="67" t="s">
        <v>108</v>
      </c>
      <c r="H80" s="67" t="s">
        <v>2167</v>
      </c>
      <c r="I80" s="68">
        <f>IF(H80="","",VLOOKUP(H80,Tabela1[],2,0))</f>
        <v>3</v>
      </c>
      <c r="J80" s="67" t="s">
        <v>1</v>
      </c>
    </row>
    <row r="81" spans="1:10" ht="15" customHeight="1">
      <c r="A81" s="67" t="s">
        <v>511</v>
      </c>
      <c r="B81" s="67">
        <v>0.5</v>
      </c>
      <c r="C81" s="67">
        <v>1</v>
      </c>
      <c r="D81" s="67"/>
      <c r="E81" s="67" t="s">
        <v>16</v>
      </c>
      <c r="F81" s="68" t="s">
        <v>510</v>
      </c>
      <c r="G81" s="67" t="s">
        <v>108</v>
      </c>
      <c r="H81" s="67" t="s">
        <v>2166</v>
      </c>
      <c r="I81" s="68">
        <f>IF(H81="","",VLOOKUP(H81,Tabela1[],2,0))</f>
        <v>2</v>
      </c>
      <c r="J81" s="67" t="s">
        <v>1</v>
      </c>
    </row>
    <row r="82" spans="1:10" ht="15" customHeight="1">
      <c r="A82" s="67" t="s">
        <v>512</v>
      </c>
      <c r="B82" s="67">
        <v>0.6</v>
      </c>
      <c r="C82" s="67">
        <v>1</v>
      </c>
      <c r="D82" s="67"/>
      <c r="E82" s="67" t="s">
        <v>16</v>
      </c>
      <c r="F82" s="68" t="s">
        <v>510</v>
      </c>
      <c r="G82" s="67" t="s">
        <v>108</v>
      </c>
      <c r="H82" s="67" t="s">
        <v>2166</v>
      </c>
      <c r="I82" s="68">
        <f>IF(H82="","",VLOOKUP(H82,Tabela1[],2,0))</f>
        <v>2</v>
      </c>
      <c r="J82" s="67" t="s">
        <v>1</v>
      </c>
    </row>
    <row r="83" spans="1:10" ht="15" customHeight="1">
      <c r="A83" s="67" t="s">
        <v>513</v>
      </c>
      <c r="B83" s="67">
        <v>0.8</v>
      </c>
      <c r="C83" s="67">
        <v>1</v>
      </c>
      <c r="D83" s="67"/>
      <c r="E83" s="67" t="s">
        <v>16</v>
      </c>
      <c r="F83" s="68" t="s">
        <v>510</v>
      </c>
      <c r="G83" s="67" t="s">
        <v>108</v>
      </c>
      <c r="H83" s="67" t="s">
        <v>2166</v>
      </c>
      <c r="I83" s="68">
        <f>IF(H83="","",VLOOKUP(H83,Tabela1[],2,0))</f>
        <v>2</v>
      </c>
      <c r="J83" s="67" t="s">
        <v>1</v>
      </c>
    </row>
    <row r="84" spans="1:10" ht="15" customHeight="1">
      <c r="A84" s="67" t="s">
        <v>514</v>
      </c>
      <c r="B84" s="67">
        <v>0.9</v>
      </c>
      <c r="C84" s="67">
        <v>1</v>
      </c>
      <c r="D84" s="67"/>
      <c r="E84" s="67" t="s">
        <v>16</v>
      </c>
      <c r="F84" s="68" t="s">
        <v>510</v>
      </c>
      <c r="G84" s="67" t="s">
        <v>108</v>
      </c>
      <c r="H84" s="67" t="s">
        <v>2166</v>
      </c>
      <c r="I84" s="68">
        <f>IF(H84="","",VLOOKUP(H84,Tabela1[],2,0))</f>
        <v>2</v>
      </c>
      <c r="J84" s="67" t="s">
        <v>1</v>
      </c>
    </row>
    <row r="85" spans="1:10" ht="15" customHeight="1">
      <c r="A85" s="67" t="s">
        <v>515</v>
      </c>
      <c r="B85" s="67">
        <v>1</v>
      </c>
      <c r="C85" s="67">
        <v>1</v>
      </c>
      <c r="D85" s="67"/>
      <c r="E85" s="67" t="s">
        <v>16</v>
      </c>
      <c r="F85" s="68" t="s">
        <v>510</v>
      </c>
      <c r="G85" s="67" t="s">
        <v>108</v>
      </c>
      <c r="H85" s="67" t="s">
        <v>2166</v>
      </c>
      <c r="I85" s="68">
        <f>IF(H85="","",VLOOKUP(H85,Tabela1[],2,0))</f>
        <v>2</v>
      </c>
      <c r="J85" s="67" t="s">
        <v>1</v>
      </c>
    </row>
    <row r="86" spans="1:10" ht="15" customHeight="1">
      <c r="A86" s="67" t="s">
        <v>516</v>
      </c>
      <c r="B86" s="67">
        <v>1.2</v>
      </c>
      <c r="C86" s="67">
        <v>1</v>
      </c>
      <c r="D86" s="67"/>
      <c r="E86" s="67" t="s">
        <v>16</v>
      </c>
      <c r="F86" s="68" t="s">
        <v>510</v>
      </c>
      <c r="G86" s="67" t="s">
        <v>108</v>
      </c>
      <c r="H86" s="67" t="s">
        <v>2166</v>
      </c>
      <c r="I86" s="68">
        <f>IF(H86="","",VLOOKUP(H86,Tabela1[],2,0))</f>
        <v>2</v>
      </c>
      <c r="J86" s="67" t="s">
        <v>1</v>
      </c>
    </row>
    <row r="87" spans="1:10" ht="15" customHeight="1">
      <c r="A87" s="67" t="s">
        <v>517</v>
      </c>
      <c r="B87" s="67">
        <v>1.75</v>
      </c>
      <c r="C87" s="67">
        <v>1</v>
      </c>
      <c r="D87" s="67"/>
      <c r="E87" s="67" t="s">
        <v>16</v>
      </c>
      <c r="F87" s="68" t="s">
        <v>510</v>
      </c>
      <c r="G87" s="67" t="s">
        <v>108</v>
      </c>
      <c r="H87" s="67" t="s">
        <v>2166</v>
      </c>
      <c r="I87" s="68">
        <f>IF(H87="","",VLOOKUP(H87,Tabela1[],2,0))</f>
        <v>2</v>
      </c>
      <c r="J87" s="67" t="s">
        <v>1</v>
      </c>
    </row>
    <row r="88" spans="1:10" ht="15" customHeight="1">
      <c r="A88" s="67" t="s">
        <v>389</v>
      </c>
      <c r="B88" s="67">
        <v>1</v>
      </c>
      <c r="C88" s="67">
        <v>1</v>
      </c>
      <c r="D88" s="67"/>
      <c r="E88" s="67" t="s">
        <v>16</v>
      </c>
      <c r="F88" s="68" t="s">
        <v>510</v>
      </c>
      <c r="G88" s="67" t="s">
        <v>108</v>
      </c>
      <c r="H88" s="67" t="s">
        <v>2167</v>
      </c>
      <c r="I88" s="68">
        <f>IF(H88="","",VLOOKUP(H88,Tabela1[],2,0))</f>
        <v>3</v>
      </c>
      <c r="J88" s="67" t="s">
        <v>1</v>
      </c>
    </row>
    <row r="89" spans="1:10" ht="15" customHeight="1">
      <c r="A89" s="67" t="s">
        <v>72</v>
      </c>
      <c r="B89" s="67">
        <v>0.85</v>
      </c>
      <c r="C89" s="67">
        <v>1</v>
      </c>
      <c r="D89" s="67"/>
      <c r="E89" s="67" t="s">
        <v>16</v>
      </c>
      <c r="F89" s="68" t="s">
        <v>510</v>
      </c>
      <c r="G89" s="67" t="s">
        <v>108</v>
      </c>
      <c r="H89" s="67" t="s">
        <v>2167</v>
      </c>
      <c r="I89" s="68">
        <f>IF(H89="","",VLOOKUP(H89,Tabela1[],2,0))</f>
        <v>3</v>
      </c>
      <c r="J89" s="67" t="s">
        <v>1</v>
      </c>
    </row>
    <row r="90" spans="1:10" ht="15" customHeight="1">
      <c r="A90" s="67" t="s">
        <v>390</v>
      </c>
      <c r="B90" s="67">
        <v>0.85</v>
      </c>
      <c r="C90" s="67">
        <v>1</v>
      </c>
      <c r="D90" s="67"/>
      <c r="E90" s="67" t="s">
        <v>16</v>
      </c>
      <c r="F90" s="68" t="s">
        <v>510</v>
      </c>
      <c r="G90" s="67" t="s">
        <v>108</v>
      </c>
      <c r="H90" s="67" t="s">
        <v>2167</v>
      </c>
      <c r="I90" s="68">
        <f>IF(H90="","",VLOOKUP(H90,Tabela1[],2,0))</f>
        <v>3</v>
      </c>
      <c r="J90" s="67" t="s">
        <v>1</v>
      </c>
    </row>
    <row r="91" spans="1:10" ht="15" customHeight="1">
      <c r="A91" s="67" t="s">
        <v>391</v>
      </c>
      <c r="B91" s="67">
        <v>0.85</v>
      </c>
      <c r="C91" s="67">
        <v>1</v>
      </c>
      <c r="D91" s="67"/>
      <c r="E91" s="67" t="s">
        <v>16</v>
      </c>
      <c r="F91" s="68" t="s">
        <v>510</v>
      </c>
      <c r="G91" s="67" t="s">
        <v>108</v>
      </c>
      <c r="H91" s="67" t="s">
        <v>2167</v>
      </c>
      <c r="I91" s="68">
        <f>IF(H91="","",VLOOKUP(H91,Tabela1[],2,0))</f>
        <v>3</v>
      </c>
      <c r="J91" s="67" t="s">
        <v>1</v>
      </c>
    </row>
    <row r="92" spans="1:10" ht="15" customHeight="1">
      <c r="A92" s="353" t="s">
        <v>1805</v>
      </c>
      <c r="B92" s="67">
        <v>0.85</v>
      </c>
      <c r="C92" s="67">
        <v>1</v>
      </c>
      <c r="D92" s="67"/>
      <c r="E92" s="67" t="s">
        <v>16</v>
      </c>
      <c r="F92" s="68" t="s">
        <v>510</v>
      </c>
      <c r="G92" s="67" t="s">
        <v>108</v>
      </c>
      <c r="H92" s="67" t="s">
        <v>2167</v>
      </c>
      <c r="I92" s="68">
        <f>IF(H92="","",VLOOKUP(H92,Tabela1[],2,0))</f>
        <v>3</v>
      </c>
      <c r="J92" s="67" t="s">
        <v>1</v>
      </c>
    </row>
    <row r="93" spans="1:10" ht="15" customHeight="1">
      <c r="A93" s="67" t="s">
        <v>20</v>
      </c>
      <c r="B93" s="67">
        <v>0.245</v>
      </c>
      <c r="C93" s="67">
        <v>1</v>
      </c>
      <c r="D93" s="67"/>
      <c r="E93" s="67" t="s">
        <v>646</v>
      </c>
      <c r="F93" s="68" t="s">
        <v>510</v>
      </c>
      <c r="G93" s="67" t="s">
        <v>108</v>
      </c>
      <c r="H93" s="67" t="s">
        <v>2167</v>
      </c>
      <c r="I93" s="68">
        <f>IF(H93="","",VLOOKUP(H93,Tabela1[],2,0))</f>
        <v>3</v>
      </c>
      <c r="J93" s="67" t="s">
        <v>1</v>
      </c>
    </row>
    <row r="94" spans="1:10" ht="15" customHeight="1">
      <c r="A94" s="67" t="s">
        <v>114</v>
      </c>
      <c r="B94" s="67">
        <v>0.22500000000000001</v>
      </c>
      <c r="C94" s="67">
        <v>1</v>
      </c>
      <c r="D94" s="67"/>
      <c r="E94" s="67" t="s">
        <v>646</v>
      </c>
      <c r="F94" s="68" t="s">
        <v>510</v>
      </c>
      <c r="G94" s="67" t="s">
        <v>108</v>
      </c>
      <c r="H94" s="67" t="s">
        <v>2167</v>
      </c>
      <c r="I94" s="68">
        <f>IF(H94="","",VLOOKUP(H94,Tabela1[],2,0))</f>
        <v>3</v>
      </c>
      <c r="J94" s="67" t="s">
        <v>1</v>
      </c>
    </row>
    <row r="95" spans="1:10" ht="15" customHeight="1">
      <c r="A95" s="67" t="s">
        <v>663</v>
      </c>
      <c r="B95" s="67">
        <v>0.95</v>
      </c>
      <c r="C95" s="67">
        <v>1</v>
      </c>
      <c r="D95" s="67"/>
      <c r="E95" s="67" t="s">
        <v>646</v>
      </c>
      <c r="F95" s="68" t="s">
        <v>510</v>
      </c>
      <c r="G95" s="67" t="s">
        <v>108</v>
      </c>
      <c r="H95" s="67" t="s">
        <v>2166</v>
      </c>
      <c r="I95" s="68">
        <f>IF(H95="","",VLOOKUP(H95,Tabela1[],2,0))</f>
        <v>2</v>
      </c>
      <c r="J95" s="67" t="s">
        <v>1</v>
      </c>
    </row>
    <row r="96" spans="1:10" ht="15" customHeight="1">
      <c r="A96" s="67" t="s">
        <v>1764</v>
      </c>
      <c r="B96" s="67">
        <v>0.24</v>
      </c>
      <c r="C96" s="67">
        <v>1</v>
      </c>
      <c r="D96" s="67"/>
      <c r="E96" s="67" t="s">
        <v>16</v>
      </c>
      <c r="F96" s="68" t="s">
        <v>510</v>
      </c>
      <c r="G96" s="67" t="s">
        <v>108</v>
      </c>
      <c r="H96" s="67" t="s">
        <v>2167</v>
      </c>
      <c r="I96" s="68">
        <f>IF(H96="","",VLOOKUP(H96,Tabela1[],2,0))</f>
        <v>3</v>
      </c>
      <c r="J96" s="67" t="s">
        <v>1</v>
      </c>
    </row>
    <row r="97" spans="1:10" ht="15" customHeight="1">
      <c r="A97" s="67" t="s">
        <v>1765</v>
      </c>
      <c r="B97" s="67">
        <v>0.27</v>
      </c>
      <c r="C97" s="67">
        <v>1</v>
      </c>
      <c r="D97" s="67"/>
      <c r="E97" s="67" t="s">
        <v>16</v>
      </c>
      <c r="F97" s="68" t="s">
        <v>510</v>
      </c>
      <c r="G97" s="67" t="s">
        <v>108</v>
      </c>
      <c r="H97" s="67" t="s">
        <v>2167</v>
      </c>
      <c r="I97" s="68">
        <f>IF(H97="","",VLOOKUP(H97,Tabela1[],2,0))</f>
        <v>3</v>
      </c>
      <c r="J97" s="67" t="s">
        <v>1</v>
      </c>
    </row>
    <row r="98" spans="1:10" ht="15" customHeight="1">
      <c r="A98" s="67" t="s">
        <v>1825</v>
      </c>
      <c r="B98" s="67">
        <v>0.24</v>
      </c>
      <c r="C98" s="67">
        <v>1</v>
      </c>
      <c r="D98" s="67"/>
      <c r="E98" s="67" t="s">
        <v>16</v>
      </c>
      <c r="F98" s="68" t="s">
        <v>510</v>
      </c>
      <c r="G98" s="67" t="s">
        <v>108</v>
      </c>
      <c r="H98" s="67" t="s">
        <v>2167</v>
      </c>
      <c r="I98" s="68">
        <f>IF(H98="","",VLOOKUP(H98,Tabela1[],2,0))</f>
        <v>3</v>
      </c>
      <c r="J98" s="67" t="s">
        <v>1</v>
      </c>
    </row>
    <row r="99" spans="1:10" ht="15" customHeight="1">
      <c r="A99" s="67" t="s">
        <v>1826</v>
      </c>
      <c r="B99" s="67">
        <v>0.27</v>
      </c>
      <c r="C99" s="67">
        <v>1</v>
      </c>
      <c r="D99" s="67"/>
      <c r="E99" s="67" t="s">
        <v>16</v>
      </c>
      <c r="F99" s="68" t="s">
        <v>510</v>
      </c>
      <c r="G99" s="67" t="s">
        <v>108</v>
      </c>
      <c r="H99" s="67" t="s">
        <v>2167</v>
      </c>
      <c r="I99" s="68">
        <f>IF(H99="","",VLOOKUP(H99,Tabela1[],2,0))</f>
        <v>3</v>
      </c>
      <c r="J99" s="67" t="s">
        <v>1</v>
      </c>
    </row>
    <row r="100" spans="1:10" customFormat="1" ht="14.4">
      <c r="A100" s="67"/>
      <c r="B100" s="67"/>
      <c r="C100" s="67"/>
      <c r="D100" s="67"/>
      <c r="E100" s="67"/>
      <c r="F100" s="67"/>
      <c r="G100" s="69"/>
      <c r="H100" s="68"/>
      <c r="I100" s="69"/>
      <c r="J100" s="67"/>
    </row>
    <row r="101" spans="1:10" customFormat="1" ht="14.4">
      <c r="A101" s="67"/>
      <c r="B101" s="67"/>
      <c r="C101" s="67"/>
      <c r="D101" s="67"/>
      <c r="E101" s="67"/>
      <c r="F101" s="67"/>
      <c r="G101" s="69"/>
      <c r="H101" s="68"/>
      <c r="I101" s="69"/>
      <c r="J101" s="67"/>
    </row>
    <row r="102" spans="1:10" s="126" customFormat="1" ht="25.8">
      <c r="A102" s="130" t="s">
        <v>641</v>
      </c>
      <c r="B102" s="130"/>
      <c r="C102" s="130"/>
      <c r="D102" s="130"/>
      <c r="E102" s="130"/>
      <c r="F102" s="131"/>
      <c r="G102" s="130"/>
      <c r="H102" s="130"/>
      <c r="I102" s="131"/>
      <c r="J102" s="130"/>
    </row>
    <row r="103" spans="1:10" ht="15" customHeight="1">
      <c r="A103" s="598" t="s">
        <v>1806</v>
      </c>
      <c r="B103" s="492">
        <v>9.6000000000000002E-2</v>
      </c>
      <c r="C103" s="492">
        <v>1</v>
      </c>
      <c r="D103" s="492"/>
      <c r="E103" s="492" t="s">
        <v>16</v>
      </c>
      <c r="F103" s="397" t="s">
        <v>16</v>
      </c>
      <c r="G103" s="492" t="s">
        <v>108</v>
      </c>
      <c r="H103" s="598" t="s">
        <v>2168</v>
      </c>
      <c r="I103" s="599">
        <f>IF(H103="","",VLOOKUP(H103,Tabela1[],2,0))</f>
        <v>4</v>
      </c>
      <c r="J103" s="598" t="s">
        <v>1</v>
      </c>
    </row>
    <row r="104" spans="1:10" ht="15" customHeight="1">
      <c r="A104" s="492" t="s">
        <v>1807</v>
      </c>
      <c r="B104" s="492">
        <v>0.128</v>
      </c>
      <c r="C104" s="492">
        <v>1</v>
      </c>
      <c r="D104" s="492"/>
      <c r="E104" s="492" t="s">
        <v>16</v>
      </c>
      <c r="F104" s="397" t="s">
        <v>16</v>
      </c>
      <c r="G104" s="492" t="s">
        <v>108</v>
      </c>
      <c r="H104" s="598" t="s">
        <v>2168</v>
      </c>
      <c r="I104" s="599">
        <f>IF(H104="","",VLOOKUP(H104,Tabela1[],2,0))</f>
        <v>4</v>
      </c>
      <c r="J104" s="598" t="s">
        <v>1</v>
      </c>
    </row>
    <row r="105" spans="1:10" ht="15" customHeight="1">
      <c r="A105" s="492" t="s">
        <v>1808</v>
      </c>
      <c r="B105" s="492">
        <v>0.16</v>
      </c>
      <c r="C105" s="492">
        <v>1</v>
      </c>
      <c r="D105" s="492"/>
      <c r="E105" s="492" t="s">
        <v>16</v>
      </c>
      <c r="F105" s="397" t="s">
        <v>16</v>
      </c>
      <c r="G105" s="492" t="s">
        <v>108</v>
      </c>
      <c r="H105" s="598" t="s">
        <v>2168</v>
      </c>
      <c r="I105" s="599">
        <f>IF(H105="","",VLOOKUP(H105,Tabela1[],2,0))</f>
        <v>4</v>
      </c>
      <c r="J105" s="598" t="s">
        <v>1</v>
      </c>
    </row>
    <row r="106" spans="1:10" ht="15" customHeight="1">
      <c r="A106" s="492" t="s">
        <v>1809</v>
      </c>
      <c r="B106" s="492">
        <v>0.192</v>
      </c>
      <c r="C106" s="492">
        <v>1</v>
      </c>
      <c r="D106" s="492"/>
      <c r="E106" s="492" t="s">
        <v>16</v>
      </c>
      <c r="F106" s="397" t="s">
        <v>16</v>
      </c>
      <c r="G106" s="492" t="s">
        <v>108</v>
      </c>
      <c r="H106" s="598" t="s">
        <v>2168</v>
      </c>
      <c r="I106" s="599">
        <f>IF(H106="","",VLOOKUP(H106,Tabela1[],2,0))</f>
        <v>4</v>
      </c>
      <c r="J106" s="598" t="s">
        <v>1</v>
      </c>
    </row>
    <row r="107" spans="1:10" ht="15" customHeight="1">
      <c r="A107" s="492" t="s">
        <v>1810</v>
      </c>
      <c r="B107" s="492">
        <v>0.22</v>
      </c>
      <c r="C107" s="492">
        <v>1</v>
      </c>
      <c r="D107" s="492"/>
      <c r="E107" s="492" t="s">
        <v>16</v>
      </c>
      <c r="F107" s="397" t="s">
        <v>16</v>
      </c>
      <c r="G107" s="492" t="s">
        <v>108</v>
      </c>
      <c r="H107" s="598" t="s">
        <v>2168</v>
      </c>
      <c r="I107" s="599">
        <f>IF(H107="","",VLOOKUP(H107,Tabela1[],2,0))</f>
        <v>4</v>
      </c>
      <c r="J107" s="598" t="s">
        <v>1</v>
      </c>
    </row>
    <row r="108" spans="1:10" ht="15" customHeight="1">
      <c r="A108" s="492" t="s">
        <v>1811</v>
      </c>
      <c r="B108" s="492">
        <v>9.6000000000000002E-2</v>
      </c>
      <c r="C108" s="492">
        <v>1</v>
      </c>
      <c r="D108" s="492"/>
      <c r="E108" s="492" t="s">
        <v>16</v>
      </c>
      <c r="F108" s="397" t="s">
        <v>16</v>
      </c>
      <c r="G108" s="492" t="s">
        <v>108</v>
      </c>
      <c r="H108" s="598" t="s">
        <v>2168</v>
      </c>
      <c r="I108" s="599">
        <f>IF(H108="","",VLOOKUP(H108,Tabela1[],2,0))</f>
        <v>4</v>
      </c>
      <c r="J108" s="598" t="s">
        <v>2</v>
      </c>
    </row>
    <row r="109" spans="1:10" ht="15" customHeight="1">
      <c r="A109" s="492" t="s">
        <v>1812</v>
      </c>
      <c r="B109" s="492">
        <v>0.128</v>
      </c>
      <c r="C109" s="492">
        <v>1</v>
      </c>
      <c r="D109" s="492"/>
      <c r="E109" s="492" t="s">
        <v>16</v>
      </c>
      <c r="F109" s="397" t="s">
        <v>16</v>
      </c>
      <c r="G109" s="492" t="s">
        <v>108</v>
      </c>
      <c r="H109" s="598" t="s">
        <v>2168</v>
      </c>
      <c r="I109" s="599">
        <f>IF(H109="","",VLOOKUP(H109,Tabela1[],2,0))</f>
        <v>4</v>
      </c>
      <c r="J109" s="598" t="s">
        <v>2</v>
      </c>
    </row>
    <row r="110" spans="1:10" ht="15" customHeight="1">
      <c r="A110" s="492" t="s">
        <v>1813</v>
      </c>
      <c r="B110" s="492">
        <v>0.21</v>
      </c>
      <c r="C110" s="492">
        <v>1</v>
      </c>
      <c r="D110" s="492"/>
      <c r="E110" s="492" t="s">
        <v>16</v>
      </c>
      <c r="F110" s="397" t="s">
        <v>16</v>
      </c>
      <c r="G110" s="492" t="s">
        <v>108</v>
      </c>
      <c r="H110" s="598" t="s">
        <v>2168</v>
      </c>
      <c r="I110" s="599">
        <f>IF(H110="","",VLOOKUP(H110,Tabela1[],2,0))</f>
        <v>4</v>
      </c>
      <c r="J110" s="598" t="s">
        <v>1</v>
      </c>
    </row>
    <row r="111" spans="1:10" ht="15" customHeight="1">
      <c r="A111" s="492" t="s">
        <v>1814</v>
      </c>
      <c r="B111" s="492">
        <v>0.21</v>
      </c>
      <c r="C111" s="492">
        <v>1</v>
      </c>
      <c r="D111" s="492"/>
      <c r="E111" s="492" t="s">
        <v>16</v>
      </c>
      <c r="F111" s="397" t="s">
        <v>16</v>
      </c>
      <c r="G111" s="492" t="s">
        <v>108</v>
      </c>
      <c r="H111" s="598" t="s">
        <v>2168</v>
      </c>
      <c r="I111" s="599">
        <f>IF(H111="","",VLOOKUP(H111,Tabela1[],2,0))</f>
        <v>4</v>
      </c>
      <c r="J111" s="598" t="s">
        <v>1</v>
      </c>
    </row>
    <row r="112" spans="1:10" ht="15" customHeight="1">
      <c r="A112" s="492" t="s">
        <v>1816</v>
      </c>
      <c r="B112" s="492">
        <v>9.6000000000000002E-2</v>
      </c>
      <c r="C112" s="492">
        <v>1</v>
      </c>
      <c r="D112" s="492"/>
      <c r="E112" s="492" t="s">
        <v>16</v>
      </c>
      <c r="F112" s="397" t="s">
        <v>16</v>
      </c>
      <c r="G112" s="492" t="s">
        <v>108</v>
      </c>
      <c r="H112" s="598" t="s">
        <v>2168</v>
      </c>
      <c r="I112" s="599">
        <f>IF(H112="","",VLOOKUP(H112,Tabela1[],2,0))</f>
        <v>4</v>
      </c>
      <c r="J112" s="598" t="s">
        <v>1</v>
      </c>
    </row>
    <row r="113" spans="1:10" ht="15" customHeight="1">
      <c r="A113" s="492" t="s">
        <v>1815</v>
      </c>
      <c r="B113" s="492">
        <v>0.128</v>
      </c>
      <c r="C113" s="492">
        <v>1</v>
      </c>
      <c r="D113" s="492"/>
      <c r="E113" s="492" t="s">
        <v>16</v>
      </c>
      <c r="F113" s="397" t="s">
        <v>16</v>
      </c>
      <c r="G113" s="492" t="s">
        <v>108</v>
      </c>
      <c r="H113" s="598" t="s">
        <v>2168</v>
      </c>
      <c r="I113" s="599">
        <f>IF(H113="","",VLOOKUP(H113,Tabela1[],2,0))</f>
        <v>4</v>
      </c>
      <c r="J113" s="598" t="s">
        <v>1</v>
      </c>
    </row>
    <row r="114" spans="1:10" ht="15" customHeight="1">
      <c r="A114" s="492" t="s">
        <v>1817</v>
      </c>
      <c r="B114" s="492">
        <v>0.16</v>
      </c>
      <c r="C114" s="492">
        <v>1</v>
      </c>
      <c r="D114" s="492"/>
      <c r="E114" s="492" t="s">
        <v>16</v>
      </c>
      <c r="F114" s="397" t="s">
        <v>16</v>
      </c>
      <c r="G114" s="492" t="s">
        <v>108</v>
      </c>
      <c r="H114" s="598" t="s">
        <v>2168</v>
      </c>
      <c r="I114" s="599">
        <f>IF(H114="","",VLOOKUP(H114,Tabela1[],2,0))</f>
        <v>4</v>
      </c>
      <c r="J114" s="598" t="s">
        <v>1</v>
      </c>
    </row>
    <row r="115" spans="1:10" ht="15" customHeight="1">
      <c r="A115" s="492" t="s">
        <v>1818</v>
      </c>
      <c r="B115" s="492">
        <v>0.192</v>
      </c>
      <c r="C115" s="492">
        <v>1</v>
      </c>
      <c r="D115" s="492"/>
      <c r="E115" s="492" t="s">
        <v>16</v>
      </c>
      <c r="F115" s="397" t="s">
        <v>16</v>
      </c>
      <c r="G115" s="492" t="s">
        <v>108</v>
      </c>
      <c r="H115" s="598" t="s">
        <v>2168</v>
      </c>
      <c r="I115" s="599">
        <f>IF(H115="","",VLOOKUP(H115,Tabela1[],2,0))</f>
        <v>4</v>
      </c>
      <c r="J115" s="598" t="s">
        <v>1</v>
      </c>
    </row>
    <row r="116" spans="1:10" ht="15" customHeight="1">
      <c r="A116" s="492" t="s">
        <v>1819</v>
      </c>
      <c r="B116" s="492">
        <v>0.22</v>
      </c>
      <c r="C116" s="492">
        <v>1</v>
      </c>
      <c r="D116" s="492"/>
      <c r="E116" s="492" t="s">
        <v>16</v>
      </c>
      <c r="F116" s="397" t="s">
        <v>16</v>
      </c>
      <c r="G116" s="492" t="s">
        <v>108</v>
      </c>
      <c r="H116" s="598" t="s">
        <v>2168</v>
      </c>
      <c r="I116" s="599">
        <f>IF(H116="","",VLOOKUP(H116,Tabela1[],2,0))</f>
        <v>4</v>
      </c>
      <c r="J116" s="598" t="s">
        <v>1</v>
      </c>
    </row>
    <row r="117" spans="1:10" ht="15" customHeight="1">
      <c r="A117" s="492" t="s">
        <v>1820</v>
      </c>
      <c r="B117" s="492">
        <v>9.6000000000000002E-2</v>
      </c>
      <c r="C117" s="492">
        <v>1</v>
      </c>
      <c r="D117" s="492"/>
      <c r="E117" s="492" t="s">
        <v>16</v>
      </c>
      <c r="F117" s="397" t="s">
        <v>16</v>
      </c>
      <c r="G117" s="492" t="s">
        <v>108</v>
      </c>
      <c r="H117" s="598" t="s">
        <v>2168</v>
      </c>
      <c r="I117" s="599">
        <f>IF(H117="","",VLOOKUP(H117,Tabela1[],2,0))</f>
        <v>4</v>
      </c>
      <c r="J117" s="598" t="s">
        <v>2</v>
      </c>
    </row>
    <row r="118" spans="1:10" ht="15" customHeight="1">
      <c r="A118" s="492" t="s">
        <v>1821</v>
      </c>
      <c r="B118" s="492">
        <v>0.128</v>
      </c>
      <c r="C118" s="492">
        <v>1</v>
      </c>
      <c r="D118" s="492"/>
      <c r="E118" s="492" t="s">
        <v>16</v>
      </c>
      <c r="F118" s="397" t="s">
        <v>16</v>
      </c>
      <c r="G118" s="492" t="s">
        <v>108</v>
      </c>
      <c r="H118" s="598" t="s">
        <v>2168</v>
      </c>
      <c r="I118" s="599">
        <f>IF(H118="","",VLOOKUP(H118,Tabela1[],2,0))</f>
        <v>4</v>
      </c>
      <c r="J118" s="598" t="s">
        <v>2</v>
      </c>
    </row>
    <row r="119" spans="1:10" ht="15" customHeight="1">
      <c r="A119" s="492" t="s">
        <v>1822</v>
      </c>
      <c r="B119" s="492">
        <v>0.21</v>
      </c>
      <c r="C119" s="492">
        <v>1</v>
      </c>
      <c r="D119" s="492"/>
      <c r="E119" s="492" t="s">
        <v>16</v>
      </c>
      <c r="F119" s="397" t="s">
        <v>16</v>
      </c>
      <c r="G119" s="492" t="s">
        <v>108</v>
      </c>
      <c r="H119" s="598" t="s">
        <v>2168</v>
      </c>
      <c r="I119" s="599">
        <f>IF(H119="","",VLOOKUP(H119,Tabela1[],2,0))</f>
        <v>4</v>
      </c>
      <c r="J119" s="598" t="s">
        <v>1</v>
      </c>
    </row>
    <row r="120" spans="1:10" ht="15" customHeight="1">
      <c r="A120" s="492" t="s">
        <v>1823</v>
      </c>
      <c r="B120" s="492">
        <v>0.21</v>
      </c>
      <c r="C120" s="492">
        <v>1</v>
      </c>
      <c r="D120" s="492"/>
      <c r="E120" s="492" t="s">
        <v>16</v>
      </c>
      <c r="F120" s="397" t="s">
        <v>16</v>
      </c>
      <c r="G120" s="492" t="s">
        <v>108</v>
      </c>
      <c r="H120" s="598" t="s">
        <v>2168</v>
      </c>
      <c r="I120" s="599">
        <f>IF(H120="","",VLOOKUP(H120,Tabela1[],2,0))</f>
        <v>4</v>
      </c>
      <c r="J120" s="598" t="s">
        <v>1</v>
      </c>
    </row>
    <row r="121" spans="1:10" ht="15" customHeight="1">
      <c r="A121" s="493" t="s">
        <v>1766</v>
      </c>
      <c r="B121" s="493">
        <v>6.4000000000000001E-2</v>
      </c>
      <c r="C121" s="493">
        <v>1</v>
      </c>
      <c r="D121" s="493"/>
      <c r="E121" s="493" t="s">
        <v>16</v>
      </c>
      <c r="F121" s="494"/>
      <c r="G121" s="493" t="s">
        <v>108</v>
      </c>
      <c r="H121" s="600" t="s">
        <v>2168</v>
      </c>
      <c r="I121" s="601">
        <f>IF(H121="","",VLOOKUP(H121,Tabela1[],2,0))</f>
        <v>4</v>
      </c>
      <c r="J121" s="600" t="s">
        <v>1</v>
      </c>
    </row>
    <row r="122" spans="1:10" ht="15" customHeight="1">
      <c r="A122" s="493" t="s">
        <v>1767</v>
      </c>
      <c r="B122" s="493">
        <v>9.6000000000000002E-2</v>
      </c>
      <c r="C122" s="493">
        <v>1</v>
      </c>
      <c r="D122" s="493"/>
      <c r="E122" s="493" t="s">
        <v>16</v>
      </c>
      <c r="F122" s="494"/>
      <c r="G122" s="493" t="s">
        <v>108</v>
      </c>
      <c r="H122" s="600" t="s">
        <v>2168</v>
      </c>
      <c r="I122" s="601">
        <f>IF(H122="","",VLOOKUP(H122,Tabela1[],2,0))</f>
        <v>4</v>
      </c>
      <c r="J122" s="600" t="s">
        <v>1</v>
      </c>
    </row>
    <row r="123" spans="1:10" ht="15" customHeight="1">
      <c r="A123" s="493" t="s">
        <v>1768</v>
      </c>
      <c r="B123" s="493">
        <v>0.128</v>
      </c>
      <c r="C123" s="493">
        <v>1</v>
      </c>
      <c r="D123" s="493"/>
      <c r="E123" s="493" t="s">
        <v>16</v>
      </c>
      <c r="F123" s="494"/>
      <c r="G123" s="493" t="s">
        <v>108</v>
      </c>
      <c r="H123" s="600" t="s">
        <v>2168</v>
      </c>
      <c r="I123" s="601">
        <f>IF(H123="","",VLOOKUP(H123,Tabela1[],2,0))</f>
        <v>4</v>
      </c>
      <c r="J123" s="600" t="s">
        <v>1</v>
      </c>
    </row>
    <row r="124" spans="1:10" ht="15" customHeight="1">
      <c r="A124" s="493" t="s">
        <v>1769</v>
      </c>
      <c r="B124" s="493">
        <v>0.16</v>
      </c>
      <c r="C124" s="493">
        <v>1</v>
      </c>
      <c r="D124" s="493"/>
      <c r="E124" s="600" t="s">
        <v>16</v>
      </c>
      <c r="F124" s="494"/>
      <c r="G124" s="493" t="s">
        <v>108</v>
      </c>
      <c r="H124" s="600" t="s">
        <v>2168</v>
      </c>
      <c r="I124" s="601">
        <f>IF(H124="","",VLOOKUP(H124,Tabela1[],2,0))</f>
        <v>4</v>
      </c>
      <c r="J124" s="600" t="s">
        <v>1</v>
      </c>
    </row>
    <row r="125" spans="1:10" ht="15" customHeight="1">
      <c r="A125" s="493" t="s">
        <v>1770</v>
      </c>
      <c r="B125" s="493">
        <v>6.4000000000000001E-2</v>
      </c>
      <c r="C125" s="493">
        <v>1</v>
      </c>
      <c r="D125" s="493"/>
      <c r="E125" s="493" t="s">
        <v>16</v>
      </c>
      <c r="F125" s="494"/>
      <c r="G125" s="493" t="s">
        <v>108</v>
      </c>
      <c r="H125" s="600" t="s">
        <v>2168</v>
      </c>
      <c r="I125" s="601">
        <f>IF(H125="","",VLOOKUP(H125,Tabela1[],2,0))</f>
        <v>4</v>
      </c>
      <c r="J125" s="600" t="s">
        <v>1</v>
      </c>
    </row>
    <row r="126" spans="1:10" ht="15" customHeight="1">
      <c r="A126" s="493" t="s">
        <v>1771</v>
      </c>
      <c r="B126" s="493">
        <v>9.6000000000000002E-2</v>
      </c>
      <c r="C126" s="493">
        <v>1</v>
      </c>
      <c r="D126" s="493"/>
      <c r="E126" s="493" t="s">
        <v>16</v>
      </c>
      <c r="F126" s="494"/>
      <c r="G126" s="493" t="s">
        <v>108</v>
      </c>
      <c r="H126" s="600" t="s">
        <v>2168</v>
      </c>
      <c r="I126" s="601">
        <f>IF(H126="","",VLOOKUP(H126,Tabela1[],2,0))</f>
        <v>4</v>
      </c>
      <c r="J126" s="600" t="s">
        <v>1</v>
      </c>
    </row>
    <row r="127" spans="1:10" ht="15" customHeight="1">
      <c r="A127" s="493" t="s">
        <v>1772</v>
      </c>
      <c r="B127" s="493">
        <v>0.128</v>
      </c>
      <c r="C127" s="493">
        <v>1</v>
      </c>
      <c r="D127" s="493"/>
      <c r="E127" s="493" t="s">
        <v>16</v>
      </c>
      <c r="F127" s="494"/>
      <c r="G127" s="493" t="s">
        <v>108</v>
      </c>
      <c r="H127" s="600" t="s">
        <v>2168</v>
      </c>
      <c r="I127" s="601">
        <f>IF(H127="","",VLOOKUP(H127,Tabela1[],2,0))</f>
        <v>4</v>
      </c>
      <c r="J127" s="600" t="s">
        <v>1</v>
      </c>
    </row>
    <row r="128" spans="1:10" ht="15" customHeight="1">
      <c r="A128" s="493" t="s">
        <v>1773</v>
      </c>
      <c r="B128" s="493">
        <v>0.16</v>
      </c>
      <c r="C128" s="493">
        <v>1</v>
      </c>
      <c r="D128" s="493"/>
      <c r="E128" s="493" t="s">
        <v>16</v>
      </c>
      <c r="F128" s="494"/>
      <c r="G128" s="493" t="s">
        <v>108</v>
      </c>
      <c r="H128" s="600" t="s">
        <v>2168</v>
      </c>
      <c r="I128" s="601">
        <f>IF(H128="","",VLOOKUP(H128,Tabela1[],2,0))</f>
        <v>4</v>
      </c>
      <c r="J128" s="600" t="s">
        <v>1</v>
      </c>
    </row>
    <row r="129" spans="1:10" ht="15" customHeight="1">
      <c r="A129" s="493" t="s">
        <v>1774</v>
      </c>
      <c r="B129" s="493">
        <v>9.6000000000000002E-2</v>
      </c>
      <c r="C129" s="493">
        <v>1</v>
      </c>
      <c r="D129" s="493"/>
      <c r="E129" s="493" t="s">
        <v>16</v>
      </c>
      <c r="F129" s="494"/>
      <c r="G129" s="493" t="s">
        <v>108</v>
      </c>
      <c r="H129" s="600" t="s">
        <v>2168</v>
      </c>
      <c r="I129" s="601">
        <f>IF(H129="","",VLOOKUP(H129,Tabela1[],2,0))</f>
        <v>4</v>
      </c>
      <c r="J129" s="600" t="s">
        <v>1</v>
      </c>
    </row>
    <row r="130" spans="1:10" ht="15" customHeight="1">
      <c r="A130" s="493" t="s">
        <v>1775</v>
      </c>
      <c r="B130" s="493">
        <v>0.128</v>
      </c>
      <c r="C130" s="493">
        <v>1</v>
      </c>
      <c r="D130" s="493"/>
      <c r="E130" s="493" t="s">
        <v>16</v>
      </c>
      <c r="F130" s="494"/>
      <c r="G130" s="493" t="s">
        <v>108</v>
      </c>
      <c r="H130" s="600" t="s">
        <v>2168</v>
      </c>
      <c r="I130" s="601">
        <f>IF(H130="","",VLOOKUP(H130,Tabela1[],2,0))</f>
        <v>4</v>
      </c>
      <c r="J130" s="600" t="s">
        <v>1</v>
      </c>
    </row>
    <row r="131" spans="1:10" ht="15" customHeight="1">
      <c r="A131" s="493" t="s">
        <v>1776</v>
      </c>
      <c r="B131" s="493">
        <v>0.16</v>
      </c>
      <c r="C131" s="493">
        <v>1</v>
      </c>
      <c r="D131" s="493"/>
      <c r="E131" s="493" t="s">
        <v>16</v>
      </c>
      <c r="F131" s="494"/>
      <c r="G131" s="493" t="s">
        <v>108</v>
      </c>
      <c r="H131" s="600" t="s">
        <v>2168</v>
      </c>
      <c r="I131" s="601">
        <f>IF(H131="","",VLOOKUP(H131,Tabela1[],2,0))</f>
        <v>4</v>
      </c>
      <c r="J131" s="600" t="s">
        <v>1</v>
      </c>
    </row>
    <row r="132" spans="1:10" ht="15" customHeight="1">
      <c r="A132" s="493" t="s">
        <v>1774</v>
      </c>
      <c r="B132" s="493">
        <v>9.6000000000000002E-2</v>
      </c>
      <c r="C132" s="493">
        <v>1</v>
      </c>
      <c r="D132" s="493"/>
      <c r="E132" s="493" t="s">
        <v>16</v>
      </c>
      <c r="F132" s="494"/>
      <c r="G132" s="493" t="s">
        <v>108</v>
      </c>
      <c r="H132" s="600" t="s">
        <v>2168</v>
      </c>
      <c r="I132" s="601">
        <f>IF(H132="","",VLOOKUP(H132,Tabela1[],2,0))</f>
        <v>4</v>
      </c>
      <c r="J132" s="600" t="s">
        <v>1</v>
      </c>
    </row>
    <row r="133" spans="1:10" ht="15" customHeight="1">
      <c r="A133" s="493" t="s">
        <v>1777</v>
      </c>
      <c r="B133" s="493">
        <v>0.08</v>
      </c>
      <c r="C133" s="493">
        <v>1</v>
      </c>
      <c r="D133" s="493"/>
      <c r="E133" s="493" t="s">
        <v>16</v>
      </c>
      <c r="F133" s="494"/>
      <c r="G133" s="493" t="s">
        <v>108</v>
      </c>
      <c r="H133" s="600" t="s">
        <v>2168</v>
      </c>
      <c r="I133" s="601">
        <f>IF(H133="","",VLOOKUP(H133,Tabela1[],2,0))</f>
        <v>4</v>
      </c>
      <c r="J133" s="600" t="s">
        <v>1</v>
      </c>
    </row>
    <row r="134" spans="1:10" ht="15" customHeight="1">
      <c r="A134" s="493" t="s">
        <v>1778</v>
      </c>
      <c r="B134" s="493">
        <v>0.1</v>
      </c>
      <c r="C134" s="493">
        <v>1</v>
      </c>
      <c r="D134" s="493"/>
      <c r="E134" s="493" t="s">
        <v>16</v>
      </c>
      <c r="F134" s="494"/>
      <c r="G134" s="493" t="s">
        <v>108</v>
      </c>
      <c r="H134" s="600" t="s">
        <v>2168</v>
      </c>
      <c r="I134" s="601">
        <f>IF(H134="","",VLOOKUP(H134,Tabela1[],2,0))</f>
        <v>4</v>
      </c>
      <c r="J134" s="600" t="s">
        <v>1</v>
      </c>
    </row>
    <row r="135" spans="1:10" ht="15" customHeight="1">
      <c r="A135" s="493" t="s">
        <v>1779</v>
      </c>
      <c r="B135" s="493">
        <v>0.08</v>
      </c>
      <c r="C135" s="493">
        <v>1</v>
      </c>
      <c r="D135" s="493"/>
      <c r="E135" s="493" t="s">
        <v>16</v>
      </c>
      <c r="F135" s="494"/>
      <c r="G135" s="493" t="s">
        <v>108</v>
      </c>
      <c r="H135" s="600" t="s">
        <v>2168</v>
      </c>
      <c r="I135" s="601">
        <f>IF(H135="","",VLOOKUP(H135,Tabela1[],2,0))</f>
        <v>4</v>
      </c>
      <c r="J135" s="600" t="s">
        <v>1</v>
      </c>
    </row>
    <row r="136" spans="1:10" ht="15" customHeight="1">
      <c r="A136" s="495" t="s">
        <v>1780</v>
      </c>
      <c r="B136" s="496">
        <v>0.32</v>
      </c>
      <c r="C136" s="496">
        <v>1</v>
      </c>
      <c r="D136" s="496"/>
      <c r="E136" s="496" t="s">
        <v>16</v>
      </c>
      <c r="F136" s="377"/>
      <c r="G136" s="496" t="s">
        <v>108</v>
      </c>
      <c r="H136" s="603" t="s">
        <v>2167</v>
      </c>
      <c r="I136" s="602">
        <f>IF(H136="","",VLOOKUP(H136,Tabela1[],2,0))</f>
        <v>3</v>
      </c>
      <c r="J136" s="496" t="s">
        <v>1</v>
      </c>
    </row>
    <row r="137" spans="1:10" ht="15" customHeight="1">
      <c r="A137" s="495" t="s">
        <v>1781</v>
      </c>
      <c r="B137" s="496">
        <v>0.32</v>
      </c>
      <c r="C137" s="496">
        <v>1</v>
      </c>
      <c r="D137" s="496"/>
      <c r="E137" s="496" t="s">
        <v>16</v>
      </c>
      <c r="F137" s="602"/>
      <c r="G137" s="496" t="s">
        <v>108</v>
      </c>
      <c r="H137" s="603" t="s">
        <v>2167</v>
      </c>
      <c r="I137" s="602">
        <f>IF(H137="","",VLOOKUP(H137,Tabela1[],2,0))</f>
        <v>3</v>
      </c>
      <c r="J137" s="496" t="s">
        <v>1</v>
      </c>
    </row>
    <row r="138" spans="1:10" ht="15" customHeight="1">
      <c r="A138" s="496" t="s">
        <v>1782</v>
      </c>
      <c r="B138" s="496">
        <v>0.33300000000000002</v>
      </c>
      <c r="C138" s="496">
        <v>1</v>
      </c>
      <c r="D138" s="496"/>
      <c r="E138" s="496" t="s">
        <v>16</v>
      </c>
      <c r="F138" s="377"/>
      <c r="G138" s="496" t="s">
        <v>108</v>
      </c>
      <c r="H138" s="603" t="s">
        <v>2167</v>
      </c>
      <c r="I138" s="602">
        <f>IF(H138="","",VLOOKUP(H138,Tabela1[],2,0))</f>
        <v>3</v>
      </c>
      <c r="J138" s="496" t="s">
        <v>1</v>
      </c>
    </row>
    <row r="139" spans="1:10" ht="15" customHeight="1">
      <c r="A139" s="496" t="s">
        <v>1783</v>
      </c>
      <c r="B139" s="496">
        <v>0.30599999999999999</v>
      </c>
      <c r="C139" s="496">
        <v>1</v>
      </c>
      <c r="D139" s="496"/>
      <c r="E139" s="496" t="s">
        <v>16</v>
      </c>
      <c r="F139" s="377"/>
      <c r="G139" s="496" t="s">
        <v>108</v>
      </c>
      <c r="H139" s="603" t="s">
        <v>2167</v>
      </c>
      <c r="I139" s="602">
        <f>IF(H139="","",VLOOKUP(H139,Tabela1[],2,0))</f>
        <v>3</v>
      </c>
      <c r="J139" s="496" t="s">
        <v>1</v>
      </c>
    </row>
    <row r="140" spans="1:10" ht="15" customHeight="1">
      <c r="A140" s="496" t="s">
        <v>1785</v>
      </c>
      <c r="B140" s="496">
        <v>0.35</v>
      </c>
      <c r="C140" s="496">
        <v>1</v>
      </c>
      <c r="D140" s="496"/>
      <c r="E140" s="496" t="s">
        <v>16</v>
      </c>
      <c r="F140" s="377"/>
      <c r="G140" s="496" t="s">
        <v>108</v>
      </c>
      <c r="H140" s="603" t="s">
        <v>2167</v>
      </c>
      <c r="I140" s="602">
        <f>IF(H140="","",VLOOKUP(H140,Tabela1[],2,0))</f>
        <v>3</v>
      </c>
      <c r="J140" s="496" t="s">
        <v>1</v>
      </c>
    </row>
    <row r="141" spans="1:10" ht="15" customHeight="1">
      <c r="A141" s="496" t="s">
        <v>1784</v>
      </c>
      <c r="B141" s="496">
        <v>0.35</v>
      </c>
      <c r="C141" s="496">
        <v>1</v>
      </c>
      <c r="D141" s="496"/>
      <c r="E141" s="496" t="s">
        <v>16</v>
      </c>
      <c r="F141" s="377"/>
      <c r="G141" s="496" t="s">
        <v>108</v>
      </c>
      <c r="H141" s="603" t="s">
        <v>2167</v>
      </c>
      <c r="I141" s="602">
        <f>IF(H141="","",VLOOKUP(H141,Tabela1[],2,0))</f>
        <v>3</v>
      </c>
      <c r="J141" s="496" t="s">
        <v>1</v>
      </c>
    </row>
    <row r="142" spans="1:10" ht="15" customHeight="1">
      <c r="A142" s="497" t="s">
        <v>1786</v>
      </c>
      <c r="B142" s="498">
        <v>1</v>
      </c>
      <c r="C142" s="498">
        <v>1</v>
      </c>
      <c r="D142" s="498"/>
      <c r="E142" s="498" t="s">
        <v>16</v>
      </c>
      <c r="F142" s="378"/>
      <c r="G142" s="604" t="s">
        <v>108</v>
      </c>
      <c r="H142" s="604" t="s">
        <v>2168</v>
      </c>
      <c r="I142" s="605">
        <f>IF(H142="","",VLOOKUP(H142,Tabela1[],2,0))</f>
        <v>4</v>
      </c>
      <c r="J142" s="498" t="s">
        <v>1</v>
      </c>
    </row>
    <row r="143" spans="1:10" ht="15" customHeight="1">
      <c r="A143" s="498" t="s">
        <v>1787</v>
      </c>
      <c r="B143" s="498">
        <v>0.9</v>
      </c>
      <c r="C143" s="498">
        <v>1</v>
      </c>
      <c r="D143" s="498"/>
      <c r="E143" s="498" t="s">
        <v>16</v>
      </c>
      <c r="F143" s="378"/>
      <c r="G143" s="498" t="s">
        <v>108</v>
      </c>
      <c r="H143" s="604" t="s">
        <v>2168</v>
      </c>
      <c r="I143" s="605">
        <f>IF(H143="","",VLOOKUP(H143,Tabela1[],2,0))</f>
        <v>4</v>
      </c>
      <c r="J143" s="498" t="s">
        <v>1</v>
      </c>
    </row>
    <row r="144" spans="1:10" ht="15" customHeight="1">
      <c r="A144" s="498" t="s">
        <v>671</v>
      </c>
      <c r="B144" s="498">
        <v>0.435</v>
      </c>
      <c r="C144" s="498">
        <v>1</v>
      </c>
      <c r="D144" s="498"/>
      <c r="E144" s="498" t="s">
        <v>16</v>
      </c>
      <c r="F144" s="378"/>
      <c r="G144" s="498" t="s">
        <v>108</v>
      </c>
      <c r="H144" s="604" t="s">
        <v>2168</v>
      </c>
      <c r="I144" s="605">
        <f>IF(H144="","",VLOOKUP(H144,Tabela1[],2,0))</f>
        <v>4</v>
      </c>
      <c r="J144" s="498" t="s">
        <v>1</v>
      </c>
    </row>
    <row r="145" spans="1:10" ht="15" customHeight="1">
      <c r="A145" s="499" t="s">
        <v>1788</v>
      </c>
      <c r="B145" s="499">
        <v>9.6000000000000002E-2</v>
      </c>
      <c r="C145" s="499">
        <v>1</v>
      </c>
      <c r="D145" s="499"/>
      <c r="E145" s="499" t="s">
        <v>16</v>
      </c>
      <c r="F145" s="448"/>
      <c r="G145" s="499" t="s">
        <v>108</v>
      </c>
      <c r="H145" s="606" t="s">
        <v>2168</v>
      </c>
      <c r="I145" s="607">
        <f>IF(H145="","",VLOOKUP(H145,Tabela1[],2,0))</f>
        <v>4</v>
      </c>
      <c r="J145" s="499" t="s">
        <v>1</v>
      </c>
    </row>
    <row r="146" spans="1:10" ht="15" customHeight="1">
      <c r="A146" s="499" t="s">
        <v>1789</v>
      </c>
      <c r="B146" s="499">
        <v>0.128</v>
      </c>
      <c r="C146" s="499">
        <v>1</v>
      </c>
      <c r="D146" s="499"/>
      <c r="E146" s="499" t="s">
        <v>16</v>
      </c>
      <c r="F146" s="448"/>
      <c r="G146" s="499" t="s">
        <v>108</v>
      </c>
      <c r="H146" s="606" t="s">
        <v>2168</v>
      </c>
      <c r="I146" s="607">
        <f>IF(H146="","",VLOOKUP(H146,Tabela1[],2,0))</f>
        <v>4</v>
      </c>
      <c r="J146" s="499" t="s">
        <v>1</v>
      </c>
    </row>
    <row r="147" spans="1:10" ht="15" customHeight="1">
      <c r="A147" s="499" t="s">
        <v>1790</v>
      </c>
      <c r="B147" s="499">
        <v>0.16</v>
      </c>
      <c r="C147" s="499">
        <v>1</v>
      </c>
      <c r="D147" s="499"/>
      <c r="E147" s="499" t="s">
        <v>16</v>
      </c>
      <c r="F147" s="448"/>
      <c r="G147" s="499" t="s">
        <v>108</v>
      </c>
      <c r="H147" s="606" t="s">
        <v>2168</v>
      </c>
      <c r="I147" s="607">
        <f>IF(H147="","",VLOOKUP(H147,Tabela1[],2,0))</f>
        <v>4</v>
      </c>
      <c r="J147" s="499" t="s">
        <v>1</v>
      </c>
    </row>
    <row r="148" spans="1:10" ht="15" customHeight="1">
      <c r="A148" s="499" t="s">
        <v>1791</v>
      </c>
      <c r="B148" s="499">
        <v>0.192</v>
      </c>
      <c r="C148" s="499">
        <v>1</v>
      </c>
      <c r="D148" s="499"/>
      <c r="E148" s="499" t="s">
        <v>16</v>
      </c>
      <c r="F148" s="448"/>
      <c r="G148" s="499" t="s">
        <v>108</v>
      </c>
      <c r="H148" s="606" t="s">
        <v>2168</v>
      </c>
      <c r="I148" s="607">
        <f>IF(H148="","",VLOOKUP(H148,Tabela1[],2,0))</f>
        <v>4</v>
      </c>
      <c r="J148" s="499" t="s">
        <v>1</v>
      </c>
    </row>
    <row r="149" spans="1:10" ht="15" customHeight="1">
      <c r="A149" s="499" t="s">
        <v>1792</v>
      </c>
      <c r="B149" s="499">
        <v>0.28799999999999998</v>
      </c>
      <c r="C149" s="499">
        <v>1</v>
      </c>
      <c r="D149" s="499"/>
      <c r="E149" s="499" t="s">
        <v>16</v>
      </c>
      <c r="F149" s="448"/>
      <c r="G149" s="499" t="s">
        <v>108</v>
      </c>
      <c r="H149" s="606" t="s">
        <v>2168</v>
      </c>
      <c r="I149" s="607">
        <f>IF(H149="","",VLOOKUP(H149,Tabela1[],2,0))</f>
        <v>4</v>
      </c>
      <c r="J149" s="499" t="s">
        <v>1</v>
      </c>
    </row>
    <row r="150" spans="1:10" ht="15" customHeight="1">
      <c r="A150" s="499" t="s">
        <v>1793</v>
      </c>
      <c r="B150" s="499">
        <v>9.6000000000000002E-2</v>
      </c>
      <c r="C150" s="499">
        <v>1</v>
      </c>
      <c r="D150" s="499"/>
      <c r="E150" s="499" t="s">
        <v>16</v>
      </c>
      <c r="F150" s="448"/>
      <c r="G150" s="499" t="s">
        <v>108</v>
      </c>
      <c r="H150" s="606" t="s">
        <v>2168</v>
      </c>
      <c r="I150" s="607">
        <f>IF(H150="","",VLOOKUP(H150,Tabela1[],2,0))</f>
        <v>4</v>
      </c>
      <c r="J150" s="499" t="s">
        <v>1</v>
      </c>
    </row>
    <row r="151" spans="1:10" ht="15" customHeight="1">
      <c r="A151" s="499" t="s">
        <v>1794</v>
      </c>
      <c r="B151" s="499">
        <v>0.128</v>
      </c>
      <c r="C151" s="499">
        <v>1</v>
      </c>
      <c r="D151" s="499"/>
      <c r="E151" s="499" t="s">
        <v>16</v>
      </c>
      <c r="F151" s="448"/>
      <c r="G151" s="499" t="s">
        <v>108</v>
      </c>
      <c r="H151" s="606" t="s">
        <v>2168</v>
      </c>
      <c r="I151" s="607">
        <f>IF(H151="","",VLOOKUP(H151,Tabela1[],2,0))</f>
        <v>4</v>
      </c>
      <c r="J151" s="499" t="s">
        <v>1</v>
      </c>
    </row>
    <row r="152" spans="1:10" ht="15" customHeight="1">
      <c r="A152" s="499" t="s">
        <v>1795</v>
      </c>
      <c r="B152" s="499">
        <v>0.16</v>
      </c>
      <c r="C152" s="499">
        <v>1</v>
      </c>
      <c r="D152" s="499"/>
      <c r="E152" s="499" t="s">
        <v>16</v>
      </c>
      <c r="F152" s="448"/>
      <c r="G152" s="606" t="s">
        <v>108</v>
      </c>
      <c r="H152" s="606" t="s">
        <v>2168</v>
      </c>
      <c r="I152" s="607">
        <f>IF(H152="","",VLOOKUP(H152,Tabela1[],2,0))</f>
        <v>4</v>
      </c>
      <c r="J152" s="499" t="s">
        <v>1</v>
      </c>
    </row>
    <row r="153" spans="1:10" ht="15" customHeight="1">
      <c r="A153" s="499" t="s">
        <v>1796</v>
      </c>
      <c r="B153" s="499">
        <v>0.192</v>
      </c>
      <c r="C153" s="499">
        <v>1</v>
      </c>
      <c r="D153" s="499"/>
      <c r="E153" s="499" t="s">
        <v>16</v>
      </c>
      <c r="F153" s="448"/>
      <c r="G153" s="499" t="s">
        <v>108</v>
      </c>
      <c r="H153" s="606" t="s">
        <v>2168</v>
      </c>
      <c r="I153" s="607">
        <f>IF(H153="","",VLOOKUP(H153,Tabela1[],2,0))</f>
        <v>4</v>
      </c>
      <c r="J153" s="499" t="s">
        <v>1</v>
      </c>
    </row>
    <row r="154" spans="1:10" ht="15" customHeight="1">
      <c r="A154" s="499" t="s">
        <v>1797</v>
      </c>
      <c r="B154" s="499">
        <v>0.28799999999999998</v>
      </c>
      <c r="C154" s="499">
        <v>1</v>
      </c>
      <c r="D154" s="499"/>
      <c r="E154" s="499" t="s">
        <v>16</v>
      </c>
      <c r="F154" s="448"/>
      <c r="G154" s="499" t="s">
        <v>108</v>
      </c>
      <c r="H154" s="606" t="s">
        <v>2168</v>
      </c>
      <c r="I154" s="607">
        <f>IF(H154="","",VLOOKUP(H154,Tabela1[],2,0))</f>
        <v>4</v>
      </c>
      <c r="J154" s="499" t="s">
        <v>1</v>
      </c>
    </row>
    <row r="155" spans="1:10" ht="15" customHeight="1">
      <c r="A155" s="498" t="s">
        <v>1798</v>
      </c>
      <c r="B155" s="498">
        <v>0.25</v>
      </c>
      <c r="C155" s="498">
        <v>1</v>
      </c>
      <c r="D155" s="498"/>
      <c r="E155" s="498" t="s">
        <v>16</v>
      </c>
      <c r="F155" s="378"/>
      <c r="G155" s="498" t="s">
        <v>108</v>
      </c>
      <c r="H155" s="604" t="s">
        <v>2168</v>
      </c>
      <c r="I155" s="605">
        <f>IF(H155="","",VLOOKUP(H155,Tabela1[],2,0))</f>
        <v>4</v>
      </c>
      <c r="J155" s="604" t="s">
        <v>1</v>
      </c>
    </row>
    <row r="156" spans="1:10" ht="15" customHeight="1">
      <c r="A156" s="498" t="s">
        <v>1799</v>
      </c>
      <c r="B156" s="498">
        <v>0.25</v>
      </c>
      <c r="C156" s="498">
        <v>1</v>
      </c>
      <c r="D156" s="498"/>
      <c r="E156" s="498" t="s">
        <v>16</v>
      </c>
      <c r="F156" s="378"/>
      <c r="G156" s="498" t="s">
        <v>108</v>
      </c>
      <c r="H156" s="604" t="s">
        <v>2168</v>
      </c>
      <c r="I156" s="605">
        <f>IF(H156="","",VLOOKUP(H156,Tabela1[],2,0))</f>
        <v>4</v>
      </c>
      <c r="J156" s="604" t="s">
        <v>1</v>
      </c>
    </row>
    <row r="157" spans="1:10" ht="15" customHeight="1">
      <c r="A157" s="498" t="s">
        <v>1800</v>
      </c>
      <c r="B157" s="498">
        <v>0.16500000000000001</v>
      </c>
      <c r="C157" s="498">
        <v>1</v>
      </c>
      <c r="D157" s="498"/>
      <c r="E157" s="498" t="s">
        <v>16</v>
      </c>
      <c r="F157" s="378"/>
      <c r="G157" s="604" t="s">
        <v>108</v>
      </c>
      <c r="H157" s="604" t="s">
        <v>2168</v>
      </c>
      <c r="I157" s="605">
        <f>IF(H157="","",VLOOKUP(H157,Tabela1[],2,0))</f>
        <v>4</v>
      </c>
      <c r="J157" s="604" t="s">
        <v>1</v>
      </c>
    </row>
    <row r="158" spans="1:10" ht="15" customHeight="1">
      <c r="A158" s="498" t="s">
        <v>1801</v>
      </c>
      <c r="B158" s="498">
        <v>0.21</v>
      </c>
      <c r="C158" s="498">
        <v>1</v>
      </c>
      <c r="D158" s="498"/>
      <c r="E158" s="498" t="s">
        <v>16</v>
      </c>
      <c r="F158" s="378"/>
      <c r="G158" s="498" t="s">
        <v>108</v>
      </c>
      <c r="H158" s="604" t="s">
        <v>2168</v>
      </c>
      <c r="I158" s="605">
        <f>IF(H158="","",VLOOKUP(H158,Tabela1[],2,0))</f>
        <v>4</v>
      </c>
      <c r="J158" s="604" t="s">
        <v>1</v>
      </c>
    </row>
    <row r="159" spans="1:10" ht="15" customHeight="1">
      <c r="A159" s="500" t="s">
        <v>1802</v>
      </c>
      <c r="B159" s="500">
        <v>0.21</v>
      </c>
      <c r="C159" s="500">
        <v>1</v>
      </c>
      <c r="D159" s="500"/>
      <c r="E159" s="500" t="s">
        <v>16</v>
      </c>
      <c r="F159" s="450"/>
      <c r="G159" s="608" t="s">
        <v>108</v>
      </c>
      <c r="H159" s="608" t="s">
        <v>2168</v>
      </c>
      <c r="I159" s="609">
        <f>IF(H159="","",VLOOKUP(H159,Tabela1[],2,0))</f>
        <v>4</v>
      </c>
      <c r="J159" s="500" t="s">
        <v>1</v>
      </c>
    </row>
    <row r="160" spans="1:10" ht="15" customHeight="1">
      <c r="A160" s="500" t="s">
        <v>1803</v>
      </c>
      <c r="B160" s="500">
        <v>0.15</v>
      </c>
      <c r="C160" s="500">
        <v>1</v>
      </c>
      <c r="D160" s="500"/>
      <c r="E160" s="500" t="s">
        <v>16</v>
      </c>
      <c r="F160" s="450"/>
      <c r="G160" s="500" t="s">
        <v>108</v>
      </c>
      <c r="H160" s="608" t="s">
        <v>2168</v>
      </c>
      <c r="I160" s="609">
        <f>IF(H160="","",VLOOKUP(H160,Tabela1[],2,0))</f>
        <v>4</v>
      </c>
      <c r="J160" s="500" t="s">
        <v>1</v>
      </c>
    </row>
    <row r="161" spans="1:10" ht="15" customHeight="1">
      <c r="A161" s="500" t="s">
        <v>1804</v>
      </c>
      <c r="B161" s="500">
        <v>0.21</v>
      </c>
      <c r="C161" s="500">
        <v>1</v>
      </c>
      <c r="D161" s="500"/>
      <c r="E161" s="500" t="s">
        <v>16</v>
      </c>
      <c r="F161" s="450"/>
      <c r="G161" s="500" t="s">
        <v>108</v>
      </c>
      <c r="H161" s="608" t="s">
        <v>2168</v>
      </c>
      <c r="I161" s="609">
        <f>IF(H161="","",VLOOKUP(H161,Tabela1[],2,0))</f>
        <v>4</v>
      </c>
      <c r="J161" s="500" t="s">
        <v>1</v>
      </c>
    </row>
    <row r="162" spans="1:10" customFormat="1" ht="14.4">
      <c r="G162" s="129"/>
      <c r="H162" s="1"/>
      <c r="I162" s="129"/>
    </row>
    <row r="164" spans="1:10" s="126" customFormat="1" ht="25.8">
      <c r="A164" s="130" t="s">
        <v>1099</v>
      </c>
      <c r="B164" s="130"/>
      <c r="C164" s="130"/>
      <c r="D164" s="130"/>
      <c r="E164" s="130"/>
      <c r="F164" s="131"/>
      <c r="G164" s="130"/>
      <c r="H164" s="130"/>
      <c r="I164" s="131"/>
      <c r="J164" s="130"/>
    </row>
    <row r="165" spans="1:10" ht="15" customHeight="1">
      <c r="A165" s="67" t="s">
        <v>1103</v>
      </c>
      <c r="B165" s="67">
        <v>1</v>
      </c>
      <c r="C165" s="67">
        <v>25</v>
      </c>
      <c r="D165" s="67"/>
      <c r="E165" s="67" t="s">
        <v>1886</v>
      </c>
      <c r="F165" s="68" t="s">
        <v>16</v>
      </c>
      <c r="G165" s="67" t="s">
        <v>108</v>
      </c>
      <c r="H165" s="67" t="s">
        <v>2172</v>
      </c>
      <c r="I165" s="68">
        <f>IF(H165="","",VLOOKUP(H165,Tabela1[],2,0))</f>
        <v>8</v>
      </c>
      <c r="J165" s="67" t="s">
        <v>2</v>
      </c>
    </row>
    <row r="166" spans="1:10" ht="15" customHeight="1">
      <c r="A166" s="352" t="s">
        <v>1098</v>
      </c>
      <c r="B166" s="97">
        <v>1.3</v>
      </c>
      <c r="C166" s="97">
        <v>20</v>
      </c>
      <c r="D166" s="97"/>
      <c r="E166" s="352" t="s">
        <v>1101</v>
      </c>
      <c r="F166" s="98" t="s">
        <v>16</v>
      </c>
      <c r="G166" s="97"/>
      <c r="H166" s="67" t="s">
        <v>2172</v>
      </c>
      <c r="I166" s="68">
        <f>IF(H166="","",VLOOKUP(H166,Tabela1[],2,0))</f>
        <v>8</v>
      </c>
      <c r="J166" s="97" t="s">
        <v>2</v>
      </c>
    </row>
    <row r="167" spans="1:10" ht="15" customHeight="1">
      <c r="A167" s="353" t="s">
        <v>1100</v>
      </c>
      <c r="B167" s="67">
        <v>1.3</v>
      </c>
      <c r="C167" s="67">
        <v>20</v>
      </c>
      <c r="D167" s="67"/>
      <c r="E167" s="352" t="s">
        <v>1885</v>
      </c>
      <c r="F167" s="68" t="s">
        <v>16</v>
      </c>
      <c r="G167" s="67"/>
      <c r="H167" s="67" t="s">
        <v>2172</v>
      </c>
      <c r="I167" s="68">
        <f>IF(H167="","",VLOOKUP(H167,Tabela1[],2,0))</f>
        <v>8</v>
      </c>
      <c r="J167" s="67" t="s">
        <v>2</v>
      </c>
    </row>
    <row r="168" spans="1:10" ht="15" customHeight="1">
      <c r="A168" s="353" t="s">
        <v>1827</v>
      </c>
      <c r="B168" s="67">
        <v>1.53</v>
      </c>
      <c r="C168" s="67">
        <v>20</v>
      </c>
      <c r="D168" s="67"/>
      <c r="E168" s="67" t="s">
        <v>1887</v>
      </c>
      <c r="F168" s="68" t="s">
        <v>16</v>
      </c>
      <c r="G168" s="67"/>
      <c r="H168" s="67" t="s">
        <v>2172</v>
      </c>
      <c r="I168" s="68">
        <f>IF(H168="","",VLOOKUP(H168,Tabela1[],2,0))</f>
        <v>8</v>
      </c>
      <c r="J168" s="67" t="s">
        <v>2</v>
      </c>
    </row>
    <row r="169" spans="1:10" ht="15" customHeight="1">
      <c r="A169" s="510" t="s">
        <v>520</v>
      </c>
      <c r="B169" s="67">
        <v>1</v>
      </c>
      <c r="C169" s="67">
        <v>500</v>
      </c>
      <c r="D169" s="67"/>
      <c r="E169" s="67" t="s">
        <v>16</v>
      </c>
      <c r="F169" s="68" t="s">
        <v>16</v>
      </c>
      <c r="G169" s="67"/>
      <c r="H169" s="67" t="s">
        <v>2172</v>
      </c>
      <c r="I169" s="68">
        <f>IF(H169="","",VLOOKUP(H169,Tabela1[],2,0))</f>
        <v>8</v>
      </c>
      <c r="J169" s="67" t="s">
        <v>2</v>
      </c>
    </row>
    <row r="170" spans="1:10" ht="15" customHeight="1">
      <c r="A170" s="67" t="s">
        <v>105</v>
      </c>
      <c r="B170" s="67">
        <v>3</v>
      </c>
      <c r="C170" s="67">
        <v>1</v>
      </c>
      <c r="D170" s="67"/>
      <c r="E170" s="67" t="s">
        <v>76</v>
      </c>
      <c r="F170" s="68" t="s">
        <v>16</v>
      </c>
      <c r="G170" s="67">
        <v>23</v>
      </c>
      <c r="H170" s="67" t="s">
        <v>2172</v>
      </c>
      <c r="I170" s="68">
        <f>IF(H170="","",VLOOKUP(H170,Tabela1[],2,0))</f>
        <v>8</v>
      </c>
      <c r="J170" s="67" t="s">
        <v>2</v>
      </c>
    </row>
    <row r="171" spans="1:10" ht="15" customHeight="1">
      <c r="A171" s="67" t="s">
        <v>523</v>
      </c>
      <c r="B171" s="67">
        <v>1.5</v>
      </c>
      <c r="C171" s="67">
        <v>1</v>
      </c>
      <c r="D171" s="67"/>
      <c r="E171" s="67" t="s">
        <v>518</v>
      </c>
      <c r="F171" s="68" t="s">
        <v>16</v>
      </c>
      <c r="G171" s="67">
        <v>24</v>
      </c>
      <c r="H171" s="67" t="s">
        <v>2173</v>
      </c>
      <c r="I171" s="68">
        <f>IF(H171="","",VLOOKUP(H171,Tabela1[],2,0))</f>
        <v>9</v>
      </c>
      <c r="J171" s="67" t="s">
        <v>75</v>
      </c>
    </row>
    <row r="172" spans="1:10" ht="15" customHeight="1">
      <c r="A172" s="67" t="s">
        <v>519</v>
      </c>
      <c r="B172" s="67">
        <v>1</v>
      </c>
      <c r="C172" s="67">
        <v>1</v>
      </c>
      <c r="D172" s="67"/>
      <c r="E172" s="67" t="s">
        <v>16</v>
      </c>
      <c r="F172" s="68" t="s">
        <v>16</v>
      </c>
      <c r="G172" s="67" t="s">
        <v>108</v>
      </c>
      <c r="H172" s="67" t="s">
        <v>2173</v>
      </c>
      <c r="I172" s="68">
        <f>IF(H172="","",VLOOKUP(H172,Tabela1[],2,0))</f>
        <v>9</v>
      </c>
      <c r="J172" s="67" t="s">
        <v>1</v>
      </c>
    </row>
    <row r="173" spans="1:10" ht="15" customHeight="1">
      <c r="A173" s="67" t="s">
        <v>662</v>
      </c>
      <c r="B173" s="67">
        <v>0.625</v>
      </c>
      <c r="C173" s="67">
        <v>1</v>
      </c>
      <c r="D173" s="67"/>
      <c r="E173" s="67" t="s">
        <v>16</v>
      </c>
      <c r="F173" s="68" t="s">
        <v>16</v>
      </c>
      <c r="G173" s="67" t="s">
        <v>108</v>
      </c>
      <c r="H173" s="67" t="s">
        <v>2173</v>
      </c>
      <c r="I173" s="68">
        <f>IF(H173="","",VLOOKUP(H173,Tabela1[],2,0))</f>
        <v>9</v>
      </c>
      <c r="J173" s="67" t="s">
        <v>1</v>
      </c>
    </row>
  </sheetData>
  <autoFilter ref="A1:J97" xr:uid="{00000000-0009-0000-0000-000004000000}"/>
  <dataConsolidate/>
  <phoneticPr fontId="4" type="noConversion"/>
  <conditionalFormatting sqref="B67 B136:B143 B155:B161 B166:B167 B93:B95 B60:B65 B103:B124 B169:B173 B77:B91">
    <cfRule type="containsBlanks" dxfId="1240" priority="68" stopIfTrue="1">
      <formula>LEN(TRIM(B60))=0</formula>
    </cfRule>
  </conditionalFormatting>
  <conditionalFormatting sqref="B71">
    <cfRule type="containsBlanks" dxfId="1239" priority="43" stopIfTrue="1">
      <formula>LEN(TRIM(B71))=0</formula>
    </cfRule>
  </conditionalFormatting>
  <conditionalFormatting sqref="B70">
    <cfRule type="containsBlanks" dxfId="1238" priority="42" stopIfTrue="1">
      <formula>LEN(TRIM(B70))=0</formula>
    </cfRule>
  </conditionalFormatting>
  <conditionalFormatting sqref="B69">
    <cfRule type="containsBlanks" dxfId="1237" priority="41" stopIfTrue="1">
      <formula>LEN(TRIM(B69))=0</formula>
    </cfRule>
  </conditionalFormatting>
  <conditionalFormatting sqref="B68">
    <cfRule type="containsBlanks" dxfId="1236" priority="40" stopIfTrue="1">
      <formula>LEN(TRIM(B68))=0</formula>
    </cfRule>
  </conditionalFormatting>
  <conditionalFormatting sqref="B165">
    <cfRule type="containsBlanks" dxfId="1235" priority="38" stopIfTrue="1">
      <formula>LEN(TRIM(B165))=0</formula>
    </cfRule>
  </conditionalFormatting>
  <conditionalFormatting sqref="B66">
    <cfRule type="containsBlanks" dxfId="1234" priority="37" stopIfTrue="1">
      <formula>LEN(TRIM(B66))=0</formula>
    </cfRule>
  </conditionalFormatting>
  <conditionalFormatting sqref="B132">
    <cfRule type="containsBlanks" dxfId="1233" priority="34" stopIfTrue="1">
      <formula>LEN(TRIM(B132))=0</formula>
    </cfRule>
  </conditionalFormatting>
  <conditionalFormatting sqref="B133 B148:B149 B155:B161 B135:B144">
    <cfRule type="containsBlanks" dxfId="1232" priority="33" stopIfTrue="1">
      <formula>LEN(TRIM(B133))=0</formula>
    </cfRule>
  </conditionalFormatting>
  <conditionalFormatting sqref="B134">
    <cfRule type="containsBlanks" dxfId="1231" priority="32" stopIfTrue="1">
      <formula>LEN(TRIM(B134))=0</formula>
    </cfRule>
  </conditionalFormatting>
  <conditionalFormatting sqref="B148">
    <cfRule type="containsBlanks" dxfId="1230" priority="29" stopIfTrue="1">
      <formula>LEN(TRIM(B148))=0</formula>
    </cfRule>
  </conditionalFormatting>
  <conditionalFormatting sqref="B149">
    <cfRule type="containsBlanks" dxfId="1229" priority="28" stopIfTrue="1">
      <formula>LEN(TRIM(B149))=0</formula>
    </cfRule>
  </conditionalFormatting>
  <conditionalFormatting sqref="B92">
    <cfRule type="containsBlanks" dxfId="1228" priority="22" stopIfTrue="1">
      <formula>LEN(TRIM(B92))=0</formula>
    </cfRule>
  </conditionalFormatting>
  <conditionalFormatting sqref="B125:B128">
    <cfRule type="containsBlanks" dxfId="1227" priority="21" stopIfTrue="1">
      <formula>LEN(TRIM(B125))=0</formula>
    </cfRule>
  </conditionalFormatting>
  <conditionalFormatting sqref="B129:B131">
    <cfRule type="containsBlanks" dxfId="1226" priority="20" stopIfTrue="1">
      <formula>LEN(TRIM(B129))=0</formula>
    </cfRule>
  </conditionalFormatting>
  <conditionalFormatting sqref="B145:B147">
    <cfRule type="containsBlanks" dxfId="1225" priority="19" stopIfTrue="1">
      <formula>LEN(TRIM(B145))=0</formula>
    </cfRule>
  </conditionalFormatting>
  <conditionalFormatting sqref="B153:B154">
    <cfRule type="containsBlanks" dxfId="1224" priority="18" stopIfTrue="1">
      <formula>LEN(TRIM(B153))=0</formula>
    </cfRule>
  </conditionalFormatting>
  <conditionalFormatting sqref="B153">
    <cfRule type="containsBlanks" dxfId="1223" priority="17" stopIfTrue="1">
      <formula>LEN(TRIM(B153))=0</formula>
    </cfRule>
  </conditionalFormatting>
  <conditionalFormatting sqref="B154">
    <cfRule type="containsBlanks" dxfId="1222" priority="16" stopIfTrue="1">
      <formula>LEN(TRIM(B154))=0</formula>
    </cfRule>
  </conditionalFormatting>
  <conditionalFormatting sqref="B150:B152">
    <cfRule type="containsBlanks" dxfId="1221" priority="15" stopIfTrue="1">
      <formula>LEN(TRIM(B150))=0</formula>
    </cfRule>
  </conditionalFormatting>
  <conditionalFormatting sqref="B144">
    <cfRule type="containsBlanks" dxfId="1220" priority="14" stopIfTrue="1">
      <formula>LEN(TRIM(B144))=0</formula>
    </cfRule>
  </conditionalFormatting>
  <conditionalFormatting sqref="B168">
    <cfRule type="containsBlanks" dxfId="1219" priority="13" stopIfTrue="1">
      <formula>LEN(TRIM(B168))=0</formula>
    </cfRule>
  </conditionalFormatting>
  <conditionalFormatting sqref="B72">
    <cfRule type="containsBlanks" dxfId="1218" priority="12" stopIfTrue="1">
      <formula>LEN(TRIM(B72))=0</formula>
    </cfRule>
  </conditionalFormatting>
  <conditionalFormatting sqref="B73">
    <cfRule type="containsBlanks" dxfId="1217" priority="11" stopIfTrue="1">
      <formula>LEN(TRIM(B73))=0</formula>
    </cfRule>
  </conditionalFormatting>
  <conditionalFormatting sqref="H77:H99 H3:H12">
    <cfRule type="expression" dxfId="1216" priority="9">
      <formula>H3=""</formula>
    </cfRule>
  </conditionalFormatting>
  <conditionalFormatting sqref="H29:H37">
    <cfRule type="expression" dxfId="1215" priority="8">
      <formula>H29=""</formula>
    </cfRule>
  </conditionalFormatting>
  <conditionalFormatting sqref="H53:H56">
    <cfRule type="expression" dxfId="1214" priority="7">
      <formula>H53=""</formula>
    </cfRule>
  </conditionalFormatting>
  <conditionalFormatting sqref="H60:H73">
    <cfRule type="expression" dxfId="1213" priority="6">
      <formula>H60=""</formula>
    </cfRule>
  </conditionalFormatting>
  <conditionalFormatting sqref="H103:H161">
    <cfRule type="expression" dxfId="1212" priority="4">
      <formula>H103=""</formula>
    </cfRule>
  </conditionalFormatting>
  <conditionalFormatting sqref="H165:H173">
    <cfRule type="expression" dxfId="1211" priority="3">
      <formula>H165=""</formula>
    </cfRule>
  </conditionalFormatting>
  <conditionalFormatting sqref="H16:H25">
    <cfRule type="expression" dxfId="1210" priority="2">
      <formula>H16=""</formula>
    </cfRule>
  </conditionalFormatting>
  <conditionalFormatting sqref="H41:H49">
    <cfRule type="expression" dxfId="1209" priority="1">
      <formula>H41=""</formula>
    </cfRule>
  </conditionalFormatting>
  <dataValidations count="1">
    <dataValidation type="list" allowBlank="1" showInputMessage="1" showErrorMessage="1" sqref="H53:H56 H16:H25 H103:H161 H60:H73 H165:H173 H77:H99 H3:H12 H29:H37 H41:H49" xr:uid="{3A1228F8-E503-4203-9868-5829AF8BB2DC}">
      <formula1>Classif_Descr</formula1>
    </dataValidation>
  </dataValidations>
  <pageMargins left="0.78740157499999996" right="0.78740157499999996" top="0.984251969" bottom="0.984251969" header="0.49212598499999999" footer="0.49212598499999999"/>
  <pageSetup paperSize="9" orientation="portrait" r:id="rId1"/>
  <headerFooter alignWithMargins="0">
    <oddFooter>&amp;L
&amp;K808080&amp;"Trebuchet MS"CLASSIFICAÇÃO DO DOCUMENTO: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dimension ref="A1:XEZ1894"/>
  <sheetViews>
    <sheetView zoomScale="85" zoomScaleNormal="85" workbookViewId="0">
      <pane xSplit="6" ySplit="2" topLeftCell="G1426" activePane="bottomRight" state="frozen"/>
      <selection pane="topRight" activeCell="G1" sqref="G1"/>
      <selection pane="bottomLeft" activeCell="A3" sqref="A3"/>
      <selection pane="bottomRight" activeCell="E1468" sqref="E1468"/>
    </sheetView>
  </sheetViews>
  <sheetFormatPr defaultColWidth="9.33203125" defaultRowHeight="13.2"/>
  <cols>
    <col min="1" max="1" width="28.6640625" style="3" customWidth="1"/>
    <col min="2" max="2" width="30" style="2" bestFit="1" customWidth="1"/>
    <col min="3" max="3" width="13" style="2" customWidth="1"/>
    <col min="4" max="4" width="11" style="2" customWidth="1"/>
    <col min="5" max="5" width="10.33203125" style="2" customWidth="1"/>
    <col min="6" max="6" width="9.33203125" style="2" customWidth="1"/>
    <col min="7" max="7" width="21.33203125" style="17" bestFit="1" customWidth="1"/>
    <col min="8" max="8" width="10.6640625" style="3" bestFit="1" customWidth="1"/>
    <col min="9" max="9" width="13.33203125" style="3" bestFit="1" customWidth="1"/>
    <col min="10" max="10" width="8.5546875" style="3" bestFit="1" customWidth="1"/>
    <col min="11" max="11" width="10.6640625" style="3" customWidth="1"/>
    <col min="12" max="12" width="9.33203125" style="3" bestFit="1"/>
    <col min="13" max="13" width="11.44140625" style="3" customWidth="1"/>
    <col min="14" max="14" width="11.5546875" style="3" customWidth="1"/>
    <col min="15" max="15" width="10.5546875" style="3" customWidth="1"/>
    <col min="16" max="16" width="4" style="3" bestFit="1" customWidth="1"/>
    <col min="17" max="17" width="9.33203125" style="16" bestFit="1"/>
    <col min="18" max="18" width="12.6640625" style="2" customWidth="1"/>
    <col min="19" max="19" width="12.33203125" style="3" customWidth="1"/>
    <col min="20" max="21" width="17.33203125" style="3" customWidth="1"/>
    <col min="22" max="22" width="23.6640625" style="3" customWidth="1"/>
    <col min="23" max="16384" width="9.33203125" style="3"/>
  </cols>
  <sheetData>
    <row r="1" spans="1:22">
      <c r="Q1" s="17"/>
    </row>
    <row r="2" spans="1:22" ht="13.8" thickBot="1">
      <c r="A2" s="14" t="s">
        <v>3</v>
      </c>
      <c r="B2" s="14" t="s">
        <v>5</v>
      </c>
      <c r="C2" s="14" t="s">
        <v>4</v>
      </c>
      <c r="D2" s="14" t="s">
        <v>6</v>
      </c>
      <c r="E2" s="14" t="s">
        <v>8</v>
      </c>
      <c r="F2" s="14" t="s">
        <v>9</v>
      </c>
      <c r="G2" s="100" t="s">
        <v>10</v>
      </c>
      <c r="H2" s="13" t="s">
        <v>11</v>
      </c>
      <c r="I2" s="13" t="s">
        <v>12</v>
      </c>
      <c r="J2" s="13" t="s">
        <v>13</v>
      </c>
      <c r="K2" s="13" t="s">
        <v>103</v>
      </c>
      <c r="L2" s="19"/>
      <c r="M2" s="19"/>
      <c r="N2" s="19"/>
      <c r="O2" s="19"/>
      <c r="P2" s="19"/>
      <c r="Q2" s="13" t="s">
        <v>111</v>
      </c>
      <c r="R2" s="14" t="s">
        <v>59</v>
      </c>
      <c r="S2" s="14" t="s">
        <v>60</v>
      </c>
      <c r="T2" s="14" t="s">
        <v>61</v>
      </c>
      <c r="U2" s="14" t="s">
        <v>64</v>
      </c>
      <c r="V2" s="14" t="s">
        <v>63</v>
      </c>
    </row>
    <row r="3" spans="1:22" s="63" customFormat="1" ht="27" customHeight="1" thickBot="1">
      <c r="A3" s="64" t="s">
        <v>599</v>
      </c>
      <c r="B3" s="65"/>
      <c r="C3" s="65"/>
      <c r="D3" s="65"/>
      <c r="E3" s="65"/>
      <c r="F3" s="65"/>
      <c r="G3" s="101"/>
      <c r="H3" s="65"/>
      <c r="I3" s="65"/>
      <c r="J3" s="66"/>
      <c r="K3" s="777" t="s">
        <v>120</v>
      </c>
      <c r="L3" s="60"/>
      <c r="M3" s="60"/>
      <c r="N3" s="60"/>
      <c r="O3" s="60"/>
      <c r="P3" s="60"/>
      <c r="Q3" s="61"/>
      <c r="R3" s="62"/>
      <c r="S3" s="60"/>
      <c r="T3" s="60"/>
      <c r="U3" s="62"/>
      <c r="V3" s="60"/>
    </row>
    <row r="4" spans="1:22" s="306" customFormat="1">
      <c r="A4" s="558" t="s">
        <v>2053</v>
      </c>
      <c r="B4" s="2" t="s">
        <v>2180</v>
      </c>
      <c r="C4" s="2">
        <v>172</v>
      </c>
      <c r="D4" s="2">
        <v>114</v>
      </c>
      <c r="E4" s="2">
        <v>64</v>
      </c>
      <c r="F4" s="2">
        <f>E4</f>
        <v>64</v>
      </c>
      <c r="G4" s="21">
        <f>IF(B4="","",AVERAGE(E4:F4)*D4*C4/10^6)</f>
        <v>1.254912</v>
      </c>
      <c r="H4" s="20">
        <f t="shared" ref="H4:H10" si="0">ROUND(C4 *D4*E4/10^6,3)</f>
        <v>1.2549999999999999</v>
      </c>
      <c r="I4" s="20">
        <f t="shared" ref="I4:I10" si="1">IF(F4="","-",ROUND((E4+F4)*C4 /2*D4/10^6,3))</f>
        <v>1.2549999999999999</v>
      </c>
      <c r="J4" s="75">
        <f t="shared" ref="J4:J10" si="2">IF(F4="","-",ROUND((D4+E4)*C4 /2*F4/10^6,3))</f>
        <v>0.98</v>
      </c>
      <c r="K4" s="778"/>
      <c r="L4" s="20"/>
      <c r="M4" s="20"/>
      <c r="N4" s="20"/>
      <c r="O4" s="20"/>
      <c r="P4" s="20"/>
      <c r="Q4" s="21"/>
      <c r="R4" s="22">
        <f t="shared" ref="R4:R64" si="3">D4</f>
        <v>114</v>
      </c>
      <c r="S4" s="20">
        <v>1</v>
      </c>
      <c r="T4" s="20" t="e">
        <f>T12</f>
        <v>#REF!</v>
      </c>
      <c r="U4" s="22"/>
      <c r="V4" s="20" t="str">
        <f t="shared" ref="V4:V10" si="4">B4&amp;"-"&amp;C4 &amp;"x"&amp;D4&amp;"x"&amp;E4</f>
        <v>S-172x114x64</v>
      </c>
    </row>
    <row r="5" spans="1:22" s="306" customFormat="1">
      <c r="A5" s="558" t="s">
        <v>2054</v>
      </c>
      <c r="B5" s="2" t="s">
        <v>2180</v>
      </c>
      <c r="C5" s="2">
        <v>172</v>
      </c>
      <c r="D5" s="2">
        <v>114</v>
      </c>
      <c r="E5" s="2">
        <v>76</v>
      </c>
      <c r="F5" s="2">
        <f t="shared" ref="F5:F64" si="5">E5</f>
        <v>76</v>
      </c>
      <c r="G5" s="21">
        <f t="shared" ref="G5:G69" si="6">IF(B5="","",AVERAGE(E5:F5)*D5*C5/10^6)</f>
        <v>1.490208</v>
      </c>
      <c r="H5" s="20">
        <f t="shared" si="0"/>
        <v>1.49</v>
      </c>
      <c r="I5" s="20">
        <f t="shared" si="1"/>
        <v>1.49</v>
      </c>
      <c r="J5" s="75">
        <f t="shared" si="2"/>
        <v>1.242</v>
      </c>
      <c r="K5" s="778"/>
      <c r="L5" s="20"/>
      <c r="M5" s="20"/>
      <c r="N5" s="20"/>
      <c r="O5" s="20"/>
      <c r="P5" s="20"/>
      <c r="Q5" s="21"/>
      <c r="R5" s="22">
        <f t="shared" si="3"/>
        <v>114</v>
      </c>
      <c r="S5" s="20">
        <v>1</v>
      </c>
      <c r="T5" s="20" t="e">
        <f>T13</f>
        <v>#REF!</v>
      </c>
      <c r="U5" s="22"/>
      <c r="V5" s="20" t="str">
        <f t="shared" si="4"/>
        <v>S-172x114x76</v>
      </c>
    </row>
    <row r="6" spans="1:22" s="306" customFormat="1">
      <c r="A6" s="558" t="s">
        <v>2055</v>
      </c>
      <c r="B6" s="2" t="s">
        <v>2180</v>
      </c>
      <c r="C6" s="2">
        <v>187</v>
      </c>
      <c r="D6" s="2">
        <v>124</v>
      </c>
      <c r="E6" s="2">
        <v>64</v>
      </c>
      <c r="F6" s="2">
        <f t="shared" si="5"/>
        <v>64</v>
      </c>
      <c r="G6" s="21">
        <f t="shared" si="6"/>
        <v>1.484032</v>
      </c>
      <c r="H6" s="20">
        <f t="shared" si="0"/>
        <v>1.484</v>
      </c>
      <c r="I6" s="20">
        <f t="shared" si="1"/>
        <v>1.484</v>
      </c>
      <c r="J6" s="75">
        <f t="shared" si="2"/>
        <v>1.125</v>
      </c>
      <c r="K6" s="778"/>
      <c r="L6" s="20"/>
      <c r="M6" s="20"/>
      <c r="N6" s="20"/>
      <c r="O6" s="20"/>
      <c r="P6" s="20"/>
      <c r="Q6" s="21"/>
      <c r="R6" s="22">
        <f t="shared" si="3"/>
        <v>124</v>
      </c>
      <c r="S6" s="20">
        <v>1</v>
      </c>
      <c r="T6" s="20" t="e">
        <f>T14</f>
        <v>#REF!</v>
      </c>
      <c r="U6" s="22"/>
      <c r="V6" s="20" t="str">
        <f t="shared" si="4"/>
        <v>S-187x124x64</v>
      </c>
    </row>
    <row r="7" spans="1:22" s="306" customFormat="1">
      <c r="A7" s="558" t="s">
        <v>2056</v>
      </c>
      <c r="B7" s="2" t="s">
        <v>2180</v>
      </c>
      <c r="C7" s="2">
        <v>187</v>
      </c>
      <c r="D7" s="2">
        <v>124</v>
      </c>
      <c r="E7" s="2">
        <v>76</v>
      </c>
      <c r="F7" s="2">
        <f t="shared" si="5"/>
        <v>76</v>
      </c>
      <c r="G7" s="21">
        <f t="shared" si="6"/>
        <v>1.7622880000000001</v>
      </c>
      <c r="H7" s="20">
        <f t="shared" si="0"/>
        <v>1.762</v>
      </c>
      <c r="I7" s="20">
        <f t="shared" si="1"/>
        <v>1.762</v>
      </c>
      <c r="J7" s="75">
        <f t="shared" si="2"/>
        <v>1.421</v>
      </c>
      <c r="K7" s="778"/>
      <c r="L7" s="20"/>
      <c r="M7" s="20"/>
      <c r="N7" s="20"/>
      <c r="O7" s="20"/>
      <c r="P7" s="20"/>
      <c r="Q7" s="21"/>
      <c r="R7" s="22">
        <f t="shared" si="3"/>
        <v>124</v>
      </c>
      <c r="S7" s="20">
        <v>1</v>
      </c>
      <c r="T7" s="20" t="e">
        <f>T15</f>
        <v>#REF!</v>
      </c>
      <c r="U7" s="22"/>
      <c r="V7" s="20" t="str">
        <f t="shared" si="4"/>
        <v>S-187x124x76</v>
      </c>
    </row>
    <row r="8" spans="1:22" s="306" customFormat="1">
      <c r="A8" s="558" t="s">
        <v>2057</v>
      </c>
      <c r="B8" s="2" t="s">
        <v>2180</v>
      </c>
      <c r="C8" s="2">
        <v>225</v>
      </c>
      <c r="D8" s="2">
        <v>150</v>
      </c>
      <c r="E8" s="2">
        <v>64</v>
      </c>
      <c r="F8" s="2">
        <f t="shared" si="5"/>
        <v>64</v>
      </c>
      <c r="G8" s="21">
        <f t="shared" si="6"/>
        <v>2.16</v>
      </c>
      <c r="H8" s="20">
        <f t="shared" si="0"/>
        <v>2.16</v>
      </c>
      <c r="I8" s="20">
        <f t="shared" si="1"/>
        <v>2.16</v>
      </c>
      <c r="J8" s="75">
        <f t="shared" si="2"/>
        <v>1.5409999999999999</v>
      </c>
      <c r="K8" s="778"/>
      <c r="L8" s="20"/>
      <c r="M8" s="20"/>
      <c r="N8" s="20"/>
      <c r="O8" s="20"/>
      <c r="P8" s="20"/>
      <c r="Q8" s="21"/>
      <c r="R8" s="22">
        <f t="shared" si="3"/>
        <v>150</v>
      </c>
      <c r="S8" s="20">
        <v>1</v>
      </c>
      <c r="T8" s="20" t="e">
        <f>T16</f>
        <v>#REF!</v>
      </c>
      <c r="U8" s="22"/>
      <c r="V8" s="20" t="str">
        <f t="shared" si="4"/>
        <v>S-225x150x64</v>
      </c>
    </row>
    <row r="9" spans="1:22" s="306" customFormat="1">
      <c r="A9" s="558" t="s">
        <v>2058</v>
      </c>
      <c r="B9" s="2" t="s">
        <v>2180</v>
      </c>
      <c r="C9" s="2">
        <v>225</v>
      </c>
      <c r="D9" s="2">
        <v>150</v>
      </c>
      <c r="E9" s="2">
        <v>76</v>
      </c>
      <c r="F9" s="2">
        <f t="shared" si="5"/>
        <v>76</v>
      </c>
      <c r="G9" s="21">
        <f t="shared" si="6"/>
        <v>2.5649999999999999</v>
      </c>
      <c r="H9" s="20">
        <f t="shared" si="0"/>
        <v>2.5649999999999999</v>
      </c>
      <c r="I9" s="20">
        <f t="shared" si="1"/>
        <v>2.5649999999999999</v>
      </c>
      <c r="J9" s="75">
        <f t="shared" si="2"/>
        <v>1.9319999999999999</v>
      </c>
      <c r="K9" s="778"/>
      <c r="L9" s="20"/>
      <c r="M9" s="20"/>
      <c r="N9" s="20"/>
      <c r="O9" s="20"/>
      <c r="P9" s="20"/>
      <c r="Q9" s="21"/>
      <c r="R9" s="22">
        <f t="shared" si="3"/>
        <v>150</v>
      </c>
      <c r="S9" s="20">
        <v>1</v>
      </c>
      <c r="T9" s="20" t="e">
        <f>T18</f>
        <v>#REF!</v>
      </c>
      <c r="U9" s="22"/>
      <c r="V9" s="20" t="str">
        <f t="shared" si="4"/>
        <v>S-225x150x76</v>
      </c>
    </row>
    <row r="10" spans="1:22" s="306" customFormat="1">
      <c r="A10" s="558">
        <v>1</v>
      </c>
      <c r="B10" s="2" t="s">
        <v>2180</v>
      </c>
      <c r="C10" s="2">
        <v>230</v>
      </c>
      <c r="D10" s="2">
        <v>114</v>
      </c>
      <c r="E10" s="2">
        <v>64</v>
      </c>
      <c r="F10" s="2">
        <f t="shared" si="5"/>
        <v>64</v>
      </c>
      <c r="G10" s="21">
        <f t="shared" si="6"/>
        <v>1.67808</v>
      </c>
      <c r="H10" s="20">
        <f t="shared" si="0"/>
        <v>1.6779999999999999</v>
      </c>
      <c r="I10" s="20">
        <f t="shared" si="1"/>
        <v>1.6779999999999999</v>
      </c>
      <c r="J10" s="75">
        <f t="shared" si="2"/>
        <v>1.31</v>
      </c>
      <c r="K10" s="778"/>
      <c r="L10" s="20"/>
      <c r="M10" s="20"/>
      <c r="N10" s="20"/>
      <c r="O10" s="20"/>
      <c r="P10" s="20"/>
      <c r="Q10" s="21"/>
      <c r="R10" s="22">
        <f t="shared" si="3"/>
        <v>114</v>
      </c>
      <c r="S10" s="20">
        <v>1</v>
      </c>
      <c r="T10" s="20" t="e">
        <f>T13</f>
        <v>#REF!</v>
      </c>
      <c r="U10" s="22"/>
      <c r="V10" s="20" t="str">
        <f t="shared" si="4"/>
        <v>S-230x114x64</v>
      </c>
    </row>
    <row r="11" spans="1:22" s="306" customFormat="1">
      <c r="A11" s="558" t="s">
        <v>527</v>
      </c>
      <c r="B11" s="2" t="s">
        <v>2180</v>
      </c>
      <c r="C11" s="2">
        <v>230</v>
      </c>
      <c r="D11" s="2">
        <v>114</v>
      </c>
      <c r="E11" s="2">
        <v>25</v>
      </c>
      <c r="F11" s="2">
        <f t="shared" si="5"/>
        <v>25</v>
      </c>
      <c r="G11" s="21">
        <f t="shared" si="6"/>
        <v>0.65549999999999997</v>
      </c>
      <c r="H11" s="20">
        <f t="shared" ref="H11:H64" si="7">ROUND(C11*D11*E11/10^6,3)</f>
        <v>0.65600000000000003</v>
      </c>
      <c r="I11" s="20">
        <f t="shared" ref="I11:I64" si="8">IF(F11="","-",ROUND((E11+F11)*C11/2*D11/10^6,3))</f>
        <v>0.65600000000000003</v>
      </c>
      <c r="J11" s="75">
        <f t="shared" ref="J11:J64" si="9">IF(F11="","-",ROUND((D11+E11)*C11/2*F11/10^6,3))</f>
        <v>0.4</v>
      </c>
      <c r="K11" s="778"/>
      <c r="L11" s="20"/>
      <c r="M11" s="20"/>
      <c r="N11" s="20"/>
      <c r="O11" s="20"/>
      <c r="P11" s="20"/>
      <c r="Q11" s="21"/>
      <c r="R11" s="22">
        <f t="shared" si="3"/>
        <v>114</v>
      </c>
      <c r="S11" s="20">
        <v>1</v>
      </c>
      <c r="T11" s="20" t="e">
        <f>#REF!</f>
        <v>#REF!</v>
      </c>
      <c r="U11" s="22"/>
      <c r="V11" s="20" t="str">
        <f t="shared" ref="V11:V64" si="10">B11&amp;"-"&amp;C11&amp;"x"&amp;D11&amp;"x"&amp;E11</f>
        <v>S-230x114x25</v>
      </c>
    </row>
    <row r="12" spans="1:22" s="306" customFormat="1">
      <c r="A12" s="558" t="s">
        <v>485</v>
      </c>
      <c r="B12" s="2" t="s">
        <v>2180</v>
      </c>
      <c r="C12" s="2">
        <v>230</v>
      </c>
      <c r="D12" s="2">
        <v>114</v>
      </c>
      <c r="E12" s="2">
        <v>32</v>
      </c>
      <c r="F12" s="2">
        <f t="shared" si="5"/>
        <v>32</v>
      </c>
      <c r="G12" s="21">
        <f t="shared" si="6"/>
        <v>0.83904000000000001</v>
      </c>
      <c r="H12" s="20">
        <f t="shared" si="7"/>
        <v>0.83899999999999997</v>
      </c>
      <c r="I12" s="20">
        <f t="shared" si="8"/>
        <v>0.83899999999999997</v>
      </c>
      <c r="J12" s="75">
        <f t="shared" si="9"/>
        <v>0.53700000000000003</v>
      </c>
      <c r="K12" s="778"/>
      <c r="L12" s="20"/>
      <c r="M12" s="20"/>
      <c r="N12" s="20"/>
      <c r="O12" s="20"/>
      <c r="P12" s="20"/>
      <c r="Q12" s="21"/>
      <c r="R12" s="22">
        <f t="shared" si="3"/>
        <v>114</v>
      </c>
      <c r="S12" s="20">
        <v>1</v>
      </c>
      <c r="T12" s="20" t="e">
        <f>#REF!</f>
        <v>#REF!</v>
      </c>
      <c r="U12" s="22"/>
      <c r="V12" s="20" t="str">
        <f t="shared" si="10"/>
        <v>S-230x114x32</v>
      </c>
    </row>
    <row r="13" spans="1:22" s="306" customFormat="1">
      <c r="A13" s="558" t="s">
        <v>486</v>
      </c>
      <c r="B13" s="2" t="s">
        <v>2180</v>
      </c>
      <c r="C13" s="2">
        <v>230</v>
      </c>
      <c r="D13" s="2">
        <v>114</v>
      </c>
      <c r="E13" s="2">
        <v>40</v>
      </c>
      <c r="F13" s="2">
        <f t="shared" si="5"/>
        <v>40</v>
      </c>
      <c r="G13" s="21">
        <f t="shared" si="6"/>
        <v>1.0488</v>
      </c>
      <c r="H13" s="20">
        <f t="shared" si="7"/>
        <v>1.0489999999999999</v>
      </c>
      <c r="I13" s="20">
        <f t="shared" si="8"/>
        <v>1.0489999999999999</v>
      </c>
      <c r="J13" s="75">
        <f t="shared" si="9"/>
        <v>0.70799999999999996</v>
      </c>
      <c r="K13" s="778"/>
      <c r="L13" s="20"/>
      <c r="M13" s="20"/>
      <c r="N13" s="20"/>
      <c r="O13" s="20"/>
      <c r="P13" s="20"/>
      <c r="Q13" s="21"/>
      <c r="R13" s="22">
        <f t="shared" si="3"/>
        <v>114</v>
      </c>
      <c r="S13" s="20">
        <v>1</v>
      </c>
      <c r="T13" s="20" t="e">
        <f>#REF!</f>
        <v>#REF!</v>
      </c>
      <c r="U13" s="22"/>
      <c r="V13" s="20" t="str">
        <f t="shared" si="10"/>
        <v>S-230x114x40</v>
      </c>
    </row>
    <row r="14" spans="1:22" s="306" customFormat="1">
      <c r="A14" s="558" t="s">
        <v>487</v>
      </c>
      <c r="B14" s="2" t="s">
        <v>2180</v>
      </c>
      <c r="C14" s="2">
        <v>230</v>
      </c>
      <c r="D14" s="2">
        <v>114</v>
      </c>
      <c r="E14" s="2">
        <v>50</v>
      </c>
      <c r="F14" s="2">
        <f t="shared" si="5"/>
        <v>50</v>
      </c>
      <c r="G14" s="21">
        <f t="shared" si="6"/>
        <v>1.3109999999999999</v>
      </c>
      <c r="H14" s="20">
        <f t="shared" si="7"/>
        <v>1.3109999999999999</v>
      </c>
      <c r="I14" s="20">
        <f t="shared" si="8"/>
        <v>1.3109999999999999</v>
      </c>
      <c r="J14" s="75">
        <f t="shared" si="9"/>
        <v>0.94299999999999995</v>
      </c>
      <c r="K14" s="778"/>
      <c r="L14" s="20"/>
      <c r="M14" s="20"/>
      <c r="N14" s="20"/>
      <c r="O14" s="20"/>
      <c r="P14" s="20"/>
      <c r="Q14" s="21"/>
      <c r="R14" s="22">
        <f t="shared" si="3"/>
        <v>114</v>
      </c>
      <c r="S14" s="20">
        <v>1</v>
      </c>
      <c r="T14" s="20" t="e">
        <f>T12</f>
        <v>#REF!</v>
      </c>
      <c r="U14" s="22"/>
      <c r="V14" s="20" t="str">
        <f t="shared" si="10"/>
        <v>S-230x114x50</v>
      </c>
    </row>
    <row r="15" spans="1:22" s="306" customFormat="1">
      <c r="A15" s="558" t="s">
        <v>488</v>
      </c>
      <c r="B15" s="2" t="s">
        <v>2180</v>
      </c>
      <c r="C15" s="2">
        <v>230</v>
      </c>
      <c r="D15" s="2">
        <v>114</v>
      </c>
      <c r="E15" s="2">
        <v>76</v>
      </c>
      <c r="F15" s="2">
        <f t="shared" si="5"/>
        <v>76</v>
      </c>
      <c r="G15" s="21">
        <f t="shared" si="6"/>
        <v>1.99272</v>
      </c>
      <c r="H15" s="20">
        <f t="shared" si="7"/>
        <v>1.9930000000000001</v>
      </c>
      <c r="I15" s="20">
        <f t="shared" si="8"/>
        <v>1.9930000000000001</v>
      </c>
      <c r="J15" s="75">
        <f t="shared" si="9"/>
        <v>1.661</v>
      </c>
      <c r="K15" s="778"/>
      <c r="L15" s="20"/>
      <c r="M15" s="20"/>
      <c r="N15" s="20"/>
      <c r="O15" s="20"/>
      <c r="P15" s="20"/>
      <c r="Q15" s="21"/>
      <c r="R15" s="22">
        <f t="shared" si="3"/>
        <v>114</v>
      </c>
      <c r="S15" s="20">
        <v>1</v>
      </c>
      <c r="T15" s="20" t="e">
        <f>T14</f>
        <v>#REF!</v>
      </c>
      <c r="U15" s="22"/>
      <c r="V15" s="20" t="str">
        <f t="shared" si="10"/>
        <v>S-230x114x76</v>
      </c>
    </row>
    <row r="16" spans="1:22" s="306" customFormat="1">
      <c r="A16" s="305" t="s">
        <v>528</v>
      </c>
      <c r="B16" s="2" t="s">
        <v>2180</v>
      </c>
      <c r="C16" s="2">
        <v>230</v>
      </c>
      <c r="D16" s="2">
        <v>172</v>
      </c>
      <c r="E16" s="2">
        <v>64</v>
      </c>
      <c r="F16" s="2">
        <f t="shared" si="5"/>
        <v>64</v>
      </c>
      <c r="G16" s="21">
        <f t="shared" si="6"/>
        <v>2.5318399999999999</v>
      </c>
      <c r="H16" s="20">
        <f t="shared" si="7"/>
        <v>2.532</v>
      </c>
      <c r="I16" s="20">
        <f t="shared" si="8"/>
        <v>2.532</v>
      </c>
      <c r="J16" s="75">
        <f t="shared" si="9"/>
        <v>1.7370000000000001</v>
      </c>
      <c r="K16" s="778"/>
      <c r="L16" s="20"/>
      <c r="M16" s="20"/>
      <c r="N16" s="20"/>
      <c r="O16" s="20"/>
      <c r="P16" s="20"/>
      <c r="Q16" s="21"/>
      <c r="R16" s="22">
        <f t="shared" si="3"/>
        <v>172</v>
      </c>
      <c r="S16" s="20">
        <v>1</v>
      </c>
      <c r="T16" s="20" t="e">
        <f>T15</f>
        <v>#REF!</v>
      </c>
      <c r="U16" s="22"/>
      <c r="V16" s="20" t="str">
        <f t="shared" si="10"/>
        <v>S-230x172x64</v>
      </c>
    </row>
    <row r="17" spans="1:22" s="306" customFormat="1">
      <c r="A17" s="305" t="s">
        <v>489</v>
      </c>
      <c r="B17" s="2" t="s">
        <v>2180</v>
      </c>
      <c r="C17" s="2">
        <v>230</v>
      </c>
      <c r="D17" s="2">
        <v>172</v>
      </c>
      <c r="E17" s="2">
        <v>76</v>
      </c>
      <c r="F17" s="2">
        <f t="shared" si="5"/>
        <v>76</v>
      </c>
      <c r="G17" s="21">
        <f t="shared" si="6"/>
        <v>3.0065599999999999</v>
      </c>
      <c r="H17" s="20">
        <f t="shared" si="7"/>
        <v>3.0070000000000001</v>
      </c>
      <c r="I17" s="20">
        <f t="shared" si="8"/>
        <v>3.0070000000000001</v>
      </c>
      <c r="J17" s="75">
        <f t="shared" si="9"/>
        <v>2.1680000000000001</v>
      </c>
      <c r="K17" s="778"/>
      <c r="L17" s="20"/>
      <c r="M17" s="20"/>
      <c r="N17" s="20"/>
      <c r="O17" s="20"/>
      <c r="P17" s="20"/>
      <c r="Q17" s="21"/>
      <c r="R17" s="22">
        <f t="shared" si="3"/>
        <v>172</v>
      </c>
      <c r="S17" s="20">
        <v>1</v>
      </c>
      <c r="T17" s="20" t="e">
        <f>T16</f>
        <v>#REF!</v>
      </c>
      <c r="U17" s="22"/>
      <c r="V17" s="20" t="str">
        <f t="shared" si="10"/>
        <v>S-230x172x76</v>
      </c>
    </row>
    <row r="18" spans="1:22" s="306" customFormat="1">
      <c r="A18" s="559" t="s">
        <v>529</v>
      </c>
      <c r="B18" s="2" t="s">
        <v>2180</v>
      </c>
      <c r="C18" s="2">
        <v>345</v>
      </c>
      <c r="D18" s="2">
        <v>114</v>
      </c>
      <c r="E18" s="2">
        <v>64</v>
      </c>
      <c r="F18" s="2">
        <f t="shared" si="5"/>
        <v>64</v>
      </c>
      <c r="G18" s="21">
        <f t="shared" si="6"/>
        <v>2.5171199999999998</v>
      </c>
      <c r="H18" s="20">
        <f t="shared" si="7"/>
        <v>2.5169999999999999</v>
      </c>
      <c r="I18" s="20">
        <f t="shared" si="8"/>
        <v>2.5169999999999999</v>
      </c>
      <c r="J18" s="75">
        <f t="shared" si="9"/>
        <v>1.9650000000000001</v>
      </c>
      <c r="K18" s="778"/>
      <c r="L18" s="20"/>
      <c r="M18" s="20"/>
      <c r="N18" s="20"/>
      <c r="O18" s="20"/>
      <c r="P18" s="20"/>
      <c r="Q18" s="21"/>
      <c r="R18" s="22">
        <f t="shared" si="3"/>
        <v>114</v>
      </c>
      <c r="S18" s="20">
        <v>1</v>
      </c>
      <c r="T18" s="20" t="e">
        <f>T16</f>
        <v>#REF!</v>
      </c>
      <c r="U18" s="22"/>
      <c r="V18" s="20" t="str">
        <f t="shared" si="10"/>
        <v>S-345x114x64</v>
      </c>
    </row>
    <row r="19" spans="1:22" s="306" customFormat="1">
      <c r="A19" s="559" t="s">
        <v>496</v>
      </c>
      <c r="B19" s="2" t="s">
        <v>2180</v>
      </c>
      <c r="C19" s="2">
        <v>345</v>
      </c>
      <c r="D19" s="2">
        <v>114</v>
      </c>
      <c r="E19" s="2">
        <v>76</v>
      </c>
      <c r="F19" s="2">
        <f t="shared" si="5"/>
        <v>76</v>
      </c>
      <c r="G19" s="21">
        <f t="shared" si="6"/>
        <v>2.98908</v>
      </c>
      <c r="H19" s="20">
        <f t="shared" si="7"/>
        <v>2.9889999999999999</v>
      </c>
      <c r="I19" s="20">
        <f t="shared" si="8"/>
        <v>2.9889999999999999</v>
      </c>
      <c r="J19" s="75">
        <f t="shared" si="9"/>
        <v>2.4910000000000001</v>
      </c>
      <c r="K19" s="778"/>
      <c r="L19" s="20"/>
      <c r="M19" s="20"/>
      <c r="N19" s="20"/>
      <c r="O19" s="20"/>
      <c r="P19" s="20"/>
      <c r="Q19" s="21"/>
      <c r="R19" s="22">
        <f t="shared" si="3"/>
        <v>114</v>
      </c>
      <c r="S19" s="20">
        <v>1</v>
      </c>
      <c r="T19" s="20" t="e">
        <f>T23</f>
        <v>#REF!</v>
      </c>
      <c r="U19" s="22"/>
      <c r="V19" s="20" t="str">
        <f t="shared" si="10"/>
        <v>S-345x114x76</v>
      </c>
    </row>
    <row r="20" spans="1:22" s="306" customFormat="1">
      <c r="A20" s="305" t="s">
        <v>489</v>
      </c>
      <c r="B20" s="2" t="s">
        <v>2180</v>
      </c>
      <c r="C20" s="2">
        <v>230</v>
      </c>
      <c r="D20" s="2">
        <v>172</v>
      </c>
      <c r="E20" s="2">
        <v>76</v>
      </c>
      <c r="F20" s="2">
        <f t="shared" si="5"/>
        <v>76</v>
      </c>
      <c r="G20" s="21">
        <f t="shared" si="6"/>
        <v>3.0065599999999999</v>
      </c>
      <c r="H20" s="20">
        <f t="shared" si="7"/>
        <v>3.0070000000000001</v>
      </c>
      <c r="I20" s="20">
        <f t="shared" si="8"/>
        <v>3.0070000000000001</v>
      </c>
      <c r="J20" s="75">
        <f t="shared" si="9"/>
        <v>2.1680000000000001</v>
      </c>
      <c r="K20" s="778"/>
      <c r="L20" s="20"/>
      <c r="M20" s="20"/>
      <c r="N20" s="20"/>
      <c r="O20" s="20"/>
      <c r="P20" s="20"/>
      <c r="Q20" s="21"/>
      <c r="R20" s="22">
        <f t="shared" si="3"/>
        <v>172</v>
      </c>
      <c r="S20" s="20">
        <v>1</v>
      </c>
      <c r="T20" s="20" t="e">
        <f>T10</f>
        <v>#REF!</v>
      </c>
      <c r="U20" s="22"/>
      <c r="V20" s="20" t="str">
        <f t="shared" si="10"/>
        <v>S-230x172x76</v>
      </c>
    </row>
    <row r="21" spans="1:22" s="306" customFormat="1">
      <c r="A21" s="305" t="s">
        <v>2059</v>
      </c>
      <c r="B21" s="2" t="s">
        <v>2180</v>
      </c>
      <c r="C21" s="2">
        <v>230</v>
      </c>
      <c r="D21" s="2">
        <v>230</v>
      </c>
      <c r="E21" s="2">
        <v>64</v>
      </c>
      <c r="F21" s="2">
        <f t="shared" si="5"/>
        <v>64</v>
      </c>
      <c r="G21" s="21">
        <f t="shared" si="6"/>
        <v>3.3856000000000002</v>
      </c>
      <c r="H21" s="20">
        <f t="shared" si="7"/>
        <v>3.3860000000000001</v>
      </c>
      <c r="I21" s="20">
        <f t="shared" si="8"/>
        <v>3.3860000000000001</v>
      </c>
      <c r="J21" s="75">
        <f t="shared" si="9"/>
        <v>2.1640000000000001</v>
      </c>
      <c r="K21" s="778"/>
      <c r="L21" s="20"/>
      <c r="M21" s="20"/>
      <c r="N21" s="20"/>
      <c r="O21" s="20"/>
      <c r="P21" s="20"/>
      <c r="Q21" s="21"/>
      <c r="R21" s="22">
        <f t="shared" si="3"/>
        <v>230</v>
      </c>
      <c r="S21" s="20">
        <v>1</v>
      </c>
      <c r="T21" s="20" t="e">
        <f>T14</f>
        <v>#REF!</v>
      </c>
      <c r="U21" s="22"/>
      <c r="V21" s="20" t="str">
        <f t="shared" si="10"/>
        <v>S-230x230x64</v>
      </c>
    </row>
    <row r="22" spans="1:22" s="306" customFormat="1">
      <c r="A22" s="305" t="s">
        <v>490</v>
      </c>
      <c r="B22" s="2" t="s">
        <v>2180</v>
      </c>
      <c r="C22" s="2">
        <v>230</v>
      </c>
      <c r="D22" s="2">
        <v>230</v>
      </c>
      <c r="E22" s="2">
        <v>76</v>
      </c>
      <c r="F22" s="2">
        <f t="shared" si="5"/>
        <v>76</v>
      </c>
      <c r="G22" s="21">
        <f t="shared" si="6"/>
        <v>4.0204000000000004</v>
      </c>
      <c r="H22" s="20">
        <f t="shared" si="7"/>
        <v>4.0199999999999996</v>
      </c>
      <c r="I22" s="20">
        <f t="shared" si="8"/>
        <v>4.0199999999999996</v>
      </c>
      <c r="J22" s="75">
        <f t="shared" si="9"/>
        <v>2.6739999999999999</v>
      </c>
      <c r="K22" s="778"/>
      <c r="L22" s="20"/>
      <c r="M22" s="20"/>
      <c r="N22" s="20"/>
      <c r="O22" s="20"/>
      <c r="P22" s="20"/>
      <c r="Q22" s="21"/>
      <c r="R22" s="22">
        <f t="shared" si="3"/>
        <v>230</v>
      </c>
      <c r="S22" s="20">
        <v>1</v>
      </c>
      <c r="T22" s="20" t="e">
        <f>T15</f>
        <v>#REF!</v>
      </c>
      <c r="U22" s="22"/>
      <c r="V22" s="20" t="str">
        <f t="shared" si="10"/>
        <v>S-230x230x76</v>
      </c>
    </row>
    <row r="23" spans="1:22" s="306" customFormat="1">
      <c r="A23" s="558">
        <v>2</v>
      </c>
      <c r="B23" s="2" t="s">
        <v>2180</v>
      </c>
      <c r="C23" s="2">
        <v>250</v>
      </c>
      <c r="D23" s="2">
        <v>124</v>
      </c>
      <c r="E23" s="2">
        <v>64</v>
      </c>
      <c r="F23" s="2">
        <f t="shared" si="5"/>
        <v>64</v>
      </c>
      <c r="G23" s="21">
        <f t="shared" si="6"/>
        <v>1.984</v>
      </c>
      <c r="H23" s="20">
        <f t="shared" si="7"/>
        <v>1.984</v>
      </c>
      <c r="I23" s="20">
        <f t="shared" si="8"/>
        <v>1.984</v>
      </c>
      <c r="J23" s="75">
        <f t="shared" si="9"/>
        <v>1.504</v>
      </c>
      <c r="K23" s="778"/>
      <c r="L23" s="20"/>
      <c r="M23" s="20"/>
      <c r="N23" s="20"/>
      <c r="O23" s="20"/>
      <c r="P23" s="20"/>
      <c r="Q23" s="21"/>
      <c r="R23" s="22">
        <f t="shared" si="3"/>
        <v>124</v>
      </c>
      <c r="S23" s="20">
        <v>1</v>
      </c>
      <c r="T23" s="20" t="e">
        <f>T20</f>
        <v>#REF!</v>
      </c>
      <c r="U23" s="22"/>
      <c r="V23" s="20" t="str">
        <f t="shared" si="10"/>
        <v>S-250x124x64</v>
      </c>
    </row>
    <row r="24" spans="1:22" s="306" customFormat="1">
      <c r="A24" s="558" t="s">
        <v>530</v>
      </c>
      <c r="B24" s="2" t="s">
        <v>2180</v>
      </c>
      <c r="C24" s="2">
        <v>250</v>
      </c>
      <c r="D24" s="2">
        <v>124</v>
      </c>
      <c r="E24" s="2">
        <v>20</v>
      </c>
      <c r="F24" s="2">
        <f t="shared" si="5"/>
        <v>20</v>
      </c>
      <c r="G24" s="21">
        <f t="shared" si="6"/>
        <v>0.62</v>
      </c>
      <c r="H24" s="20">
        <f t="shared" si="7"/>
        <v>0.62</v>
      </c>
      <c r="I24" s="20">
        <f t="shared" si="8"/>
        <v>0.62</v>
      </c>
      <c r="J24" s="75">
        <f t="shared" si="9"/>
        <v>0.36</v>
      </c>
      <c r="K24" s="778"/>
      <c r="L24" s="20"/>
      <c r="M24" s="20"/>
      <c r="N24" s="20"/>
      <c r="O24" s="20"/>
      <c r="P24" s="20"/>
      <c r="Q24" s="21"/>
      <c r="R24" s="22">
        <f t="shared" si="3"/>
        <v>124</v>
      </c>
      <c r="S24" s="20">
        <v>1</v>
      </c>
      <c r="T24" s="20" t="e">
        <f>T20</f>
        <v>#REF!</v>
      </c>
      <c r="U24" s="22"/>
      <c r="V24" s="20" t="str">
        <f t="shared" si="10"/>
        <v>S-250x124x20</v>
      </c>
    </row>
    <row r="25" spans="1:22" s="306" customFormat="1">
      <c r="A25" s="558" t="s">
        <v>531</v>
      </c>
      <c r="B25" s="2" t="s">
        <v>2180</v>
      </c>
      <c r="C25" s="2">
        <v>250</v>
      </c>
      <c r="D25" s="2">
        <v>124</v>
      </c>
      <c r="E25" s="2">
        <v>32</v>
      </c>
      <c r="F25" s="2">
        <f t="shared" si="5"/>
        <v>32</v>
      </c>
      <c r="G25" s="21">
        <f t="shared" si="6"/>
        <v>0.99199999999999999</v>
      </c>
      <c r="H25" s="20">
        <f t="shared" si="7"/>
        <v>0.99199999999999999</v>
      </c>
      <c r="I25" s="20">
        <f t="shared" si="8"/>
        <v>0.99199999999999999</v>
      </c>
      <c r="J25" s="75">
        <f t="shared" si="9"/>
        <v>0.624</v>
      </c>
      <c r="K25" s="778"/>
      <c r="L25" s="20"/>
      <c r="M25" s="20"/>
      <c r="N25" s="20"/>
      <c r="O25" s="20"/>
      <c r="P25" s="20"/>
      <c r="Q25" s="21"/>
      <c r="R25" s="22">
        <f t="shared" si="3"/>
        <v>124</v>
      </c>
      <c r="S25" s="20">
        <v>1</v>
      </c>
      <c r="T25" s="20" t="e">
        <f>T22</f>
        <v>#REF!</v>
      </c>
      <c r="U25" s="22"/>
      <c r="V25" s="20" t="str">
        <f t="shared" si="10"/>
        <v>S-250x124x32</v>
      </c>
    </row>
    <row r="26" spans="1:22" s="306" customFormat="1">
      <c r="A26" s="558" t="s">
        <v>532</v>
      </c>
      <c r="B26" s="2" t="s">
        <v>2180</v>
      </c>
      <c r="C26" s="2">
        <v>250</v>
      </c>
      <c r="D26" s="2">
        <v>124</v>
      </c>
      <c r="E26" s="2">
        <v>40</v>
      </c>
      <c r="F26" s="2">
        <f t="shared" si="5"/>
        <v>40</v>
      </c>
      <c r="G26" s="21">
        <f t="shared" si="6"/>
        <v>1.24</v>
      </c>
      <c r="H26" s="20">
        <f t="shared" si="7"/>
        <v>1.24</v>
      </c>
      <c r="I26" s="20">
        <f t="shared" si="8"/>
        <v>1.24</v>
      </c>
      <c r="J26" s="75">
        <f t="shared" si="9"/>
        <v>0.82</v>
      </c>
      <c r="K26" s="778"/>
      <c r="L26" s="20"/>
      <c r="M26" s="20"/>
      <c r="N26" s="20"/>
      <c r="O26" s="20"/>
      <c r="P26" s="20"/>
      <c r="Q26" s="21"/>
      <c r="R26" s="22">
        <f t="shared" si="3"/>
        <v>124</v>
      </c>
      <c r="S26" s="20">
        <v>1</v>
      </c>
      <c r="T26" s="20" t="e">
        <f>T23</f>
        <v>#REF!</v>
      </c>
      <c r="U26" s="22"/>
      <c r="V26" s="20" t="str">
        <f t="shared" si="10"/>
        <v>S-250x124x40</v>
      </c>
    </row>
    <row r="27" spans="1:22" s="306" customFormat="1">
      <c r="A27" s="558" t="s">
        <v>533</v>
      </c>
      <c r="B27" s="2" t="s">
        <v>2180</v>
      </c>
      <c r="C27" s="2">
        <v>250</v>
      </c>
      <c r="D27" s="2">
        <v>124</v>
      </c>
      <c r="E27" s="2">
        <v>50</v>
      </c>
      <c r="F27" s="2">
        <f t="shared" si="5"/>
        <v>50</v>
      </c>
      <c r="G27" s="21">
        <f t="shared" si="6"/>
        <v>1.55</v>
      </c>
      <c r="H27" s="20">
        <f t="shared" si="7"/>
        <v>1.55</v>
      </c>
      <c r="I27" s="20">
        <f t="shared" si="8"/>
        <v>1.55</v>
      </c>
      <c r="J27" s="75">
        <f t="shared" si="9"/>
        <v>1.0880000000000001</v>
      </c>
      <c r="K27" s="778"/>
      <c r="L27" s="20"/>
      <c r="M27" s="20"/>
      <c r="N27" s="20"/>
      <c r="O27" s="20"/>
      <c r="P27" s="20"/>
      <c r="Q27" s="21"/>
      <c r="R27" s="22">
        <f t="shared" si="3"/>
        <v>124</v>
      </c>
      <c r="S27" s="20">
        <v>1</v>
      </c>
      <c r="T27" s="20" t="e">
        <f t="shared" ref="T27:T31" si="11">T24</f>
        <v>#REF!</v>
      </c>
      <c r="U27" s="22"/>
      <c r="V27" s="20" t="str">
        <f t="shared" si="10"/>
        <v>S-250x124x50</v>
      </c>
    </row>
    <row r="28" spans="1:22" s="306" customFormat="1">
      <c r="A28" s="558" t="s">
        <v>534</v>
      </c>
      <c r="B28" s="2" t="s">
        <v>2180</v>
      </c>
      <c r="C28" s="2">
        <v>250</v>
      </c>
      <c r="D28" s="2">
        <v>124</v>
      </c>
      <c r="E28" s="2">
        <v>65</v>
      </c>
      <c r="F28" s="2">
        <f t="shared" si="5"/>
        <v>65</v>
      </c>
      <c r="G28" s="21">
        <f t="shared" si="6"/>
        <v>2.0150000000000001</v>
      </c>
      <c r="H28" s="20">
        <f t="shared" si="7"/>
        <v>2.0150000000000001</v>
      </c>
      <c r="I28" s="20">
        <f t="shared" si="8"/>
        <v>2.0150000000000001</v>
      </c>
      <c r="J28" s="75">
        <f t="shared" si="9"/>
        <v>1.536</v>
      </c>
      <c r="K28" s="778"/>
      <c r="L28" s="20"/>
      <c r="M28" s="20"/>
      <c r="N28" s="20"/>
      <c r="O28" s="20"/>
      <c r="P28" s="20"/>
      <c r="Q28" s="21"/>
      <c r="R28" s="22">
        <f t="shared" si="3"/>
        <v>124</v>
      </c>
      <c r="S28" s="20">
        <v>1</v>
      </c>
      <c r="T28" s="20" t="e">
        <f t="shared" si="11"/>
        <v>#REF!</v>
      </c>
      <c r="U28" s="22"/>
      <c r="V28" s="20" t="str">
        <f t="shared" si="10"/>
        <v>S-250x124x65</v>
      </c>
    </row>
    <row r="29" spans="1:22" s="306" customFormat="1">
      <c r="A29" s="558" t="s">
        <v>491</v>
      </c>
      <c r="B29" s="2" t="s">
        <v>2180</v>
      </c>
      <c r="C29" s="2">
        <v>250</v>
      </c>
      <c r="D29" s="2">
        <v>124</v>
      </c>
      <c r="E29" s="2">
        <v>76</v>
      </c>
      <c r="F29" s="2">
        <f t="shared" si="5"/>
        <v>76</v>
      </c>
      <c r="G29" s="21">
        <f t="shared" si="6"/>
        <v>2.3559999999999999</v>
      </c>
      <c r="H29" s="20">
        <f t="shared" si="7"/>
        <v>2.3559999999999999</v>
      </c>
      <c r="I29" s="20">
        <f t="shared" si="8"/>
        <v>2.3559999999999999</v>
      </c>
      <c r="J29" s="75">
        <f t="shared" si="9"/>
        <v>1.9</v>
      </c>
      <c r="K29" s="778"/>
      <c r="L29" s="20"/>
      <c r="M29" s="20"/>
      <c r="N29" s="20"/>
      <c r="O29" s="20"/>
      <c r="P29" s="20"/>
      <c r="Q29" s="21"/>
      <c r="R29" s="22">
        <f t="shared" si="3"/>
        <v>124</v>
      </c>
      <c r="S29" s="20">
        <v>1</v>
      </c>
      <c r="T29" s="20" t="e">
        <f t="shared" si="11"/>
        <v>#REF!</v>
      </c>
      <c r="U29" s="22"/>
      <c r="V29" s="20" t="str">
        <f t="shared" si="10"/>
        <v>S-250x124x76</v>
      </c>
    </row>
    <row r="30" spans="1:22" s="306" customFormat="1">
      <c r="A30" s="558" t="s">
        <v>535</v>
      </c>
      <c r="B30" s="2" t="s">
        <v>2180</v>
      </c>
      <c r="C30" s="2">
        <v>250</v>
      </c>
      <c r="D30" s="2">
        <v>124</v>
      </c>
      <c r="E30" s="2">
        <v>80</v>
      </c>
      <c r="F30" s="2">
        <f t="shared" si="5"/>
        <v>80</v>
      </c>
      <c r="G30" s="21">
        <f t="shared" si="6"/>
        <v>2.48</v>
      </c>
      <c r="H30" s="20">
        <f t="shared" si="7"/>
        <v>2.48</v>
      </c>
      <c r="I30" s="20">
        <f t="shared" si="8"/>
        <v>2.48</v>
      </c>
      <c r="J30" s="75">
        <f t="shared" si="9"/>
        <v>2.04</v>
      </c>
      <c r="K30" s="778"/>
      <c r="L30" s="20"/>
      <c r="M30" s="20"/>
      <c r="N30" s="20"/>
      <c r="O30" s="20"/>
      <c r="P30" s="20"/>
      <c r="Q30" s="21"/>
      <c r="R30" s="22">
        <f t="shared" si="3"/>
        <v>124</v>
      </c>
      <c r="S30" s="20">
        <v>1</v>
      </c>
      <c r="T30" s="20" t="e">
        <f t="shared" si="11"/>
        <v>#REF!</v>
      </c>
      <c r="U30" s="22"/>
      <c r="V30" s="20" t="str">
        <f t="shared" si="10"/>
        <v>S-250x124x80</v>
      </c>
    </row>
    <row r="31" spans="1:22" s="306" customFormat="1">
      <c r="A31" s="305" t="s">
        <v>536</v>
      </c>
      <c r="B31" s="2" t="s">
        <v>2180</v>
      </c>
      <c r="C31" s="2">
        <v>250</v>
      </c>
      <c r="D31" s="2">
        <v>187</v>
      </c>
      <c r="E31" s="2">
        <v>64</v>
      </c>
      <c r="F31" s="2">
        <f t="shared" si="5"/>
        <v>64</v>
      </c>
      <c r="G31" s="21">
        <f t="shared" si="6"/>
        <v>2.992</v>
      </c>
      <c r="H31" s="20">
        <f t="shared" si="7"/>
        <v>2.992</v>
      </c>
      <c r="I31" s="20">
        <f t="shared" si="8"/>
        <v>2.992</v>
      </c>
      <c r="J31" s="75">
        <f t="shared" si="9"/>
        <v>2.008</v>
      </c>
      <c r="K31" s="778"/>
      <c r="L31" s="20"/>
      <c r="M31" s="20"/>
      <c r="N31" s="20"/>
      <c r="O31" s="20"/>
      <c r="P31" s="20"/>
      <c r="Q31" s="21"/>
      <c r="R31" s="22">
        <f t="shared" si="3"/>
        <v>187</v>
      </c>
      <c r="S31" s="20">
        <v>1</v>
      </c>
      <c r="T31" s="20" t="e">
        <f t="shared" si="11"/>
        <v>#REF!</v>
      </c>
      <c r="U31" s="22"/>
      <c r="V31" s="20" t="str">
        <f t="shared" si="10"/>
        <v>S-250x187x64</v>
      </c>
    </row>
    <row r="32" spans="1:22" s="306" customFormat="1">
      <c r="A32" s="305" t="s">
        <v>492</v>
      </c>
      <c r="B32" s="2" t="s">
        <v>2180</v>
      </c>
      <c r="C32" s="2">
        <v>250</v>
      </c>
      <c r="D32" s="2">
        <v>187</v>
      </c>
      <c r="E32" s="2">
        <v>76</v>
      </c>
      <c r="F32" s="2">
        <f t="shared" si="5"/>
        <v>76</v>
      </c>
      <c r="G32" s="21">
        <f t="shared" si="6"/>
        <v>3.5529999999999999</v>
      </c>
      <c r="H32" s="20">
        <f>ROUND(C32*D32*E32/10^6,3)</f>
        <v>3.5529999999999999</v>
      </c>
      <c r="I32" s="20">
        <f>IF(F32="","-",ROUND((E32+F32)*C32/2*D32/10^6,3))</f>
        <v>3.5529999999999999</v>
      </c>
      <c r="J32" s="75">
        <f>IF(F32="","-",ROUND((D32+E32)*C32/2*F32/10^6,3))</f>
        <v>2.4990000000000001</v>
      </c>
      <c r="K32" s="778"/>
      <c r="L32" s="20"/>
      <c r="M32" s="20"/>
      <c r="N32" s="20"/>
      <c r="O32" s="20"/>
      <c r="P32" s="20"/>
      <c r="Q32" s="21"/>
      <c r="R32" s="22">
        <f>D32</f>
        <v>187</v>
      </c>
      <c r="S32" s="20"/>
      <c r="T32" s="20">
        <f>T283</f>
        <v>0</v>
      </c>
      <c r="U32" s="22">
        <v>1</v>
      </c>
      <c r="V32" s="20" t="str">
        <f>B32&amp;"-"&amp;C32&amp;"x"&amp;D32&amp;"x"&amp;E32</f>
        <v>S-250x187x76</v>
      </c>
    </row>
    <row r="33" spans="1:22" s="306" customFormat="1">
      <c r="A33" s="305" t="s">
        <v>538</v>
      </c>
      <c r="B33" s="2" t="s">
        <v>2180</v>
      </c>
      <c r="C33" s="2">
        <v>250</v>
      </c>
      <c r="D33" s="2">
        <v>250</v>
      </c>
      <c r="E33" s="2">
        <v>64</v>
      </c>
      <c r="F33" s="2">
        <f t="shared" si="5"/>
        <v>64</v>
      </c>
      <c r="G33" s="21">
        <f t="shared" si="6"/>
        <v>4</v>
      </c>
      <c r="H33" s="20">
        <f t="shared" si="7"/>
        <v>4</v>
      </c>
      <c r="I33" s="20">
        <f t="shared" si="8"/>
        <v>4</v>
      </c>
      <c r="J33" s="75">
        <f t="shared" si="9"/>
        <v>2.512</v>
      </c>
      <c r="K33" s="778"/>
      <c r="L33" s="20"/>
      <c r="M33" s="20"/>
      <c r="N33" s="20"/>
      <c r="O33" s="20"/>
      <c r="P33" s="20"/>
      <c r="Q33" s="21"/>
      <c r="R33" s="22">
        <f t="shared" si="3"/>
        <v>250</v>
      </c>
      <c r="S33" s="20">
        <v>1</v>
      </c>
      <c r="T33" s="20" t="e">
        <f>T29</f>
        <v>#REF!</v>
      </c>
      <c r="U33" s="22"/>
      <c r="V33" s="20" t="str">
        <f t="shared" si="10"/>
        <v>S-250x250x64</v>
      </c>
    </row>
    <row r="34" spans="1:22" s="306" customFormat="1">
      <c r="A34" s="305" t="s">
        <v>2060</v>
      </c>
      <c r="B34" s="2" t="s">
        <v>2180</v>
      </c>
      <c r="C34" s="2">
        <v>250</v>
      </c>
      <c r="D34" s="2">
        <v>250</v>
      </c>
      <c r="E34" s="2">
        <v>76</v>
      </c>
      <c r="F34" s="2">
        <f t="shared" si="5"/>
        <v>76</v>
      </c>
      <c r="G34" s="21">
        <f t="shared" si="6"/>
        <v>4.75</v>
      </c>
      <c r="H34" s="20">
        <f t="shared" si="7"/>
        <v>4.75</v>
      </c>
      <c r="I34" s="20">
        <f t="shared" si="8"/>
        <v>4.75</v>
      </c>
      <c r="J34" s="75">
        <f t="shared" si="9"/>
        <v>3.097</v>
      </c>
      <c r="K34" s="778"/>
      <c r="L34" s="20"/>
      <c r="M34" s="20"/>
      <c r="N34" s="20"/>
      <c r="O34" s="20"/>
      <c r="P34" s="20"/>
      <c r="Q34" s="21"/>
      <c r="R34" s="22">
        <f t="shared" si="3"/>
        <v>250</v>
      </c>
      <c r="S34" s="20">
        <v>1</v>
      </c>
      <c r="T34" s="20" t="e">
        <f>T30</f>
        <v>#REF!</v>
      </c>
      <c r="U34" s="22"/>
      <c r="V34" s="20" t="str">
        <f t="shared" si="10"/>
        <v>S-250x250x76</v>
      </c>
    </row>
    <row r="35" spans="1:22" s="306" customFormat="1">
      <c r="A35" s="305" t="s">
        <v>537</v>
      </c>
      <c r="B35" s="2" t="s">
        <v>2180</v>
      </c>
      <c r="C35" s="2">
        <v>375</v>
      </c>
      <c r="D35" s="2">
        <v>124</v>
      </c>
      <c r="E35" s="2">
        <v>64</v>
      </c>
      <c r="F35" s="2">
        <f t="shared" si="5"/>
        <v>64</v>
      </c>
      <c r="G35" s="21">
        <f t="shared" si="6"/>
        <v>2.976</v>
      </c>
      <c r="H35" s="20">
        <f t="shared" si="7"/>
        <v>2.976</v>
      </c>
      <c r="I35" s="20">
        <f t="shared" si="8"/>
        <v>2.976</v>
      </c>
      <c r="J35" s="75">
        <f t="shared" si="9"/>
        <v>2.2559999999999998</v>
      </c>
      <c r="K35" s="778"/>
      <c r="L35" s="20"/>
      <c r="M35" s="20"/>
      <c r="N35" s="20"/>
      <c r="O35" s="20"/>
      <c r="P35" s="20"/>
      <c r="Q35" s="21"/>
      <c r="R35" s="22">
        <f t="shared" si="3"/>
        <v>124</v>
      </c>
      <c r="S35" s="20">
        <v>1</v>
      </c>
      <c r="T35" s="20" t="e">
        <f>T30</f>
        <v>#REF!</v>
      </c>
      <c r="U35" s="22"/>
      <c r="V35" s="20" t="str">
        <f t="shared" si="10"/>
        <v>S-375x124x64</v>
      </c>
    </row>
    <row r="36" spans="1:22" s="306" customFormat="1">
      <c r="A36" s="559" t="s">
        <v>497</v>
      </c>
      <c r="B36" s="2" t="s">
        <v>2180</v>
      </c>
      <c r="C36" s="2">
        <v>375</v>
      </c>
      <c r="D36" s="2">
        <v>124</v>
      </c>
      <c r="E36" s="2">
        <v>76</v>
      </c>
      <c r="F36" s="2">
        <f t="shared" si="5"/>
        <v>76</v>
      </c>
      <c r="G36" s="21">
        <f t="shared" si="6"/>
        <v>3.5339999999999998</v>
      </c>
      <c r="H36" s="20">
        <f>ROUND(C36*D36*E36/10^6,3)</f>
        <v>3.5339999999999998</v>
      </c>
      <c r="I36" s="20">
        <f>IF(F36="","-",ROUND((E36+F36)*C36/2*D36/10^6,3))</f>
        <v>3.5339999999999998</v>
      </c>
      <c r="J36" s="75">
        <f>IF(F36="","-",ROUND((D36+E36)*C36/2*F36/10^6,3))</f>
        <v>2.85</v>
      </c>
      <c r="K36" s="778"/>
      <c r="L36" s="20"/>
      <c r="M36" s="20"/>
      <c r="N36" s="20"/>
      <c r="O36" s="20"/>
      <c r="P36" s="20"/>
      <c r="Q36" s="21"/>
      <c r="R36" s="22">
        <f>D36</f>
        <v>124</v>
      </c>
      <c r="S36" s="20"/>
      <c r="T36" s="20">
        <f>T47</f>
        <v>0</v>
      </c>
      <c r="U36" s="22">
        <v>1</v>
      </c>
      <c r="V36" s="20" t="str">
        <f>B36&amp;"-"&amp;C36&amp;"x"&amp;D36&amp;"x"&amp;E36</f>
        <v>S-375x124x76</v>
      </c>
    </row>
    <row r="37" spans="1:22" s="306" customFormat="1">
      <c r="A37" s="559" t="s">
        <v>498</v>
      </c>
      <c r="B37" s="2" t="s">
        <v>2180</v>
      </c>
      <c r="C37" s="2">
        <v>375</v>
      </c>
      <c r="D37" s="2">
        <v>187</v>
      </c>
      <c r="E37" s="2">
        <v>76</v>
      </c>
      <c r="F37" s="2">
        <f t="shared" si="5"/>
        <v>76</v>
      </c>
      <c r="G37" s="21">
        <f t="shared" si="6"/>
        <v>5.3295000000000003</v>
      </c>
      <c r="H37" s="20">
        <f>ROUND(C37*D37*E37/10^6,3)</f>
        <v>5.33</v>
      </c>
      <c r="I37" s="20">
        <f>IF(F37="","-",ROUND((E37+F37)*C37/2*D37/10^6,3))</f>
        <v>5.33</v>
      </c>
      <c r="J37" s="75">
        <f>IF(F37="","-",ROUND((D37+E37)*C37/2*F37/10^6,3))</f>
        <v>3.7480000000000002</v>
      </c>
      <c r="K37" s="778"/>
      <c r="L37" s="20"/>
      <c r="M37" s="20"/>
      <c r="N37" s="20"/>
      <c r="O37" s="20"/>
      <c r="P37" s="20"/>
      <c r="Q37" s="21"/>
      <c r="R37" s="22">
        <f>D37</f>
        <v>187</v>
      </c>
      <c r="S37" s="20"/>
      <c r="T37" s="20">
        <f>T36</f>
        <v>0</v>
      </c>
      <c r="U37" s="22">
        <v>1</v>
      </c>
      <c r="V37" s="20" t="str">
        <f>B37&amp;"-"&amp;C37&amp;"x"&amp;D37&amp;"x"&amp;E37</f>
        <v>S-375x187x76</v>
      </c>
    </row>
    <row r="38" spans="1:22" s="306" customFormat="1">
      <c r="A38" s="305" t="s">
        <v>539</v>
      </c>
      <c r="B38" s="2" t="s">
        <v>2180</v>
      </c>
      <c r="C38" s="2">
        <v>187</v>
      </c>
      <c r="D38" s="2">
        <v>155</v>
      </c>
      <c r="E38" s="2">
        <v>124</v>
      </c>
      <c r="F38" s="2">
        <f t="shared" si="5"/>
        <v>124</v>
      </c>
      <c r="G38" s="21">
        <f t="shared" si="6"/>
        <v>3.5941399999999999</v>
      </c>
      <c r="H38" s="20">
        <f t="shared" si="7"/>
        <v>3.5939999999999999</v>
      </c>
      <c r="I38" s="20">
        <f t="shared" si="8"/>
        <v>3.5939999999999999</v>
      </c>
      <c r="J38" s="75">
        <f t="shared" si="9"/>
        <v>3.2349999999999999</v>
      </c>
      <c r="K38" s="778"/>
      <c r="L38" s="20"/>
      <c r="M38" s="20"/>
      <c r="N38" s="20"/>
      <c r="O38" s="20"/>
      <c r="P38" s="20"/>
      <c r="Q38" s="21"/>
      <c r="R38" s="22">
        <f t="shared" si="3"/>
        <v>155</v>
      </c>
      <c r="S38" s="20">
        <v>1</v>
      </c>
      <c r="T38" s="20" t="e">
        <f>T31</f>
        <v>#REF!</v>
      </c>
      <c r="U38" s="22"/>
      <c r="V38" s="20" t="str">
        <f t="shared" si="10"/>
        <v>S-187x155x124</v>
      </c>
    </row>
    <row r="39" spans="1:22" s="306" customFormat="1">
      <c r="A39" s="305" t="s">
        <v>540</v>
      </c>
      <c r="B39" s="2" t="s">
        <v>2180</v>
      </c>
      <c r="C39" s="2">
        <v>210</v>
      </c>
      <c r="D39" s="2">
        <v>187</v>
      </c>
      <c r="E39" s="2">
        <v>155</v>
      </c>
      <c r="F39" s="2">
        <f t="shared" si="5"/>
        <v>155</v>
      </c>
      <c r="G39" s="21">
        <f t="shared" si="6"/>
        <v>6.0868500000000001</v>
      </c>
      <c r="H39" s="20">
        <f t="shared" si="7"/>
        <v>6.0869999999999997</v>
      </c>
      <c r="I39" s="20">
        <f t="shared" si="8"/>
        <v>6.0869999999999997</v>
      </c>
      <c r="J39" s="75">
        <f t="shared" si="9"/>
        <v>5.5659999999999998</v>
      </c>
      <c r="K39" s="778"/>
      <c r="L39" s="20"/>
      <c r="M39" s="20"/>
      <c r="N39" s="20"/>
      <c r="O39" s="20"/>
      <c r="P39" s="20"/>
      <c r="Q39" s="21"/>
      <c r="R39" s="22">
        <f t="shared" si="3"/>
        <v>187</v>
      </c>
      <c r="S39" s="20">
        <v>1</v>
      </c>
      <c r="T39" s="20" t="e">
        <f>T33</f>
        <v>#REF!</v>
      </c>
      <c r="U39" s="22"/>
      <c r="V39" s="20" t="str">
        <f t="shared" si="10"/>
        <v>S-210x187x155</v>
      </c>
    </row>
    <row r="40" spans="1:22" s="306" customFormat="1">
      <c r="A40" s="305" t="s">
        <v>541</v>
      </c>
      <c r="B40" s="2" t="s">
        <v>2180</v>
      </c>
      <c r="C40" s="2">
        <v>340</v>
      </c>
      <c r="D40" s="2">
        <v>210</v>
      </c>
      <c r="E40" s="2">
        <v>88</v>
      </c>
      <c r="F40" s="2">
        <f t="shared" si="5"/>
        <v>88</v>
      </c>
      <c r="G40" s="21">
        <f t="shared" si="6"/>
        <v>6.2831999999999999</v>
      </c>
      <c r="H40" s="20">
        <f t="shared" si="7"/>
        <v>6.2830000000000004</v>
      </c>
      <c r="I40" s="20">
        <f t="shared" si="8"/>
        <v>6.2830000000000004</v>
      </c>
      <c r="J40" s="75">
        <f t="shared" si="9"/>
        <v>4.4580000000000002</v>
      </c>
      <c r="K40" s="778"/>
      <c r="L40" s="20"/>
      <c r="M40" s="20"/>
      <c r="N40" s="20"/>
      <c r="O40" s="20"/>
      <c r="P40" s="20"/>
      <c r="Q40" s="21"/>
      <c r="R40" s="22">
        <f t="shared" si="3"/>
        <v>210</v>
      </c>
      <c r="S40" s="20">
        <v>1</v>
      </c>
      <c r="T40" s="20" t="e">
        <f>T24</f>
        <v>#REF!</v>
      </c>
      <c r="U40" s="22"/>
      <c r="V40" s="20" t="str">
        <f t="shared" si="10"/>
        <v>S-340x210x88</v>
      </c>
    </row>
    <row r="41" spans="1:22" s="306" customFormat="1">
      <c r="A41" s="558">
        <v>3</v>
      </c>
      <c r="B41" s="2" t="s">
        <v>2180</v>
      </c>
      <c r="C41" s="2">
        <v>300</v>
      </c>
      <c r="D41" s="2">
        <v>150</v>
      </c>
      <c r="E41" s="2">
        <v>64</v>
      </c>
      <c r="F41" s="2">
        <f t="shared" si="5"/>
        <v>64</v>
      </c>
      <c r="G41" s="21">
        <f t="shared" si="6"/>
        <v>2.88</v>
      </c>
      <c r="H41" s="20">
        <f t="shared" si="7"/>
        <v>2.88</v>
      </c>
      <c r="I41" s="20">
        <f t="shared" si="8"/>
        <v>2.88</v>
      </c>
      <c r="J41" s="75">
        <f t="shared" si="9"/>
        <v>2.0539999999999998</v>
      </c>
      <c r="K41" s="778"/>
      <c r="L41" s="20"/>
      <c r="M41" s="20"/>
      <c r="N41" s="20"/>
      <c r="O41" s="20"/>
      <c r="P41" s="20"/>
      <c r="Q41" s="21"/>
      <c r="R41" s="22">
        <f t="shared" si="3"/>
        <v>150</v>
      </c>
      <c r="S41" s="20"/>
      <c r="T41" s="20" t="e">
        <f>T31</f>
        <v>#REF!</v>
      </c>
      <c r="U41" s="22">
        <v>1</v>
      </c>
      <c r="V41" s="20" t="str">
        <f t="shared" si="10"/>
        <v>S-300x150x64</v>
      </c>
    </row>
    <row r="42" spans="1:22" s="306" customFormat="1">
      <c r="A42" s="560" t="s">
        <v>2061</v>
      </c>
      <c r="B42" s="2" t="s">
        <v>2180</v>
      </c>
      <c r="C42" s="2">
        <v>300</v>
      </c>
      <c r="D42" s="2">
        <v>150</v>
      </c>
      <c r="E42" s="2">
        <v>32</v>
      </c>
      <c r="F42" s="2">
        <f t="shared" si="5"/>
        <v>32</v>
      </c>
      <c r="G42" s="21">
        <f t="shared" si="6"/>
        <v>1.44</v>
      </c>
      <c r="H42" s="20">
        <f t="shared" si="7"/>
        <v>1.44</v>
      </c>
      <c r="I42" s="20">
        <f t="shared" si="8"/>
        <v>1.44</v>
      </c>
      <c r="J42" s="75">
        <f t="shared" si="9"/>
        <v>0.874</v>
      </c>
      <c r="K42" s="778"/>
      <c r="L42" s="20"/>
      <c r="M42" s="20"/>
      <c r="N42" s="20"/>
      <c r="O42" s="20"/>
      <c r="P42" s="20"/>
      <c r="Q42" s="21"/>
      <c r="R42" s="22">
        <f t="shared" si="3"/>
        <v>150</v>
      </c>
      <c r="S42" s="20"/>
      <c r="T42" s="20">
        <f>T32</f>
        <v>0</v>
      </c>
      <c r="U42" s="22">
        <v>1</v>
      </c>
      <c r="V42" s="20" t="str">
        <f t="shared" si="10"/>
        <v>S-300x150x32</v>
      </c>
    </row>
    <row r="43" spans="1:22" s="306" customFormat="1">
      <c r="A43" s="560" t="s">
        <v>493</v>
      </c>
      <c r="B43" s="2" t="s">
        <v>2180</v>
      </c>
      <c r="C43" s="2">
        <v>300</v>
      </c>
      <c r="D43" s="2">
        <v>150</v>
      </c>
      <c r="E43" s="2">
        <v>76</v>
      </c>
      <c r="F43" s="2">
        <f t="shared" si="5"/>
        <v>76</v>
      </c>
      <c r="G43" s="21">
        <f t="shared" si="6"/>
        <v>3.42</v>
      </c>
      <c r="H43" s="20">
        <f t="shared" si="7"/>
        <v>3.42</v>
      </c>
      <c r="I43" s="20">
        <f t="shared" si="8"/>
        <v>3.42</v>
      </c>
      <c r="J43" s="75">
        <f t="shared" si="9"/>
        <v>2.5760000000000001</v>
      </c>
      <c r="K43" s="778"/>
      <c r="L43" s="20"/>
      <c r="M43" s="20"/>
      <c r="N43" s="20"/>
      <c r="O43" s="20"/>
      <c r="P43" s="20"/>
      <c r="Q43" s="21"/>
      <c r="R43" s="22">
        <f t="shared" si="3"/>
        <v>150</v>
      </c>
      <c r="S43" s="20"/>
      <c r="T43" s="20">
        <f>T32</f>
        <v>0</v>
      </c>
      <c r="U43" s="22">
        <v>1</v>
      </c>
      <c r="V43" s="20" t="str">
        <f t="shared" si="10"/>
        <v>S-300x150x76</v>
      </c>
    </row>
    <row r="44" spans="1:22" s="306" customFormat="1">
      <c r="A44" s="559" t="s">
        <v>2062</v>
      </c>
      <c r="B44" s="2" t="s">
        <v>2180</v>
      </c>
      <c r="C44" s="2">
        <v>300</v>
      </c>
      <c r="D44" s="2">
        <v>225</v>
      </c>
      <c r="E44" s="2">
        <v>64</v>
      </c>
      <c r="F44" s="2">
        <f t="shared" si="5"/>
        <v>64</v>
      </c>
      <c r="G44" s="21">
        <f t="shared" si="6"/>
        <v>4.32</v>
      </c>
      <c r="H44" s="20">
        <f t="shared" si="7"/>
        <v>4.32</v>
      </c>
      <c r="I44" s="20">
        <f t="shared" si="8"/>
        <v>4.32</v>
      </c>
      <c r="J44" s="75">
        <f t="shared" si="9"/>
        <v>2.774</v>
      </c>
      <c r="K44" s="778"/>
      <c r="L44" s="20"/>
      <c r="M44" s="20"/>
      <c r="N44" s="20"/>
      <c r="O44" s="20"/>
      <c r="P44" s="20"/>
      <c r="Q44" s="21"/>
      <c r="R44" s="22">
        <f t="shared" si="3"/>
        <v>225</v>
      </c>
      <c r="S44" s="20"/>
      <c r="T44" s="20" t="e">
        <f>T41</f>
        <v>#REF!</v>
      </c>
      <c r="U44" s="22">
        <v>1</v>
      </c>
      <c r="V44" s="20" t="str">
        <f t="shared" si="10"/>
        <v>S-300x225x64</v>
      </c>
    </row>
    <row r="45" spans="1:22" s="306" customFormat="1">
      <c r="A45" s="559" t="s">
        <v>494</v>
      </c>
      <c r="B45" s="2" t="s">
        <v>2180</v>
      </c>
      <c r="C45" s="2">
        <v>300</v>
      </c>
      <c r="D45" s="2">
        <v>225</v>
      </c>
      <c r="E45" s="2">
        <v>76</v>
      </c>
      <c r="F45" s="2">
        <f t="shared" si="5"/>
        <v>76</v>
      </c>
      <c r="G45" s="21">
        <f t="shared" si="6"/>
        <v>5.13</v>
      </c>
      <c r="H45" s="20">
        <f t="shared" si="7"/>
        <v>5.13</v>
      </c>
      <c r="I45" s="20">
        <f t="shared" si="8"/>
        <v>5.13</v>
      </c>
      <c r="J45" s="75">
        <f t="shared" si="9"/>
        <v>3.431</v>
      </c>
      <c r="K45" s="778"/>
      <c r="L45" s="20"/>
      <c r="M45" s="20"/>
      <c r="N45" s="20"/>
      <c r="O45" s="20"/>
      <c r="P45" s="20"/>
      <c r="Q45" s="21"/>
      <c r="R45" s="22">
        <f t="shared" si="3"/>
        <v>225</v>
      </c>
      <c r="S45" s="20"/>
      <c r="T45" s="20">
        <f>T43</f>
        <v>0</v>
      </c>
      <c r="U45" s="22">
        <v>1</v>
      </c>
      <c r="V45" s="20" t="str">
        <f t="shared" si="10"/>
        <v>S-300x225x76</v>
      </c>
    </row>
    <row r="46" spans="1:22" s="306" customFormat="1">
      <c r="A46" s="559" t="s">
        <v>2063</v>
      </c>
      <c r="B46" s="2" t="s">
        <v>2180</v>
      </c>
      <c r="C46" s="2">
        <v>300</v>
      </c>
      <c r="D46" s="2">
        <v>300</v>
      </c>
      <c r="E46" s="2">
        <v>64</v>
      </c>
      <c r="F46" s="2">
        <f t="shared" si="5"/>
        <v>64</v>
      </c>
      <c r="G46" s="21">
        <f t="shared" si="6"/>
        <v>5.76</v>
      </c>
      <c r="H46" s="20">
        <f t="shared" si="7"/>
        <v>5.76</v>
      </c>
      <c r="I46" s="20">
        <f t="shared" si="8"/>
        <v>5.76</v>
      </c>
      <c r="J46" s="75">
        <f t="shared" si="9"/>
        <v>3.4940000000000002</v>
      </c>
      <c r="K46" s="778"/>
      <c r="L46" s="20"/>
      <c r="M46" s="20"/>
      <c r="N46" s="20"/>
      <c r="O46" s="20"/>
      <c r="P46" s="20"/>
      <c r="Q46" s="21"/>
      <c r="R46" s="22">
        <f t="shared" si="3"/>
        <v>300</v>
      </c>
      <c r="S46" s="20"/>
      <c r="T46" s="20" t="e">
        <f>T44</f>
        <v>#REF!</v>
      </c>
      <c r="U46" s="22">
        <v>1</v>
      </c>
      <c r="V46" s="20" t="str">
        <f t="shared" si="10"/>
        <v>S-300x300x64</v>
      </c>
    </row>
    <row r="47" spans="1:22" s="306" customFormat="1">
      <c r="A47" s="559" t="s">
        <v>495</v>
      </c>
      <c r="B47" s="2" t="s">
        <v>2180</v>
      </c>
      <c r="C47" s="2">
        <v>300</v>
      </c>
      <c r="D47" s="2">
        <v>300</v>
      </c>
      <c r="E47" s="2">
        <v>76</v>
      </c>
      <c r="F47" s="2">
        <f t="shared" si="5"/>
        <v>76</v>
      </c>
      <c r="G47" s="21">
        <f t="shared" si="6"/>
        <v>6.84</v>
      </c>
      <c r="H47" s="20">
        <f t="shared" si="7"/>
        <v>6.84</v>
      </c>
      <c r="I47" s="20">
        <f t="shared" si="8"/>
        <v>6.84</v>
      </c>
      <c r="J47" s="75">
        <f t="shared" si="9"/>
        <v>4.2859999999999996</v>
      </c>
      <c r="K47" s="778"/>
      <c r="L47" s="20"/>
      <c r="M47" s="20"/>
      <c r="N47" s="20"/>
      <c r="O47" s="20"/>
      <c r="P47" s="20"/>
      <c r="Q47" s="21"/>
      <c r="R47" s="22">
        <f t="shared" si="3"/>
        <v>300</v>
      </c>
      <c r="S47" s="20"/>
      <c r="T47" s="20">
        <f>T45</f>
        <v>0</v>
      </c>
      <c r="U47" s="22">
        <v>1</v>
      </c>
      <c r="V47" s="20" t="str">
        <f t="shared" si="10"/>
        <v>S-300x300x76</v>
      </c>
    </row>
    <row r="48" spans="1:22" s="306" customFormat="1">
      <c r="A48" s="559" t="s">
        <v>2064</v>
      </c>
      <c r="B48" s="2" t="s">
        <v>2180</v>
      </c>
      <c r="C48" s="2">
        <v>450</v>
      </c>
      <c r="D48" s="2">
        <v>150</v>
      </c>
      <c r="E48" s="2">
        <v>64</v>
      </c>
      <c r="F48" s="2">
        <f t="shared" si="5"/>
        <v>64</v>
      </c>
      <c r="G48" s="21">
        <f t="shared" si="6"/>
        <v>4.32</v>
      </c>
      <c r="H48" s="20">
        <f t="shared" si="7"/>
        <v>4.32</v>
      </c>
      <c r="I48" s="20">
        <f t="shared" si="8"/>
        <v>4.32</v>
      </c>
      <c r="J48" s="75">
        <f t="shared" si="9"/>
        <v>3.0819999999999999</v>
      </c>
      <c r="K48" s="778"/>
      <c r="L48" s="20"/>
      <c r="M48" s="20"/>
      <c r="N48" s="20"/>
      <c r="O48" s="20"/>
      <c r="P48" s="20"/>
      <c r="Q48" s="21"/>
      <c r="R48" s="22">
        <f t="shared" si="3"/>
        <v>150</v>
      </c>
      <c r="S48" s="20"/>
      <c r="T48" s="20" t="e">
        <f>T35</f>
        <v>#REF!</v>
      </c>
      <c r="U48" s="22">
        <v>1</v>
      </c>
      <c r="V48" s="20" t="str">
        <f t="shared" si="10"/>
        <v>S-450x150x64</v>
      </c>
    </row>
    <row r="49" spans="1:22" s="306" customFormat="1">
      <c r="A49" s="559" t="s">
        <v>2065</v>
      </c>
      <c r="B49" s="2" t="s">
        <v>2180</v>
      </c>
      <c r="C49" s="2">
        <v>450</v>
      </c>
      <c r="D49" s="2">
        <v>150</v>
      </c>
      <c r="E49" s="2">
        <v>76</v>
      </c>
      <c r="F49" s="2">
        <f t="shared" si="5"/>
        <v>76</v>
      </c>
      <c r="G49" s="21">
        <f t="shared" si="6"/>
        <v>5.13</v>
      </c>
      <c r="H49" s="20">
        <f t="shared" si="7"/>
        <v>5.13</v>
      </c>
      <c r="I49" s="20">
        <f t="shared" si="8"/>
        <v>5.13</v>
      </c>
      <c r="J49" s="75">
        <f t="shared" si="9"/>
        <v>3.8650000000000002</v>
      </c>
      <c r="K49" s="778"/>
      <c r="L49" s="20"/>
      <c r="M49" s="20"/>
      <c r="N49" s="20"/>
      <c r="O49" s="20"/>
      <c r="P49" s="20"/>
      <c r="Q49" s="21"/>
      <c r="R49" s="22">
        <f t="shared" si="3"/>
        <v>150</v>
      </c>
      <c r="S49" s="20"/>
      <c r="T49" s="20">
        <f>T36</f>
        <v>0</v>
      </c>
      <c r="U49" s="22">
        <v>1</v>
      </c>
      <c r="V49" s="20" t="str">
        <f t="shared" si="10"/>
        <v>S-450x150x76</v>
      </c>
    </row>
    <row r="50" spans="1:22" s="306" customFormat="1">
      <c r="A50" s="559" t="s">
        <v>499</v>
      </c>
      <c r="B50" s="2" t="s">
        <v>2180</v>
      </c>
      <c r="C50" s="2">
        <v>450</v>
      </c>
      <c r="D50" s="2">
        <v>225</v>
      </c>
      <c r="E50" s="2">
        <v>76</v>
      </c>
      <c r="F50" s="2">
        <f t="shared" si="5"/>
        <v>76</v>
      </c>
      <c r="G50" s="21">
        <f t="shared" si="6"/>
        <v>7.6950000000000003</v>
      </c>
      <c r="H50" s="20">
        <f t="shared" si="7"/>
        <v>7.6950000000000003</v>
      </c>
      <c r="I50" s="20">
        <f t="shared" si="8"/>
        <v>7.6950000000000003</v>
      </c>
      <c r="J50" s="75">
        <f t="shared" si="9"/>
        <v>5.1470000000000002</v>
      </c>
      <c r="K50" s="778"/>
      <c r="L50" s="20"/>
      <c r="M50" s="20"/>
      <c r="N50" s="20"/>
      <c r="O50" s="20"/>
      <c r="P50" s="20"/>
      <c r="Q50" s="21"/>
      <c r="R50" s="22">
        <f t="shared" si="3"/>
        <v>225</v>
      </c>
      <c r="S50" s="20"/>
      <c r="T50" s="20">
        <f>T37</f>
        <v>0</v>
      </c>
      <c r="U50" s="22">
        <v>1</v>
      </c>
      <c r="V50" s="20" t="str">
        <f t="shared" si="10"/>
        <v>S-450x225x76</v>
      </c>
    </row>
    <row r="51" spans="1:22" s="306" customFormat="1">
      <c r="A51" s="305" t="s">
        <v>542</v>
      </c>
      <c r="B51" s="2" t="s">
        <v>2180</v>
      </c>
      <c r="C51" s="2">
        <v>250</v>
      </c>
      <c r="D51" s="2">
        <v>155</v>
      </c>
      <c r="E51" s="2">
        <v>100</v>
      </c>
      <c r="F51" s="2">
        <f t="shared" si="5"/>
        <v>100</v>
      </c>
      <c r="G51" s="21">
        <f t="shared" si="6"/>
        <v>3.875</v>
      </c>
      <c r="H51" s="20">
        <f t="shared" si="7"/>
        <v>3.875</v>
      </c>
      <c r="I51" s="20">
        <f t="shared" si="8"/>
        <v>3.875</v>
      </c>
      <c r="J51" s="75">
        <f t="shared" si="9"/>
        <v>3.1880000000000002</v>
      </c>
      <c r="K51" s="778"/>
      <c r="L51" s="20"/>
      <c r="M51" s="20"/>
      <c r="N51" s="20"/>
      <c r="O51" s="20"/>
      <c r="P51" s="20"/>
      <c r="Q51" s="21"/>
      <c r="R51" s="22">
        <f t="shared" si="3"/>
        <v>155</v>
      </c>
      <c r="S51" s="20">
        <v>1</v>
      </c>
      <c r="T51" s="20" t="e">
        <f>T27</f>
        <v>#REF!</v>
      </c>
      <c r="U51" s="22"/>
      <c r="V51" s="20" t="str">
        <f t="shared" si="10"/>
        <v>S-250x155x100</v>
      </c>
    </row>
    <row r="52" spans="1:22" s="306" customFormat="1">
      <c r="A52" s="305" t="s">
        <v>543</v>
      </c>
      <c r="B52" s="2" t="s">
        <v>2180</v>
      </c>
      <c r="C52" s="2">
        <v>250</v>
      </c>
      <c r="D52" s="2">
        <v>187</v>
      </c>
      <c r="E52" s="2">
        <v>100</v>
      </c>
      <c r="F52" s="2">
        <f t="shared" si="5"/>
        <v>100</v>
      </c>
      <c r="G52" s="21">
        <f t="shared" si="6"/>
        <v>4.6749999999999998</v>
      </c>
      <c r="H52" s="20">
        <f t="shared" si="7"/>
        <v>4.6749999999999998</v>
      </c>
      <c r="I52" s="20">
        <f t="shared" si="8"/>
        <v>4.6749999999999998</v>
      </c>
      <c r="J52" s="75">
        <f t="shared" si="9"/>
        <v>3.5880000000000001</v>
      </c>
      <c r="K52" s="778"/>
      <c r="L52" s="20"/>
      <c r="M52" s="20"/>
      <c r="N52" s="20"/>
      <c r="O52" s="20"/>
      <c r="P52" s="20"/>
      <c r="Q52" s="21"/>
      <c r="R52" s="22">
        <f t="shared" si="3"/>
        <v>187</v>
      </c>
      <c r="S52" s="20">
        <v>1</v>
      </c>
      <c r="T52" s="20" t="e">
        <f>T28</f>
        <v>#REF!</v>
      </c>
      <c r="U52" s="22"/>
      <c r="V52" s="20" t="str">
        <f t="shared" si="10"/>
        <v>S-250x187x100</v>
      </c>
    </row>
    <row r="53" spans="1:22" s="306" customFormat="1">
      <c r="A53" s="305" t="s">
        <v>544</v>
      </c>
      <c r="B53" s="2" t="s">
        <v>2180</v>
      </c>
      <c r="C53" s="2">
        <v>250</v>
      </c>
      <c r="D53" s="2">
        <v>220</v>
      </c>
      <c r="E53" s="2">
        <v>100</v>
      </c>
      <c r="F53" s="2">
        <f t="shared" si="5"/>
        <v>100</v>
      </c>
      <c r="G53" s="21">
        <f t="shared" si="6"/>
        <v>5.5</v>
      </c>
      <c r="H53" s="20">
        <f t="shared" si="7"/>
        <v>5.5</v>
      </c>
      <c r="I53" s="20">
        <f t="shared" si="8"/>
        <v>5.5</v>
      </c>
      <c r="J53" s="75">
        <f t="shared" si="9"/>
        <v>4</v>
      </c>
      <c r="K53" s="778"/>
      <c r="L53" s="20"/>
      <c r="M53" s="20"/>
      <c r="N53" s="20"/>
      <c r="O53" s="20"/>
      <c r="P53" s="20"/>
      <c r="Q53" s="21"/>
      <c r="R53" s="22">
        <f t="shared" si="3"/>
        <v>220</v>
      </c>
      <c r="S53" s="20">
        <v>1</v>
      </c>
      <c r="T53" s="20" t="e">
        <f>T29</f>
        <v>#REF!</v>
      </c>
      <c r="U53" s="22"/>
      <c r="V53" s="20" t="str">
        <f t="shared" si="10"/>
        <v>S-250x220x100</v>
      </c>
    </row>
    <row r="54" spans="1:22" s="306" customFormat="1">
      <c r="A54" s="305" t="s">
        <v>545</v>
      </c>
      <c r="B54" s="2" t="s">
        <v>2180</v>
      </c>
      <c r="C54" s="2">
        <v>500</v>
      </c>
      <c r="D54" s="2">
        <v>250</v>
      </c>
      <c r="E54" s="2">
        <v>64</v>
      </c>
      <c r="F54" s="2">
        <f t="shared" si="5"/>
        <v>64</v>
      </c>
      <c r="G54" s="21">
        <f t="shared" si="6"/>
        <v>8</v>
      </c>
      <c r="H54" s="20">
        <f t="shared" si="7"/>
        <v>8</v>
      </c>
      <c r="I54" s="20">
        <f t="shared" si="8"/>
        <v>8</v>
      </c>
      <c r="J54" s="75">
        <f t="shared" si="9"/>
        <v>5.024</v>
      </c>
      <c r="K54" s="778"/>
      <c r="L54" s="20"/>
      <c r="M54" s="20"/>
      <c r="N54" s="20"/>
      <c r="O54" s="20"/>
      <c r="P54" s="20"/>
      <c r="Q54" s="21"/>
      <c r="R54" s="22">
        <f t="shared" si="3"/>
        <v>250</v>
      </c>
      <c r="S54" s="20">
        <v>1</v>
      </c>
      <c r="T54" s="20" t="e">
        <f>T51</f>
        <v>#REF!</v>
      </c>
      <c r="U54" s="22"/>
      <c r="V54" s="20" t="str">
        <f t="shared" si="10"/>
        <v>S-500x250x64</v>
      </c>
    </row>
    <row r="55" spans="1:22" s="306" customFormat="1">
      <c r="A55" s="305" t="s">
        <v>546</v>
      </c>
      <c r="B55" s="2" t="s">
        <v>2180</v>
      </c>
      <c r="C55" s="2">
        <v>375</v>
      </c>
      <c r="D55" s="2">
        <v>250</v>
      </c>
      <c r="E55" s="2">
        <v>64</v>
      </c>
      <c r="F55" s="2">
        <f t="shared" si="5"/>
        <v>64</v>
      </c>
      <c r="G55" s="21">
        <f t="shared" si="6"/>
        <v>6</v>
      </c>
      <c r="H55" s="20">
        <f t="shared" si="7"/>
        <v>6</v>
      </c>
      <c r="I55" s="20">
        <f t="shared" si="8"/>
        <v>6</v>
      </c>
      <c r="J55" s="75">
        <f t="shared" si="9"/>
        <v>3.7679999999999998</v>
      </c>
      <c r="K55" s="778"/>
      <c r="L55" s="20"/>
      <c r="M55" s="20"/>
      <c r="N55" s="20"/>
      <c r="O55" s="20"/>
      <c r="P55" s="20"/>
      <c r="Q55" s="21"/>
      <c r="R55" s="22">
        <f t="shared" si="3"/>
        <v>250</v>
      </c>
      <c r="S55" s="20">
        <v>1</v>
      </c>
      <c r="T55" s="20" t="e">
        <f>T29</f>
        <v>#REF!</v>
      </c>
      <c r="U55" s="22"/>
      <c r="V55" s="20" t="str">
        <f t="shared" si="10"/>
        <v>S-375x250x64</v>
      </c>
    </row>
    <row r="56" spans="1:22" s="306" customFormat="1">
      <c r="A56" s="305" t="s">
        <v>547</v>
      </c>
      <c r="B56" s="2" t="s">
        <v>2180</v>
      </c>
      <c r="C56" s="2">
        <v>500</v>
      </c>
      <c r="D56" s="2">
        <v>375</v>
      </c>
      <c r="E56" s="2">
        <v>64</v>
      </c>
      <c r="F56" s="2">
        <f t="shared" si="5"/>
        <v>64</v>
      </c>
      <c r="G56" s="21">
        <f t="shared" si="6"/>
        <v>12</v>
      </c>
      <c r="H56" s="20">
        <f t="shared" si="7"/>
        <v>12</v>
      </c>
      <c r="I56" s="20">
        <f t="shared" si="8"/>
        <v>12</v>
      </c>
      <c r="J56" s="75">
        <f t="shared" si="9"/>
        <v>7.024</v>
      </c>
      <c r="K56" s="778"/>
      <c r="L56" s="20"/>
      <c r="M56" s="20"/>
      <c r="N56" s="20"/>
      <c r="O56" s="20"/>
      <c r="P56" s="20"/>
      <c r="Q56" s="21"/>
      <c r="R56" s="22">
        <f t="shared" si="3"/>
        <v>375</v>
      </c>
      <c r="S56" s="20">
        <v>1</v>
      </c>
      <c r="T56" s="20" t="e">
        <f>T53</f>
        <v>#REF!</v>
      </c>
      <c r="U56" s="22"/>
      <c r="V56" s="20" t="str">
        <f t="shared" si="10"/>
        <v>S-500x375x64</v>
      </c>
    </row>
    <row r="57" spans="1:22" s="306" customFormat="1">
      <c r="A57" s="305" t="s">
        <v>2066</v>
      </c>
      <c r="B57" s="2" t="s">
        <v>2180</v>
      </c>
      <c r="C57" s="2">
        <v>500</v>
      </c>
      <c r="D57" s="2">
        <v>500</v>
      </c>
      <c r="E57" s="2">
        <v>64</v>
      </c>
      <c r="F57" s="2">
        <f t="shared" si="5"/>
        <v>64</v>
      </c>
      <c r="G57" s="21">
        <f t="shared" si="6"/>
        <v>16</v>
      </c>
      <c r="H57" s="20">
        <f t="shared" si="7"/>
        <v>16</v>
      </c>
      <c r="I57" s="20">
        <f t="shared" si="8"/>
        <v>16</v>
      </c>
      <c r="J57" s="75">
        <f t="shared" si="9"/>
        <v>9.0239999999999991</v>
      </c>
      <c r="K57" s="778"/>
      <c r="L57" s="20"/>
      <c r="M57" s="20"/>
      <c r="N57" s="20"/>
      <c r="O57" s="20"/>
      <c r="P57" s="20"/>
      <c r="Q57" s="21"/>
      <c r="R57" s="22">
        <f t="shared" si="3"/>
        <v>500</v>
      </c>
      <c r="S57" s="20">
        <v>1</v>
      </c>
      <c r="T57" s="20" t="e">
        <f>T54</f>
        <v>#REF!</v>
      </c>
      <c r="U57" s="22"/>
      <c r="V57" s="20" t="str">
        <f t="shared" si="10"/>
        <v>S-500x500x64</v>
      </c>
    </row>
    <row r="58" spans="1:22" s="306" customFormat="1">
      <c r="A58" s="305" t="s">
        <v>548</v>
      </c>
      <c r="B58" s="2" t="s">
        <v>2180</v>
      </c>
      <c r="C58" s="2">
        <v>500</v>
      </c>
      <c r="D58" s="2">
        <v>375</v>
      </c>
      <c r="E58" s="2">
        <v>100</v>
      </c>
      <c r="F58" s="2">
        <f t="shared" si="5"/>
        <v>100</v>
      </c>
      <c r="G58" s="21">
        <f t="shared" si="6"/>
        <v>18.75</v>
      </c>
      <c r="H58" s="20">
        <f t="shared" si="7"/>
        <v>18.75</v>
      </c>
      <c r="I58" s="20">
        <f t="shared" si="8"/>
        <v>18.75</v>
      </c>
      <c r="J58" s="75">
        <f t="shared" si="9"/>
        <v>11.875</v>
      </c>
      <c r="K58" s="778"/>
      <c r="L58" s="20"/>
      <c r="M58" s="20"/>
      <c r="N58" s="20"/>
      <c r="O58" s="20"/>
      <c r="P58" s="20"/>
      <c r="Q58" s="21"/>
      <c r="R58" s="22">
        <f t="shared" si="3"/>
        <v>375</v>
      </c>
      <c r="S58" s="20">
        <v>1</v>
      </c>
      <c r="T58" s="20" t="e">
        <f>T55</f>
        <v>#REF!</v>
      </c>
      <c r="U58" s="22"/>
      <c r="V58" s="20" t="str">
        <f t="shared" si="10"/>
        <v>S-500x375x100</v>
      </c>
    </row>
    <row r="59" spans="1:22" s="306" customFormat="1">
      <c r="A59" s="305" t="s">
        <v>978</v>
      </c>
      <c r="B59" s="2" t="s">
        <v>2180</v>
      </c>
      <c r="C59" s="2">
        <v>500</v>
      </c>
      <c r="D59" s="2">
        <v>500</v>
      </c>
      <c r="E59" s="2">
        <v>100</v>
      </c>
      <c r="F59" s="2">
        <f t="shared" si="5"/>
        <v>100</v>
      </c>
      <c r="G59" s="21">
        <f t="shared" si="6"/>
        <v>25</v>
      </c>
      <c r="H59" s="20">
        <f t="shared" si="7"/>
        <v>25</v>
      </c>
      <c r="I59" s="20">
        <f t="shared" si="8"/>
        <v>25</v>
      </c>
      <c r="J59" s="75">
        <f t="shared" si="9"/>
        <v>15</v>
      </c>
      <c r="K59" s="778"/>
      <c r="L59" s="20"/>
      <c r="M59" s="20"/>
      <c r="N59" s="20"/>
      <c r="O59" s="20"/>
      <c r="P59" s="20"/>
      <c r="Q59" s="21"/>
      <c r="R59" s="22">
        <f t="shared" si="3"/>
        <v>500</v>
      </c>
      <c r="S59" s="20">
        <v>1</v>
      </c>
      <c r="T59" s="20" t="e">
        <f>T56</f>
        <v>#REF!</v>
      </c>
      <c r="U59" s="22"/>
      <c r="V59" s="20" t="str">
        <f t="shared" si="10"/>
        <v>S-500x500x100</v>
      </c>
    </row>
    <row r="60" spans="1:22" s="306" customFormat="1">
      <c r="A60" s="305" t="s">
        <v>549</v>
      </c>
      <c r="B60" s="2" t="s">
        <v>2180</v>
      </c>
      <c r="C60" s="2">
        <v>250</v>
      </c>
      <c r="D60" s="2">
        <v>200</v>
      </c>
      <c r="E60" s="2">
        <v>100</v>
      </c>
      <c r="F60" s="2">
        <f t="shared" si="5"/>
        <v>100</v>
      </c>
      <c r="G60" s="21">
        <f t="shared" si="6"/>
        <v>5</v>
      </c>
      <c r="H60" s="20">
        <f t="shared" si="7"/>
        <v>5</v>
      </c>
      <c r="I60" s="20">
        <f t="shared" si="8"/>
        <v>5</v>
      </c>
      <c r="J60" s="75">
        <f t="shared" si="9"/>
        <v>3.75</v>
      </c>
      <c r="K60" s="778"/>
      <c r="L60" s="20"/>
      <c r="M60" s="20"/>
      <c r="N60" s="20"/>
      <c r="O60" s="20"/>
      <c r="P60" s="20"/>
      <c r="Q60" s="21"/>
      <c r="R60" s="22">
        <f t="shared" si="3"/>
        <v>200</v>
      </c>
      <c r="S60" s="20">
        <v>1</v>
      </c>
      <c r="T60" s="20" t="e">
        <f>T33</f>
        <v>#REF!</v>
      </c>
      <c r="U60" s="22"/>
      <c r="V60" s="20" t="str">
        <f t="shared" si="10"/>
        <v>S-250x200x100</v>
      </c>
    </row>
    <row r="61" spans="1:22" s="306" customFormat="1">
      <c r="A61" s="305" t="s">
        <v>550</v>
      </c>
      <c r="B61" s="2" t="s">
        <v>2180</v>
      </c>
      <c r="C61" s="2">
        <v>375</v>
      </c>
      <c r="D61" s="2">
        <v>250</v>
      </c>
      <c r="E61" s="2">
        <v>130</v>
      </c>
      <c r="F61" s="2">
        <f t="shared" si="5"/>
        <v>130</v>
      </c>
      <c r="G61" s="21">
        <f t="shared" si="6"/>
        <v>12.1875</v>
      </c>
      <c r="H61" s="20">
        <f>ROUND(C61*D61*E61/10^6,3)</f>
        <v>12.188000000000001</v>
      </c>
      <c r="I61" s="20">
        <f>IF(F61="","-",ROUND((E61+F61)*C61/2*D61/10^6,3))</f>
        <v>12.188000000000001</v>
      </c>
      <c r="J61" s="75">
        <f>IF(F61="","-",ROUND((D61+E61)*C61/2*F61/10^6,3))</f>
        <v>9.2629999999999999</v>
      </c>
      <c r="K61" s="778"/>
      <c r="L61" s="20"/>
      <c r="M61" s="20"/>
      <c r="N61" s="20"/>
      <c r="O61" s="20"/>
      <c r="P61" s="20"/>
      <c r="Q61" s="21"/>
      <c r="R61" s="22">
        <f>D61</f>
        <v>250</v>
      </c>
      <c r="S61" s="20">
        <v>1</v>
      </c>
      <c r="T61" s="20" t="e">
        <f>T56</f>
        <v>#REF!</v>
      </c>
      <c r="U61" s="22"/>
      <c r="V61" s="20" t="str">
        <f>B61&amp;"-"&amp;C61&amp;"x"&amp;D61&amp;"x"&amp;E61</f>
        <v>S-375x250x130</v>
      </c>
    </row>
    <row r="62" spans="1:22" s="306" customFormat="1">
      <c r="A62" s="558" t="s">
        <v>551</v>
      </c>
      <c r="B62" s="2" t="s">
        <v>2180</v>
      </c>
      <c r="C62" s="2">
        <v>230</v>
      </c>
      <c r="D62" s="2">
        <v>150</v>
      </c>
      <c r="E62" s="2">
        <v>76</v>
      </c>
      <c r="F62" s="2">
        <f t="shared" si="5"/>
        <v>76</v>
      </c>
      <c r="G62" s="21">
        <f t="shared" si="6"/>
        <v>2.6219999999999999</v>
      </c>
      <c r="H62" s="20">
        <f t="shared" si="7"/>
        <v>2.6219999999999999</v>
      </c>
      <c r="I62" s="20">
        <f t="shared" si="8"/>
        <v>2.6219999999999999</v>
      </c>
      <c r="J62" s="75">
        <f t="shared" si="9"/>
        <v>1.9750000000000001</v>
      </c>
      <c r="K62" s="778"/>
      <c r="L62" s="20"/>
      <c r="M62" s="20"/>
      <c r="N62" s="20"/>
      <c r="O62" s="20"/>
      <c r="P62" s="20"/>
      <c r="Q62" s="21"/>
      <c r="R62" s="22">
        <f t="shared" si="3"/>
        <v>150</v>
      </c>
      <c r="S62" s="20">
        <v>1</v>
      </c>
      <c r="T62" s="20" t="e">
        <f>T31</f>
        <v>#REF!</v>
      </c>
      <c r="U62" s="22"/>
      <c r="V62" s="20" t="str">
        <f t="shared" si="10"/>
        <v>S-230x150x76</v>
      </c>
    </row>
    <row r="63" spans="1:22" s="306" customFormat="1">
      <c r="A63" s="558" t="s">
        <v>552</v>
      </c>
      <c r="B63" s="2" t="s">
        <v>2180</v>
      </c>
      <c r="C63" s="2">
        <v>230</v>
      </c>
      <c r="D63" s="2">
        <v>150</v>
      </c>
      <c r="E63" s="2">
        <v>100</v>
      </c>
      <c r="F63" s="2">
        <f t="shared" si="5"/>
        <v>100</v>
      </c>
      <c r="G63" s="21">
        <f t="shared" si="6"/>
        <v>3.45</v>
      </c>
      <c r="H63" s="20">
        <f t="shared" si="7"/>
        <v>3.45</v>
      </c>
      <c r="I63" s="20">
        <f t="shared" si="8"/>
        <v>3.45</v>
      </c>
      <c r="J63" s="75">
        <f t="shared" si="9"/>
        <v>2.875</v>
      </c>
      <c r="K63" s="778"/>
      <c r="L63" s="20"/>
      <c r="M63" s="20"/>
      <c r="N63" s="20"/>
      <c r="O63" s="20"/>
      <c r="P63" s="20"/>
      <c r="Q63" s="21"/>
      <c r="R63" s="22">
        <f t="shared" si="3"/>
        <v>150</v>
      </c>
      <c r="S63" s="20">
        <v>1</v>
      </c>
      <c r="T63" s="20" t="e">
        <f>T60</f>
        <v>#REF!</v>
      </c>
      <c r="U63" s="22"/>
      <c r="V63" s="20" t="str">
        <f t="shared" si="10"/>
        <v>S-230x150x100</v>
      </c>
    </row>
    <row r="64" spans="1:22" s="306" customFormat="1">
      <c r="A64" s="305" t="s">
        <v>553</v>
      </c>
      <c r="B64" s="2" t="s">
        <v>2180</v>
      </c>
      <c r="C64" s="2">
        <v>350</v>
      </c>
      <c r="D64" s="2">
        <v>225</v>
      </c>
      <c r="E64" s="2">
        <v>100</v>
      </c>
      <c r="F64" s="2">
        <f t="shared" si="5"/>
        <v>100</v>
      </c>
      <c r="G64" s="21">
        <f t="shared" si="6"/>
        <v>7.875</v>
      </c>
      <c r="H64" s="20">
        <f t="shared" si="7"/>
        <v>7.875</v>
      </c>
      <c r="I64" s="20">
        <f t="shared" si="8"/>
        <v>7.875</v>
      </c>
      <c r="J64" s="75">
        <f t="shared" si="9"/>
        <v>5.6879999999999997</v>
      </c>
      <c r="K64" s="778"/>
      <c r="L64" s="20"/>
      <c r="M64" s="20"/>
      <c r="N64" s="20"/>
      <c r="O64" s="20"/>
      <c r="P64" s="20"/>
      <c r="Q64" s="21"/>
      <c r="R64" s="22">
        <f t="shared" si="3"/>
        <v>225</v>
      </c>
      <c r="S64" s="20">
        <v>1</v>
      </c>
      <c r="T64" s="20" t="e">
        <f>T40</f>
        <v>#REF!</v>
      </c>
      <c r="U64" s="22"/>
      <c r="V64" s="20" t="str">
        <f t="shared" si="10"/>
        <v>S-350x225x100</v>
      </c>
    </row>
    <row r="65" spans="1:22" s="306" customFormat="1">
      <c r="A65" s="305" t="s">
        <v>554</v>
      </c>
      <c r="B65" s="2" t="s">
        <v>2180</v>
      </c>
      <c r="C65" s="2">
        <v>300</v>
      </c>
      <c r="D65" s="2">
        <v>250</v>
      </c>
      <c r="E65" s="2">
        <v>100</v>
      </c>
      <c r="F65" s="2">
        <f>E65</f>
        <v>100</v>
      </c>
      <c r="G65" s="21">
        <f t="shared" si="6"/>
        <v>7.5</v>
      </c>
      <c r="H65" s="20">
        <f>ROUND(C65*D65*E65/10^6,3)</f>
        <v>7.5</v>
      </c>
      <c r="I65" s="20">
        <f>IF(F65="","-",ROUND((E65+F65)*C65/2*D65/10^6,3))</f>
        <v>7.5</v>
      </c>
      <c r="J65" s="75">
        <f>IF(F65="","-",ROUND((D65+E65)*C65/2*F65/10^6,3))</f>
        <v>5.25</v>
      </c>
      <c r="K65" s="778"/>
      <c r="L65" s="20"/>
      <c r="M65" s="20"/>
      <c r="N65" s="20"/>
      <c r="O65" s="20"/>
      <c r="P65" s="20"/>
      <c r="Q65" s="21"/>
      <c r="R65" s="22">
        <f>D65</f>
        <v>250</v>
      </c>
      <c r="S65" s="20">
        <v>1</v>
      </c>
      <c r="T65" s="20" t="e">
        <f>T62</f>
        <v>#REF!</v>
      </c>
      <c r="U65" s="22"/>
      <c r="V65" s="20" t="str">
        <f>B65&amp;"-"&amp;C65&amp;"x"&amp;D65&amp;"x"&amp;E65</f>
        <v>S-300x250x100</v>
      </c>
    </row>
    <row r="66" spans="1:22" s="306" customFormat="1" ht="13.8" thickBot="1">
      <c r="A66" s="305" t="s">
        <v>555</v>
      </c>
      <c r="B66" s="2" t="s">
        <v>2180</v>
      </c>
      <c r="C66" s="2">
        <v>300</v>
      </c>
      <c r="D66" s="2">
        <v>250</v>
      </c>
      <c r="E66" s="2">
        <v>130</v>
      </c>
      <c r="F66" s="2">
        <f>E66</f>
        <v>130</v>
      </c>
      <c r="G66" s="21">
        <f t="shared" si="6"/>
        <v>9.75</v>
      </c>
      <c r="H66" s="20">
        <f>ROUND(C66*D66*E66/10^6,3)</f>
        <v>9.75</v>
      </c>
      <c r="I66" s="20">
        <f>IF(F66="","-",ROUND((E66+F66)*C66/2*D66/10^6,3))</f>
        <v>9.75</v>
      </c>
      <c r="J66" s="75">
        <f>IF(F66="","-",ROUND((D66+E66)*C66/2*F66/10^6,3))</f>
        <v>7.41</v>
      </c>
      <c r="K66" s="778"/>
      <c r="L66" s="20"/>
      <c r="M66" s="20"/>
      <c r="N66" s="20"/>
      <c r="O66" s="20"/>
      <c r="P66" s="20"/>
      <c r="Q66" s="21"/>
      <c r="R66" s="22">
        <f>D66</f>
        <v>250</v>
      </c>
      <c r="S66" s="20">
        <v>1</v>
      </c>
      <c r="T66" s="20" t="e">
        <f>T63</f>
        <v>#REF!</v>
      </c>
      <c r="U66" s="22"/>
      <c r="V66" s="20" t="str">
        <f>B66&amp;"-"&amp;C66&amp;"x"&amp;D66&amp;"x"&amp;E66</f>
        <v>S-300x250x130</v>
      </c>
    </row>
    <row r="67" spans="1:22" s="63" customFormat="1" ht="25.2" thickBot="1">
      <c r="A67" s="64" t="s">
        <v>600</v>
      </c>
      <c r="B67" s="65"/>
      <c r="C67" s="65"/>
      <c r="D67" s="65"/>
      <c r="E67" s="65"/>
      <c r="F67" s="65"/>
      <c r="G67" s="101"/>
      <c r="H67" s="65"/>
      <c r="I67" s="65"/>
      <c r="J67" s="66"/>
      <c r="K67" s="59"/>
      <c r="L67" s="60"/>
      <c r="M67" s="60"/>
      <c r="N67" s="60"/>
      <c r="O67" s="60"/>
      <c r="P67" s="60"/>
      <c r="Q67" s="61"/>
      <c r="R67" s="62"/>
      <c r="S67" s="60"/>
      <c r="T67" s="60"/>
      <c r="U67" s="62"/>
      <c r="V67" s="60"/>
    </row>
    <row r="68" spans="1:22" s="306" customFormat="1">
      <c r="A68" s="2" t="s">
        <v>556</v>
      </c>
      <c r="B68" s="2" t="s">
        <v>2181</v>
      </c>
      <c r="C68" s="2">
        <v>230</v>
      </c>
      <c r="D68" s="2">
        <v>114</v>
      </c>
      <c r="E68" s="2">
        <v>66</v>
      </c>
      <c r="F68" s="2">
        <v>62</v>
      </c>
      <c r="G68" s="21">
        <f t="shared" si="6"/>
        <v>1.67808</v>
      </c>
      <c r="H68" s="20">
        <f t="shared" ref="H68:H124" si="12">ROUND(C68*D68*E68/10^6,3)</f>
        <v>1.7310000000000001</v>
      </c>
      <c r="I68" s="20">
        <f t="shared" ref="I68:I124" si="13">IF(F68="","-",ROUND((E68+F68)*C68/2*D68/10^6,3))</f>
        <v>1.6779999999999999</v>
      </c>
      <c r="J68" s="75">
        <f t="shared" ref="J68:J124" si="14">IF(F68="","-",ROUND((D68+E68)*C68/2*F68/10^6,3))</f>
        <v>1.2829999999999999</v>
      </c>
      <c r="K68" s="780"/>
      <c r="L68" s="20"/>
      <c r="M68" s="20"/>
      <c r="N68" s="20"/>
      <c r="O68" s="20"/>
      <c r="P68" s="20"/>
      <c r="Q68" s="21"/>
      <c r="R68" s="22">
        <f t="shared" ref="R68:R124" si="15">D68</f>
        <v>114</v>
      </c>
      <c r="S68" s="20">
        <v>1</v>
      </c>
      <c r="T68" s="20"/>
      <c r="U68" s="22"/>
      <c r="V68" s="20"/>
    </row>
    <row r="69" spans="1:22" s="306" customFormat="1">
      <c r="A69" s="2" t="s">
        <v>2067</v>
      </c>
      <c r="B69" s="2" t="s">
        <v>2181</v>
      </c>
      <c r="C69" s="2">
        <v>230</v>
      </c>
      <c r="D69" s="2">
        <v>114</v>
      </c>
      <c r="E69" s="2">
        <v>78</v>
      </c>
      <c r="F69" s="2">
        <v>74</v>
      </c>
      <c r="G69" s="21">
        <f t="shared" si="6"/>
        <v>1.99272</v>
      </c>
      <c r="H69" s="20">
        <f t="shared" si="12"/>
        <v>2.0449999999999999</v>
      </c>
      <c r="I69" s="20">
        <f t="shared" si="13"/>
        <v>1.9930000000000001</v>
      </c>
      <c r="J69" s="75">
        <f t="shared" si="14"/>
        <v>1.6339999999999999</v>
      </c>
      <c r="K69" s="780"/>
      <c r="L69" s="20"/>
      <c r="M69" s="20"/>
      <c r="N69" s="20"/>
      <c r="O69" s="20"/>
      <c r="P69" s="20"/>
      <c r="Q69" s="21"/>
      <c r="R69" s="22">
        <f t="shared" si="15"/>
        <v>114</v>
      </c>
      <c r="S69" s="20">
        <v>1</v>
      </c>
      <c r="T69" s="20"/>
      <c r="U69" s="22"/>
      <c r="V69" s="20"/>
    </row>
    <row r="70" spans="1:22" s="306" customFormat="1">
      <c r="A70" s="2" t="s">
        <v>557</v>
      </c>
      <c r="B70" s="2" t="s">
        <v>2181</v>
      </c>
      <c r="C70" s="2">
        <v>230</v>
      </c>
      <c r="D70" s="2">
        <v>114</v>
      </c>
      <c r="E70" s="2">
        <v>69</v>
      </c>
      <c r="F70" s="2">
        <v>59</v>
      </c>
      <c r="G70" s="21">
        <f t="shared" ref="G70:G133" si="16">IF(B70="","",AVERAGE(E70:F70)*D70*C70/10^6)</f>
        <v>1.67808</v>
      </c>
      <c r="H70" s="20">
        <f t="shared" si="12"/>
        <v>1.8089999999999999</v>
      </c>
      <c r="I70" s="20">
        <f t="shared" si="13"/>
        <v>1.6779999999999999</v>
      </c>
      <c r="J70" s="75">
        <f t="shared" si="14"/>
        <v>1.242</v>
      </c>
      <c r="K70" s="780"/>
      <c r="L70" s="20"/>
      <c r="M70" s="20"/>
      <c r="N70" s="20"/>
      <c r="O70" s="20"/>
      <c r="P70" s="20"/>
      <c r="Q70" s="21"/>
      <c r="R70" s="22">
        <f t="shared" si="15"/>
        <v>114</v>
      </c>
      <c r="S70" s="20">
        <v>1</v>
      </c>
      <c r="T70" s="20"/>
      <c r="U70" s="22"/>
      <c r="V70" s="20"/>
    </row>
    <row r="71" spans="1:22" s="306" customFormat="1">
      <c r="A71" s="2" t="s">
        <v>2068</v>
      </c>
      <c r="B71" s="2" t="s">
        <v>2181</v>
      </c>
      <c r="C71" s="2">
        <v>230</v>
      </c>
      <c r="D71" s="2">
        <v>114</v>
      </c>
      <c r="E71" s="2">
        <v>81</v>
      </c>
      <c r="F71" s="2">
        <v>71</v>
      </c>
      <c r="G71" s="21">
        <f t="shared" si="16"/>
        <v>1.99272</v>
      </c>
      <c r="H71" s="20">
        <f t="shared" si="12"/>
        <v>2.1240000000000001</v>
      </c>
      <c r="I71" s="20">
        <f t="shared" si="13"/>
        <v>1.9930000000000001</v>
      </c>
      <c r="J71" s="75">
        <f t="shared" si="14"/>
        <v>1.5920000000000001</v>
      </c>
      <c r="K71" s="780"/>
      <c r="L71" s="20"/>
      <c r="M71" s="20"/>
      <c r="N71" s="20"/>
      <c r="O71" s="20"/>
      <c r="P71" s="20"/>
      <c r="Q71" s="21"/>
      <c r="R71" s="22">
        <f t="shared" si="15"/>
        <v>114</v>
      </c>
      <c r="S71" s="20">
        <v>1</v>
      </c>
      <c r="T71" s="20"/>
      <c r="U71" s="22"/>
      <c r="V71" s="20"/>
    </row>
    <row r="72" spans="1:22" s="306" customFormat="1">
      <c r="A72" s="2" t="s">
        <v>558</v>
      </c>
      <c r="B72" s="2" t="s">
        <v>2181</v>
      </c>
      <c r="C72" s="2">
        <v>230</v>
      </c>
      <c r="D72" s="2">
        <v>114</v>
      </c>
      <c r="E72" s="2">
        <v>72</v>
      </c>
      <c r="F72" s="2">
        <v>56</v>
      </c>
      <c r="G72" s="21">
        <f t="shared" si="16"/>
        <v>1.67808</v>
      </c>
      <c r="H72" s="20">
        <f t="shared" si="12"/>
        <v>1.8879999999999999</v>
      </c>
      <c r="I72" s="20">
        <f t="shared" si="13"/>
        <v>1.6779999999999999</v>
      </c>
      <c r="J72" s="75">
        <f t="shared" si="14"/>
        <v>1.198</v>
      </c>
      <c r="K72" s="780"/>
      <c r="L72" s="20"/>
      <c r="M72" s="20"/>
      <c r="N72" s="20"/>
      <c r="O72" s="20"/>
      <c r="P72" s="20"/>
      <c r="Q72" s="21"/>
      <c r="R72" s="22">
        <f t="shared" si="15"/>
        <v>114</v>
      </c>
      <c r="S72" s="20">
        <v>1</v>
      </c>
      <c r="T72" s="20"/>
      <c r="U72" s="22"/>
      <c r="V72" s="20"/>
    </row>
    <row r="73" spans="1:22" s="306" customFormat="1">
      <c r="A73" s="2" t="s">
        <v>2069</v>
      </c>
      <c r="B73" s="2" t="s">
        <v>2181</v>
      </c>
      <c r="C73" s="2">
        <v>230</v>
      </c>
      <c r="D73" s="2">
        <v>114</v>
      </c>
      <c r="E73" s="2">
        <v>84</v>
      </c>
      <c r="F73" s="2">
        <v>68</v>
      </c>
      <c r="G73" s="21">
        <f t="shared" si="16"/>
        <v>1.99272</v>
      </c>
      <c r="H73" s="20">
        <f t="shared" si="12"/>
        <v>2.202</v>
      </c>
      <c r="I73" s="20">
        <f t="shared" si="13"/>
        <v>1.9930000000000001</v>
      </c>
      <c r="J73" s="75">
        <f t="shared" si="14"/>
        <v>1.548</v>
      </c>
      <c r="K73" s="780"/>
      <c r="L73" s="20"/>
      <c r="M73" s="20"/>
      <c r="N73" s="20"/>
      <c r="O73" s="20"/>
      <c r="P73" s="20"/>
      <c r="Q73" s="21"/>
      <c r="R73" s="22">
        <f t="shared" si="15"/>
        <v>114</v>
      </c>
      <c r="S73" s="20">
        <v>1</v>
      </c>
      <c r="T73" s="20"/>
      <c r="U73" s="22"/>
      <c r="V73" s="20"/>
    </row>
    <row r="74" spans="1:22" s="306" customFormat="1">
      <c r="A74" s="2" t="s">
        <v>559</v>
      </c>
      <c r="B74" s="2" t="s">
        <v>2181</v>
      </c>
      <c r="C74" s="2">
        <v>230</v>
      </c>
      <c r="D74" s="2">
        <v>114</v>
      </c>
      <c r="E74" s="2">
        <v>76</v>
      </c>
      <c r="F74" s="2">
        <v>52</v>
      </c>
      <c r="G74" s="21">
        <f t="shared" si="16"/>
        <v>1.67808</v>
      </c>
      <c r="H74" s="20">
        <f t="shared" si="12"/>
        <v>1.9930000000000001</v>
      </c>
      <c r="I74" s="20">
        <f t="shared" si="13"/>
        <v>1.6779999999999999</v>
      </c>
      <c r="J74" s="75">
        <f t="shared" si="14"/>
        <v>1.1359999999999999</v>
      </c>
      <c r="K74" s="780"/>
      <c r="L74" s="20"/>
      <c r="M74" s="20"/>
      <c r="N74" s="20"/>
      <c r="O74" s="20"/>
      <c r="P74" s="20"/>
      <c r="Q74" s="21"/>
      <c r="R74" s="22">
        <f t="shared" si="15"/>
        <v>114</v>
      </c>
      <c r="S74" s="20">
        <v>1</v>
      </c>
      <c r="T74" s="20"/>
      <c r="U74" s="22"/>
      <c r="V74" s="20"/>
    </row>
    <row r="75" spans="1:22" s="306" customFormat="1">
      <c r="A75" s="2" t="s">
        <v>2070</v>
      </c>
      <c r="B75" s="2" t="s">
        <v>2181</v>
      </c>
      <c r="C75" s="2">
        <v>230</v>
      </c>
      <c r="D75" s="2">
        <v>114</v>
      </c>
      <c r="E75" s="2">
        <v>88</v>
      </c>
      <c r="F75" s="2">
        <v>64</v>
      </c>
      <c r="G75" s="21">
        <f t="shared" si="16"/>
        <v>1.99272</v>
      </c>
      <c r="H75" s="20">
        <f t="shared" si="12"/>
        <v>2.3069999999999999</v>
      </c>
      <c r="I75" s="20">
        <f t="shared" si="13"/>
        <v>1.9930000000000001</v>
      </c>
      <c r="J75" s="75">
        <f t="shared" si="14"/>
        <v>1.4870000000000001</v>
      </c>
      <c r="K75" s="780"/>
      <c r="L75" s="20"/>
      <c r="M75" s="20"/>
      <c r="N75" s="20"/>
      <c r="O75" s="20"/>
      <c r="P75" s="20"/>
      <c r="Q75" s="21"/>
      <c r="R75" s="22">
        <f t="shared" si="15"/>
        <v>114</v>
      </c>
      <c r="S75" s="20">
        <v>1</v>
      </c>
      <c r="T75" s="20"/>
      <c r="U75" s="22"/>
      <c r="V75" s="20"/>
    </row>
    <row r="76" spans="1:22" s="306" customFormat="1">
      <c r="A76" s="2" t="s">
        <v>560</v>
      </c>
      <c r="B76" s="2" t="s">
        <v>2181</v>
      </c>
      <c r="C76" s="2">
        <v>230</v>
      </c>
      <c r="D76" s="2">
        <v>114</v>
      </c>
      <c r="E76" s="2">
        <v>77</v>
      </c>
      <c r="F76" s="2">
        <v>51</v>
      </c>
      <c r="G76" s="21">
        <f t="shared" si="16"/>
        <v>1.67808</v>
      </c>
      <c r="H76" s="20">
        <f t="shared" si="12"/>
        <v>2.0190000000000001</v>
      </c>
      <c r="I76" s="20">
        <f t="shared" si="13"/>
        <v>1.6779999999999999</v>
      </c>
      <c r="J76" s="75">
        <f t="shared" si="14"/>
        <v>1.1200000000000001</v>
      </c>
      <c r="K76" s="780"/>
      <c r="L76" s="20"/>
      <c r="M76" s="20"/>
      <c r="N76" s="20"/>
      <c r="O76" s="20"/>
      <c r="P76" s="20"/>
      <c r="Q76" s="21"/>
      <c r="R76" s="22">
        <f t="shared" si="15"/>
        <v>114</v>
      </c>
      <c r="S76" s="20">
        <v>1</v>
      </c>
      <c r="T76" s="20"/>
      <c r="U76" s="22"/>
      <c r="V76" s="20"/>
    </row>
    <row r="77" spans="1:22" s="306" customFormat="1">
      <c r="A77" s="2" t="s">
        <v>561</v>
      </c>
      <c r="B77" s="2" t="s">
        <v>2181</v>
      </c>
      <c r="C77" s="2">
        <v>230</v>
      </c>
      <c r="D77" s="2">
        <v>114</v>
      </c>
      <c r="E77" s="2">
        <v>78</v>
      </c>
      <c r="F77" s="2">
        <v>50</v>
      </c>
      <c r="G77" s="21">
        <f t="shared" si="16"/>
        <v>1.67808</v>
      </c>
      <c r="H77" s="20">
        <f t="shared" si="12"/>
        <v>2.0449999999999999</v>
      </c>
      <c r="I77" s="20">
        <f t="shared" si="13"/>
        <v>1.6779999999999999</v>
      </c>
      <c r="J77" s="75">
        <f t="shared" si="14"/>
        <v>1.1040000000000001</v>
      </c>
      <c r="K77" s="780"/>
      <c r="L77" s="20"/>
      <c r="M77" s="20"/>
      <c r="N77" s="20"/>
      <c r="O77" s="20"/>
      <c r="P77" s="20"/>
      <c r="Q77" s="21"/>
      <c r="R77" s="22">
        <f t="shared" si="15"/>
        <v>114</v>
      </c>
      <c r="S77" s="20">
        <v>1</v>
      </c>
      <c r="T77" s="20"/>
      <c r="U77" s="22"/>
      <c r="V77" s="20"/>
    </row>
    <row r="78" spans="1:22" s="306" customFormat="1">
      <c r="A78" s="2" t="s">
        <v>562</v>
      </c>
      <c r="B78" s="2" t="s">
        <v>2181</v>
      </c>
      <c r="C78" s="2">
        <v>230</v>
      </c>
      <c r="D78" s="2">
        <v>114</v>
      </c>
      <c r="E78" s="2">
        <v>89</v>
      </c>
      <c r="F78" s="2">
        <v>39</v>
      </c>
      <c r="G78" s="21">
        <f t="shared" si="16"/>
        <v>1.67808</v>
      </c>
      <c r="H78" s="20">
        <f t="shared" si="12"/>
        <v>2.3340000000000001</v>
      </c>
      <c r="I78" s="20">
        <f t="shared" si="13"/>
        <v>1.6779999999999999</v>
      </c>
      <c r="J78" s="75">
        <f t="shared" si="14"/>
        <v>0.91</v>
      </c>
      <c r="K78" s="780"/>
      <c r="L78" s="20"/>
      <c r="M78" s="20"/>
      <c r="N78" s="20"/>
      <c r="O78" s="20"/>
      <c r="P78" s="20"/>
      <c r="Q78" s="21"/>
      <c r="R78" s="22">
        <f t="shared" si="15"/>
        <v>114</v>
      </c>
      <c r="S78" s="20">
        <v>1</v>
      </c>
      <c r="T78" s="20"/>
      <c r="U78" s="22"/>
      <c r="V78" s="20"/>
    </row>
    <row r="79" spans="1:22" s="306" customFormat="1">
      <c r="A79" s="2" t="s">
        <v>2071</v>
      </c>
      <c r="B79" s="2" t="s">
        <v>2181</v>
      </c>
      <c r="C79" s="2">
        <v>230</v>
      </c>
      <c r="D79" s="2">
        <v>114</v>
      </c>
      <c r="E79" s="2">
        <v>101</v>
      </c>
      <c r="F79" s="2">
        <v>51</v>
      </c>
      <c r="G79" s="21">
        <f t="shared" si="16"/>
        <v>1.99272</v>
      </c>
      <c r="H79" s="20">
        <f t="shared" si="12"/>
        <v>2.6480000000000001</v>
      </c>
      <c r="I79" s="20">
        <f t="shared" si="13"/>
        <v>1.9930000000000001</v>
      </c>
      <c r="J79" s="75">
        <f t="shared" si="14"/>
        <v>1.2609999999999999</v>
      </c>
      <c r="K79" s="780"/>
      <c r="L79" s="20"/>
      <c r="M79" s="20"/>
      <c r="N79" s="20"/>
      <c r="O79" s="20"/>
      <c r="P79" s="20"/>
      <c r="Q79" s="21"/>
      <c r="R79" s="22">
        <f t="shared" si="15"/>
        <v>114</v>
      </c>
      <c r="S79" s="20">
        <v>1</v>
      </c>
      <c r="T79" s="20"/>
      <c r="U79" s="22"/>
      <c r="V79" s="20"/>
    </row>
    <row r="80" spans="1:22" s="306" customFormat="1">
      <c r="A80" s="2" t="s">
        <v>563</v>
      </c>
      <c r="B80" s="2" t="s">
        <v>2181</v>
      </c>
      <c r="C80" s="2">
        <v>230</v>
      </c>
      <c r="D80" s="2">
        <v>230</v>
      </c>
      <c r="E80" s="2">
        <v>66</v>
      </c>
      <c r="F80" s="2">
        <v>62</v>
      </c>
      <c r="G80" s="21">
        <f t="shared" si="16"/>
        <v>3.3856000000000002</v>
      </c>
      <c r="H80" s="20">
        <f t="shared" si="12"/>
        <v>3.4910000000000001</v>
      </c>
      <c r="I80" s="20">
        <f t="shared" si="13"/>
        <v>3.3860000000000001</v>
      </c>
      <c r="J80" s="75">
        <f t="shared" si="14"/>
        <v>2.11</v>
      </c>
      <c r="K80" s="780"/>
      <c r="L80" s="20"/>
      <c r="M80" s="20"/>
      <c r="N80" s="20"/>
      <c r="O80" s="20"/>
      <c r="P80" s="20"/>
      <c r="Q80" s="21"/>
      <c r="R80" s="22">
        <f t="shared" si="15"/>
        <v>230</v>
      </c>
      <c r="S80" s="20">
        <v>1</v>
      </c>
      <c r="T80" s="20"/>
      <c r="U80" s="22"/>
      <c r="V80" s="20"/>
    </row>
    <row r="81" spans="1:22" s="306" customFormat="1">
      <c r="A81" s="2" t="s">
        <v>2072</v>
      </c>
      <c r="B81" s="2" t="s">
        <v>2181</v>
      </c>
      <c r="C81" s="2">
        <v>230</v>
      </c>
      <c r="D81" s="2">
        <v>230</v>
      </c>
      <c r="E81" s="2">
        <v>78</v>
      </c>
      <c r="F81" s="2">
        <v>74</v>
      </c>
      <c r="G81" s="21">
        <f t="shared" si="16"/>
        <v>4.0204000000000004</v>
      </c>
      <c r="H81" s="20">
        <f t="shared" si="12"/>
        <v>4.1260000000000003</v>
      </c>
      <c r="I81" s="20">
        <f t="shared" si="13"/>
        <v>4.0199999999999996</v>
      </c>
      <c r="J81" s="75">
        <f t="shared" si="14"/>
        <v>2.621</v>
      </c>
      <c r="K81" s="780"/>
      <c r="L81" s="20"/>
      <c r="M81" s="20"/>
      <c r="N81" s="20"/>
      <c r="O81" s="20"/>
      <c r="P81" s="20"/>
      <c r="Q81" s="21"/>
      <c r="R81" s="22">
        <f t="shared" si="15"/>
        <v>230</v>
      </c>
      <c r="S81" s="20">
        <v>1</v>
      </c>
      <c r="T81" s="20"/>
      <c r="U81" s="22"/>
      <c r="V81" s="20"/>
    </row>
    <row r="82" spans="1:22" s="306" customFormat="1">
      <c r="A82" s="2" t="s">
        <v>564</v>
      </c>
      <c r="B82" s="2" t="s">
        <v>2181</v>
      </c>
      <c r="C82" s="2">
        <v>230</v>
      </c>
      <c r="D82" s="2">
        <v>230</v>
      </c>
      <c r="E82" s="2">
        <v>69</v>
      </c>
      <c r="F82" s="2">
        <v>59</v>
      </c>
      <c r="G82" s="21">
        <f t="shared" si="16"/>
        <v>3.3856000000000002</v>
      </c>
      <c r="H82" s="20">
        <f t="shared" si="12"/>
        <v>3.65</v>
      </c>
      <c r="I82" s="20">
        <f t="shared" si="13"/>
        <v>3.3860000000000001</v>
      </c>
      <c r="J82" s="75">
        <f t="shared" si="14"/>
        <v>2.0289999999999999</v>
      </c>
      <c r="K82" s="780"/>
      <c r="L82" s="20"/>
      <c r="M82" s="20"/>
      <c r="N82" s="20"/>
      <c r="O82" s="20"/>
      <c r="P82" s="20"/>
      <c r="Q82" s="21"/>
      <c r="R82" s="22">
        <f t="shared" si="15"/>
        <v>230</v>
      </c>
      <c r="S82" s="20">
        <v>1</v>
      </c>
      <c r="T82" s="20"/>
      <c r="U82" s="22"/>
      <c r="V82" s="20"/>
    </row>
    <row r="83" spans="1:22" s="306" customFormat="1">
      <c r="A83" s="2" t="s">
        <v>2073</v>
      </c>
      <c r="B83" s="2" t="s">
        <v>2181</v>
      </c>
      <c r="C83" s="2">
        <v>230</v>
      </c>
      <c r="D83" s="2">
        <v>230</v>
      </c>
      <c r="E83" s="2">
        <v>81</v>
      </c>
      <c r="F83" s="2">
        <v>71</v>
      </c>
      <c r="G83" s="21">
        <f t="shared" si="16"/>
        <v>4.0204000000000004</v>
      </c>
      <c r="H83" s="20">
        <f t="shared" si="12"/>
        <v>4.2850000000000001</v>
      </c>
      <c r="I83" s="20">
        <f t="shared" si="13"/>
        <v>4.0199999999999996</v>
      </c>
      <c r="J83" s="75">
        <f t="shared" si="14"/>
        <v>2.5390000000000001</v>
      </c>
      <c r="K83" s="780"/>
      <c r="L83" s="20"/>
      <c r="M83" s="20"/>
      <c r="N83" s="20"/>
      <c r="O83" s="20"/>
      <c r="P83" s="20"/>
      <c r="Q83" s="21"/>
      <c r="R83" s="22">
        <f t="shared" si="15"/>
        <v>230</v>
      </c>
      <c r="S83" s="20">
        <v>1</v>
      </c>
      <c r="T83" s="20"/>
      <c r="U83" s="22"/>
      <c r="V83" s="20"/>
    </row>
    <row r="84" spans="1:22" s="306" customFormat="1">
      <c r="A84" s="2" t="s">
        <v>565</v>
      </c>
      <c r="B84" s="2" t="s">
        <v>2181</v>
      </c>
      <c r="C84" s="2">
        <v>230</v>
      </c>
      <c r="D84" s="2">
        <v>230</v>
      </c>
      <c r="E84" s="2">
        <v>72</v>
      </c>
      <c r="F84" s="2">
        <v>56</v>
      </c>
      <c r="G84" s="21">
        <f t="shared" si="16"/>
        <v>3.3856000000000002</v>
      </c>
      <c r="H84" s="20">
        <f t="shared" si="12"/>
        <v>3.8090000000000002</v>
      </c>
      <c r="I84" s="20">
        <f t="shared" si="13"/>
        <v>3.3860000000000001</v>
      </c>
      <c r="J84" s="75">
        <f t="shared" si="14"/>
        <v>1.9450000000000001</v>
      </c>
      <c r="K84" s="780"/>
      <c r="L84" s="20"/>
      <c r="M84" s="20"/>
      <c r="N84" s="20"/>
      <c r="O84" s="20"/>
      <c r="P84" s="20"/>
      <c r="Q84" s="21"/>
      <c r="R84" s="22">
        <f t="shared" si="15"/>
        <v>230</v>
      </c>
      <c r="S84" s="20">
        <v>1</v>
      </c>
      <c r="T84" s="20"/>
      <c r="U84" s="22"/>
      <c r="V84" s="20"/>
    </row>
    <row r="85" spans="1:22" s="306" customFormat="1">
      <c r="A85" s="2" t="s">
        <v>2074</v>
      </c>
      <c r="B85" s="2" t="s">
        <v>2181</v>
      </c>
      <c r="C85" s="2">
        <v>230</v>
      </c>
      <c r="D85" s="2">
        <v>230</v>
      </c>
      <c r="E85" s="2">
        <v>84</v>
      </c>
      <c r="F85" s="2">
        <v>68</v>
      </c>
      <c r="G85" s="21">
        <f t="shared" si="16"/>
        <v>4.0204000000000004</v>
      </c>
      <c r="H85" s="20">
        <f t="shared" si="12"/>
        <v>4.444</v>
      </c>
      <c r="I85" s="20">
        <f t="shared" si="13"/>
        <v>4.0199999999999996</v>
      </c>
      <c r="J85" s="75">
        <f t="shared" si="14"/>
        <v>2.4550000000000001</v>
      </c>
      <c r="K85" s="780"/>
      <c r="L85" s="20"/>
      <c r="M85" s="20"/>
      <c r="N85" s="20"/>
      <c r="O85" s="20"/>
      <c r="P85" s="20"/>
      <c r="Q85" s="21"/>
      <c r="R85" s="22">
        <f t="shared" si="15"/>
        <v>230</v>
      </c>
      <c r="S85" s="20">
        <v>1</v>
      </c>
      <c r="T85" s="20"/>
      <c r="U85" s="22"/>
      <c r="V85" s="20"/>
    </row>
    <row r="86" spans="1:22" s="306" customFormat="1">
      <c r="A86" s="2" t="s">
        <v>566</v>
      </c>
      <c r="B86" s="2" t="s">
        <v>2181</v>
      </c>
      <c r="C86" s="2">
        <v>230</v>
      </c>
      <c r="D86" s="2">
        <v>230</v>
      </c>
      <c r="E86" s="2">
        <v>76</v>
      </c>
      <c r="F86" s="2">
        <v>52</v>
      </c>
      <c r="G86" s="21">
        <f t="shared" si="16"/>
        <v>3.3856000000000002</v>
      </c>
      <c r="H86" s="20">
        <f t="shared" si="12"/>
        <v>4.0199999999999996</v>
      </c>
      <c r="I86" s="20">
        <f t="shared" si="13"/>
        <v>3.3860000000000001</v>
      </c>
      <c r="J86" s="75">
        <f t="shared" si="14"/>
        <v>1.83</v>
      </c>
      <c r="K86" s="780"/>
      <c r="L86" s="20"/>
      <c r="M86" s="20"/>
      <c r="N86" s="20"/>
      <c r="O86" s="20"/>
      <c r="P86" s="20"/>
      <c r="Q86" s="21"/>
      <c r="R86" s="22">
        <f t="shared" si="15"/>
        <v>230</v>
      </c>
      <c r="S86" s="20">
        <v>1</v>
      </c>
      <c r="T86" s="20"/>
      <c r="U86" s="22"/>
      <c r="V86" s="20"/>
    </row>
    <row r="87" spans="1:22" s="306" customFormat="1">
      <c r="A87" s="2" t="s">
        <v>2075</v>
      </c>
      <c r="B87" s="2" t="s">
        <v>2181</v>
      </c>
      <c r="C87" s="2">
        <v>230</v>
      </c>
      <c r="D87" s="2">
        <v>230</v>
      </c>
      <c r="E87" s="2">
        <v>88</v>
      </c>
      <c r="F87" s="2">
        <v>64</v>
      </c>
      <c r="G87" s="21">
        <f t="shared" si="16"/>
        <v>4.0204000000000004</v>
      </c>
      <c r="H87" s="20">
        <f t="shared" si="12"/>
        <v>4.6550000000000002</v>
      </c>
      <c r="I87" s="20">
        <f t="shared" si="13"/>
        <v>4.0199999999999996</v>
      </c>
      <c r="J87" s="75">
        <f t="shared" si="14"/>
        <v>2.34</v>
      </c>
      <c r="K87" s="780"/>
      <c r="L87" s="20"/>
      <c r="M87" s="20"/>
      <c r="N87" s="20"/>
      <c r="O87" s="20"/>
      <c r="P87" s="20"/>
      <c r="Q87" s="21"/>
      <c r="R87" s="22">
        <f t="shared" si="15"/>
        <v>230</v>
      </c>
      <c r="S87" s="20">
        <v>1</v>
      </c>
      <c r="T87" s="20"/>
      <c r="U87" s="22"/>
      <c r="V87" s="20"/>
    </row>
    <row r="88" spans="1:22" s="306" customFormat="1">
      <c r="A88" s="2" t="s">
        <v>567</v>
      </c>
      <c r="B88" s="2" t="s">
        <v>2181</v>
      </c>
      <c r="C88" s="2">
        <v>230</v>
      </c>
      <c r="D88" s="2">
        <v>230</v>
      </c>
      <c r="E88" s="2">
        <v>77</v>
      </c>
      <c r="F88" s="2">
        <v>51</v>
      </c>
      <c r="G88" s="21">
        <f t="shared" si="16"/>
        <v>3.3856000000000002</v>
      </c>
      <c r="H88" s="20">
        <f t="shared" si="12"/>
        <v>4.0730000000000004</v>
      </c>
      <c r="I88" s="20">
        <f t="shared" si="13"/>
        <v>3.3860000000000001</v>
      </c>
      <c r="J88" s="75">
        <f t="shared" si="14"/>
        <v>1.8009999999999999</v>
      </c>
      <c r="K88" s="780"/>
      <c r="L88" s="20"/>
      <c r="M88" s="20"/>
      <c r="N88" s="20"/>
      <c r="O88" s="20"/>
      <c r="P88" s="20"/>
      <c r="Q88" s="21"/>
      <c r="R88" s="22">
        <f t="shared" si="15"/>
        <v>230</v>
      </c>
      <c r="S88" s="20">
        <v>1</v>
      </c>
      <c r="T88" s="20"/>
      <c r="U88" s="22"/>
      <c r="V88" s="20"/>
    </row>
    <row r="89" spans="1:22" s="306" customFormat="1">
      <c r="A89" s="2" t="s">
        <v>2076</v>
      </c>
      <c r="B89" s="2" t="s">
        <v>2181</v>
      </c>
      <c r="C89" s="2">
        <v>230</v>
      </c>
      <c r="D89" s="2">
        <v>230</v>
      </c>
      <c r="E89" s="2">
        <v>89</v>
      </c>
      <c r="F89" s="2">
        <v>39</v>
      </c>
      <c r="G89" s="21">
        <f t="shared" si="16"/>
        <v>3.3856000000000002</v>
      </c>
      <c r="H89" s="20">
        <f t="shared" si="12"/>
        <v>4.7080000000000002</v>
      </c>
      <c r="I89" s="20">
        <f t="shared" si="13"/>
        <v>3.3860000000000001</v>
      </c>
      <c r="J89" s="75">
        <f t="shared" si="14"/>
        <v>1.431</v>
      </c>
      <c r="K89" s="780"/>
      <c r="L89" s="20"/>
      <c r="M89" s="20"/>
      <c r="N89" s="20"/>
      <c r="O89" s="20"/>
      <c r="P89" s="20"/>
      <c r="Q89" s="21"/>
      <c r="R89" s="22">
        <f t="shared" si="15"/>
        <v>230</v>
      </c>
      <c r="S89" s="20">
        <v>1</v>
      </c>
      <c r="T89" s="20"/>
      <c r="U89" s="22"/>
      <c r="V89" s="20"/>
    </row>
    <row r="90" spans="1:22" s="306" customFormat="1">
      <c r="A90" s="2" t="s">
        <v>2077</v>
      </c>
      <c r="B90" s="2" t="s">
        <v>2181</v>
      </c>
      <c r="C90" s="2">
        <v>230</v>
      </c>
      <c r="D90" s="2">
        <v>230</v>
      </c>
      <c r="E90" s="2">
        <v>101</v>
      </c>
      <c r="F90" s="2">
        <v>51</v>
      </c>
      <c r="G90" s="21">
        <f t="shared" si="16"/>
        <v>4.0204000000000004</v>
      </c>
      <c r="H90" s="20">
        <f t="shared" si="12"/>
        <v>5.343</v>
      </c>
      <c r="I90" s="20">
        <f t="shared" si="13"/>
        <v>4.0199999999999996</v>
      </c>
      <c r="J90" s="75">
        <f t="shared" si="14"/>
        <v>1.9410000000000001</v>
      </c>
      <c r="K90" s="780"/>
      <c r="L90" s="20"/>
      <c r="M90" s="20"/>
      <c r="N90" s="20"/>
      <c r="O90" s="20"/>
      <c r="P90" s="20"/>
      <c r="Q90" s="21"/>
      <c r="R90" s="22">
        <f t="shared" si="15"/>
        <v>230</v>
      </c>
      <c r="S90" s="20">
        <v>1</v>
      </c>
      <c r="T90" s="20"/>
      <c r="U90" s="22"/>
      <c r="V90" s="20"/>
    </row>
    <row r="91" spans="1:22" s="306" customFormat="1">
      <c r="A91" s="2" t="s">
        <v>568</v>
      </c>
      <c r="B91" s="2" t="s">
        <v>2181</v>
      </c>
      <c r="C91" s="2">
        <v>250</v>
      </c>
      <c r="D91" s="2">
        <v>124</v>
      </c>
      <c r="E91" s="2">
        <v>66</v>
      </c>
      <c r="F91" s="2">
        <v>62</v>
      </c>
      <c r="G91" s="21">
        <f t="shared" si="16"/>
        <v>1.984</v>
      </c>
      <c r="H91" s="20">
        <f t="shared" si="12"/>
        <v>2.0459999999999998</v>
      </c>
      <c r="I91" s="20">
        <f t="shared" si="13"/>
        <v>1.984</v>
      </c>
      <c r="J91" s="75">
        <f t="shared" si="14"/>
        <v>1.4730000000000001</v>
      </c>
      <c r="K91" s="780"/>
      <c r="L91" s="20"/>
      <c r="M91" s="20"/>
      <c r="N91" s="20"/>
      <c r="O91" s="20"/>
      <c r="P91" s="20"/>
      <c r="Q91" s="21"/>
      <c r="R91" s="22">
        <f t="shared" si="15"/>
        <v>124</v>
      </c>
      <c r="S91" s="20">
        <v>1</v>
      </c>
      <c r="T91" s="20"/>
      <c r="U91" s="22"/>
      <c r="V91" s="20"/>
    </row>
    <row r="92" spans="1:22" s="306" customFormat="1">
      <c r="A92" s="2" t="s">
        <v>2078</v>
      </c>
      <c r="B92" s="2" t="s">
        <v>2181</v>
      </c>
      <c r="C92" s="2">
        <v>250</v>
      </c>
      <c r="D92" s="2">
        <v>124</v>
      </c>
      <c r="E92" s="2">
        <v>78</v>
      </c>
      <c r="F92" s="2">
        <v>74</v>
      </c>
      <c r="G92" s="21">
        <f t="shared" si="16"/>
        <v>2.3559999999999999</v>
      </c>
      <c r="H92" s="20">
        <f t="shared" si="12"/>
        <v>2.4180000000000001</v>
      </c>
      <c r="I92" s="20">
        <f t="shared" si="13"/>
        <v>2.3559999999999999</v>
      </c>
      <c r="J92" s="75">
        <f t="shared" si="14"/>
        <v>1.869</v>
      </c>
      <c r="K92" s="780"/>
      <c r="L92" s="20"/>
      <c r="M92" s="20"/>
      <c r="N92" s="20"/>
      <c r="O92" s="20"/>
      <c r="P92" s="20"/>
      <c r="Q92" s="21"/>
      <c r="R92" s="22">
        <f t="shared" si="15"/>
        <v>124</v>
      </c>
      <c r="S92" s="20">
        <v>1</v>
      </c>
      <c r="T92" s="20"/>
      <c r="U92" s="22"/>
      <c r="V92" s="20"/>
    </row>
    <row r="93" spans="1:22" s="306" customFormat="1">
      <c r="A93" s="2" t="s">
        <v>569</v>
      </c>
      <c r="B93" s="2" t="s">
        <v>2181</v>
      </c>
      <c r="C93" s="2">
        <v>250</v>
      </c>
      <c r="D93" s="2">
        <v>124</v>
      </c>
      <c r="E93" s="2">
        <v>67</v>
      </c>
      <c r="F93" s="2">
        <v>61</v>
      </c>
      <c r="G93" s="21">
        <f t="shared" si="16"/>
        <v>1.984</v>
      </c>
      <c r="H93" s="20">
        <f t="shared" si="12"/>
        <v>2.077</v>
      </c>
      <c r="I93" s="20">
        <f t="shared" si="13"/>
        <v>1.984</v>
      </c>
      <c r="J93" s="75">
        <f t="shared" si="14"/>
        <v>1.456</v>
      </c>
      <c r="K93" s="780"/>
      <c r="L93" s="20"/>
      <c r="M93" s="20"/>
      <c r="N93" s="20"/>
      <c r="O93" s="20"/>
      <c r="P93" s="20"/>
      <c r="Q93" s="21"/>
      <c r="R93" s="22">
        <f t="shared" si="15"/>
        <v>124</v>
      </c>
      <c r="S93" s="20">
        <v>1</v>
      </c>
      <c r="T93" s="20"/>
      <c r="U93" s="22"/>
      <c r="V93" s="20"/>
    </row>
    <row r="94" spans="1:22" s="306" customFormat="1">
      <c r="A94" s="2" t="s">
        <v>447</v>
      </c>
      <c r="B94" s="2" t="s">
        <v>2181</v>
      </c>
      <c r="C94" s="2">
        <v>250</v>
      </c>
      <c r="D94" s="2">
        <v>124</v>
      </c>
      <c r="E94" s="2">
        <v>69</v>
      </c>
      <c r="F94" s="2">
        <v>59</v>
      </c>
      <c r="G94" s="21">
        <f t="shared" si="16"/>
        <v>1.984</v>
      </c>
      <c r="H94" s="20">
        <f t="shared" si="12"/>
        <v>2.1389999999999998</v>
      </c>
      <c r="I94" s="20">
        <f t="shared" si="13"/>
        <v>1.984</v>
      </c>
      <c r="J94" s="75">
        <f t="shared" si="14"/>
        <v>1.423</v>
      </c>
      <c r="K94" s="780"/>
      <c r="L94" s="20"/>
      <c r="M94" s="20"/>
      <c r="N94" s="20"/>
      <c r="O94" s="20"/>
      <c r="P94" s="20"/>
      <c r="Q94" s="21"/>
      <c r="R94" s="22">
        <f t="shared" si="15"/>
        <v>124</v>
      </c>
      <c r="S94" s="20">
        <v>1</v>
      </c>
      <c r="T94" s="20"/>
      <c r="U94" s="22"/>
      <c r="V94" s="20"/>
    </row>
    <row r="95" spans="1:22" s="306" customFormat="1">
      <c r="A95" s="2" t="s">
        <v>2079</v>
      </c>
      <c r="B95" s="2" t="s">
        <v>2181</v>
      </c>
      <c r="C95" s="2">
        <v>250</v>
      </c>
      <c r="D95" s="2">
        <v>124</v>
      </c>
      <c r="E95" s="2">
        <v>81</v>
      </c>
      <c r="F95" s="2">
        <v>71</v>
      </c>
      <c r="G95" s="21">
        <f t="shared" si="16"/>
        <v>2.3559999999999999</v>
      </c>
      <c r="H95" s="20">
        <f t="shared" si="12"/>
        <v>2.5110000000000001</v>
      </c>
      <c r="I95" s="20">
        <f t="shared" si="13"/>
        <v>2.3559999999999999</v>
      </c>
      <c r="J95" s="75">
        <f t="shared" si="14"/>
        <v>1.819</v>
      </c>
      <c r="K95" s="780"/>
      <c r="L95" s="20"/>
      <c r="M95" s="20"/>
      <c r="N95" s="20"/>
      <c r="O95" s="20"/>
      <c r="P95" s="20"/>
      <c r="Q95" s="21"/>
      <c r="R95" s="22">
        <f t="shared" si="15"/>
        <v>124</v>
      </c>
      <c r="S95" s="20">
        <v>1</v>
      </c>
      <c r="T95" s="20"/>
      <c r="U95" s="22"/>
      <c r="V95" s="20"/>
    </row>
    <row r="96" spans="1:22" s="306" customFormat="1">
      <c r="A96" s="2" t="s">
        <v>570</v>
      </c>
      <c r="B96" s="2" t="s">
        <v>2181</v>
      </c>
      <c r="C96" s="2">
        <v>250</v>
      </c>
      <c r="D96" s="2">
        <v>124</v>
      </c>
      <c r="E96" s="2">
        <v>72</v>
      </c>
      <c r="F96" s="2">
        <v>56</v>
      </c>
      <c r="G96" s="21">
        <f t="shared" si="16"/>
        <v>1.984</v>
      </c>
      <c r="H96" s="20">
        <f t="shared" si="12"/>
        <v>2.2320000000000002</v>
      </c>
      <c r="I96" s="20">
        <f t="shared" si="13"/>
        <v>1.984</v>
      </c>
      <c r="J96" s="75">
        <f t="shared" si="14"/>
        <v>1.3720000000000001</v>
      </c>
      <c r="K96" s="780"/>
      <c r="L96" s="20"/>
      <c r="M96" s="20"/>
      <c r="N96" s="20"/>
      <c r="O96" s="20"/>
      <c r="P96" s="20"/>
      <c r="Q96" s="21"/>
      <c r="R96" s="22">
        <f t="shared" si="15"/>
        <v>124</v>
      </c>
      <c r="S96" s="20">
        <v>1</v>
      </c>
      <c r="T96" s="20"/>
      <c r="U96" s="22"/>
      <c r="V96" s="20"/>
    </row>
    <row r="97" spans="1:22" s="306" customFormat="1">
      <c r="A97" s="2" t="s">
        <v>2080</v>
      </c>
      <c r="B97" s="2" t="s">
        <v>2181</v>
      </c>
      <c r="C97" s="2">
        <v>250</v>
      </c>
      <c r="D97" s="2">
        <v>124</v>
      </c>
      <c r="E97" s="2">
        <v>84</v>
      </c>
      <c r="F97" s="2">
        <v>68</v>
      </c>
      <c r="G97" s="21">
        <f t="shared" si="16"/>
        <v>2.3559999999999999</v>
      </c>
      <c r="H97" s="20">
        <f t="shared" si="12"/>
        <v>2.6040000000000001</v>
      </c>
      <c r="I97" s="20">
        <f t="shared" si="13"/>
        <v>2.3559999999999999</v>
      </c>
      <c r="J97" s="75">
        <f t="shared" si="14"/>
        <v>1.768</v>
      </c>
      <c r="K97" s="780"/>
      <c r="L97" s="20"/>
      <c r="M97" s="20"/>
      <c r="N97" s="20"/>
      <c r="O97" s="20"/>
      <c r="P97" s="20"/>
      <c r="Q97" s="21"/>
      <c r="R97" s="22">
        <f t="shared" si="15"/>
        <v>124</v>
      </c>
      <c r="S97" s="20">
        <v>1</v>
      </c>
      <c r="T97" s="20"/>
      <c r="U97" s="22"/>
      <c r="V97" s="20"/>
    </row>
    <row r="98" spans="1:22" s="306" customFormat="1">
      <c r="A98" s="2" t="s">
        <v>571</v>
      </c>
      <c r="B98" s="2" t="s">
        <v>2181</v>
      </c>
      <c r="C98" s="2">
        <v>250</v>
      </c>
      <c r="D98" s="2">
        <v>124</v>
      </c>
      <c r="E98" s="2">
        <v>76</v>
      </c>
      <c r="F98" s="2">
        <v>52</v>
      </c>
      <c r="G98" s="21">
        <f t="shared" si="16"/>
        <v>1.984</v>
      </c>
      <c r="H98" s="20">
        <f t="shared" si="12"/>
        <v>2.3559999999999999</v>
      </c>
      <c r="I98" s="20">
        <f t="shared" si="13"/>
        <v>1.984</v>
      </c>
      <c r="J98" s="75">
        <f t="shared" si="14"/>
        <v>1.3</v>
      </c>
      <c r="K98" s="780"/>
      <c r="L98" s="20"/>
      <c r="M98" s="20"/>
      <c r="N98" s="20"/>
      <c r="O98" s="20"/>
      <c r="P98" s="20"/>
      <c r="Q98" s="21"/>
      <c r="R98" s="22">
        <f t="shared" si="15"/>
        <v>124</v>
      </c>
      <c r="S98" s="20">
        <v>1</v>
      </c>
      <c r="T98" s="20"/>
      <c r="U98" s="22"/>
      <c r="V98" s="20"/>
    </row>
    <row r="99" spans="1:22" s="306" customFormat="1">
      <c r="A99" s="2" t="s">
        <v>2081</v>
      </c>
      <c r="B99" s="2" t="s">
        <v>2181</v>
      </c>
      <c r="C99" s="2">
        <v>250</v>
      </c>
      <c r="D99" s="2">
        <v>124</v>
      </c>
      <c r="E99" s="2">
        <v>88</v>
      </c>
      <c r="F99" s="2">
        <v>64</v>
      </c>
      <c r="G99" s="21">
        <f t="shared" si="16"/>
        <v>2.3559999999999999</v>
      </c>
      <c r="H99" s="20">
        <f t="shared" si="12"/>
        <v>2.7280000000000002</v>
      </c>
      <c r="I99" s="20">
        <f t="shared" si="13"/>
        <v>2.3559999999999999</v>
      </c>
      <c r="J99" s="75">
        <f t="shared" si="14"/>
        <v>1.696</v>
      </c>
      <c r="K99" s="780"/>
      <c r="L99" s="20"/>
      <c r="M99" s="20"/>
      <c r="N99" s="20"/>
      <c r="O99" s="20"/>
      <c r="P99" s="20"/>
      <c r="Q99" s="21"/>
      <c r="R99" s="22">
        <f t="shared" si="15"/>
        <v>124</v>
      </c>
      <c r="S99" s="20">
        <v>1</v>
      </c>
      <c r="T99" s="20"/>
      <c r="U99" s="22"/>
      <c r="V99" s="20"/>
    </row>
    <row r="100" spans="1:22" s="306" customFormat="1">
      <c r="A100" s="2" t="s">
        <v>572</v>
      </c>
      <c r="B100" s="2" t="s">
        <v>2181</v>
      </c>
      <c r="C100" s="2">
        <v>250</v>
      </c>
      <c r="D100" s="2">
        <v>124</v>
      </c>
      <c r="E100" s="2">
        <v>77</v>
      </c>
      <c r="F100" s="2">
        <v>51</v>
      </c>
      <c r="G100" s="21">
        <f t="shared" si="16"/>
        <v>1.984</v>
      </c>
      <c r="H100" s="20">
        <f t="shared" si="12"/>
        <v>2.387</v>
      </c>
      <c r="I100" s="20">
        <f t="shared" si="13"/>
        <v>1.984</v>
      </c>
      <c r="J100" s="75">
        <f t="shared" si="14"/>
        <v>1.2809999999999999</v>
      </c>
      <c r="K100" s="780"/>
      <c r="L100" s="20"/>
      <c r="M100" s="20"/>
      <c r="N100" s="20"/>
      <c r="O100" s="20"/>
      <c r="P100" s="20"/>
      <c r="Q100" s="21"/>
      <c r="R100" s="22">
        <f t="shared" si="15"/>
        <v>124</v>
      </c>
      <c r="S100" s="20">
        <v>1</v>
      </c>
      <c r="T100" s="20"/>
      <c r="U100" s="22"/>
      <c r="V100" s="20"/>
    </row>
    <row r="101" spans="1:22" s="306" customFormat="1">
      <c r="A101" s="2" t="s">
        <v>573</v>
      </c>
      <c r="B101" s="2" t="s">
        <v>2181</v>
      </c>
      <c r="C101" s="2">
        <v>250</v>
      </c>
      <c r="D101" s="2">
        <v>124</v>
      </c>
      <c r="E101" s="2">
        <v>83</v>
      </c>
      <c r="F101" s="2">
        <v>45</v>
      </c>
      <c r="G101" s="21">
        <f t="shared" si="16"/>
        <v>1.984</v>
      </c>
      <c r="H101" s="20">
        <f t="shared" si="12"/>
        <v>2.573</v>
      </c>
      <c r="I101" s="20">
        <f t="shared" si="13"/>
        <v>1.984</v>
      </c>
      <c r="J101" s="75">
        <f t="shared" si="14"/>
        <v>1.1639999999999999</v>
      </c>
      <c r="K101" s="780"/>
      <c r="L101" s="20"/>
      <c r="M101" s="20"/>
      <c r="N101" s="20"/>
      <c r="O101" s="20"/>
      <c r="P101" s="20"/>
      <c r="Q101" s="21"/>
      <c r="R101" s="22">
        <f t="shared" si="15"/>
        <v>124</v>
      </c>
      <c r="S101" s="20">
        <v>1</v>
      </c>
      <c r="T101" s="20"/>
      <c r="U101" s="22"/>
      <c r="V101" s="20"/>
    </row>
    <row r="102" spans="1:22" s="306" customFormat="1">
      <c r="A102" s="2" t="s">
        <v>574</v>
      </c>
      <c r="B102" s="2" t="s">
        <v>2181</v>
      </c>
      <c r="C102" s="2">
        <v>250</v>
      </c>
      <c r="D102" s="2">
        <v>124</v>
      </c>
      <c r="E102" s="2">
        <v>89</v>
      </c>
      <c r="F102" s="2">
        <v>39</v>
      </c>
      <c r="G102" s="21">
        <f t="shared" si="16"/>
        <v>1.984</v>
      </c>
      <c r="H102" s="20">
        <f t="shared" si="12"/>
        <v>2.7589999999999999</v>
      </c>
      <c r="I102" s="20">
        <f t="shared" si="13"/>
        <v>1.984</v>
      </c>
      <c r="J102" s="75">
        <f t="shared" si="14"/>
        <v>1.038</v>
      </c>
      <c r="K102" s="780"/>
      <c r="L102" s="20"/>
      <c r="M102" s="20"/>
      <c r="N102" s="20"/>
      <c r="O102" s="20"/>
      <c r="P102" s="20"/>
      <c r="Q102" s="21"/>
      <c r="R102" s="22">
        <f t="shared" si="15"/>
        <v>124</v>
      </c>
      <c r="S102" s="20">
        <v>1</v>
      </c>
      <c r="T102" s="20"/>
      <c r="U102" s="22"/>
      <c r="V102" s="20"/>
    </row>
    <row r="103" spans="1:22" s="306" customFormat="1">
      <c r="A103" s="2" t="s">
        <v>2082</v>
      </c>
      <c r="B103" s="2" t="s">
        <v>2181</v>
      </c>
      <c r="C103" s="2">
        <v>250</v>
      </c>
      <c r="D103" s="2">
        <v>124</v>
      </c>
      <c r="E103" s="2">
        <v>101</v>
      </c>
      <c r="F103" s="2">
        <v>51</v>
      </c>
      <c r="G103" s="21">
        <f t="shared" si="16"/>
        <v>2.3559999999999999</v>
      </c>
      <c r="H103" s="20">
        <f t="shared" si="12"/>
        <v>3.1309999999999998</v>
      </c>
      <c r="I103" s="20">
        <f t="shared" si="13"/>
        <v>2.3559999999999999</v>
      </c>
      <c r="J103" s="75">
        <f t="shared" si="14"/>
        <v>1.4339999999999999</v>
      </c>
      <c r="K103" s="780"/>
      <c r="L103" s="20"/>
      <c r="M103" s="20"/>
      <c r="N103" s="20"/>
      <c r="O103" s="20"/>
      <c r="P103" s="20"/>
      <c r="Q103" s="21"/>
      <c r="R103" s="22">
        <f t="shared" si="15"/>
        <v>124</v>
      </c>
      <c r="S103" s="20">
        <v>1</v>
      </c>
      <c r="T103" s="20"/>
      <c r="U103" s="22"/>
      <c r="V103" s="20"/>
    </row>
    <row r="104" spans="1:22" s="306" customFormat="1">
      <c r="A104" s="2" t="s">
        <v>448</v>
      </c>
      <c r="B104" s="2" t="s">
        <v>2181</v>
      </c>
      <c r="C104" s="2">
        <v>250</v>
      </c>
      <c r="D104" s="2">
        <v>250</v>
      </c>
      <c r="E104" s="2">
        <v>66</v>
      </c>
      <c r="F104" s="2">
        <v>62</v>
      </c>
      <c r="G104" s="21">
        <f t="shared" si="16"/>
        <v>4</v>
      </c>
      <c r="H104" s="20">
        <f t="shared" si="12"/>
        <v>4.125</v>
      </c>
      <c r="I104" s="20">
        <f t="shared" si="13"/>
        <v>4</v>
      </c>
      <c r="J104" s="75">
        <f t="shared" si="14"/>
        <v>2.4489999999999998</v>
      </c>
      <c r="K104" s="780"/>
      <c r="L104" s="20"/>
      <c r="M104" s="20"/>
      <c r="N104" s="20"/>
      <c r="O104" s="20"/>
      <c r="P104" s="20"/>
      <c r="Q104" s="21"/>
      <c r="R104" s="22">
        <f t="shared" si="15"/>
        <v>250</v>
      </c>
      <c r="S104" s="20">
        <v>1</v>
      </c>
      <c r="T104" s="20"/>
      <c r="U104" s="22"/>
      <c r="V104" s="20"/>
    </row>
    <row r="105" spans="1:22" s="306" customFormat="1">
      <c r="A105" s="2" t="s">
        <v>2083</v>
      </c>
      <c r="B105" s="2" t="s">
        <v>2181</v>
      </c>
      <c r="C105" s="2">
        <v>250</v>
      </c>
      <c r="D105" s="2">
        <v>250</v>
      </c>
      <c r="E105" s="2">
        <v>78</v>
      </c>
      <c r="F105" s="2">
        <v>74</v>
      </c>
      <c r="G105" s="21">
        <f t="shared" si="16"/>
        <v>4.75</v>
      </c>
      <c r="H105" s="20">
        <f t="shared" si="12"/>
        <v>4.875</v>
      </c>
      <c r="I105" s="20">
        <f t="shared" si="13"/>
        <v>4.75</v>
      </c>
      <c r="J105" s="75">
        <f t="shared" si="14"/>
        <v>3.0339999999999998</v>
      </c>
      <c r="K105" s="780"/>
      <c r="L105" s="20"/>
      <c r="M105" s="20"/>
      <c r="N105" s="20"/>
      <c r="O105" s="20"/>
      <c r="P105" s="20"/>
      <c r="Q105" s="21"/>
      <c r="R105" s="22">
        <f t="shared" si="15"/>
        <v>250</v>
      </c>
      <c r="S105" s="20">
        <v>1</v>
      </c>
      <c r="T105" s="20"/>
      <c r="U105" s="22"/>
      <c r="V105" s="20"/>
    </row>
    <row r="106" spans="1:22" s="306" customFormat="1">
      <c r="A106" s="2" t="s">
        <v>575</v>
      </c>
      <c r="B106" s="2" t="s">
        <v>2181</v>
      </c>
      <c r="C106" s="2">
        <v>250</v>
      </c>
      <c r="D106" s="2">
        <v>250</v>
      </c>
      <c r="E106" s="2">
        <v>67</v>
      </c>
      <c r="F106" s="2">
        <v>61</v>
      </c>
      <c r="G106" s="21">
        <f t="shared" si="16"/>
        <v>4</v>
      </c>
      <c r="H106" s="20">
        <f t="shared" si="12"/>
        <v>4.1879999999999997</v>
      </c>
      <c r="I106" s="20">
        <f t="shared" si="13"/>
        <v>4</v>
      </c>
      <c r="J106" s="75">
        <f t="shared" si="14"/>
        <v>2.4169999999999998</v>
      </c>
      <c r="K106" s="780"/>
      <c r="L106" s="20"/>
      <c r="M106" s="20"/>
      <c r="N106" s="20"/>
      <c r="O106" s="20"/>
      <c r="P106" s="20"/>
      <c r="Q106" s="21"/>
      <c r="R106" s="22">
        <f t="shared" si="15"/>
        <v>250</v>
      </c>
      <c r="S106" s="20">
        <v>1</v>
      </c>
      <c r="T106" s="20"/>
      <c r="U106" s="22"/>
      <c r="V106" s="20"/>
    </row>
    <row r="107" spans="1:22" s="306" customFormat="1">
      <c r="A107" s="2" t="s">
        <v>576</v>
      </c>
      <c r="B107" s="2" t="s">
        <v>2181</v>
      </c>
      <c r="C107" s="2">
        <v>250</v>
      </c>
      <c r="D107" s="2">
        <v>250</v>
      </c>
      <c r="E107" s="2">
        <v>68</v>
      </c>
      <c r="F107" s="2">
        <v>60</v>
      </c>
      <c r="G107" s="21">
        <f t="shared" si="16"/>
        <v>4</v>
      </c>
      <c r="H107" s="20">
        <f t="shared" si="12"/>
        <v>4.25</v>
      </c>
      <c r="I107" s="20">
        <f t="shared" si="13"/>
        <v>4</v>
      </c>
      <c r="J107" s="75">
        <f t="shared" si="14"/>
        <v>2.3849999999999998</v>
      </c>
      <c r="K107" s="780"/>
      <c r="L107" s="20"/>
      <c r="M107" s="20"/>
      <c r="N107" s="20"/>
      <c r="O107" s="20"/>
      <c r="P107" s="20"/>
      <c r="Q107" s="21"/>
      <c r="R107" s="22">
        <f t="shared" si="15"/>
        <v>250</v>
      </c>
      <c r="S107" s="20">
        <v>1</v>
      </c>
      <c r="T107" s="20"/>
      <c r="U107" s="22"/>
      <c r="V107" s="20"/>
    </row>
    <row r="108" spans="1:22" s="306" customFormat="1">
      <c r="A108" s="2" t="s">
        <v>449</v>
      </c>
      <c r="B108" s="2" t="s">
        <v>2181</v>
      </c>
      <c r="C108" s="2">
        <v>250</v>
      </c>
      <c r="D108" s="2">
        <v>250</v>
      </c>
      <c r="E108" s="2">
        <v>69</v>
      </c>
      <c r="F108" s="2">
        <v>59</v>
      </c>
      <c r="G108" s="21">
        <f t="shared" si="16"/>
        <v>4</v>
      </c>
      <c r="H108" s="20">
        <f t="shared" si="12"/>
        <v>4.3129999999999997</v>
      </c>
      <c r="I108" s="20">
        <f t="shared" si="13"/>
        <v>4</v>
      </c>
      <c r="J108" s="75">
        <f t="shared" si="14"/>
        <v>2.3530000000000002</v>
      </c>
      <c r="K108" s="780"/>
      <c r="L108" s="20"/>
      <c r="M108" s="20"/>
      <c r="N108" s="20"/>
      <c r="O108" s="20"/>
      <c r="P108" s="20"/>
      <c r="Q108" s="23"/>
      <c r="R108" s="22">
        <f t="shared" si="15"/>
        <v>250</v>
      </c>
      <c r="S108" s="20">
        <v>1</v>
      </c>
      <c r="T108" s="20"/>
      <c r="U108" s="22"/>
      <c r="V108" s="20"/>
    </row>
    <row r="109" spans="1:22" s="306" customFormat="1">
      <c r="A109" s="2" t="s">
        <v>2084</v>
      </c>
      <c r="B109" s="2" t="s">
        <v>2181</v>
      </c>
      <c r="C109" s="2">
        <v>250</v>
      </c>
      <c r="D109" s="2">
        <v>250</v>
      </c>
      <c r="E109" s="2">
        <v>81</v>
      </c>
      <c r="F109" s="2">
        <v>71</v>
      </c>
      <c r="G109" s="21">
        <f t="shared" si="16"/>
        <v>4.75</v>
      </c>
      <c r="H109" s="20">
        <f t="shared" si="12"/>
        <v>5.0629999999999997</v>
      </c>
      <c r="I109" s="20">
        <f t="shared" si="13"/>
        <v>4.75</v>
      </c>
      <c r="J109" s="75">
        <f t="shared" si="14"/>
        <v>2.9380000000000002</v>
      </c>
      <c r="K109" s="780"/>
      <c r="L109" s="20"/>
      <c r="M109" s="20"/>
      <c r="N109" s="20"/>
      <c r="O109" s="20"/>
      <c r="P109" s="20"/>
      <c r="Q109" s="23"/>
      <c r="R109" s="22">
        <f t="shared" si="15"/>
        <v>250</v>
      </c>
      <c r="S109" s="20">
        <v>1</v>
      </c>
      <c r="T109" s="20"/>
      <c r="U109" s="22"/>
      <c r="V109" s="20"/>
    </row>
    <row r="110" spans="1:22" s="306" customFormat="1">
      <c r="A110" s="2" t="s">
        <v>577</v>
      </c>
      <c r="B110" s="2" t="s">
        <v>2181</v>
      </c>
      <c r="C110" s="2">
        <v>250</v>
      </c>
      <c r="D110" s="2">
        <v>250</v>
      </c>
      <c r="E110" s="2">
        <v>70</v>
      </c>
      <c r="F110" s="2">
        <v>58</v>
      </c>
      <c r="G110" s="21">
        <f t="shared" si="16"/>
        <v>4</v>
      </c>
      <c r="H110" s="20">
        <f t="shared" si="12"/>
        <v>4.375</v>
      </c>
      <c r="I110" s="20">
        <f t="shared" si="13"/>
        <v>4</v>
      </c>
      <c r="J110" s="75">
        <f t="shared" si="14"/>
        <v>2.3199999999999998</v>
      </c>
      <c r="K110" s="780"/>
      <c r="L110" s="20"/>
      <c r="M110" s="20"/>
      <c r="N110" s="20"/>
      <c r="O110" s="20"/>
      <c r="P110" s="20"/>
      <c r="Q110" s="23"/>
      <c r="R110" s="22">
        <f t="shared" si="15"/>
        <v>250</v>
      </c>
      <c r="S110" s="20">
        <v>1</v>
      </c>
      <c r="T110" s="20"/>
      <c r="U110" s="22"/>
      <c r="V110" s="20"/>
    </row>
    <row r="111" spans="1:22" s="306" customFormat="1">
      <c r="A111" s="2" t="s">
        <v>450</v>
      </c>
      <c r="B111" s="2" t="s">
        <v>2181</v>
      </c>
      <c r="C111" s="2">
        <v>250</v>
      </c>
      <c r="D111" s="2">
        <v>250</v>
      </c>
      <c r="E111" s="2">
        <v>72</v>
      </c>
      <c r="F111" s="2">
        <v>56</v>
      </c>
      <c r="G111" s="21">
        <f t="shared" si="16"/>
        <v>4</v>
      </c>
      <c r="H111" s="20">
        <f t="shared" si="12"/>
        <v>4.5</v>
      </c>
      <c r="I111" s="20">
        <f t="shared" si="13"/>
        <v>4</v>
      </c>
      <c r="J111" s="75">
        <f t="shared" si="14"/>
        <v>2.254</v>
      </c>
      <c r="K111" s="780"/>
      <c r="L111" s="20"/>
      <c r="M111" s="20"/>
      <c r="N111" s="20"/>
      <c r="O111" s="20"/>
      <c r="P111" s="20"/>
      <c r="Q111" s="23"/>
      <c r="R111" s="22">
        <f t="shared" si="15"/>
        <v>250</v>
      </c>
      <c r="S111" s="20">
        <v>1</v>
      </c>
      <c r="T111" s="20"/>
      <c r="U111" s="22"/>
      <c r="V111" s="20"/>
    </row>
    <row r="112" spans="1:22" s="306" customFormat="1">
      <c r="A112" s="2" t="s">
        <v>2085</v>
      </c>
      <c r="B112" s="2" t="s">
        <v>2181</v>
      </c>
      <c r="C112" s="2">
        <v>250</v>
      </c>
      <c r="D112" s="2">
        <v>250</v>
      </c>
      <c r="E112" s="2">
        <v>84</v>
      </c>
      <c r="F112" s="2">
        <v>68</v>
      </c>
      <c r="G112" s="21">
        <f t="shared" si="16"/>
        <v>4.75</v>
      </c>
      <c r="H112" s="20">
        <f t="shared" si="12"/>
        <v>5.25</v>
      </c>
      <c r="I112" s="20">
        <f t="shared" si="13"/>
        <v>4.75</v>
      </c>
      <c r="J112" s="75">
        <f t="shared" si="14"/>
        <v>2.839</v>
      </c>
      <c r="K112" s="780"/>
      <c r="L112" s="20"/>
      <c r="M112" s="20"/>
      <c r="N112" s="20"/>
      <c r="O112" s="20"/>
      <c r="P112" s="20"/>
      <c r="Q112" s="23"/>
      <c r="R112" s="22">
        <f t="shared" si="15"/>
        <v>250</v>
      </c>
      <c r="S112" s="20">
        <v>1</v>
      </c>
      <c r="T112" s="20"/>
      <c r="U112" s="22"/>
      <c r="V112" s="20"/>
    </row>
    <row r="113" spans="1:22" s="306" customFormat="1">
      <c r="A113" s="2" t="s">
        <v>578</v>
      </c>
      <c r="B113" s="2" t="s">
        <v>2181</v>
      </c>
      <c r="C113" s="2">
        <v>250</v>
      </c>
      <c r="D113" s="2">
        <v>250</v>
      </c>
      <c r="E113" s="2">
        <v>76</v>
      </c>
      <c r="F113" s="2">
        <v>52</v>
      </c>
      <c r="G113" s="21">
        <f t="shared" si="16"/>
        <v>4</v>
      </c>
      <c r="H113" s="20">
        <f t="shared" si="12"/>
        <v>4.75</v>
      </c>
      <c r="I113" s="20">
        <f t="shared" si="13"/>
        <v>4</v>
      </c>
      <c r="J113" s="75">
        <f t="shared" si="14"/>
        <v>2.1190000000000002</v>
      </c>
      <c r="K113" s="780"/>
      <c r="L113" s="20"/>
      <c r="M113" s="20"/>
      <c r="N113" s="20"/>
      <c r="O113" s="20"/>
      <c r="P113" s="20"/>
      <c r="Q113" s="23"/>
      <c r="R113" s="22">
        <f t="shared" si="15"/>
        <v>250</v>
      </c>
      <c r="S113" s="20">
        <v>1</v>
      </c>
      <c r="T113" s="20"/>
      <c r="U113" s="22"/>
      <c r="V113" s="20"/>
    </row>
    <row r="114" spans="1:22" s="306" customFormat="1">
      <c r="A114" s="2" t="s">
        <v>2086</v>
      </c>
      <c r="B114" s="2" t="s">
        <v>2181</v>
      </c>
      <c r="C114" s="2">
        <v>250</v>
      </c>
      <c r="D114" s="2">
        <v>250</v>
      </c>
      <c r="E114" s="2">
        <v>88</v>
      </c>
      <c r="F114" s="2">
        <v>64</v>
      </c>
      <c r="G114" s="21">
        <f t="shared" si="16"/>
        <v>4.75</v>
      </c>
      <c r="H114" s="20">
        <f t="shared" si="12"/>
        <v>5.5</v>
      </c>
      <c r="I114" s="20">
        <f t="shared" si="13"/>
        <v>4.75</v>
      </c>
      <c r="J114" s="75">
        <f t="shared" si="14"/>
        <v>2.7040000000000002</v>
      </c>
      <c r="K114" s="780"/>
      <c r="L114" s="20"/>
      <c r="M114" s="20"/>
      <c r="N114" s="20"/>
      <c r="O114" s="20"/>
      <c r="P114" s="20"/>
      <c r="Q114" s="23"/>
      <c r="R114" s="22">
        <f t="shared" si="15"/>
        <v>250</v>
      </c>
      <c r="S114" s="20">
        <v>1</v>
      </c>
      <c r="T114" s="20"/>
      <c r="U114" s="22"/>
      <c r="V114" s="20"/>
    </row>
    <row r="115" spans="1:22" s="306" customFormat="1">
      <c r="A115" s="2" t="s">
        <v>579</v>
      </c>
      <c r="B115" s="2" t="s">
        <v>2181</v>
      </c>
      <c r="C115" s="2">
        <v>250</v>
      </c>
      <c r="D115" s="2">
        <v>250</v>
      </c>
      <c r="E115" s="2">
        <v>77</v>
      </c>
      <c r="F115" s="2">
        <v>51</v>
      </c>
      <c r="G115" s="21">
        <f t="shared" si="16"/>
        <v>4</v>
      </c>
      <c r="H115" s="20">
        <f t="shared" si="12"/>
        <v>4.8129999999999997</v>
      </c>
      <c r="I115" s="20">
        <f t="shared" si="13"/>
        <v>4</v>
      </c>
      <c r="J115" s="75">
        <f t="shared" si="14"/>
        <v>2.085</v>
      </c>
      <c r="K115" s="780"/>
      <c r="L115" s="20"/>
      <c r="M115" s="20"/>
      <c r="N115" s="20"/>
      <c r="O115" s="20"/>
      <c r="P115" s="20"/>
      <c r="Q115" s="23"/>
      <c r="R115" s="22">
        <f t="shared" si="15"/>
        <v>250</v>
      </c>
      <c r="S115" s="20">
        <v>1</v>
      </c>
      <c r="T115" s="20"/>
      <c r="U115" s="22"/>
      <c r="V115" s="20"/>
    </row>
    <row r="116" spans="1:22" s="306" customFormat="1">
      <c r="A116" s="2" t="s">
        <v>580</v>
      </c>
      <c r="B116" s="2" t="s">
        <v>2181</v>
      </c>
      <c r="C116" s="2">
        <v>250</v>
      </c>
      <c r="D116" s="2">
        <v>250</v>
      </c>
      <c r="E116" s="2">
        <v>83</v>
      </c>
      <c r="F116" s="2">
        <v>45</v>
      </c>
      <c r="G116" s="21">
        <f t="shared" si="16"/>
        <v>4</v>
      </c>
      <c r="H116" s="20">
        <f t="shared" si="12"/>
        <v>5.1879999999999997</v>
      </c>
      <c r="I116" s="20">
        <f t="shared" si="13"/>
        <v>4</v>
      </c>
      <c r="J116" s="75">
        <f t="shared" si="14"/>
        <v>1.873</v>
      </c>
      <c r="K116" s="780"/>
      <c r="L116" s="20"/>
      <c r="M116" s="20"/>
      <c r="N116" s="20"/>
      <c r="O116" s="20"/>
      <c r="P116" s="20"/>
      <c r="Q116" s="23"/>
      <c r="R116" s="22">
        <f t="shared" si="15"/>
        <v>250</v>
      </c>
      <c r="S116" s="20">
        <v>1</v>
      </c>
      <c r="T116" s="20"/>
      <c r="U116" s="22"/>
      <c r="V116" s="20"/>
    </row>
    <row r="117" spans="1:22" s="306" customFormat="1">
      <c r="A117" s="2" t="s">
        <v>581</v>
      </c>
      <c r="B117" s="2" t="s">
        <v>2181</v>
      </c>
      <c r="C117" s="2">
        <v>250</v>
      </c>
      <c r="D117" s="2">
        <v>250</v>
      </c>
      <c r="E117" s="2">
        <v>89</v>
      </c>
      <c r="F117" s="2">
        <v>39</v>
      </c>
      <c r="G117" s="21">
        <f t="shared" si="16"/>
        <v>4</v>
      </c>
      <c r="H117" s="20">
        <f t="shared" si="12"/>
        <v>5.5629999999999997</v>
      </c>
      <c r="I117" s="20">
        <f t="shared" si="13"/>
        <v>4</v>
      </c>
      <c r="J117" s="75">
        <f t="shared" si="14"/>
        <v>1.653</v>
      </c>
      <c r="K117" s="780"/>
      <c r="L117" s="20"/>
      <c r="M117" s="20"/>
      <c r="N117" s="20"/>
      <c r="O117" s="20"/>
      <c r="P117" s="20"/>
      <c r="Q117" s="23"/>
      <c r="R117" s="22">
        <f t="shared" si="15"/>
        <v>250</v>
      </c>
      <c r="S117" s="20">
        <v>1</v>
      </c>
      <c r="T117" s="20"/>
      <c r="U117" s="22"/>
      <c r="V117" s="20"/>
    </row>
    <row r="118" spans="1:22" s="306" customFormat="1">
      <c r="A118" s="2" t="s">
        <v>2087</v>
      </c>
      <c r="B118" s="2" t="s">
        <v>2181</v>
      </c>
      <c r="C118" s="2">
        <v>250</v>
      </c>
      <c r="D118" s="2">
        <v>250</v>
      </c>
      <c r="E118" s="2">
        <v>101</v>
      </c>
      <c r="F118" s="2">
        <v>51</v>
      </c>
      <c r="G118" s="21">
        <f t="shared" si="16"/>
        <v>4.75</v>
      </c>
      <c r="H118" s="20">
        <f t="shared" si="12"/>
        <v>6.3129999999999997</v>
      </c>
      <c r="I118" s="20">
        <f t="shared" si="13"/>
        <v>4.75</v>
      </c>
      <c r="J118" s="75">
        <f t="shared" si="14"/>
        <v>2.238</v>
      </c>
      <c r="K118" s="780"/>
      <c r="L118" s="20"/>
      <c r="M118" s="20"/>
      <c r="N118" s="20"/>
      <c r="O118" s="20"/>
      <c r="P118" s="20"/>
      <c r="Q118" s="23"/>
      <c r="R118" s="22">
        <f t="shared" si="15"/>
        <v>250</v>
      </c>
      <c r="S118" s="20">
        <v>1</v>
      </c>
      <c r="T118" s="20"/>
      <c r="U118" s="22"/>
      <c r="V118" s="20"/>
    </row>
    <row r="119" spans="1:22" s="306" customFormat="1">
      <c r="A119" s="2" t="s">
        <v>454</v>
      </c>
      <c r="B119" s="2" t="s">
        <v>2181</v>
      </c>
      <c r="C119" s="2">
        <v>300</v>
      </c>
      <c r="D119" s="2">
        <v>150</v>
      </c>
      <c r="E119" s="2">
        <v>85</v>
      </c>
      <c r="F119" s="2">
        <v>65</v>
      </c>
      <c r="G119" s="21">
        <f t="shared" si="16"/>
        <v>3.375</v>
      </c>
      <c r="H119" s="20">
        <f t="shared" si="12"/>
        <v>3.8250000000000002</v>
      </c>
      <c r="I119" s="20">
        <f t="shared" si="13"/>
        <v>3.375</v>
      </c>
      <c r="J119" s="75">
        <f t="shared" si="14"/>
        <v>2.2909999999999999</v>
      </c>
      <c r="K119" s="780"/>
      <c r="L119" s="20"/>
      <c r="M119" s="20"/>
      <c r="N119" s="20"/>
      <c r="O119" s="20"/>
      <c r="P119" s="20"/>
      <c r="Q119" s="23"/>
      <c r="R119" s="22">
        <f t="shared" si="15"/>
        <v>150</v>
      </c>
      <c r="S119" s="20">
        <v>1</v>
      </c>
      <c r="T119" s="20"/>
      <c r="U119" s="22"/>
      <c r="V119" s="20"/>
    </row>
    <row r="120" spans="1:22" s="306" customFormat="1">
      <c r="A120" s="2" t="s">
        <v>452</v>
      </c>
      <c r="B120" s="2" t="s">
        <v>2181</v>
      </c>
      <c r="C120" s="2">
        <v>300</v>
      </c>
      <c r="D120" s="2">
        <v>150</v>
      </c>
      <c r="E120" s="2">
        <v>71</v>
      </c>
      <c r="F120" s="2">
        <v>65</v>
      </c>
      <c r="G120" s="21">
        <f t="shared" si="16"/>
        <v>3.06</v>
      </c>
      <c r="H120" s="20">
        <f t="shared" si="12"/>
        <v>3.1949999999999998</v>
      </c>
      <c r="I120" s="20">
        <f t="shared" si="13"/>
        <v>3.06</v>
      </c>
      <c r="J120" s="75">
        <f t="shared" si="14"/>
        <v>2.1549999999999998</v>
      </c>
      <c r="K120" s="780"/>
      <c r="L120" s="20"/>
      <c r="M120" s="20"/>
      <c r="N120" s="20"/>
      <c r="O120" s="20"/>
      <c r="P120" s="20"/>
      <c r="Q120" s="23"/>
      <c r="R120" s="22">
        <f t="shared" si="15"/>
        <v>150</v>
      </c>
      <c r="S120" s="20">
        <v>1</v>
      </c>
      <c r="T120" s="20"/>
      <c r="U120" s="22"/>
      <c r="V120" s="20"/>
    </row>
    <row r="121" spans="1:22" s="306" customFormat="1">
      <c r="A121" s="2" t="s">
        <v>451</v>
      </c>
      <c r="B121" s="2" t="s">
        <v>2181</v>
      </c>
      <c r="C121" s="2">
        <v>300</v>
      </c>
      <c r="D121" s="2">
        <v>150</v>
      </c>
      <c r="E121" s="2">
        <v>69</v>
      </c>
      <c r="F121" s="2">
        <v>65</v>
      </c>
      <c r="G121" s="21">
        <f t="shared" si="16"/>
        <v>3.0150000000000001</v>
      </c>
      <c r="H121" s="20">
        <f t="shared" si="12"/>
        <v>3.105</v>
      </c>
      <c r="I121" s="20">
        <f t="shared" si="13"/>
        <v>3.0150000000000001</v>
      </c>
      <c r="J121" s="75">
        <f t="shared" si="14"/>
        <v>2.1349999999999998</v>
      </c>
      <c r="K121" s="780"/>
      <c r="L121" s="20"/>
      <c r="M121" s="20"/>
      <c r="N121" s="20"/>
      <c r="O121" s="20"/>
      <c r="P121" s="20"/>
      <c r="Q121" s="23"/>
      <c r="R121" s="22">
        <f t="shared" si="15"/>
        <v>150</v>
      </c>
      <c r="S121" s="20">
        <v>1</v>
      </c>
      <c r="T121" s="20"/>
      <c r="U121" s="22"/>
      <c r="V121" s="20"/>
    </row>
    <row r="122" spans="1:22" s="306" customFormat="1">
      <c r="A122" s="2" t="s">
        <v>469</v>
      </c>
      <c r="B122" s="2" t="s">
        <v>2181</v>
      </c>
      <c r="C122" s="2">
        <v>375</v>
      </c>
      <c r="D122" s="2">
        <v>150</v>
      </c>
      <c r="E122" s="2">
        <v>90</v>
      </c>
      <c r="F122" s="2">
        <v>65</v>
      </c>
      <c r="G122" s="21">
        <f t="shared" si="16"/>
        <v>4.359375</v>
      </c>
      <c r="H122" s="20">
        <f t="shared" si="12"/>
        <v>5.0629999999999997</v>
      </c>
      <c r="I122" s="20">
        <f t="shared" si="13"/>
        <v>4.359</v>
      </c>
      <c r="J122" s="75">
        <f t="shared" si="14"/>
        <v>2.9249999999999998</v>
      </c>
      <c r="K122" s="780"/>
      <c r="L122" s="20"/>
      <c r="M122" s="20"/>
      <c r="N122" s="20"/>
      <c r="O122" s="20"/>
      <c r="P122" s="20"/>
      <c r="Q122" s="23"/>
      <c r="R122" s="22">
        <f t="shared" si="15"/>
        <v>150</v>
      </c>
      <c r="S122" s="20">
        <v>1</v>
      </c>
      <c r="T122" s="20"/>
      <c r="U122" s="22"/>
      <c r="V122" s="20"/>
    </row>
    <row r="123" spans="1:22" s="306" customFormat="1">
      <c r="A123" s="2" t="s">
        <v>467</v>
      </c>
      <c r="B123" s="2" t="s">
        <v>2181</v>
      </c>
      <c r="C123" s="2">
        <v>375</v>
      </c>
      <c r="D123" s="2">
        <v>150</v>
      </c>
      <c r="E123" s="2">
        <v>73</v>
      </c>
      <c r="F123" s="2">
        <v>65</v>
      </c>
      <c r="G123" s="21">
        <f t="shared" si="16"/>
        <v>3.8812500000000001</v>
      </c>
      <c r="H123" s="20">
        <f t="shared" si="12"/>
        <v>4.1059999999999999</v>
      </c>
      <c r="I123" s="20">
        <f t="shared" si="13"/>
        <v>3.8809999999999998</v>
      </c>
      <c r="J123" s="75">
        <f t="shared" si="14"/>
        <v>2.718</v>
      </c>
      <c r="K123" s="780"/>
      <c r="L123" s="20"/>
      <c r="M123" s="20"/>
      <c r="N123" s="20"/>
      <c r="O123" s="20"/>
      <c r="P123" s="20"/>
      <c r="Q123" s="23"/>
      <c r="R123" s="22">
        <f t="shared" si="15"/>
        <v>150</v>
      </c>
      <c r="S123" s="20">
        <v>1</v>
      </c>
      <c r="T123" s="20"/>
      <c r="U123" s="22"/>
      <c r="V123" s="20"/>
    </row>
    <row r="124" spans="1:22" s="306" customFormat="1" ht="13.8" thickBot="1">
      <c r="A124" s="2" t="s">
        <v>466</v>
      </c>
      <c r="B124" s="2" t="s">
        <v>2181</v>
      </c>
      <c r="C124" s="2">
        <v>375</v>
      </c>
      <c r="D124" s="2">
        <v>150</v>
      </c>
      <c r="E124" s="2">
        <v>70</v>
      </c>
      <c r="F124" s="2">
        <v>65</v>
      </c>
      <c r="G124" s="21">
        <f t="shared" si="16"/>
        <v>3.796875</v>
      </c>
      <c r="H124" s="20">
        <f t="shared" si="12"/>
        <v>3.9380000000000002</v>
      </c>
      <c r="I124" s="20">
        <f t="shared" si="13"/>
        <v>3.7970000000000002</v>
      </c>
      <c r="J124" s="75">
        <f t="shared" si="14"/>
        <v>2.681</v>
      </c>
      <c r="K124" s="780"/>
      <c r="L124" s="20"/>
      <c r="M124" s="20"/>
      <c r="N124" s="20"/>
      <c r="O124" s="20"/>
      <c r="P124" s="20"/>
      <c r="Q124" s="23"/>
      <c r="R124" s="22">
        <f t="shared" si="15"/>
        <v>150</v>
      </c>
      <c r="S124" s="20">
        <v>1</v>
      </c>
      <c r="T124" s="20"/>
      <c r="U124" s="22"/>
      <c r="V124" s="20"/>
    </row>
    <row r="125" spans="1:22" s="63" customFormat="1" ht="25.2" thickBot="1">
      <c r="A125" s="64" t="s">
        <v>582</v>
      </c>
      <c r="B125" s="65"/>
      <c r="C125" s="65"/>
      <c r="D125" s="65"/>
      <c r="E125" s="65"/>
      <c r="F125" s="65"/>
      <c r="G125" s="101"/>
      <c r="H125" s="65"/>
      <c r="I125" s="65"/>
      <c r="J125" s="66"/>
      <c r="K125" s="59"/>
      <c r="L125" s="60"/>
      <c r="M125" s="60"/>
      <c r="N125" s="60"/>
      <c r="O125" s="60"/>
      <c r="P125" s="60"/>
      <c r="Q125" s="61"/>
      <c r="R125" s="62"/>
      <c r="S125" s="60"/>
      <c r="T125" s="60"/>
      <c r="U125" s="62"/>
      <c r="V125" s="60"/>
    </row>
    <row r="126" spans="1:22" s="306" customFormat="1" ht="12.75" customHeight="1">
      <c r="A126" s="305" t="s">
        <v>583</v>
      </c>
      <c r="B126" s="2" t="s">
        <v>22</v>
      </c>
      <c r="C126" s="2">
        <v>230</v>
      </c>
      <c r="D126" s="2">
        <v>114</v>
      </c>
      <c r="E126" s="2">
        <v>66</v>
      </c>
      <c r="F126" s="2">
        <v>62</v>
      </c>
      <c r="G126" s="21">
        <f t="shared" si="16"/>
        <v>1.67808</v>
      </c>
      <c r="H126" s="20">
        <f t="shared" ref="H126:H190" si="17">ROUND(C126*D126*E126/10^6,3)</f>
        <v>1.7310000000000001</v>
      </c>
      <c r="I126" s="20">
        <f t="shared" ref="I126:I190" si="18">IF(F126="","-",ROUND((E126+F126)*C126/2*D126/10^6,3))</f>
        <v>1.6779999999999999</v>
      </c>
      <c r="J126" s="75">
        <f t="shared" ref="J126:J190" si="19">IF(F126="","-",ROUND((D126+E126)*C126/2*F126/10^6,3))</f>
        <v>1.2829999999999999</v>
      </c>
      <c r="K126" s="779" t="s">
        <v>526</v>
      </c>
      <c r="L126" s="20"/>
      <c r="M126" s="20"/>
      <c r="N126" s="20"/>
      <c r="O126" s="20"/>
      <c r="P126" s="20"/>
      <c r="Q126" s="23"/>
      <c r="R126" s="22" t="s">
        <v>16</v>
      </c>
      <c r="S126" s="22" t="s">
        <v>16</v>
      </c>
      <c r="T126" s="20" t="e">
        <f t="shared" ref="T126:T190" si="20">(E126+U126)/2/(SIN(RADIANS((ATAN(((E126+U126)-(F126+U126))/2/C126)*180/PI()))))*2</f>
        <v>#REF!</v>
      </c>
      <c r="U126" s="22" t="e">
        <f>#REF!</f>
        <v>#REF!</v>
      </c>
      <c r="V126" s="20"/>
    </row>
    <row r="127" spans="1:22" s="306" customFormat="1" ht="12.75" customHeight="1">
      <c r="A127" s="305" t="s">
        <v>584</v>
      </c>
      <c r="B127" s="2" t="s">
        <v>22</v>
      </c>
      <c r="C127" s="2">
        <v>230</v>
      </c>
      <c r="D127" s="2">
        <v>114</v>
      </c>
      <c r="E127" s="2">
        <v>67</v>
      </c>
      <c r="F127" s="2">
        <v>61</v>
      </c>
      <c r="G127" s="21">
        <f t="shared" si="16"/>
        <v>1.67808</v>
      </c>
      <c r="H127" s="20">
        <f t="shared" si="17"/>
        <v>1.7569999999999999</v>
      </c>
      <c r="I127" s="20">
        <f t="shared" si="18"/>
        <v>1.6779999999999999</v>
      </c>
      <c r="J127" s="75">
        <f t="shared" si="19"/>
        <v>1.27</v>
      </c>
      <c r="K127" s="780"/>
      <c r="L127" s="20"/>
      <c r="M127" s="20"/>
      <c r="N127" s="20"/>
      <c r="O127" s="20"/>
      <c r="P127" s="20"/>
      <c r="Q127" s="23"/>
      <c r="R127" s="22" t="s">
        <v>16</v>
      </c>
      <c r="S127" s="22" t="s">
        <v>16</v>
      </c>
      <c r="T127" s="20" t="e">
        <f t="shared" si="20"/>
        <v>#REF!</v>
      </c>
      <c r="U127" s="22" t="e">
        <f>#REF!</f>
        <v>#REF!</v>
      </c>
      <c r="V127" s="20"/>
    </row>
    <row r="128" spans="1:22" s="306" customFormat="1" ht="12.75" customHeight="1">
      <c r="A128" s="305" t="s">
        <v>2088</v>
      </c>
      <c r="B128" s="2" t="s">
        <v>22</v>
      </c>
      <c r="C128" s="2">
        <v>230</v>
      </c>
      <c r="D128" s="2">
        <v>114</v>
      </c>
      <c r="E128" s="2">
        <v>79</v>
      </c>
      <c r="F128" s="2">
        <v>73</v>
      </c>
      <c r="G128" s="21">
        <f t="shared" si="16"/>
        <v>1.99272</v>
      </c>
      <c r="H128" s="20">
        <f t="shared" si="17"/>
        <v>2.0710000000000002</v>
      </c>
      <c r="I128" s="20">
        <f t="shared" si="18"/>
        <v>1.9930000000000001</v>
      </c>
      <c r="J128" s="75">
        <f t="shared" si="19"/>
        <v>1.62</v>
      </c>
      <c r="K128" s="780"/>
      <c r="L128" s="20"/>
      <c r="M128" s="20"/>
      <c r="N128" s="20"/>
      <c r="O128" s="20"/>
      <c r="P128" s="20"/>
      <c r="Q128" s="23"/>
      <c r="R128" s="22" t="s">
        <v>16</v>
      </c>
      <c r="S128" s="22" t="s">
        <v>16</v>
      </c>
      <c r="T128" s="20" t="e">
        <f t="shared" si="20"/>
        <v>#REF!</v>
      </c>
      <c r="U128" s="22" t="e">
        <f>#REF!</f>
        <v>#REF!</v>
      </c>
      <c r="V128" s="20"/>
    </row>
    <row r="129" spans="1:22" s="306" customFormat="1" ht="12.75" customHeight="1">
      <c r="A129" s="305" t="s">
        <v>585</v>
      </c>
      <c r="B129" s="2" t="s">
        <v>22</v>
      </c>
      <c r="C129" s="2">
        <v>230</v>
      </c>
      <c r="D129" s="2">
        <v>114</v>
      </c>
      <c r="E129" s="2">
        <v>69</v>
      </c>
      <c r="F129" s="2">
        <v>59</v>
      </c>
      <c r="G129" s="21">
        <f t="shared" si="16"/>
        <v>1.67808</v>
      </c>
      <c r="H129" s="20">
        <f t="shared" si="17"/>
        <v>1.8089999999999999</v>
      </c>
      <c r="I129" s="20">
        <f t="shared" si="18"/>
        <v>1.6779999999999999</v>
      </c>
      <c r="J129" s="75">
        <f t="shared" si="19"/>
        <v>1.242</v>
      </c>
      <c r="K129" s="780"/>
      <c r="L129" s="20"/>
      <c r="M129" s="20"/>
      <c r="N129" s="20"/>
      <c r="O129" s="20"/>
      <c r="P129" s="20"/>
      <c r="Q129" s="23"/>
      <c r="R129" s="22" t="s">
        <v>16</v>
      </c>
      <c r="S129" s="22" t="s">
        <v>16</v>
      </c>
      <c r="T129" s="20" t="e">
        <f t="shared" si="20"/>
        <v>#REF!</v>
      </c>
      <c r="U129" s="22" t="e">
        <f>#REF!</f>
        <v>#REF!</v>
      </c>
      <c r="V129" s="20"/>
    </row>
    <row r="130" spans="1:22" s="306" customFormat="1" ht="12.75" customHeight="1">
      <c r="A130" s="305" t="s">
        <v>2089</v>
      </c>
      <c r="B130" s="2" t="s">
        <v>22</v>
      </c>
      <c r="C130" s="2">
        <v>230</v>
      </c>
      <c r="D130" s="2">
        <v>114</v>
      </c>
      <c r="E130" s="2">
        <v>81</v>
      </c>
      <c r="F130" s="2">
        <v>71</v>
      </c>
      <c r="G130" s="21">
        <f t="shared" si="16"/>
        <v>1.99272</v>
      </c>
      <c r="H130" s="20">
        <f t="shared" si="17"/>
        <v>2.1240000000000001</v>
      </c>
      <c r="I130" s="20">
        <f t="shared" si="18"/>
        <v>1.9930000000000001</v>
      </c>
      <c r="J130" s="75">
        <f t="shared" si="19"/>
        <v>1.5920000000000001</v>
      </c>
      <c r="K130" s="780"/>
      <c r="L130" s="20"/>
      <c r="M130" s="20"/>
      <c r="N130" s="20"/>
      <c r="O130" s="20"/>
      <c r="P130" s="20"/>
      <c r="Q130" s="23"/>
      <c r="R130" s="22" t="s">
        <v>16</v>
      </c>
      <c r="S130" s="22" t="s">
        <v>16</v>
      </c>
      <c r="T130" s="20" t="e">
        <f t="shared" si="20"/>
        <v>#REF!</v>
      </c>
      <c r="U130" s="22" t="e">
        <f>#REF!</f>
        <v>#REF!</v>
      </c>
      <c r="V130" s="20"/>
    </row>
    <row r="131" spans="1:22" s="306" customFormat="1" ht="12.75" customHeight="1">
      <c r="A131" s="305" t="s">
        <v>586</v>
      </c>
      <c r="B131" s="2" t="s">
        <v>22</v>
      </c>
      <c r="C131" s="2">
        <v>230</v>
      </c>
      <c r="D131" s="2">
        <v>114</v>
      </c>
      <c r="E131" s="2">
        <v>72</v>
      </c>
      <c r="F131" s="2">
        <v>56</v>
      </c>
      <c r="G131" s="21">
        <f t="shared" si="16"/>
        <v>1.67808</v>
      </c>
      <c r="H131" s="20">
        <f t="shared" si="17"/>
        <v>1.8879999999999999</v>
      </c>
      <c r="I131" s="20">
        <f t="shared" si="18"/>
        <v>1.6779999999999999</v>
      </c>
      <c r="J131" s="75">
        <f t="shared" si="19"/>
        <v>1.198</v>
      </c>
      <c r="K131" s="780"/>
      <c r="L131" s="20"/>
      <c r="M131" s="20"/>
      <c r="N131" s="20"/>
      <c r="O131" s="20"/>
      <c r="P131" s="20"/>
      <c r="Q131" s="23"/>
      <c r="R131" s="22" t="s">
        <v>16</v>
      </c>
      <c r="S131" s="22" t="s">
        <v>16</v>
      </c>
      <c r="T131" s="20" t="e">
        <f t="shared" si="20"/>
        <v>#REF!</v>
      </c>
      <c r="U131" s="22" t="e">
        <f>#REF!</f>
        <v>#REF!</v>
      </c>
      <c r="V131" s="20"/>
    </row>
    <row r="132" spans="1:22" s="306" customFormat="1" ht="12.75" customHeight="1">
      <c r="A132" s="305" t="s">
        <v>2090</v>
      </c>
      <c r="B132" s="2" t="s">
        <v>22</v>
      </c>
      <c r="C132" s="2">
        <v>230</v>
      </c>
      <c r="D132" s="2">
        <v>114</v>
      </c>
      <c r="E132" s="2">
        <v>84</v>
      </c>
      <c r="F132" s="2">
        <v>68</v>
      </c>
      <c r="G132" s="21">
        <f t="shared" si="16"/>
        <v>1.99272</v>
      </c>
      <c r="H132" s="20">
        <f t="shared" si="17"/>
        <v>2.202</v>
      </c>
      <c r="I132" s="20">
        <f t="shared" si="18"/>
        <v>1.9930000000000001</v>
      </c>
      <c r="J132" s="75">
        <f t="shared" si="19"/>
        <v>1.548</v>
      </c>
      <c r="K132" s="780"/>
      <c r="L132" s="20"/>
      <c r="M132" s="20"/>
      <c r="N132" s="20"/>
      <c r="O132" s="20"/>
      <c r="P132" s="20"/>
      <c r="Q132" s="23"/>
      <c r="R132" s="22" t="s">
        <v>16</v>
      </c>
      <c r="S132" s="22" t="s">
        <v>16</v>
      </c>
      <c r="T132" s="20" t="e">
        <f t="shared" si="20"/>
        <v>#REF!</v>
      </c>
      <c r="U132" s="22" t="e">
        <f>#REF!</f>
        <v>#REF!</v>
      </c>
      <c r="V132" s="20"/>
    </row>
    <row r="133" spans="1:22" s="306" customFormat="1" ht="12.75" customHeight="1">
      <c r="A133" s="305" t="s">
        <v>587</v>
      </c>
      <c r="B133" s="2" t="s">
        <v>22</v>
      </c>
      <c r="C133" s="2">
        <v>230</v>
      </c>
      <c r="D133" s="2">
        <v>114</v>
      </c>
      <c r="E133" s="2">
        <v>76</v>
      </c>
      <c r="F133" s="2">
        <v>52</v>
      </c>
      <c r="G133" s="21">
        <f t="shared" si="16"/>
        <v>1.67808</v>
      </c>
      <c r="H133" s="20">
        <f t="shared" si="17"/>
        <v>1.9930000000000001</v>
      </c>
      <c r="I133" s="20">
        <f t="shared" si="18"/>
        <v>1.6779999999999999</v>
      </c>
      <c r="J133" s="75">
        <f t="shared" si="19"/>
        <v>1.1359999999999999</v>
      </c>
      <c r="K133" s="780"/>
      <c r="L133" s="20"/>
      <c r="M133" s="20"/>
      <c r="N133" s="20"/>
      <c r="O133" s="20"/>
      <c r="P133" s="20"/>
      <c r="Q133" s="23"/>
      <c r="R133" s="22" t="s">
        <v>16</v>
      </c>
      <c r="S133" s="22" t="s">
        <v>16</v>
      </c>
      <c r="T133" s="20" t="e">
        <f t="shared" si="20"/>
        <v>#REF!</v>
      </c>
      <c r="U133" s="22" t="e">
        <f>#REF!</f>
        <v>#REF!</v>
      </c>
      <c r="V133" s="20"/>
    </row>
    <row r="134" spans="1:22" s="306" customFormat="1" ht="12.75" customHeight="1">
      <c r="A134" s="305" t="s">
        <v>2091</v>
      </c>
      <c r="B134" s="2" t="s">
        <v>22</v>
      </c>
      <c r="C134" s="2">
        <v>230</v>
      </c>
      <c r="D134" s="2">
        <v>114</v>
      </c>
      <c r="E134" s="2">
        <v>88</v>
      </c>
      <c r="F134" s="2">
        <v>64</v>
      </c>
      <c r="G134" s="21">
        <f t="shared" ref="G134:G197" si="21">IF(B134="","",AVERAGE(E134:F134)*D134*C134/10^6)</f>
        <v>1.99272</v>
      </c>
      <c r="H134" s="20">
        <f t="shared" si="17"/>
        <v>2.3069999999999999</v>
      </c>
      <c r="I134" s="20">
        <f t="shared" si="18"/>
        <v>1.9930000000000001</v>
      </c>
      <c r="J134" s="75">
        <f t="shared" si="19"/>
        <v>1.4870000000000001</v>
      </c>
      <c r="K134" s="780"/>
      <c r="L134" s="20"/>
      <c r="M134" s="20"/>
      <c r="N134" s="20"/>
      <c r="O134" s="20"/>
      <c r="P134" s="20"/>
      <c r="Q134" s="23"/>
      <c r="R134" s="22" t="s">
        <v>16</v>
      </c>
      <c r="S134" s="22" t="s">
        <v>16</v>
      </c>
      <c r="T134" s="20" t="e">
        <f t="shared" si="20"/>
        <v>#REF!</v>
      </c>
      <c r="U134" s="22" t="e">
        <f>#REF!</f>
        <v>#REF!</v>
      </c>
      <c r="V134" s="20"/>
    </row>
    <row r="135" spans="1:22" s="306" customFormat="1" ht="12.75" customHeight="1">
      <c r="A135" s="305" t="s">
        <v>588</v>
      </c>
      <c r="B135" s="2" t="s">
        <v>22</v>
      </c>
      <c r="C135" s="2">
        <v>230</v>
      </c>
      <c r="D135" s="2">
        <v>114</v>
      </c>
      <c r="E135" s="2">
        <v>77</v>
      </c>
      <c r="F135" s="2">
        <v>51</v>
      </c>
      <c r="G135" s="21">
        <f t="shared" si="21"/>
        <v>1.67808</v>
      </c>
      <c r="H135" s="20">
        <f t="shared" si="17"/>
        <v>2.0190000000000001</v>
      </c>
      <c r="I135" s="20">
        <f t="shared" si="18"/>
        <v>1.6779999999999999</v>
      </c>
      <c r="J135" s="75">
        <f t="shared" si="19"/>
        <v>1.1200000000000001</v>
      </c>
      <c r="K135" s="780"/>
      <c r="L135" s="20"/>
      <c r="M135" s="20"/>
      <c r="N135" s="20"/>
      <c r="O135" s="20"/>
      <c r="P135" s="20"/>
      <c r="Q135" s="23"/>
      <c r="R135" s="22" t="s">
        <v>16</v>
      </c>
      <c r="S135" s="22" t="s">
        <v>16</v>
      </c>
      <c r="T135" s="20" t="e">
        <f t="shared" si="20"/>
        <v>#REF!</v>
      </c>
      <c r="U135" s="22" t="e">
        <f>#REF!</f>
        <v>#REF!</v>
      </c>
      <c r="V135" s="20"/>
    </row>
    <row r="136" spans="1:22" s="306" customFormat="1" ht="12.75" customHeight="1">
      <c r="A136" s="305" t="s">
        <v>589</v>
      </c>
      <c r="B136" s="2" t="s">
        <v>22</v>
      </c>
      <c r="C136" s="2">
        <v>230</v>
      </c>
      <c r="D136" s="2">
        <v>114</v>
      </c>
      <c r="E136" s="2">
        <v>89</v>
      </c>
      <c r="F136" s="2">
        <v>39</v>
      </c>
      <c r="G136" s="21">
        <f t="shared" si="21"/>
        <v>1.67808</v>
      </c>
      <c r="H136" s="20">
        <f t="shared" si="17"/>
        <v>2.3340000000000001</v>
      </c>
      <c r="I136" s="20">
        <f t="shared" si="18"/>
        <v>1.6779999999999999</v>
      </c>
      <c r="J136" s="75">
        <f t="shared" si="19"/>
        <v>0.91</v>
      </c>
      <c r="K136" s="780"/>
      <c r="L136" s="20"/>
      <c r="M136" s="20"/>
      <c r="N136" s="20"/>
      <c r="O136" s="20"/>
      <c r="P136" s="20"/>
      <c r="Q136" s="23"/>
      <c r="R136" s="22" t="s">
        <v>16</v>
      </c>
      <c r="S136" s="22" t="s">
        <v>16</v>
      </c>
      <c r="T136" s="20" t="e">
        <f t="shared" si="20"/>
        <v>#REF!</v>
      </c>
      <c r="U136" s="22" t="e">
        <f>#REF!</f>
        <v>#REF!</v>
      </c>
      <c r="V136" s="20"/>
    </row>
    <row r="137" spans="1:22" s="306" customFormat="1" ht="12.75" customHeight="1">
      <c r="A137" s="305" t="s">
        <v>2092</v>
      </c>
      <c r="B137" s="2" t="s">
        <v>22</v>
      </c>
      <c r="C137" s="2">
        <v>230</v>
      </c>
      <c r="D137" s="2">
        <v>114</v>
      </c>
      <c r="E137" s="2">
        <v>101</v>
      </c>
      <c r="F137" s="2">
        <v>51</v>
      </c>
      <c r="G137" s="21">
        <f t="shared" si="21"/>
        <v>1.99272</v>
      </c>
      <c r="H137" s="20">
        <f t="shared" si="17"/>
        <v>2.6480000000000001</v>
      </c>
      <c r="I137" s="20">
        <f t="shared" si="18"/>
        <v>1.9930000000000001</v>
      </c>
      <c r="J137" s="75">
        <f t="shared" si="19"/>
        <v>1.2609999999999999</v>
      </c>
      <c r="K137" s="780"/>
      <c r="L137" s="20"/>
      <c r="M137" s="20"/>
      <c r="N137" s="20"/>
      <c r="O137" s="20"/>
      <c r="P137" s="20"/>
      <c r="Q137" s="23"/>
      <c r="R137" s="22" t="s">
        <v>16</v>
      </c>
      <c r="S137" s="22" t="s">
        <v>16</v>
      </c>
      <c r="T137" s="20" t="e">
        <f t="shared" si="20"/>
        <v>#REF!</v>
      </c>
      <c r="U137" s="22" t="e">
        <f>#REF!</f>
        <v>#REF!</v>
      </c>
      <c r="V137" s="20"/>
    </row>
    <row r="138" spans="1:22" s="306" customFormat="1">
      <c r="A138" s="305" t="s">
        <v>428</v>
      </c>
      <c r="B138" s="2" t="s">
        <v>22</v>
      </c>
      <c r="C138" s="2">
        <v>345</v>
      </c>
      <c r="D138" s="2">
        <v>114</v>
      </c>
      <c r="E138" s="2">
        <v>67</v>
      </c>
      <c r="F138" s="2">
        <v>61</v>
      </c>
      <c r="G138" s="21">
        <f t="shared" si="21"/>
        <v>2.5171199999999998</v>
      </c>
      <c r="H138" s="20">
        <f t="shared" si="17"/>
        <v>2.6349999999999998</v>
      </c>
      <c r="I138" s="20">
        <f t="shared" si="18"/>
        <v>2.5169999999999999</v>
      </c>
      <c r="J138" s="75">
        <f t="shared" si="19"/>
        <v>1.905</v>
      </c>
      <c r="K138" s="780"/>
      <c r="L138" s="20"/>
      <c r="M138" s="20"/>
      <c r="N138" s="20"/>
      <c r="O138" s="20"/>
      <c r="P138" s="20"/>
      <c r="Q138" s="23"/>
      <c r="R138" s="22">
        <f t="shared" ref="R138:R147" si="22">D138</f>
        <v>114</v>
      </c>
      <c r="S138" s="20"/>
      <c r="T138" s="20">
        <f t="shared" si="20"/>
        <v>7820.2956465852376</v>
      </c>
      <c r="U138" s="22">
        <v>1</v>
      </c>
      <c r="V138" s="20"/>
    </row>
    <row r="139" spans="1:22" s="306" customFormat="1">
      <c r="A139" s="305" t="s">
        <v>2093</v>
      </c>
      <c r="B139" s="2" t="s">
        <v>22</v>
      </c>
      <c r="C139" s="2">
        <v>345</v>
      </c>
      <c r="D139" s="2">
        <v>114</v>
      </c>
      <c r="E139" s="2">
        <v>79</v>
      </c>
      <c r="F139" s="2">
        <v>73</v>
      </c>
      <c r="G139" s="21">
        <f t="shared" si="21"/>
        <v>2.98908</v>
      </c>
      <c r="H139" s="20">
        <f t="shared" si="17"/>
        <v>3.1070000000000002</v>
      </c>
      <c r="I139" s="20">
        <f t="shared" si="18"/>
        <v>2.9889999999999999</v>
      </c>
      <c r="J139" s="75">
        <f t="shared" si="19"/>
        <v>2.4300000000000002</v>
      </c>
      <c r="K139" s="780"/>
      <c r="L139" s="20"/>
      <c r="M139" s="20"/>
      <c r="N139" s="20"/>
      <c r="O139" s="20"/>
      <c r="P139" s="20"/>
      <c r="Q139" s="23"/>
      <c r="R139" s="22">
        <f t="shared" si="22"/>
        <v>114</v>
      </c>
      <c r="S139" s="20"/>
      <c r="T139" s="20">
        <f t="shared" si="20"/>
        <v>9200.3478195120442</v>
      </c>
      <c r="U139" s="22">
        <v>1</v>
      </c>
      <c r="V139" s="20"/>
    </row>
    <row r="140" spans="1:22" s="306" customFormat="1">
      <c r="A140" s="305" t="s">
        <v>2094</v>
      </c>
      <c r="B140" s="2" t="s">
        <v>22</v>
      </c>
      <c r="C140" s="2">
        <v>345</v>
      </c>
      <c r="D140" s="2">
        <v>114</v>
      </c>
      <c r="E140" s="2">
        <v>69</v>
      </c>
      <c r="F140" s="2">
        <v>59</v>
      </c>
      <c r="G140" s="21">
        <f t="shared" si="21"/>
        <v>2.5171199999999998</v>
      </c>
      <c r="H140" s="20">
        <f t="shared" si="17"/>
        <v>2.714</v>
      </c>
      <c r="I140" s="20">
        <f t="shared" si="18"/>
        <v>2.5169999999999999</v>
      </c>
      <c r="J140" s="75">
        <f t="shared" si="19"/>
        <v>1.8620000000000001</v>
      </c>
      <c r="K140" s="780"/>
      <c r="L140" s="20"/>
      <c r="M140" s="20"/>
      <c r="N140" s="20"/>
      <c r="O140" s="20"/>
      <c r="P140" s="20"/>
      <c r="Q140" s="23"/>
      <c r="R140" s="22">
        <f t="shared" si="22"/>
        <v>114</v>
      </c>
      <c r="S140" s="20"/>
      <c r="T140" s="20">
        <f t="shared" si="20"/>
        <v>4830.5072197441132</v>
      </c>
      <c r="U140" s="22">
        <v>1</v>
      </c>
      <c r="V140" s="20"/>
    </row>
    <row r="141" spans="1:22" s="306" customFormat="1">
      <c r="A141" s="305" t="s">
        <v>2095</v>
      </c>
      <c r="B141" s="2" t="s">
        <v>22</v>
      </c>
      <c r="C141" s="2">
        <v>345</v>
      </c>
      <c r="D141" s="2">
        <v>114</v>
      </c>
      <c r="E141" s="2">
        <v>81</v>
      </c>
      <c r="F141" s="2">
        <v>71</v>
      </c>
      <c r="G141" s="21">
        <f t="shared" si="21"/>
        <v>2.98908</v>
      </c>
      <c r="H141" s="20">
        <f t="shared" si="17"/>
        <v>3.1859999999999999</v>
      </c>
      <c r="I141" s="20">
        <f t="shared" si="18"/>
        <v>2.9889999999999999</v>
      </c>
      <c r="J141" s="75">
        <f t="shared" si="19"/>
        <v>2.3879999999999999</v>
      </c>
      <c r="K141" s="780"/>
      <c r="L141" s="20"/>
      <c r="M141" s="20"/>
      <c r="N141" s="20"/>
      <c r="O141" s="20"/>
      <c r="P141" s="20"/>
      <c r="Q141" s="23"/>
      <c r="R141" s="22">
        <f t="shared" si="22"/>
        <v>114</v>
      </c>
      <c r="S141" s="20"/>
      <c r="T141" s="20">
        <f t="shared" si="20"/>
        <v>5658.594171700247</v>
      </c>
      <c r="U141" s="22">
        <v>1</v>
      </c>
      <c r="V141" s="20"/>
    </row>
    <row r="142" spans="1:22" s="306" customFormat="1">
      <c r="A142" s="305" t="s">
        <v>2096</v>
      </c>
      <c r="B142" s="2" t="s">
        <v>22</v>
      </c>
      <c r="C142" s="2">
        <v>345</v>
      </c>
      <c r="D142" s="2">
        <v>114</v>
      </c>
      <c r="E142" s="2">
        <v>72</v>
      </c>
      <c r="F142" s="2">
        <v>56</v>
      </c>
      <c r="G142" s="21">
        <f t="shared" si="21"/>
        <v>2.5171199999999998</v>
      </c>
      <c r="H142" s="20">
        <f t="shared" si="17"/>
        <v>2.8319999999999999</v>
      </c>
      <c r="I142" s="20">
        <f t="shared" si="18"/>
        <v>2.5169999999999999</v>
      </c>
      <c r="J142" s="75">
        <f t="shared" si="19"/>
        <v>1.7969999999999999</v>
      </c>
      <c r="K142" s="780"/>
      <c r="L142" s="20"/>
      <c r="M142" s="20"/>
      <c r="N142" s="20"/>
      <c r="O142" s="20"/>
      <c r="P142" s="20"/>
      <c r="Q142" s="23"/>
      <c r="R142" s="22">
        <f t="shared" si="22"/>
        <v>114</v>
      </c>
      <c r="S142" s="20"/>
      <c r="T142" s="20">
        <f t="shared" si="20"/>
        <v>3148.9712630675117</v>
      </c>
      <c r="U142" s="22">
        <v>1</v>
      </c>
      <c r="V142" s="20"/>
    </row>
    <row r="143" spans="1:22" s="306" customFormat="1">
      <c r="A143" s="305" t="s">
        <v>2097</v>
      </c>
      <c r="B143" s="2" t="s">
        <v>22</v>
      </c>
      <c r="C143" s="2">
        <v>345</v>
      </c>
      <c r="D143" s="2">
        <v>114</v>
      </c>
      <c r="E143" s="2">
        <v>84</v>
      </c>
      <c r="F143" s="2">
        <v>68</v>
      </c>
      <c r="G143" s="21">
        <f t="shared" si="21"/>
        <v>2.98908</v>
      </c>
      <c r="H143" s="20">
        <f t="shared" si="17"/>
        <v>3.3039999999999998</v>
      </c>
      <c r="I143" s="20">
        <f t="shared" si="18"/>
        <v>2.9889999999999999</v>
      </c>
      <c r="J143" s="75">
        <f t="shared" si="19"/>
        <v>2.323</v>
      </c>
      <c r="K143" s="780"/>
      <c r="L143" s="20"/>
      <c r="M143" s="20"/>
      <c r="N143" s="20"/>
      <c r="O143" s="20"/>
      <c r="P143" s="20"/>
      <c r="Q143" s="23"/>
      <c r="R143" s="22">
        <f t="shared" si="22"/>
        <v>114</v>
      </c>
      <c r="S143" s="20"/>
      <c r="T143" s="20">
        <f t="shared" si="20"/>
        <v>3666.6103748046366</v>
      </c>
      <c r="U143" s="22">
        <v>1</v>
      </c>
      <c r="V143" s="20"/>
    </row>
    <row r="144" spans="1:22" s="306" customFormat="1">
      <c r="A144" s="305" t="s">
        <v>2098</v>
      </c>
      <c r="B144" s="2" t="s">
        <v>22</v>
      </c>
      <c r="C144" s="2">
        <v>345</v>
      </c>
      <c r="D144" s="2">
        <v>114</v>
      </c>
      <c r="E144" s="2">
        <v>76</v>
      </c>
      <c r="F144" s="2">
        <v>52</v>
      </c>
      <c r="G144" s="21">
        <f t="shared" si="21"/>
        <v>2.5171199999999998</v>
      </c>
      <c r="H144" s="20">
        <f t="shared" si="17"/>
        <v>2.9889999999999999</v>
      </c>
      <c r="I144" s="20">
        <f t="shared" si="18"/>
        <v>2.5169999999999999</v>
      </c>
      <c r="J144" s="75">
        <f t="shared" si="19"/>
        <v>1.704</v>
      </c>
      <c r="K144" s="780"/>
      <c r="L144" s="20"/>
      <c r="M144" s="20"/>
      <c r="N144" s="20"/>
      <c r="O144" s="20"/>
      <c r="P144" s="20"/>
      <c r="Q144" s="23"/>
      <c r="R144" s="22">
        <f t="shared" si="22"/>
        <v>114</v>
      </c>
      <c r="S144" s="20"/>
      <c r="T144" s="20">
        <f t="shared" si="20"/>
        <v>2215.0887256496071</v>
      </c>
      <c r="U144" s="22">
        <v>1</v>
      </c>
      <c r="V144" s="20"/>
    </row>
    <row r="145" spans="1:22" s="306" customFormat="1">
      <c r="A145" s="305" t="s">
        <v>2099</v>
      </c>
      <c r="B145" s="2" t="s">
        <v>22</v>
      </c>
      <c r="C145" s="2">
        <v>345</v>
      </c>
      <c r="D145" s="2">
        <v>114</v>
      </c>
      <c r="E145" s="2">
        <v>88</v>
      </c>
      <c r="F145" s="2">
        <v>64</v>
      </c>
      <c r="G145" s="21">
        <f t="shared" si="21"/>
        <v>2.98908</v>
      </c>
      <c r="H145" s="20">
        <f t="shared" si="17"/>
        <v>3.4609999999999999</v>
      </c>
      <c r="I145" s="20">
        <f t="shared" si="18"/>
        <v>2.9889999999999999</v>
      </c>
      <c r="J145" s="75">
        <f t="shared" si="19"/>
        <v>2.23</v>
      </c>
      <c r="K145" s="780"/>
      <c r="L145" s="20"/>
      <c r="M145" s="20"/>
      <c r="N145" s="20"/>
      <c r="O145" s="20"/>
      <c r="P145" s="20"/>
      <c r="Q145" s="23"/>
      <c r="R145" s="22">
        <f t="shared" si="22"/>
        <v>114</v>
      </c>
      <c r="S145" s="20"/>
      <c r="T145" s="20">
        <f t="shared" si="20"/>
        <v>2560.2973582183772</v>
      </c>
      <c r="U145" s="22">
        <v>1</v>
      </c>
      <c r="V145" s="20"/>
    </row>
    <row r="146" spans="1:22" s="306" customFormat="1">
      <c r="A146" s="305" t="s">
        <v>2100</v>
      </c>
      <c r="B146" s="2" t="s">
        <v>22</v>
      </c>
      <c r="C146" s="2">
        <v>345</v>
      </c>
      <c r="D146" s="2">
        <v>114</v>
      </c>
      <c r="E146" s="2">
        <v>89</v>
      </c>
      <c r="F146" s="2">
        <v>39</v>
      </c>
      <c r="G146" s="21">
        <f t="shared" si="21"/>
        <v>2.5171199999999998</v>
      </c>
      <c r="H146" s="20">
        <f t="shared" si="17"/>
        <v>3.5</v>
      </c>
      <c r="I146" s="20">
        <f t="shared" si="18"/>
        <v>2.5169999999999999</v>
      </c>
      <c r="J146" s="75">
        <f t="shared" si="19"/>
        <v>1.3660000000000001</v>
      </c>
      <c r="K146" s="780"/>
      <c r="L146" s="20"/>
      <c r="M146" s="20"/>
      <c r="N146" s="20"/>
      <c r="O146" s="20"/>
      <c r="P146" s="20"/>
      <c r="Q146" s="23"/>
      <c r="R146" s="22">
        <f t="shared" si="22"/>
        <v>114</v>
      </c>
      <c r="S146" s="20"/>
      <c r="T146" s="20">
        <f t="shared" si="20"/>
        <v>1245.2566000628144</v>
      </c>
      <c r="U146" s="22">
        <v>1</v>
      </c>
      <c r="V146" s="20"/>
    </row>
    <row r="147" spans="1:22" s="306" customFormat="1">
      <c r="A147" s="305" t="s">
        <v>2101</v>
      </c>
      <c r="B147" s="2" t="s">
        <v>22</v>
      </c>
      <c r="C147" s="2">
        <v>345</v>
      </c>
      <c r="D147" s="2">
        <v>114</v>
      </c>
      <c r="E147" s="2">
        <v>101</v>
      </c>
      <c r="F147" s="2">
        <v>51</v>
      </c>
      <c r="G147" s="21">
        <f t="shared" si="21"/>
        <v>2.98908</v>
      </c>
      <c r="H147" s="20">
        <f t="shared" si="17"/>
        <v>3.972</v>
      </c>
      <c r="I147" s="20">
        <f t="shared" si="18"/>
        <v>2.9889999999999999</v>
      </c>
      <c r="J147" s="75">
        <f t="shared" si="19"/>
        <v>1.891</v>
      </c>
      <c r="K147" s="780"/>
      <c r="L147" s="20"/>
      <c r="M147" s="20"/>
      <c r="N147" s="20"/>
      <c r="O147" s="20"/>
      <c r="P147" s="20"/>
      <c r="Q147" s="23"/>
      <c r="R147" s="22">
        <f t="shared" si="22"/>
        <v>114</v>
      </c>
      <c r="S147" s="20"/>
      <c r="T147" s="20">
        <f t="shared" si="20"/>
        <v>1411.2908134045229</v>
      </c>
      <c r="U147" s="22">
        <v>1</v>
      </c>
      <c r="V147" s="20"/>
    </row>
    <row r="148" spans="1:22" s="306" customFormat="1" ht="12.75" customHeight="1">
      <c r="A148" s="305" t="s">
        <v>590</v>
      </c>
      <c r="B148" s="2" t="s">
        <v>22</v>
      </c>
      <c r="C148" s="2">
        <v>250</v>
      </c>
      <c r="D148" s="2">
        <v>124</v>
      </c>
      <c r="E148" s="2">
        <v>66</v>
      </c>
      <c r="F148" s="2">
        <v>62</v>
      </c>
      <c r="G148" s="21">
        <f t="shared" si="21"/>
        <v>1.984</v>
      </c>
      <c r="H148" s="20">
        <f t="shared" si="17"/>
        <v>2.0459999999999998</v>
      </c>
      <c r="I148" s="20">
        <f t="shared" si="18"/>
        <v>1.984</v>
      </c>
      <c r="J148" s="75">
        <f t="shared" si="19"/>
        <v>1.4730000000000001</v>
      </c>
      <c r="K148" s="780"/>
      <c r="L148" s="20"/>
      <c r="M148" s="20"/>
      <c r="N148" s="20"/>
      <c r="O148" s="20"/>
      <c r="P148" s="20"/>
      <c r="Q148" s="23"/>
      <c r="R148" s="22" t="s">
        <v>16</v>
      </c>
      <c r="S148" s="22" t="s">
        <v>16</v>
      </c>
      <c r="T148" s="20" t="e">
        <f t="shared" si="20"/>
        <v>#REF!</v>
      </c>
      <c r="U148" s="22" t="e">
        <f>#REF!</f>
        <v>#REF!</v>
      </c>
      <c r="V148" s="20"/>
    </row>
    <row r="149" spans="1:22" s="306" customFormat="1">
      <c r="A149" s="305" t="s">
        <v>381</v>
      </c>
      <c r="B149" s="2" t="s">
        <v>22</v>
      </c>
      <c r="C149" s="2">
        <v>250</v>
      </c>
      <c r="D149" s="2">
        <v>124</v>
      </c>
      <c r="E149" s="2">
        <v>67</v>
      </c>
      <c r="F149" s="2">
        <v>61</v>
      </c>
      <c r="G149" s="21">
        <f t="shared" si="21"/>
        <v>1.984</v>
      </c>
      <c r="H149" s="20">
        <f t="shared" si="17"/>
        <v>2.077</v>
      </c>
      <c r="I149" s="20">
        <f t="shared" si="18"/>
        <v>1.984</v>
      </c>
      <c r="J149" s="75">
        <f t="shared" si="19"/>
        <v>1.456</v>
      </c>
      <c r="K149" s="780"/>
      <c r="L149" s="20"/>
      <c r="M149" s="20"/>
      <c r="N149" s="20"/>
      <c r="O149" s="20"/>
      <c r="P149" s="20"/>
      <c r="Q149" s="23"/>
      <c r="R149" s="22" t="s">
        <v>16</v>
      </c>
      <c r="S149" s="22" t="s">
        <v>16</v>
      </c>
      <c r="T149" s="20" t="e">
        <f t="shared" si="20"/>
        <v>#REF!</v>
      </c>
      <c r="U149" s="22" t="e">
        <f>#REF!</f>
        <v>#REF!</v>
      </c>
      <c r="V149" s="20"/>
    </row>
    <row r="150" spans="1:22" s="306" customFormat="1">
      <c r="A150" s="305" t="s">
        <v>2102</v>
      </c>
      <c r="B150" s="2" t="s">
        <v>22</v>
      </c>
      <c r="C150" s="2">
        <v>250</v>
      </c>
      <c r="D150" s="2">
        <v>124</v>
      </c>
      <c r="E150" s="2">
        <v>79</v>
      </c>
      <c r="F150" s="2">
        <v>73</v>
      </c>
      <c r="G150" s="21">
        <f t="shared" si="21"/>
        <v>2.3559999999999999</v>
      </c>
      <c r="H150" s="20">
        <f t="shared" si="17"/>
        <v>2.4489999999999998</v>
      </c>
      <c r="I150" s="20">
        <f t="shared" si="18"/>
        <v>2.3559999999999999</v>
      </c>
      <c r="J150" s="75">
        <f t="shared" si="19"/>
        <v>1.8520000000000001</v>
      </c>
      <c r="K150" s="780"/>
      <c r="L150" s="20"/>
      <c r="M150" s="20"/>
      <c r="N150" s="20"/>
      <c r="O150" s="20"/>
      <c r="P150" s="20"/>
      <c r="Q150" s="23"/>
      <c r="R150" s="22" t="s">
        <v>16</v>
      </c>
      <c r="S150" s="22" t="s">
        <v>16</v>
      </c>
      <c r="T150" s="20" t="e">
        <f t="shared" si="20"/>
        <v>#REF!</v>
      </c>
      <c r="U150" s="22" t="e">
        <f>#REF!</f>
        <v>#REF!</v>
      </c>
      <c r="V150" s="20"/>
    </row>
    <row r="151" spans="1:22" s="306" customFormat="1">
      <c r="A151" s="305" t="s">
        <v>382</v>
      </c>
      <c r="B151" s="2" t="s">
        <v>22</v>
      </c>
      <c r="C151" s="2">
        <v>250</v>
      </c>
      <c r="D151" s="2">
        <v>124</v>
      </c>
      <c r="E151" s="2">
        <v>69</v>
      </c>
      <c r="F151" s="2">
        <v>59</v>
      </c>
      <c r="G151" s="21">
        <f t="shared" si="21"/>
        <v>1.984</v>
      </c>
      <c r="H151" s="20">
        <f t="shared" si="17"/>
        <v>2.1389999999999998</v>
      </c>
      <c r="I151" s="20">
        <f t="shared" si="18"/>
        <v>1.984</v>
      </c>
      <c r="J151" s="75">
        <f t="shared" si="19"/>
        <v>1.423</v>
      </c>
      <c r="K151" s="780"/>
      <c r="L151" s="20"/>
      <c r="M151" s="20"/>
      <c r="N151" s="20"/>
      <c r="O151" s="20"/>
      <c r="P151" s="20"/>
      <c r="Q151" s="23"/>
      <c r="R151" s="22" t="s">
        <v>16</v>
      </c>
      <c r="S151" s="22" t="s">
        <v>16</v>
      </c>
      <c r="T151" s="20" t="e">
        <f t="shared" si="20"/>
        <v>#REF!</v>
      </c>
      <c r="U151" s="22" t="e">
        <f>#REF!</f>
        <v>#REF!</v>
      </c>
      <c r="V151" s="20"/>
    </row>
    <row r="152" spans="1:22" s="306" customFormat="1">
      <c r="A152" s="305" t="s">
        <v>2103</v>
      </c>
      <c r="B152" s="2" t="s">
        <v>22</v>
      </c>
      <c r="C152" s="2">
        <v>250</v>
      </c>
      <c r="D152" s="2">
        <v>124</v>
      </c>
      <c r="E152" s="2">
        <v>81</v>
      </c>
      <c r="F152" s="2">
        <v>71</v>
      </c>
      <c r="G152" s="21">
        <f t="shared" si="21"/>
        <v>2.3559999999999999</v>
      </c>
      <c r="H152" s="20">
        <f t="shared" si="17"/>
        <v>2.5110000000000001</v>
      </c>
      <c r="I152" s="20">
        <f t="shared" si="18"/>
        <v>2.3559999999999999</v>
      </c>
      <c r="J152" s="75">
        <f t="shared" si="19"/>
        <v>1.819</v>
      </c>
      <c r="K152" s="780"/>
      <c r="L152" s="20"/>
      <c r="M152" s="20"/>
      <c r="N152" s="20"/>
      <c r="O152" s="20"/>
      <c r="P152" s="20"/>
      <c r="Q152" s="23"/>
      <c r="R152" s="22" t="s">
        <v>16</v>
      </c>
      <c r="S152" s="22" t="s">
        <v>16</v>
      </c>
      <c r="T152" s="20" t="e">
        <f t="shared" si="20"/>
        <v>#REF!</v>
      </c>
      <c r="U152" s="22" t="e">
        <f>#REF!</f>
        <v>#REF!</v>
      </c>
      <c r="V152" s="20"/>
    </row>
    <row r="153" spans="1:22" s="306" customFormat="1">
      <c r="A153" s="305" t="s">
        <v>383</v>
      </c>
      <c r="B153" s="2" t="s">
        <v>22</v>
      </c>
      <c r="C153" s="2">
        <v>250</v>
      </c>
      <c r="D153" s="2">
        <v>124</v>
      </c>
      <c r="E153" s="2">
        <v>72</v>
      </c>
      <c r="F153" s="2">
        <v>56</v>
      </c>
      <c r="G153" s="21">
        <f t="shared" si="21"/>
        <v>1.984</v>
      </c>
      <c r="H153" s="20">
        <f t="shared" si="17"/>
        <v>2.2320000000000002</v>
      </c>
      <c r="I153" s="20">
        <f t="shared" si="18"/>
        <v>1.984</v>
      </c>
      <c r="J153" s="75">
        <f t="shared" si="19"/>
        <v>1.3720000000000001</v>
      </c>
      <c r="K153" s="780"/>
      <c r="L153" s="20"/>
      <c r="M153" s="20"/>
      <c r="N153" s="20"/>
      <c r="O153" s="20"/>
      <c r="P153" s="20"/>
      <c r="Q153" s="23"/>
      <c r="R153" s="22" t="s">
        <v>16</v>
      </c>
      <c r="S153" s="22" t="s">
        <v>16</v>
      </c>
      <c r="T153" s="20" t="e">
        <f t="shared" si="20"/>
        <v>#REF!</v>
      </c>
      <c r="U153" s="22" t="e">
        <f>#REF!</f>
        <v>#REF!</v>
      </c>
      <c r="V153" s="20"/>
    </row>
    <row r="154" spans="1:22" s="306" customFormat="1">
      <c r="A154" s="305" t="s">
        <v>2104</v>
      </c>
      <c r="B154" s="2" t="s">
        <v>22</v>
      </c>
      <c r="C154" s="2">
        <v>250</v>
      </c>
      <c r="D154" s="2">
        <v>124</v>
      </c>
      <c r="E154" s="2">
        <v>84</v>
      </c>
      <c r="F154" s="2">
        <v>68</v>
      </c>
      <c r="G154" s="21">
        <f t="shared" si="21"/>
        <v>2.3559999999999999</v>
      </c>
      <c r="H154" s="20">
        <f t="shared" si="17"/>
        <v>2.6040000000000001</v>
      </c>
      <c r="I154" s="20">
        <f t="shared" si="18"/>
        <v>2.3559999999999999</v>
      </c>
      <c r="J154" s="75">
        <f t="shared" si="19"/>
        <v>1.768</v>
      </c>
      <c r="K154" s="780"/>
      <c r="L154" s="20"/>
      <c r="M154" s="20"/>
      <c r="N154" s="20"/>
      <c r="O154" s="20"/>
      <c r="P154" s="20"/>
      <c r="Q154" s="23"/>
      <c r="R154" s="22" t="s">
        <v>16</v>
      </c>
      <c r="S154" s="22" t="s">
        <v>16</v>
      </c>
      <c r="T154" s="20" t="e">
        <f t="shared" si="20"/>
        <v>#REF!</v>
      </c>
      <c r="U154" s="22" t="e">
        <f>#REF!</f>
        <v>#REF!</v>
      </c>
      <c r="V154" s="20"/>
    </row>
    <row r="155" spans="1:22" s="306" customFormat="1">
      <c r="A155" s="305" t="s">
        <v>384</v>
      </c>
      <c r="B155" s="2" t="s">
        <v>22</v>
      </c>
      <c r="C155" s="2">
        <v>250</v>
      </c>
      <c r="D155" s="2">
        <v>124</v>
      </c>
      <c r="E155" s="2">
        <v>76</v>
      </c>
      <c r="F155" s="2">
        <v>52</v>
      </c>
      <c r="G155" s="21">
        <f t="shared" si="21"/>
        <v>1.984</v>
      </c>
      <c r="H155" s="20">
        <f t="shared" si="17"/>
        <v>2.3559999999999999</v>
      </c>
      <c r="I155" s="20">
        <f t="shared" si="18"/>
        <v>1.984</v>
      </c>
      <c r="J155" s="75">
        <f t="shared" si="19"/>
        <v>1.3</v>
      </c>
      <c r="K155" s="780"/>
      <c r="L155" s="20"/>
      <c r="M155" s="20"/>
      <c r="N155" s="20"/>
      <c r="O155" s="20"/>
      <c r="P155" s="20"/>
      <c r="Q155" s="23"/>
      <c r="R155" s="22" t="s">
        <v>16</v>
      </c>
      <c r="S155" s="22" t="s">
        <v>16</v>
      </c>
      <c r="T155" s="20" t="e">
        <f t="shared" si="20"/>
        <v>#REF!</v>
      </c>
      <c r="U155" s="22" t="e">
        <f>#REF!</f>
        <v>#REF!</v>
      </c>
      <c r="V155" s="20"/>
    </row>
    <row r="156" spans="1:22" s="306" customFormat="1">
      <c r="A156" s="305" t="s">
        <v>2105</v>
      </c>
      <c r="B156" s="2" t="s">
        <v>22</v>
      </c>
      <c r="C156" s="2">
        <v>250</v>
      </c>
      <c r="D156" s="2">
        <v>124</v>
      </c>
      <c r="E156" s="2">
        <v>88</v>
      </c>
      <c r="F156" s="2">
        <v>64</v>
      </c>
      <c r="G156" s="21">
        <f t="shared" si="21"/>
        <v>2.3559999999999999</v>
      </c>
      <c r="H156" s="20">
        <f t="shared" si="17"/>
        <v>2.7280000000000002</v>
      </c>
      <c r="I156" s="20">
        <f t="shared" si="18"/>
        <v>2.3559999999999999</v>
      </c>
      <c r="J156" s="75">
        <f t="shared" si="19"/>
        <v>1.696</v>
      </c>
      <c r="K156" s="780"/>
      <c r="L156" s="20"/>
      <c r="M156" s="20"/>
      <c r="N156" s="20"/>
      <c r="O156" s="20"/>
      <c r="P156" s="20"/>
      <c r="Q156" s="23"/>
      <c r="R156" s="22" t="s">
        <v>16</v>
      </c>
      <c r="S156" s="22" t="s">
        <v>16</v>
      </c>
      <c r="T156" s="20" t="e">
        <f t="shared" si="20"/>
        <v>#REF!</v>
      </c>
      <c r="U156" s="22" t="e">
        <f>#REF!</f>
        <v>#REF!</v>
      </c>
      <c r="V156" s="20"/>
    </row>
    <row r="157" spans="1:22" s="306" customFormat="1">
      <c r="A157" s="305" t="s">
        <v>591</v>
      </c>
      <c r="B157" s="2" t="s">
        <v>22</v>
      </c>
      <c r="C157" s="2">
        <v>250</v>
      </c>
      <c r="D157" s="2">
        <v>124</v>
      </c>
      <c r="E157" s="2">
        <v>77</v>
      </c>
      <c r="F157" s="2">
        <v>51</v>
      </c>
      <c r="G157" s="21">
        <f t="shared" si="21"/>
        <v>1.984</v>
      </c>
      <c r="H157" s="20">
        <f t="shared" si="17"/>
        <v>2.387</v>
      </c>
      <c r="I157" s="20">
        <f t="shared" si="18"/>
        <v>1.984</v>
      </c>
      <c r="J157" s="75">
        <f t="shared" si="19"/>
        <v>1.2809999999999999</v>
      </c>
      <c r="K157" s="780"/>
      <c r="L157" s="20"/>
      <c r="M157" s="20"/>
      <c r="N157" s="20"/>
      <c r="O157" s="20"/>
      <c r="P157" s="20"/>
      <c r="Q157" s="23"/>
      <c r="R157" s="22" t="s">
        <v>16</v>
      </c>
      <c r="S157" s="22" t="s">
        <v>16</v>
      </c>
      <c r="T157" s="20" t="e">
        <f t="shared" si="20"/>
        <v>#REF!</v>
      </c>
      <c r="U157" s="22" t="e">
        <f>#REF!</f>
        <v>#REF!</v>
      </c>
      <c r="V157" s="20"/>
    </row>
    <row r="158" spans="1:22" s="306" customFormat="1">
      <c r="A158" s="305" t="s">
        <v>592</v>
      </c>
      <c r="B158" s="2" t="s">
        <v>22</v>
      </c>
      <c r="C158" s="2">
        <v>250</v>
      </c>
      <c r="D158" s="2">
        <v>124</v>
      </c>
      <c r="E158" s="2">
        <v>83</v>
      </c>
      <c r="F158" s="2">
        <v>45</v>
      </c>
      <c r="G158" s="21">
        <f t="shared" si="21"/>
        <v>1.984</v>
      </c>
      <c r="H158" s="20">
        <f t="shared" si="17"/>
        <v>2.573</v>
      </c>
      <c r="I158" s="20">
        <f t="shared" si="18"/>
        <v>1.984</v>
      </c>
      <c r="J158" s="75">
        <f t="shared" si="19"/>
        <v>1.1639999999999999</v>
      </c>
      <c r="K158" s="780"/>
      <c r="L158" s="20"/>
      <c r="M158" s="20"/>
      <c r="N158" s="20"/>
      <c r="O158" s="20"/>
      <c r="P158" s="20"/>
      <c r="Q158" s="23"/>
      <c r="R158" s="22" t="s">
        <v>16</v>
      </c>
      <c r="S158" s="22" t="s">
        <v>16</v>
      </c>
      <c r="T158" s="20" t="e">
        <f t="shared" si="20"/>
        <v>#REF!</v>
      </c>
      <c r="U158" s="22" t="e">
        <f>#REF!</f>
        <v>#REF!</v>
      </c>
      <c r="V158" s="20"/>
    </row>
    <row r="159" spans="1:22" s="306" customFormat="1">
      <c r="A159" s="305" t="s">
        <v>593</v>
      </c>
      <c r="B159" s="2" t="s">
        <v>22</v>
      </c>
      <c r="C159" s="2">
        <v>250</v>
      </c>
      <c r="D159" s="2">
        <v>124</v>
      </c>
      <c r="E159" s="2">
        <v>89</v>
      </c>
      <c r="F159" s="2">
        <v>39</v>
      </c>
      <c r="G159" s="21">
        <f t="shared" si="21"/>
        <v>1.984</v>
      </c>
      <c r="H159" s="20">
        <f t="shared" si="17"/>
        <v>2.7589999999999999</v>
      </c>
      <c r="I159" s="20">
        <f t="shared" si="18"/>
        <v>1.984</v>
      </c>
      <c r="J159" s="75">
        <f t="shared" si="19"/>
        <v>1.038</v>
      </c>
      <c r="K159" s="780"/>
      <c r="L159" s="20"/>
      <c r="M159" s="20"/>
      <c r="N159" s="20"/>
      <c r="O159" s="20"/>
      <c r="P159" s="20"/>
      <c r="Q159" s="23"/>
      <c r="R159" s="22" t="s">
        <v>16</v>
      </c>
      <c r="S159" s="22" t="s">
        <v>16</v>
      </c>
      <c r="T159" s="20" t="e">
        <f t="shared" si="20"/>
        <v>#REF!</v>
      </c>
      <c r="U159" s="22" t="e">
        <f>#REF!</f>
        <v>#REF!</v>
      </c>
      <c r="V159" s="20"/>
    </row>
    <row r="160" spans="1:22" s="306" customFormat="1">
      <c r="A160" s="305" t="s">
        <v>2106</v>
      </c>
      <c r="B160" s="2" t="s">
        <v>22</v>
      </c>
      <c r="C160" s="2">
        <v>250</v>
      </c>
      <c r="D160" s="2">
        <v>124</v>
      </c>
      <c r="E160" s="2">
        <v>101</v>
      </c>
      <c r="F160" s="2">
        <v>51</v>
      </c>
      <c r="G160" s="21">
        <f t="shared" si="21"/>
        <v>2.3559999999999999</v>
      </c>
      <c r="H160" s="20">
        <f t="shared" si="17"/>
        <v>3.1309999999999998</v>
      </c>
      <c r="I160" s="20">
        <f t="shared" si="18"/>
        <v>2.3559999999999999</v>
      </c>
      <c r="J160" s="75">
        <f t="shared" si="19"/>
        <v>1.4339999999999999</v>
      </c>
      <c r="K160" s="780"/>
      <c r="L160" s="20"/>
      <c r="M160" s="20"/>
      <c r="N160" s="20"/>
      <c r="O160" s="20"/>
      <c r="P160" s="20"/>
      <c r="Q160" s="23"/>
      <c r="R160" s="22" t="s">
        <v>16</v>
      </c>
      <c r="S160" s="22" t="s">
        <v>16</v>
      </c>
      <c r="T160" s="20" t="e">
        <f t="shared" si="20"/>
        <v>#REF!</v>
      </c>
      <c r="U160" s="22" t="e">
        <f>#REF!</f>
        <v>#REF!</v>
      </c>
      <c r="V160" s="20"/>
    </row>
    <row r="161" spans="1:22" s="306" customFormat="1">
      <c r="A161" s="305" t="s">
        <v>594</v>
      </c>
      <c r="B161" s="2" t="s">
        <v>22</v>
      </c>
      <c r="C161" s="2">
        <v>375</v>
      </c>
      <c r="D161" s="2">
        <v>124</v>
      </c>
      <c r="E161" s="2">
        <v>67</v>
      </c>
      <c r="F161" s="2">
        <v>61</v>
      </c>
      <c r="G161" s="21">
        <f t="shared" si="21"/>
        <v>2.976</v>
      </c>
      <c r="H161" s="20">
        <f t="shared" si="17"/>
        <v>3.1160000000000001</v>
      </c>
      <c r="I161" s="20">
        <f t="shared" si="18"/>
        <v>2.976</v>
      </c>
      <c r="J161" s="75">
        <f t="shared" si="19"/>
        <v>2.1850000000000001</v>
      </c>
      <c r="K161" s="780"/>
      <c r="L161" s="20"/>
      <c r="M161" s="20"/>
      <c r="N161" s="20"/>
      <c r="O161" s="20"/>
      <c r="P161" s="20"/>
      <c r="Q161" s="23"/>
      <c r="R161" s="22" t="s">
        <v>16</v>
      </c>
      <c r="S161" s="22" t="s">
        <v>16</v>
      </c>
      <c r="T161" s="20" t="e">
        <f t="shared" si="20"/>
        <v>#REF!</v>
      </c>
      <c r="U161" s="22" t="e">
        <f>#REF!</f>
        <v>#REF!</v>
      </c>
      <c r="V161" s="20"/>
    </row>
    <row r="162" spans="1:22" s="306" customFormat="1">
      <c r="A162" s="305" t="s">
        <v>2107</v>
      </c>
      <c r="B162" s="2" t="s">
        <v>22</v>
      </c>
      <c r="C162" s="2">
        <v>375</v>
      </c>
      <c r="D162" s="2">
        <v>124</v>
      </c>
      <c r="E162" s="2">
        <v>79</v>
      </c>
      <c r="F162" s="2">
        <v>73</v>
      </c>
      <c r="G162" s="21">
        <f t="shared" si="21"/>
        <v>3.5339999999999998</v>
      </c>
      <c r="H162" s="20">
        <f t="shared" si="17"/>
        <v>3.6739999999999999</v>
      </c>
      <c r="I162" s="20">
        <f t="shared" si="18"/>
        <v>3.5339999999999998</v>
      </c>
      <c r="J162" s="75">
        <f t="shared" si="19"/>
        <v>2.7789999999999999</v>
      </c>
      <c r="K162" s="780"/>
      <c r="L162" s="20"/>
      <c r="M162" s="20"/>
      <c r="N162" s="20"/>
      <c r="O162" s="20"/>
      <c r="P162" s="20"/>
      <c r="Q162" s="23"/>
      <c r="R162" s="22" t="s">
        <v>16</v>
      </c>
      <c r="S162" s="22" t="s">
        <v>16</v>
      </c>
      <c r="T162" s="20" t="e">
        <f t="shared" si="20"/>
        <v>#REF!</v>
      </c>
      <c r="U162" s="22" t="e">
        <f>#REF!</f>
        <v>#REF!</v>
      </c>
      <c r="V162" s="20"/>
    </row>
    <row r="163" spans="1:22" s="306" customFormat="1">
      <c r="A163" s="305" t="s">
        <v>386</v>
      </c>
      <c r="B163" s="2" t="s">
        <v>22</v>
      </c>
      <c r="C163" s="2">
        <v>375</v>
      </c>
      <c r="D163" s="2">
        <v>124</v>
      </c>
      <c r="E163" s="2">
        <v>69</v>
      </c>
      <c r="F163" s="2">
        <v>59</v>
      </c>
      <c r="G163" s="21">
        <f t="shared" si="21"/>
        <v>2.976</v>
      </c>
      <c r="H163" s="20">
        <f t="shared" si="17"/>
        <v>3.2090000000000001</v>
      </c>
      <c r="I163" s="20">
        <f t="shared" si="18"/>
        <v>2.976</v>
      </c>
      <c r="J163" s="75">
        <f t="shared" si="19"/>
        <v>2.1349999999999998</v>
      </c>
      <c r="K163" s="780"/>
      <c r="L163" s="20"/>
      <c r="M163" s="20"/>
      <c r="N163" s="20"/>
      <c r="O163" s="20"/>
      <c r="P163" s="20"/>
      <c r="Q163" s="23"/>
      <c r="R163" s="22" t="s">
        <v>16</v>
      </c>
      <c r="S163" s="22" t="s">
        <v>16</v>
      </c>
      <c r="T163" s="20" t="e">
        <f t="shared" si="20"/>
        <v>#REF!</v>
      </c>
      <c r="U163" s="22" t="e">
        <f>#REF!</f>
        <v>#REF!</v>
      </c>
      <c r="V163" s="20"/>
    </row>
    <row r="164" spans="1:22" s="306" customFormat="1">
      <c r="A164" s="305" t="s">
        <v>2108</v>
      </c>
      <c r="B164" s="2" t="s">
        <v>22</v>
      </c>
      <c r="C164" s="2">
        <v>375</v>
      </c>
      <c r="D164" s="2">
        <v>124</v>
      </c>
      <c r="E164" s="2">
        <v>81</v>
      </c>
      <c r="F164" s="2">
        <v>71</v>
      </c>
      <c r="G164" s="21">
        <f t="shared" si="21"/>
        <v>3.5339999999999998</v>
      </c>
      <c r="H164" s="20">
        <f t="shared" si="17"/>
        <v>3.7669999999999999</v>
      </c>
      <c r="I164" s="20">
        <f t="shared" si="18"/>
        <v>3.5339999999999998</v>
      </c>
      <c r="J164" s="75">
        <f t="shared" si="19"/>
        <v>2.7290000000000001</v>
      </c>
      <c r="K164" s="780"/>
      <c r="L164" s="20"/>
      <c r="M164" s="20"/>
      <c r="N164" s="20"/>
      <c r="O164" s="20"/>
      <c r="P164" s="20"/>
      <c r="Q164" s="23"/>
      <c r="R164" s="22" t="s">
        <v>16</v>
      </c>
      <c r="S164" s="22" t="s">
        <v>16</v>
      </c>
      <c r="T164" s="20" t="e">
        <f t="shared" si="20"/>
        <v>#REF!</v>
      </c>
      <c r="U164" s="22" t="e">
        <f>#REF!</f>
        <v>#REF!</v>
      </c>
      <c r="V164" s="20"/>
    </row>
    <row r="165" spans="1:22" s="306" customFormat="1">
      <c r="A165" s="305" t="s">
        <v>387</v>
      </c>
      <c r="B165" s="2" t="s">
        <v>22</v>
      </c>
      <c r="C165" s="2">
        <v>375</v>
      </c>
      <c r="D165" s="2">
        <v>124</v>
      </c>
      <c r="E165" s="2">
        <v>72</v>
      </c>
      <c r="F165" s="2">
        <v>56</v>
      </c>
      <c r="G165" s="21">
        <f t="shared" si="21"/>
        <v>2.976</v>
      </c>
      <c r="H165" s="20">
        <f t="shared" si="17"/>
        <v>3.3479999999999999</v>
      </c>
      <c r="I165" s="20">
        <f t="shared" si="18"/>
        <v>2.976</v>
      </c>
      <c r="J165" s="75">
        <f t="shared" si="19"/>
        <v>2.0579999999999998</v>
      </c>
      <c r="K165" s="780"/>
      <c r="L165" s="20"/>
      <c r="M165" s="20"/>
      <c r="N165" s="20"/>
      <c r="O165" s="20"/>
      <c r="P165" s="20"/>
      <c r="Q165" s="23"/>
      <c r="R165" s="22">
        <f t="shared" ref="R165:R172" si="23">D165</f>
        <v>124</v>
      </c>
      <c r="S165" s="20"/>
      <c r="T165" s="20">
        <f t="shared" si="20"/>
        <v>3422.653578091858</v>
      </c>
      <c r="U165" s="22">
        <v>1</v>
      </c>
      <c r="V165" s="20"/>
    </row>
    <row r="166" spans="1:22" s="306" customFormat="1">
      <c r="A166" s="305" t="s">
        <v>2109</v>
      </c>
      <c r="B166" s="2" t="s">
        <v>22</v>
      </c>
      <c r="C166" s="2">
        <v>375</v>
      </c>
      <c r="D166" s="2">
        <v>124</v>
      </c>
      <c r="E166" s="2">
        <v>84</v>
      </c>
      <c r="F166" s="2">
        <v>68</v>
      </c>
      <c r="G166" s="21">
        <f t="shared" si="21"/>
        <v>3.5339999999999998</v>
      </c>
      <c r="H166" s="20">
        <f t="shared" si="17"/>
        <v>3.9060000000000001</v>
      </c>
      <c r="I166" s="20">
        <f t="shared" si="18"/>
        <v>3.5339999999999998</v>
      </c>
      <c r="J166" s="75">
        <f t="shared" si="19"/>
        <v>2.6520000000000001</v>
      </c>
      <c r="K166" s="780"/>
      <c r="L166" s="20"/>
      <c r="M166" s="20"/>
      <c r="N166" s="20"/>
      <c r="O166" s="20"/>
      <c r="P166" s="20"/>
      <c r="Q166" s="23"/>
      <c r="R166" s="22">
        <f t="shared" si="23"/>
        <v>124</v>
      </c>
      <c r="S166" s="20"/>
      <c r="T166" s="20">
        <f t="shared" si="20"/>
        <v>3985.2815635316156</v>
      </c>
      <c r="U166" s="22">
        <v>1</v>
      </c>
      <c r="V166" s="20"/>
    </row>
    <row r="167" spans="1:22" s="306" customFormat="1" ht="13.5" customHeight="1">
      <c r="A167" s="305" t="s">
        <v>388</v>
      </c>
      <c r="B167" s="2" t="s">
        <v>22</v>
      </c>
      <c r="C167" s="2">
        <v>375</v>
      </c>
      <c r="D167" s="2">
        <v>124</v>
      </c>
      <c r="E167" s="2">
        <v>76</v>
      </c>
      <c r="F167" s="2">
        <v>52</v>
      </c>
      <c r="G167" s="21">
        <f t="shared" si="21"/>
        <v>2.976</v>
      </c>
      <c r="H167" s="20">
        <f t="shared" si="17"/>
        <v>3.5339999999999998</v>
      </c>
      <c r="I167" s="20">
        <f t="shared" si="18"/>
        <v>2.976</v>
      </c>
      <c r="J167" s="75">
        <f t="shared" si="19"/>
        <v>1.95</v>
      </c>
      <c r="K167" s="780"/>
      <c r="L167" s="20"/>
      <c r="M167" s="20"/>
      <c r="N167" s="20"/>
      <c r="O167" s="20"/>
      <c r="P167" s="20"/>
      <c r="Q167" s="23"/>
      <c r="R167" s="22">
        <f t="shared" si="23"/>
        <v>124</v>
      </c>
      <c r="S167" s="20"/>
      <c r="T167" s="20">
        <f t="shared" si="20"/>
        <v>2407.4816847693774</v>
      </c>
      <c r="U167" s="22">
        <v>1</v>
      </c>
      <c r="V167" s="20"/>
    </row>
    <row r="168" spans="1:22" s="306" customFormat="1" ht="13.5" customHeight="1">
      <c r="A168" s="305" t="s">
        <v>2110</v>
      </c>
      <c r="B168" s="2" t="s">
        <v>22</v>
      </c>
      <c r="C168" s="2">
        <v>375</v>
      </c>
      <c r="D168" s="2">
        <v>124</v>
      </c>
      <c r="E168" s="2">
        <v>88</v>
      </c>
      <c r="F168" s="2">
        <v>64</v>
      </c>
      <c r="G168" s="21">
        <f t="shared" si="21"/>
        <v>3.5339999999999998</v>
      </c>
      <c r="H168" s="20">
        <f t="shared" si="17"/>
        <v>4.0919999999999996</v>
      </c>
      <c r="I168" s="20">
        <f t="shared" si="18"/>
        <v>3.5339999999999998</v>
      </c>
      <c r="J168" s="75">
        <f t="shared" si="19"/>
        <v>2.544</v>
      </c>
      <c r="K168" s="780"/>
      <c r="L168" s="20"/>
      <c r="M168" s="20"/>
      <c r="N168" s="20"/>
      <c r="O168" s="20"/>
      <c r="P168" s="20"/>
      <c r="Q168" s="23"/>
      <c r="R168" s="22">
        <f t="shared" si="23"/>
        <v>124</v>
      </c>
      <c r="S168" s="20"/>
      <c r="T168" s="20">
        <f t="shared" si="20"/>
        <v>2782.6736356425272</v>
      </c>
      <c r="U168" s="22">
        <v>1</v>
      </c>
      <c r="V168" s="20"/>
    </row>
    <row r="169" spans="1:22" s="306" customFormat="1" ht="13.5" customHeight="1">
      <c r="A169" s="305" t="s">
        <v>2111</v>
      </c>
      <c r="B169" s="2" t="s">
        <v>22</v>
      </c>
      <c r="C169" s="2">
        <v>375</v>
      </c>
      <c r="D169" s="2">
        <v>124</v>
      </c>
      <c r="E169" s="2">
        <v>89</v>
      </c>
      <c r="F169" s="2">
        <v>39</v>
      </c>
      <c r="G169" s="21">
        <f t="shared" si="21"/>
        <v>2.976</v>
      </c>
      <c r="H169" s="20">
        <f t="shared" si="17"/>
        <v>4.1390000000000002</v>
      </c>
      <c r="I169" s="20">
        <f t="shared" si="18"/>
        <v>2.976</v>
      </c>
      <c r="J169" s="75">
        <f t="shared" si="19"/>
        <v>1.5580000000000001</v>
      </c>
      <c r="K169" s="780"/>
      <c r="L169" s="20"/>
      <c r="M169" s="20"/>
      <c r="N169" s="20"/>
      <c r="O169" s="20"/>
      <c r="P169" s="20"/>
      <c r="Q169" s="23"/>
      <c r="R169" s="22">
        <f t="shared" si="23"/>
        <v>124</v>
      </c>
      <c r="S169" s="20"/>
      <c r="T169" s="20">
        <f t="shared" si="20"/>
        <v>1352.9966740535617</v>
      </c>
      <c r="U169" s="22">
        <v>1</v>
      </c>
      <c r="V169" s="20"/>
    </row>
    <row r="170" spans="1:22" s="306" customFormat="1" ht="13.5" customHeight="1">
      <c r="A170" s="305" t="s">
        <v>2112</v>
      </c>
      <c r="B170" s="2" t="s">
        <v>22</v>
      </c>
      <c r="C170" s="2">
        <v>375</v>
      </c>
      <c r="D170" s="2">
        <v>124</v>
      </c>
      <c r="E170" s="2">
        <v>101</v>
      </c>
      <c r="F170" s="2">
        <v>51</v>
      </c>
      <c r="G170" s="21">
        <f t="shared" si="21"/>
        <v>3.5339999999999998</v>
      </c>
      <c r="H170" s="20">
        <f t="shared" si="17"/>
        <v>4.6970000000000001</v>
      </c>
      <c r="I170" s="20">
        <f t="shared" si="18"/>
        <v>3.5339999999999998</v>
      </c>
      <c r="J170" s="75">
        <f t="shared" si="19"/>
        <v>2.1520000000000001</v>
      </c>
      <c r="K170" s="780"/>
      <c r="L170" s="20"/>
      <c r="M170" s="20"/>
      <c r="N170" s="20"/>
      <c r="O170" s="20"/>
      <c r="P170" s="20"/>
      <c r="Q170" s="23"/>
      <c r="R170" s="22">
        <f t="shared" si="23"/>
        <v>124</v>
      </c>
      <c r="S170" s="20"/>
      <c r="T170" s="20">
        <f t="shared" si="20"/>
        <v>1533.3962305940368</v>
      </c>
      <c r="U170" s="22">
        <v>1</v>
      </c>
      <c r="V170" s="20"/>
    </row>
    <row r="171" spans="1:22" s="306" customFormat="1">
      <c r="A171" s="305" t="s">
        <v>2113</v>
      </c>
      <c r="B171" s="2" t="s">
        <v>22</v>
      </c>
      <c r="C171" s="2">
        <v>200</v>
      </c>
      <c r="D171" s="2">
        <v>150</v>
      </c>
      <c r="E171" s="2">
        <v>67</v>
      </c>
      <c r="F171" s="2">
        <v>61</v>
      </c>
      <c r="G171" s="21">
        <f t="shared" si="21"/>
        <v>1.92</v>
      </c>
      <c r="H171" s="20">
        <f t="shared" si="17"/>
        <v>2.0099999999999998</v>
      </c>
      <c r="I171" s="20">
        <f t="shared" si="18"/>
        <v>1.92</v>
      </c>
      <c r="J171" s="75">
        <f t="shared" si="19"/>
        <v>1.3240000000000001</v>
      </c>
      <c r="K171" s="780"/>
      <c r="L171" s="20"/>
      <c r="M171" s="20"/>
      <c r="N171" s="20"/>
      <c r="O171" s="20"/>
      <c r="P171" s="20"/>
      <c r="Q171" s="23"/>
      <c r="R171" s="22">
        <f t="shared" si="23"/>
        <v>150</v>
      </c>
      <c r="S171" s="20"/>
      <c r="T171" s="20">
        <f t="shared" si="20"/>
        <v>4533.84330464906</v>
      </c>
      <c r="U171" s="22">
        <v>1</v>
      </c>
      <c r="V171" s="20"/>
    </row>
    <row r="172" spans="1:22" s="306" customFormat="1">
      <c r="A172" s="305" t="s">
        <v>2114</v>
      </c>
      <c r="B172" s="2" t="s">
        <v>22</v>
      </c>
      <c r="C172" s="2">
        <v>200</v>
      </c>
      <c r="D172" s="2">
        <v>150</v>
      </c>
      <c r="E172" s="2">
        <v>79</v>
      </c>
      <c r="F172" s="2">
        <v>73</v>
      </c>
      <c r="G172" s="21">
        <f t="shared" si="21"/>
        <v>2.2799999999999998</v>
      </c>
      <c r="H172" s="20">
        <f t="shared" si="17"/>
        <v>2.37</v>
      </c>
      <c r="I172" s="20">
        <f t="shared" si="18"/>
        <v>2.2799999999999998</v>
      </c>
      <c r="J172" s="75">
        <f t="shared" si="19"/>
        <v>1.6719999999999999</v>
      </c>
      <c r="K172" s="780"/>
      <c r="L172" s="20"/>
      <c r="M172" s="20"/>
      <c r="N172" s="20"/>
      <c r="O172" s="20"/>
      <c r="P172" s="20"/>
      <c r="Q172" s="23"/>
      <c r="R172" s="22">
        <f t="shared" si="23"/>
        <v>150</v>
      </c>
      <c r="S172" s="20"/>
      <c r="T172" s="20">
        <f t="shared" si="20"/>
        <v>5333.9332995871291</v>
      </c>
      <c r="U172" s="22">
        <v>1</v>
      </c>
      <c r="V172" s="20"/>
    </row>
    <row r="173" spans="1:22" s="306" customFormat="1">
      <c r="A173" s="305" t="s">
        <v>2115</v>
      </c>
      <c r="B173" s="2" t="s">
        <v>22</v>
      </c>
      <c r="C173" s="2">
        <v>200</v>
      </c>
      <c r="D173" s="2">
        <v>150</v>
      </c>
      <c r="E173" s="2">
        <v>69</v>
      </c>
      <c r="F173" s="2">
        <v>59</v>
      </c>
      <c r="G173" s="21">
        <f t="shared" si="21"/>
        <v>1.92</v>
      </c>
      <c r="H173" s="20">
        <f t="shared" si="17"/>
        <v>2.0699999999999998</v>
      </c>
      <c r="I173" s="20">
        <f t="shared" si="18"/>
        <v>1.92</v>
      </c>
      <c r="J173" s="75">
        <f t="shared" si="19"/>
        <v>1.292</v>
      </c>
      <c r="K173" s="780"/>
      <c r="L173" s="20"/>
      <c r="M173" s="20"/>
      <c r="N173" s="20"/>
      <c r="O173" s="20"/>
      <c r="P173" s="20"/>
      <c r="Q173" s="23"/>
      <c r="R173" s="22" t="s">
        <v>16</v>
      </c>
      <c r="S173" s="22" t="s">
        <v>16</v>
      </c>
      <c r="T173" s="20" t="e">
        <f t="shared" si="20"/>
        <v>#REF!</v>
      </c>
      <c r="U173" s="22" t="e">
        <f>#REF!</f>
        <v>#REF!</v>
      </c>
      <c r="V173" s="20"/>
    </row>
    <row r="174" spans="1:22" s="306" customFormat="1">
      <c r="A174" s="305" t="s">
        <v>2116</v>
      </c>
      <c r="B174" s="2" t="s">
        <v>22</v>
      </c>
      <c r="C174" s="2">
        <v>200</v>
      </c>
      <c r="D174" s="2">
        <v>150</v>
      </c>
      <c r="E174" s="2">
        <v>81</v>
      </c>
      <c r="F174" s="2">
        <v>71</v>
      </c>
      <c r="G174" s="21">
        <f t="shared" si="21"/>
        <v>2.2799999999999998</v>
      </c>
      <c r="H174" s="20">
        <f t="shared" si="17"/>
        <v>2.4300000000000002</v>
      </c>
      <c r="I174" s="20">
        <f t="shared" si="18"/>
        <v>2.2799999999999998</v>
      </c>
      <c r="J174" s="75">
        <f t="shared" si="19"/>
        <v>1.64</v>
      </c>
      <c r="K174" s="780"/>
      <c r="L174" s="20"/>
      <c r="M174" s="20"/>
      <c r="N174" s="20"/>
      <c r="O174" s="20"/>
      <c r="P174" s="20"/>
      <c r="Q174" s="23"/>
      <c r="R174" s="22" t="s">
        <v>16</v>
      </c>
      <c r="S174" s="22" t="s">
        <v>16</v>
      </c>
      <c r="T174" s="20" t="e">
        <f t="shared" si="20"/>
        <v>#REF!</v>
      </c>
      <c r="U174" s="22" t="e">
        <f>#REF!</f>
        <v>#REF!</v>
      </c>
      <c r="V174" s="20"/>
    </row>
    <row r="175" spans="1:22" s="306" customFormat="1">
      <c r="A175" s="305" t="s">
        <v>2117</v>
      </c>
      <c r="B175" s="2" t="s">
        <v>22</v>
      </c>
      <c r="C175" s="2">
        <v>200</v>
      </c>
      <c r="D175" s="2">
        <v>150</v>
      </c>
      <c r="E175" s="2">
        <v>72</v>
      </c>
      <c r="F175" s="2">
        <v>56</v>
      </c>
      <c r="G175" s="21">
        <f t="shared" si="21"/>
        <v>1.92</v>
      </c>
      <c r="H175" s="20">
        <f t="shared" si="17"/>
        <v>2.16</v>
      </c>
      <c r="I175" s="20">
        <f t="shared" si="18"/>
        <v>1.92</v>
      </c>
      <c r="J175" s="75">
        <f t="shared" si="19"/>
        <v>1.2430000000000001</v>
      </c>
      <c r="K175" s="780"/>
      <c r="L175" s="20"/>
      <c r="M175" s="20"/>
      <c r="N175" s="20"/>
      <c r="O175" s="20"/>
      <c r="P175" s="20"/>
      <c r="Q175" s="23"/>
      <c r="R175" s="22" t="s">
        <v>16</v>
      </c>
      <c r="S175" s="22" t="s">
        <v>16</v>
      </c>
      <c r="T175" s="20" t="e">
        <f t="shared" si="20"/>
        <v>#REF!</v>
      </c>
      <c r="U175" s="22" t="e">
        <f>#REF!</f>
        <v>#REF!</v>
      </c>
      <c r="V175" s="20"/>
    </row>
    <row r="176" spans="1:22" s="306" customFormat="1">
      <c r="A176" s="305" t="s">
        <v>2118</v>
      </c>
      <c r="B176" s="2" t="s">
        <v>22</v>
      </c>
      <c r="C176" s="2">
        <v>200</v>
      </c>
      <c r="D176" s="2">
        <v>150</v>
      </c>
      <c r="E176" s="2">
        <v>84</v>
      </c>
      <c r="F176" s="2">
        <v>68</v>
      </c>
      <c r="G176" s="21">
        <f t="shared" si="21"/>
        <v>2.2799999999999998</v>
      </c>
      <c r="H176" s="20">
        <f t="shared" si="17"/>
        <v>2.52</v>
      </c>
      <c r="I176" s="20">
        <f t="shared" si="18"/>
        <v>2.2799999999999998</v>
      </c>
      <c r="J176" s="75">
        <f t="shared" si="19"/>
        <v>1.591</v>
      </c>
      <c r="K176" s="780"/>
      <c r="L176" s="20"/>
      <c r="M176" s="20"/>
      <c r="N176" s="20"/>
      <c r="O176" s="20"/>
      <c r="P176" s="20"/>
      <c r="Q176" s="23"/>
      <c r="R176" s="22" t="s">
        <v>16</v>
      </c>
      <c r="S176" s="22" t="s">
        <v>16</v>
      </c>
      <c r="T176" s="20" t="e">
        <f t="shared" si="20"/>
        <v>#REF!</v>
      </c>
      <c r="U176" s="22" t="e">
        <f>#REF!</f>
        <v>#REF!</v>
      </c>
      <c r="V176" s="20"/>
    </row>
    <row r="177" spans="1:22" s="306" customFormat="1">
      <c r="A177" s="305" t="s">
        <v>2119</v>
      </c>
      <c r="B177" s="2" t="s">
        <v>22</v>
      </c>
      <c r="C177" s="2">
        <v>200</v>
      </c>
      <c r="D177" s="2">
        <v>150</v>
      </c>
      <c r="E177" s="2">
        <v>76</v>
      </c>
      <c r="F177" s="2">
        <v>52</v>
      </c>
      <c r="G177" s="21">
        <f t="shared" si="21"/>
        <v>1.92</v>
      </c>
      <c r="H177" s="20">
        <f t="shared" si="17"/>
        <v>2.2799999999999998</v>
      </c>
      <c r="I177" s="20">
        <f t="shared" si="18"/>
        <v>1.92</v>
      </c>
      <c r="J177" s="75">
        <f t="shared" si="19"/>
        <v>1.175</v>
      </c>
      <c r="K177" s="780"/>
      <c r="L177" s="20"/>
      <c r="M177" s="20"/>
      <c r="N177" s="20"/>
      <c r="O177" s="20"/>
      <c r="P177" s="20"/>
      <c r="Q177" s="23"/>
      <c r="R177" s="22" t="s">
        <v>16</v>
      </c>
      <c r="S177" s="22" t="s">
        <v>16</v>
      </c>
      <c r="T177" s="20" t="e">
        <f t="shared" si="20"/>
        <v>#REF!</v>
      </c>
      <c r="U177" s="22" t="e">
        <f>#REF!</f>
        <v>#REF!</v>
      </c>
      <c r="V177" s="20"/>
    </row>
    <row r="178" spans="1:22" s="306" customFormat="1">
      <c r="A178" s="305" t="s">
        <v>2120</v>
      </c>
      <c r="B178" s="2" t="s">
        <v>22</v>
      </c>
      <c r="C178" s="2">
        <v>200</v>
      </c>
      <c r="D178" s="2">
        <v>150</v>
      </c>
      <c r="E178" s="2">
        <v>88</v>
      </c>
      <c r="F178" s="2">
        <v>64</v>
      </c>
      <c r="G178" s="21">
        <f t="shared" si="21"/>
        <v>2.2799999999999998</v>
      </c>
      <c r="H178" s="20">
        <f t="shared" si="17"/>
        <v>2.64</v>
      </c>
      <c r="I178" s="20">
        <f t="shared" si="18"/>
        <v>2.2799999999999998</v>
      </c>
      <c r="J178" s="75">
        <f t="shared" si="19"/>
        <v>1.5229999999999999</v>
      </c>
      <c r="K178" s="780"/>
      <c r="L178" s="20"/>
      <c r="M178" s="20"/>
      <c r="N178" s="20"/>
      <c r="O178" s="20"/>
      <c r="P178" s="20"/>
      <c r="Q178" s="23"/>
      <c r="R178" s="22" t="s">
        <v>16</v>
      </c>
      <c r="S178" s="22" t="s">
        <v>16</v>
      </c>
      <c r="T178" s="20" t="e">
        <f t="shared" si="20"/>
        <v>#REF!</v>
      </c>
      <c r="U178" s="22" t="e">
        <f>#REF!</f>
        <v>#REF!</v>
      </c>
      <c r="V178" s="20"/>
    </row>
    <row r="179" spans="1:22" s="306" customFormat="1">
      <c r="A179" s="305" t="s">
        <v>2121</v>
      </c>
      <c r="B179" s="2" t="s">
        <v>22</v>
      </c>
      <c r="C179" s="2">
        <v>200</v>
      </c>
      <c r="D179" s="2">
        <v>150</v>
      </c>
      <c r="E179" s="2">
        <v>89</v>
      </c>
      <c r="F179" s="2">
        <v>39</v>
      </c>
      <c r="G179" s="21">
        <f t="shared" si="21"/>
        <v>1.92</v>
      </c>
      <c r="H179" s="20">
        <f t="shared" si="17"/>
        <v>2.67</v>
      </c>
      <c r="I179" s="20">
        <f t="shared" si="18"/>
        <v>1.92</v>
      </c>
      <c r="J179" s="75">
        <f t="shared" si="19"/>
        <v>0.93200000000000005</v>
      </c>
      <c r="K179" s="780"/>
      <c r="L179" s="20"/>
      <c r="M179" s="20"/>
      <c r="N179" s="20"/>
      <c r="O179" s="20"/>
      <c r="P179" s="20"/>
      <c r="Q179" s="23"/>
      <c r="R179" s="22" t="s">
        <v>16</v>
      </c>
      <c r="S179" s="22" t="s">
        <v>16</v>
      </c>
      <c r="T179" s="20" t="e">
        <f t="shared" si="20"/>
        <v>#REF!</v>
      </c>
      <c r="U179" s="22" t="e">
        <f>#REF!</f>
        <v>#REF!</v>
      </c>
      <c r="V179" s="20"/>
    </row>
    <row r="180" spans="1:22" s="306" customFormat="1">
      <c r="A180" s="305" t="s">
        <v>2122</v>
      </c>
      <c r="B180" s="2" t="s">
        <v>22</v>
      </c>
      <c r="C180" s="2">
        <v>200</v>
      </c>
      <c r="D180" s="2">
        <v>150</v>
      </c>
      <c r="E180" s="2">
        <v>101</v>
      </c>
      <c r="F180" s="2">
        <v>51</v>
      </c>
      <c r="G180" s="21">
        <f t="shared" si="21"/>
        <v>2.2799999999999998</v>
      </c>
      <c r="H180" s="20">
        <f t="shared" si="17"/>
        <v>3.03</v>
      </c>
      <c r="I180" s="20">
        <f t="shared" si="18"/>
        <v>2.2799999999999998</v>
      </c>
      <c r="J180" s="75">
        <f t="shared" si="19"/>
        <v>1.28</v>
      </c>
      <c r="K180" s="780"/>
      <c r="L180" s="20"/>
      <c r="M180" s="20"/>
      <c r="N180" s="20"/>
      <c r="O180" s="20"/>
      <c r="P180" s="20"/>
      <c r="Q180" s="23"/>
      <c r="R180" s="22" t="s">
        <v>16</v>
      </c>
      <c r="S180" s="22" t="s">
        <v>16</v>
      </c>
      <c r="T180" s="20" t="e">
        <f t="shared" si="20"/>
        <v>#REF!</v>
      </c>
      <c r="U180" s="22" t="e">
        <f>#REF!</f>
        <v>#REF!</v>
      </c>
      <c r="V180" s="20"/>
    </row>
    <row r="181" spans="1:22" s="306" customFormat="1">
      <c r="A181" s="305" t="s">
        <v>385</v>
      </c>
      <c r="B181" s="2" t="s">
        <v>22</v>
      </c>
      <c r="C181" s="2">
        <v>300</v>
      </c>
      <c r="D181" s="2">
        <v>150</v>
      </c>
      <c r="E181" s="2">
        <v>67</v>
      </c>
      <c r="F181" s="2">
        <v>61</v>
      </c>
      <c r="G181" s="21">
        <f t="shared" si="21"/>
        <v>2.88</v>
      </c>
      <c r="H181" s="20">
        <f>ROUND(C181*D181*E181/10^6,3)</f>
        <v>3.0150000000000001</v>
      </c>
      <c r="I181" s="20">
        <f>IF(F181="","-",ROUND((E181+F181)*C181/2*D181/10^6,3))</f>
        <v>2.88</v>
      </c>
      <c r="J181" s="75">
        <f>IF(F181="","-",ROUND((D181+E181)*C181/2*F181/10^6,3))</f>
        <v>1.986</v>
      </c>
      <c r="K181" s="780"/>
      <c r="L181" s="20"/>
      <c r="M181" s="20"/>
      <c r="N181" s="20"/>
      <c r="O181" s="20"/>
      <c r="P181" s="20"/>
      <c r="Q181" s="23"/>
      <c r="R181" s="22">
        <f>D181</f>
        <v>150</v>
      </c>
      <c r="S181" s="20"/>
      <c r="T181" s="20">
        <f>(E181+U181)/2/(SIN(RADIANS((ATAN(((E181+U181)-(F181+U181))/2/C181)*180/PI()))))*2</f>
        <v>6800.3399915004247</v>
      </c>
      <c r="U181" s="22">
        <v>1</v>
      </c>
      <c r="V181" s="20"/>
    </row>
    <row r="182" spans="1:22" s="306" customFormat="1">
      <c r="A182" s="305" t="s">
        <v>2123</v>
      </c>
      <c r="B182" s="2" t="s">
        <v>22</v>
      </c>
      <c r="C182" s="2">
        <v>300</v>
      </c>
      <c r="D182" s="2">
        <v>150</v>
      </c>
      <c r="E182" s="2">
        <v>79</v>
      </c>
      <c r="F182" s="2">
        <v>73</v>
      </c>
      <c r="G182" s="21">
        <f t="shared" si="21"/>
        <v>3.42</v>
      </c>
      <c r="H182" s="20">
        <f>ROUND(C182*D182*E182/10^6,3)</f>
        <v>3.5550000000000002</v>
      </c>
      <c r="I182" s="20">
        <f>IF(F182="","-",ROUND((E182+F182)*C182/2*D182/10^6,3))</f>
        <v>3.42</v>
      </c>
      <c r="J182" s="75">
        <f>IF(F182="","-",ROUND((D182+E182)*C182/2*F182/10^6,3))</f>
        <v>2.508</v>
      </c>
      <c r="K182" s="780"/>
      <c r="L182" s="20"/>
      <c r="M182" s="20"/>
      <c r="N182" s="20"/>
      <c r="O182" s="20"/>
      <c r="P182" s="20"/>
      <c r="Q182" s="23"/>
      <c r="R182" s="22">
        <f>D182</f>
        <v>150</v>
      </c>
      <c r="S182" s="20"/>
      <c r="T182" s="20">
        <f>(E182+U182)/2/(SIN(RADIANS((ATAN(((E182+U182)-(F182+U182))/2/C182)*180/PI()))))*2</f>
        <v>8000.3999900005001</v>
      </c>
      <c r="U182" s="22">
        <v>1</v>
      </c>
      <c r="V182" s="20"/>
    </row>
    <row r="183" spans="1:22" s="306" customFormat="1">
      <c r="A183" s="305" t="s">
        <v>595</v>
      </c>
      <c r="B183" s="2" t="s">
        <v>22</v>
      </c>
      <c r="C183" s="2">
        <v>300</v>
      </c>
      <c r="D183" s="2">
        <v>150</v>
      </c>
      <c r="E183" s="2">
        <v>69</v>
      </c>
      <c r="F183" s="2">
        <v>59</v>
      </c>
      <c r="G183" s="21">
        <f t="shared" si="21"/>
        <v>2.88</v>
      </c>
      <c r="H183" s="20">
        <f t="shared" si="17"/>
        <v>3.105</v>
      </c>
      <c r="I183" s="20">
        <f t="shared" si="18"/>
        <v>2.88</v>
      </c>
      <c r="J183" s="75">
        <f t="shared" si="19"/>
        <v>1.9379999999999999</v>
      </c>
      <c r="K183" s="780"/>
      <c r="L183" s="20"/>
      <c r="M183" s="20"/>
      <c r="N183" s="20"/>
      <c r="O183" s="20"/>
      <c r="P183" s="20"/>
      <c r="Q183" s="23"/>
      <c r="R183" s="22" t="s">
        <v>16</v>
      </c>
      <c r="S183" s="22" t="s">
        <v>16</v>
      </c>
      <c r="T183" s="20" t="e">
        <f t="shared" si="20"/>
        <v>#REF!</v>
      </c>
      <c r="U183" s="22" t="e">
        <f>#REF!</f>
        <v>#REF!</v>
      </c>
      <c r="V183" s="20"/>
    </row>
    <row r="184" spans="1:22" s="306" customFormat="1">
      <c r="A184" s="305" t="s">
        <v>2124</v>
      </c>
      <c r="B184" s="2" t="s">
        <v>22</v>
      </c>
      <c r="C184" s="2">
        <v>300</v>
      </c>
      <c r="D184" s="2">
        <v>150</v>
      </c>
      <c r="E184" s="2">
        <v>81</v>
      </c>
      <c r="F184" s="2">
        <v>71</v>
      </c>
      <c r="G184" s="21">
        <f t="shared" si="21"/>
        <v>3.42</v>
      </c>
      <c r="H184" s="20">
        <f t="shared" si="17"/>
        <v>3.645</v>
      </c>
      <c r="I184" s="20">
        <f t="shared" si="18"/>
        <v>3.42</v>
      </c>
      <c r="J184" s="75">
        <f t="shared" si="19"/>
        <v>2.46</v>
      </c>
      <c r="K184" s="780"/>
      <c r="L184" s="20"/>
      <c r="M184" s="20"/>
      <c r="N184" s="20"/>
      <c r="O184" s="20"/>
      <c r="P184" s="20"/>
      <c r="Q184" s="23"/>
      <c r="R184" s="22" t="s">
        <v>16</v>
      </c>
      <c r="S184" s="22" t="s">
        <v>16</v>
      </c>
      <c r="T184" s="20" t="e">
        <f t="shared" si="20"/>
        <v>#REF!</v>
      </c>
      <c r="U184" s="22" t="e">
        <f>#REF!</f>
        <v>#REF!</v>
      </c>
      <c r="V184" s="20"/>
    </row>
    <row r="185" spans="1:22" s="306" customFormat="1">
      <c r="A185" s="305" t="s">
        <v>596</v>
      </c>
      <c r="B185" s="2" t="s">
        <v>22</v>
      </c>
      <c r="C185" s="2">
        <v>300</v>
      </c>
      <c r="D185" s="2">
        <v>150</v>
      </c>
      <c r="E185" s="2">
        <v>72</v>
      </c>
      <c r="F185" s="2">
        <v>56</v>
      </c>
      <c r="G185" s="21">
        <f t="shared" si="21"/>
        <v>2.88</v>
      </c>
      <c r="H185" s="20">
        <f t="shared" si="17"/>
        <v>3.24</v>
      </c>
      <c r="I185" s="20">
        <f t="shared" si="18"/>
        <v>2.88</v>
      </c>
      <c r="J185" s="75">
        <f t="shared" si="19"/>
        <v>1.865</v>
      </c>
      <c r="K185" s="780"/>
      <c r="L185" s="20"/>
      <c r="M185" s="20"/>
      <c r="N185" s="20"/>
      <c r="O185" s="20"/>
      <c r="P185" s="20"/>
      <c r="Q185" s="23"/>
      <c r="R185" s="22" t="s">
        <v>16</v>
      </c>
      <c r="S185" s="22" t="s">
        <v>16</v>
      </c>
      <c r="T185" s="20" t="e">
        <f t="shared" si="20"/>
        <v>#REF!</v>
      </c>
      <c r="U185" s="22" t="e">
        <f>#REF!</f>
        <v>#REF!</v>
      </c>
      <c r="V185" s="20"/>
    </row>
    <row r="186" spans="1:22" s="306" customFormat="1">
      <c r="A186" s="305" t="s">
        <v>2125</v>
      </c>
      <c r="B186" s="2" t="s">
        <v>22</v>
      </c>
      <c r="C186" s="2">
        <v>300</v>
      </c>
      <c r="D186" s="2">
        <v>150</v>
      </c>
      <c r="E186" s="2">
        <v>84</v>
      </c>
      <c r="F186" s="2">
        <v>68</v>
      </c>
      <c r="G186" s="21">
        <f t="shared" si="21"/>
        <v>3.42</v>
      </c>
      <c r="H186" s="20">
        <f t="shared" si="17"/>
        <v>3.78</v>
      </c>
      <c r="I186" s="20">
        <f t="shared" si="18"/>
        <v>3.42</v>
      </c>
      <c r="J186" s="75">
        <f t="shared" si="19"/>
        <v>2.387</v>
      </c>
      <c r="K186" s="780"/>
      <c r="L186" s="20"/>
      <c r="M186" s="20"/>
      <c r="N186" s="20"/>
      <c r="O186" s="20"/>
      <c r="P186" s="20"/>
      <c r="Q186" s="23"/>
      <c r="R186" s="22" t="s">
        <v>16</v>
      </c>
      <c r="S186" s="22" t="s">
        <v>16</v>
      </c>
      <c r="T186" s="20" t="e">
        <f t="shared" si="20"/>
        <v>#REF!</v>
      </c>
      <c r="U186" s="22" t="e">
        <f>#REF!</f>
        <v>#REF!</v>
      </c>
      <c r="V186" s="20"/>
    </row>
    <row r="187" spans="1:22" s="306" customFormat="1">
      <c r="A187" s="305" t="s">
        <v>597</v>
      </c>
      <c r="B187" s="2" t="s">
        <v>22</v>
      </c>
      <c r="C187" s="2">
        <v>300</v>
      </c>
      <c r="D187" s="2">
        <v>150</v>
      </c>
      <c r="E187" s="2">
        <v>76</v>
      </c>
      <c r="F187" s="2">
        <v>52</v>
      </c>
      <c r="G187" s="21">
        <f t="shared" si="21"/>
        <v>2.88</v>
      </c>
      <c r="H187" s="20">
        <f t="shared" si="17"/>
        <v>3.42</v>
      </c>
      <c r="I187" s="20">
        <f t="shared" si="18"/>
        <v>2.88</v>
      </c>
      <c r="J187" s="75">
        <f t="shared" si="19"/>
        <v>1.7629999999999999</v>
      </c>
      <c r="K187" s="780"/>
      <c r="L187" s="20"/>
      <c r="M187" s="20"/>
      <c r="N187" s="20"/>
      <c r="O187" s="20"/>
      <c r="P187" s="20"/>
      <c r="Q187" s="23"/>
      <c r="R187" s="22" t="s">
        <v>16</v>
      </c>
      <c r="S187" s="22" t="s">
        <v>16</v>
      </c>
      <c r="T187" s="20" t="e">
        <f t="shared" si="20"/>
        <v>#REF!</v>
      </c>
      <c r="U187" s="22" t="e">
        <f>#REF!</f>
        <v>#REF!</v>
      </c>
      <c r="V187" s="20"/>
    </row>
    <row r="188" spans="1:22" s="306" customFormat="1">
      <c r="A188" s="305" t="s">
        <v>2126</v>
      </c>
      <c r="B188" s="2" t="s">
        <v>22</v>
      </c>
      <c r="C188" s="2">
        <v>300</v>
      </c>
      <c r="D188" s="2">
        <v>150</v>
      </c>
      <c r="E188" s="2">
        <v>88</v>
      </c>
      <c r="F188" s="2">
        <v>64</v>
      </c>
      <c r="G188" s="21">
        <f t="shared" si="21"/>
        <v>3.42</v>
      </c>
      <c r="H188" s="20">
        <f t="shared" si="17"/>
        <v>3.96</v>
      </c>
      <c r="I188" s="20">
        <f t="shared" si="18"/>
        <v>3.42</v>
      </c>
      <c r="J188" s="75">
        <f t="shared" si="19"/>
        <v>2.2850000000000001</v>
      </c>
      <c r="K188" s="780"/>
      <c r="L188" s="20"/>
      <c r="M188" s="20"/>
      <c r="N188" s="20"/>
      <c r="O188" s="20"/>
      <c r="P188" s="20"/>
      <c r="Q188" s="23"/>
      <c r="R188" s="22" t="s">
        <v>16</v>
      </c>
      <c r="S188" s="22" t="s">
        <v>16</v>
      </c>
      <c r="T188" s="20" t="e">
        <f t="shared" si="20"/>
        <v>#REF!</v>
      </c>
      <c r="U188" s="22" t="e">
        <f>#REF!</f>
        <v>#REF!</v>
      </c>
      <c r="V188" s="20"/>
    </row>
    <row r="189" spans="1:22" s="306" customFormat="1">
      <c r="A189" s="305" t="s">
        <v>598</v>
      </c>
      <c r="B189" s="2" t="s">
        <v>22</v>
      </c>
      <c r="C189" s="2">
        <v>300</v>
      </c>
      <c r="D189" s="2">
        <v>150</v>
      </c>
      <c r="E189" s="2">
        <v>89</v>
      </c>
      <c r="F189" s="2">
        <v>39</v>
      </c>
      <c r="G189" s="21">
        <f t="shared" si="21"/>
        <v>2.88</v>
      </c>
      <c r="H189" s="20">
        <f t="shared" si="17"/>
        <v>4.0049999999999999</v>
      </c>
      <c r="I189" s="20">
        <f t="shared" si="18"/>
        <v>2.88</v>
      </c>
      <c r="J189" s="75">
        <f t="shared" si="19"/>
        <v>1.3979999999999999</v>
      </c>
      <c r="K189" s="780"/>
      <c r="L189" s="20"/>
      <c r="M189" s="20"/>
      <c r="N189" s="20"/>
      <c r="O189" s="20"/>
      <c r="P189" s="20"/>
      <c r="Q189" s="23"/>
      <c r="R189" s="22" t="s">
        <v>16</v>
      </c>
      <c r="S189" s="22" t="s">
        <v>16</v>
      </c>
      <c r="T189" s="20" t="e">
        <f t="shared" si="20"/>
        <v>#REF!</v>
      </c>
      <c r="U189" s="22" t="e">
        <f>#REF!</f>
        <v>#REF!</v>
      </c>
      <c r="V189" s="20"/>
    </row>
    <row r="190" spans="1:22" s="306" customFormat="1">
      <c r="A190" s="305" t="s">
        <v>2127</v>
      </c>
      <c r="B190" s="2" t="s">
        <v>22</v>
      </c>
      <c r="C190" s="2">
        <v>300</v>
      </c>
      <c r="D190" s="2">
        <v>150</v>
      </c>
      <c r="E190" s="2">
        <v>101</v>
      </c>
      <c r="F190" s="2">
        <v>51</v>
      </c>
      <c r="G190" s="21">
        <f t="shared" si="21"/>
        <v>3.42</v>
      </c>
      <c r="H190" s="20">
        <f t="shared" si="17"/>
        <v>4.5449999999999999</v>
      </c>
      <c r="I190" s="20">
        <f t="shared" si="18"/>
        <v>3.42</v>
      </c>
      <c r="J190" s="75">
        <f t="shared" si="19"/>
        <v>1.92</v>
      </c>
      <c r="K190" s="780"/>
      <c r="L190" s="20"/>
      <c r="M190" s="20"/>
      <c r="N190" s="20"/>
      <c r="O190" s="20"/>
      <c r="P190" s="20"/>
      <c r="Q190" s="23"/>
      <c r="R190" s="22" t="s">
        <v>16</v>
      </c>
      <c r="S190" s="22" t="s">
        <v>16</v>
      </c>
      <c r="T190" s="20" t="e">
        <f t="shared" si="20"/>
        <v>#REF!</v>
      </c>
      <c r="U190" s="22" t="e">
        <f>#REF!</f>
        <v>#REF!</v>
      </c>
      <c r="V190" s="20"/>
    </row>
    <row r="191" spans="1:22" s="306" customFormat="1" ht="13.8" thickBot="1">
      <c r="A191" s="305" t="s">
        <v>427</v>
      </c>
      <c r="B191" s="2" t="s">
        <v>22</v>
      </c>
      <c r="C191" s="2">
        <v>300</v>
      </c>
      <c r="D191" s="2">
        <v>150</v>
      </c>
      <c r="E191" s="2">
        <v>79</v>
      </c>
      <c r="F191" s="2">
        <v>73</v>
      </c>
      <c r="G191" s="21">
        <f t="shared" si="21"/>
        <v>3.42</v>
      </c>
      <c r="H191" s="20">
        <f>ROUND(C191*D191*E191/10^6,3)</f>
        <v>3.5550000000000002</v>
      </c>
      <c r="I191" s="20">
        <f>IF(F191="","-",ROUND((E191+F191)*C191/2*D191/10^6,3))</f>
        <v>3.42</v>
      </c>
      <c r="J191" s="75">
        <f>IF(F191="","-",ROUND((D191+E191)*C191/2*F191/10^6,3))</f>
        <v>2.508</v>
      </c>
      <c r="K191" s="780"/>
      <c r="L191" s="20"/>
      <c r="M191" s="20"/>
      <c r="N191" s="20"/>
      <c r="O191" s="20"/>
      <c r="P191" s="20"/>
      <c r="Q191" s="23"/>
      <c r="R191" s="22">
        <f>D191</f>
        <v>150</v>
      </c>
      <c r="S191" s="20"/>
      <c r="T191" s="20">
        <f>(E191+U191)/2/(SIN(RADIANS((ATAN(((E191+U191)-(F191+U191))/2/C191)*180/PI()))))*2</f>
        <v>8000.3999900005001</v>
      </c>
      <c r="U191" s="22">
        <v>1</v>
      </c>
      <c r="V191" s="20"/>
    </row>
    <row r="192" spans="1:22" s="63" customFormat="1" ht="25.2" thickBot="1">
      <c r="A192" s="369" t="s">
        <v>604</v>
      </c>
      <c r="B192" s="65"/>
      <c r="C192" s="65"/>
      <c r="D192" s="65"/>
      <c r="E192" s="65"/>
      <c r="F192" s="65"/>
      <c r="G192" s="101"/>
      <c r="H192" s="65"/>
      <c r="I192" s="65"/>
      <c r="J192" s="66"/>
      <c r="K192" s="59"/>
      <c r="L192" s="60"/>
      <c r="M192" s="60"/>
      <c r="N192" s="60"/>
      <c r="O192" s="60"/>
      <c r="P192" s="60"/>
      <c r="Q192" s="61"/>
      <c r="R192" s="62"/>
      <c r="S192" s="60"/>
      <c r="T192" s="60"/>
      <c r="U192" s="62"/>
      <c r="V192" s="60"/>
    </row>
    <row r="193" spans="1:22" ht="12.75" customHeight="1">
      <c r="A193" s="76" t="s">
        <v>609</v>
      </c>
      <c r="B193" s="2" t="s">
        <v>22</v>
      </c>
      <c r="C193" s="2">
        <v>250</v>
      </c>
      <c r="D193" s="2">
        <v>65</v>
      </c>
      <c r="E193" s="2">
        <v>126</v>
      </c>
      <c r="F193" s="2">
        <v>122</v>
      </c>
      <c r="G193" s="21">
        <f t="shared" si="21"/>
        <v>2.0150000000000001</v>
      </c>
      <c r="H193" s="20">
        <f t="shared" ref="H193:H223" si="24">ROUND(C193*D193*E193/10^6,3)</f>
        <v>2.048</v>
      </c>
      <c r="I193" s="20">
        <f t="shared" ref="I193:I223" si="25">IF(F193="","-",ROUND((E193+F193)*C193/2*D193/10^6,3))</f>
        <v>2.0150000000000001</v>
      </c>
      <c r="J193" s="75">
        <f t="shared" ref="J193:J223" si="26">IF(F193="","-",ROUND((D193+E193)*C193/2*F193/10^6,3))</f>
        <v>2.9129999999999998</v>
      </c>
      <c r="K193" s="779" t="s">
        <v>526</v>
      </c>
      <c r="L193" s="20"/>
      <c r="M193" s="20"/>
      <c r="N193" s="20"/>
      <c r="O193" s="20"/>
      <c r="P193" s="20"/>
      <c r="Q193" s="23"/>
      <c r="R193" s="22" t="s">
        <v>16</v>
      </c>
      <c r="S193" s="22" t="s">
        <v>16</v>
      </c>
      <c r="T193" s="20" t="e">
        <f t="shared" ref="T193:T223" si="27">(E193+U193)/2/(SIN(RADIANS((ATAN(((E193+U193)-(F193+U193))/2/C193)*180/PI()))))*2</f>
        <v>#REF!</v>
      </c>
      <c r="U193" s="22" t="e">
        <f>#REF!</f>
        <v>#REF!</v>
      </c>
      <c r="V193" s="20"/>
    </row>
    <row r="194" spans="1:22" ht="12.75" customHeight="1">
      <c r="A194" s="76" t="s">
        <v>610</v>
      </c>
      <c r="B194" s="2" t="s">
        <v>22</v>
      </c>
      <c r="C194" s="2">
        <v>250</v>
      </c>
      <c r="D194" s="2">
        <v>65</v>
      </c>
      <c r="E194" s="2">
        <v>126.5</v>
      </c>
      <c r="F194" s="2">
        <v>121.5</v>
      </c>
      <c r="G194" s="21">
        <f t="shared" si="21"/>
        <v>2.0150000000000001</v>
      </c>
      <c r="H194" s="20">
        <f t="shared" ref="H194" si="28">ROUND(C194*D194*E194/10^6,3)</f>
        <v>2.056</v>
      </c>
      <c r="I194" s="20">
        <f t="shared" ref="I194" si="29">IF(F194="","-",ROUND((E194+F194)*C194/2*D194/10^6,3))</f>
        <v>2.0150000000000001</v>
      </c>
      <c r="J194" s="75">
        <f t="shared" ref="J194" si="30">IF(F194="","-",ROUND((D194+E194)*C194/2*F194/10^6,3))</f>
        <v>2.9079999999999999</v>
      </c>
      <c r="K194" s="780"/>
      <c r="L194" s="20"/>
      <c r="M194" s="20"/>
      <c r="N194" s="20"/>
      <c r="O194" s="20"/>
      <c r="P194" s="20"/>
      <c r="Q194" s="23"/>
      <c r="R194" s="22" t="s">
        <v>16</v>
      </c>
      <c r="S194" s="22" t="s">
        <v>16</v>
      </c>
      <c r="T194" s="20" t="e">
        <f t="shared" ref="T194" si="31">(E194+U194)/2/(SIN(RADIANS((ATAN(((E194+U194)-(F194+U194))/2/C194)*180/PI()))))*2</f>
        <v>#REF!</v>
      </c>
      <c r="U194" s="22" t="e">
        <f>#REF!</f>
        <v>#REF!</v>
      </c>
      <c r="V194" s="20"/>
    </row>
    <row r="195" spans="1:22" ht="12.75" customHeight="1">
      <c r="A195" s="76" t="s">
        <v>611</v>
      </c>
      <c r="B195" s="2" t="s">
        <v>22</v>
      </c>
      <c r="C195" s="2">
        <v>250</v>
      </c>
      <c r="D195" s="2">
        <v>65</v>
      </c>
      <c r="E195" s="2">
        <v>127</v>
      </c>
      <c r="F195" s="2">
        <v>121</v>
      </c>
      <c r="G195" s="21">
        <f t="shared" si="21"/>
        <v>2.0150000000000001</v>
      </c>
      <c r="H195" s="20">
        <f t="shared" si="24"/>
        <v>2.0640000000000001</v>
      </c>
      <c r="I195" s="20">
        <f t="shared" si="25"/>
        <v>2.0150000000000001</v>
      </c>
      <c r="J195" s="75">
        <f t="shared" si="26"/>
        <v>2.9039999999999999</v>
      </c>
      <c r="K195" s="780"/>
      <c r="L195" s="20"/>
      <c r="M195" s="20"/>
      <c r="N195" s="20"/>
      <c r="O195" s="20"/>
      <c r="P195" s="20"/>
      <c r="Q195" s="23"/>
      <c r="R195" s="22" t="s">
        <v>16</v>
      </c>
      <c r="S195" s="22" t="s">
        <v>16</v>
      </c>
      <c r="T195" s="20" t="e">
        <f t="shared" si="27"/>
        <v>#REF!</v>
      </c>
      <c r="U195" s="22" t="e">
        <f>#REF!</f>
        <v>#REF!</v>
      </c>
      <c r="V195" s="20"/>
    </row>
    <row r="196" spans="1:22" ht="12.75" customHeight="1">
      <c r="A196" s="76" t="s">
        <v>612</v>
      </c>
      <c r="B196" s="2" t="s">
        <v>22</v>
      </c>
      <c r="C196" s="2">
        <v>250</v>
      </c>
      <c r="D196" s="2">
        <v>65</v>
      </c>
      <c r="E196" s="2">
        <v>123</v>
      </c>
      <c r="F196" s="2">
        <v>116</v>
      </c>
      <c r="G196" s="21">
        <f t="shared" si="21"/>
        <v>1.941875</v>
      </c>
      <c r="H196" s="20">
        <f t="shared" si="24"/>
        <v>1.9990000000000001</v>
      </c>
      <c r="I196" s="20">
        <f t="shared" si="25"/>
        <v>1.9419999999999999</v>
      </c>
      <c r="J196" s="75">
        <f t="shared" si="26"/>
        <v>2.726</v>
      </c>
      <c r="K196" s="780"/>
      <c r="L196" s="20"/>
      <c r="M196" s="20"/>
      <c r="N196" s="20"/>
      <c r="O196" s="20"/>
      <c r="P196" s="20"/>
      <c r="Q196" s="23"/>
      <c r="R196" s="22" t="s">
        <v>16</v>
      </c>
      <c r="S196" s="22" t="s">
        <v>16</v>
      </c>
      <c r="T196" s="20" t="e">
        <f t="shared" si="27"/>
        <v>#REF!</v>
      </c>
      <c r="U196" s="22" t="e">
        <f>#REF!</f>
        <v>#REF!</v>
      </c>
      <c r="V196" s="20"/>
    </row>
    <row r="197" spans="1:22" ht="12.75" customHeight="1">
      <c r="A197" s="76" t="s">
        <v>613</v>
      </c>
      <c r="B197" s="2" t="s">
        <v>22</v>
      </c>
      <c r="C197" s="2">
        <v>250</v>
      </c>
      <c r="D197" s="2">
        <v>65</v>
      </c>
      <c r="E197" s="2">
        <v>129</v>
      </c>
      <c r="F197" s="2">
        <v>119</v>
      </c>
      <c r="G197" s="21">
        <f t="shared" si="21"/>
        <v>2.0150000000000001</v>
      </c>
      <c r="H197" s="20">
        <f t="shared" si="24"/>
        <v>2.0960000000000001</v>
      </c>
      <c r="I197" s="20">
        <f t="shared" si="25"/>
        <v>2.0150000000000001</v>
      </c>
      <c r="J197" s="75">
        <f t="shared" si="26"/>
        <v>2.8860000000000001</v>
      </c>
      <c r="K197" s="780"/>
      <c r="L197" s="20"/>
      <c r="M197" s="20"/>
      <c r="N197" s="20"/>
      <c r="O197" s="20"/>
      <c r="P197" s="20"/>
      <c r="Q197" s="23"/>
      <c r="R197" s="22" t="s">
        <v>16</v>
      </c>
      <c r="S197" s="22" t="s">
        <v>16</v>
      </c>
      <c r="T197" s="20" t="e">
        <f t="shared" si="27"/>
        <v>#REF!</v>
      </c>
      <c r="U197" s="22" t="e">
        <f>#REF!</f>
        <v>#REF!</v>
      </c>
      <c r="V197" s="20"/>
    </row>
    <row r="198" spans="1:22" ht="12.75" customHeight="1">
      <c r="A198" s="76" t="s">
        <v>614</v>
      </c>
      <c r="B198" s="2" t="s">
        <v>22</v>
      </c>
      <c r="C198" s="2">
        <v>250</v>
      </c>
      <c r="D198" s="2">
        <v>65</v>
      </c>
      <c r="E198" s="2">
        <v>123</v>
      </c>
      <c r="F198" s="2">
        <v>108</v>
      </c>
      <c r="G198" s="21">
        <f t="shared" ref="G198:G260" si="32">IF(B198="","",AVERAGE(E198:F198)*D198*C198/10^6)</f>
        <v>1.8768750000000001</v>
      </c>
      <c r="H198" s="20">
        <f t="shared" si="24"/>
        <v>1.9990000000000001</v>
      </c>
      <c r="I198" s="20">
        <f t="shared" si="25"/>
        <v>1.877</v>
      </c>
      <c r="J198" s="75">
        <f t="shared" si="26"/>
        <v>2.5379999999999998</v>
      </c>
      <c r="K198" s="780"/>
      <c r="L198" s="20"/>
      <c r="M198" s="20"/>
      <c r="N198" s="20"/>
      <c r="O198" s="20"/>
      <c r="P198" s="20"/>
      <c r="Q198" s="23"/>
      <c r="R198" s="22" t="s">
        <v>16</v>
      </c>
      <c r="S198" s="22" t="s">
        <v>16</v>
      </c>
      <c r="T198" s="20" t="e">
        <f t="shared" si="27"/>
        <v>#REF!</v>
      </c>
      <c r="U198" s="22" t="e">
        <f>#REF!</f>
        <v>#REF!</v>
      </c>
      <c r="V198" s="20"/>
    </row>
    <row r="199" spans="1:22" ht="12.75" customHeight="1">
      <c r="A199" s="76" t="s">
        <v>605</v>
      </c>
      <c r="B199" s="2" t="s">
        <v>22</v>
      </c>
      <c r="C199" s="2">
        <v>250</v>
      </c>
      <c r="D199" s="2">
        <v>90</v>
      </c>
      <c r="E199" s="2">
        <v>125</v>
      </c>
      <c r="F199" s="2">
        <v>125</v>
      </c>
      <c r="G199" s="21">
        <f t="shared" si="32"/>
        <v>2.8125</v>
      </c>
      <c r="H199" s="20">
        <f t="shared" si="24"/>
        <v>2.8130000000000002</v>
      </c>
      <c r="I199" s="20">
        <f t="shared" si="25"/>
        <v>2.8130000000000002</v>
      </c>
      <c r="J199" s="75">
        <f t="shared" si="26"/>
        <v>3.359</v>
      </c>
      <c r="K199" s="780"/>
      <c r="L199" s="20"/>
      <c r="M199" s="20"/>
      <c r="N199" s="20"/>
      <c r="O199" s="20"/>
      <c r="P199" s="20"/>
      <c r="Q199" s="23"/>
      <c r="R199" s="22" t="s">
        <v>16</v>
      </c>
      <c r="S199" s="22" t="s">
        <v>16</v>
      </c>
      <c r="T199" s="20" t="e">
        <f t="shared" si="27"/>
        <v>#REF!</v>
      </c>
      <c r="U199" s="22" t="e">
        <f>#REF!</f>
        <v>#REF!</v>
      </c>
      <c r="V199" s="20"/>
    </row>
    <row r="200" spans="1:22" ht="12.75" customHeight="1">
      <c r="A200" s="76" t="s">
        <v>606</v>
      </c>
      <c r="B200" s="2" t="s">
        <v>22</v>
      </c>
      <c r="C200" s="2">
        <v>250</v>
      </c>
      <c r="D200" s="2">
        <v>90</v>
      </c>
      <c r="E200" s="2">
        <v>129</v>
      </c>
      <c r="F200" s="2">
        <v>121</v>
      </c>
      <c r="G200" s="21">
        <f t="shared" si="32"/>
        <v>2.8125</v>
      </c>
      <c r="H200" s="20">
        <f t="shared" si="24"/>
        <v>2.903</v>
      </c>
      <c r="I200" s="20">
        <f t="shared" si="25"/>
        <v>2.8130000000000002</v>
      </c>
      <c r="J200" s="75">
        <f t="shared" si="26"/>
        <v>3.3119999999999998</v>
      </c>
      <c r="K200" s="780"/>
      <c r="L200" s="20"/>
      <c r="M200" s="20"/>
      <c r="N200" s="20"/>
      <c r="O200" s="20"/>
      <c r="P200" s="20"/>
      <c r="Q200" s="23"/>
      <c r="R200" s="22" t="s">
        <v>16</v>
      </c>
      <c r="S200" s="22" t="s">
        <v>16</v>
      </c>
      <c r="T200" s="20" t="e">
        <f t="shared" si="27"/>
        <v>#REF!</v>
      </c>
      <c r="U200" s="22" t="e">
        <f>#REF!</f>
        <v>#REF!</v>
      </c>
      <c r="V200" s="20"/>
    </row>
    <row r="201" spans="1:22" ht="12.75" customHeight="1">
      <c r="A201" s="76" t="s">
        <v>607</v>
      </c>
      <c r="B201" s="2" t="s">
        <v>22</v>
      </c>
      <c r="C201" s="2">
        <v>250</v>
      </c>
      <c r="D201" s="2">
        <v>90</v>
      </c>
      <c r="E201" s="2">
        <v>134</v>
      </c>
      <c r="F201" s="2">
        <v>116</v>
      </c>
      <c r="G201" s="21">
        <f t="shared" si="32"/>
        <v>2.8125</v>
      </c>
      <c r="H201" s="20">
        <f t="shared" si="24"/>
        <v>3.0150000000000001</v>
      </c>
      <c r="I201" s="20">
        <f t="shared" si="25"/>
        <v>2.8130000000000002</v>
      </c>
      <c r="J201" s="75">
        <f t="shared" si="26"/>
        <v>3.2480000000000002</v>
      </c>
      <c r="K201" s="780"/>
      <c r="L201" s="20"/>
      <c r="M201" s="20"/>
      <c r="N201" s="20"/>
      <c r="O201" s="20"/>
      <c r="P201" s="20"/>
      <c r="Q201" s="23"/>
      <c r="R201" s="22" t="s">
        <v>16</v>
      </c>
      <c r="S201" s="22" t="s">
        <v>16</v>
      </c>
      <c r="T201" s="20" t="e">
        <f t="shared" si="27"/>
        <v>#REF!</v>
      </c>
      <c r="U201" s="22" t="e">
        <f>#REF!</f>
        <v>#REF!</v>
      </c>
      <c r="V201" s="20"/>
    </row>
    <row r="202" spans="1:22" ht="12.75" customHeight="1">
      <c r="A202" s="76" t="s">
        <v>608</v>
      </c>
      <c r="B202" s="2" t="s">
        <v>22</v>
      </c>
      <c r="C202" s="2">
        <v>250</v>
      </c>
      <c r="D202" s="2">
        <v>90</v>
      </c>
      <c r="E202" s="2">
        <v>138</v>
      </c>
      <c r="F202" s="2">
        <v>112</v>
      </c>
      <c r="G202" s="21">
        <f t="shared" si="32"/>
        <v>2.8125</v>
      </c>
      <c r="H202" s="20">
        <f t="shared" si="24"/>
        <v>3.105</v>
      </c>
      <c r="I202" s="20">
        <f t="shared" si="25"/>
        <v>2.8130000000000002</v>
      </c>
      <c r="J202" s="75">
        <f t="shared" si="26"/>
        <v>3.1920000000000002</v>
      </c>
      <c r="K202" s="780"/>
      <c r="L202" s="20"/>
      <c r="M202" s="20"/>
      <c r="N202" s="20"/>
      <c r="O202" s="20"/>
      <c r="P202" s="20"/>
      <c r="Q202" s="23"/>
      <c r="R202" s="22" t="s">
        <v>16</v>
      </c>
      <c r="S202" s="22" t="s">
        <v>16</v>
      </c>
      <c r="T202" s="20" t="e">
        <f t="shared" si="27"/>
        <v>#REF!</v>
      </c>
      <c r="U202" s="22" t="e">
        <f>#REF!</f>
        <v>#REF!</v>
      </c>
      <c r="V202" s="20"/>
    </row>
    <row r="203" spans="1:22" ht="12.75" customHeight="1">
      <c r="A203" s="76" t="s">
        <v>615</v>
      </c>
      <c r="B203" s="2" t="s">
        <v>22</v>
      </c>
      <c r="C203" s="2">
        <v>250</v>
      </c>
      <c r="D203" s="2">
        <v>124</v>
      </c>
      <c r="E203" s="2">
        <v>125</v>
      </c>
      <c r="F203" s="2">
        <v>125</v>
      </c>
      <c r="G203" s="21">
        <f t="shared" si="32"/>
        <v>3.875</v>
      </c>
      <c r="H203" s="20">
        <f t="shared" si="24"/>
        <v>3.875</v>
      </c>
      <c r="I203" s="20">
        <f t="shared" si="25"/>
        <v>3.875</v>
      </c>
      <c r="J203" s="75">
        <f t="shared" si="26"/>
        <v>3.891</v>
      </c>
      <c r="K203" s="780"/>
      <c r="L203" s="20"/>
      <c r="M203" s="20"/>
      <c r="N203" s="20"/>
      <c r="O203" s="20"/>
      <c r="P203" s="20"/>
      <c r="Q203" s="23"/>
      <c r="R203" s="22" t="s">
        <v>16</v>
      </c>
      <c r="S203" s="22" t="s">
        <v>16</v>
      </c>
      <c r="T203" s="20" t="e">
        <f t="shared" si="27"/>
        <v>#REF!</v>
      </c>
      <c r="U203" s="22" t="e">
        <f>#REF!</f>
        <v>#REF!</v>
      </c>
      <c r="V203" s="20"/>
    </row>
    <row r="204" spans="1:22" ht="12.75" customHeight="1">
      <c r="A204" s="76" t="s">
        <v>633</v>
      </c>
      <c r="B204" s="2" t="s">
        <v>22</v>
      </c>
      <c r="C204" s="2">
        <v>250</v>
      </c>
      <c r="D204" s="2">
        <v>124</v>
      </c>
      <c r="E204" s="2">
        <v>128</v>
      </c>
      <c r="F204" s="2">
        <v>122</v>
      </c>
      <c r="G204" s="21">
        <f t="shared" si="32"/>
        <v>3.875</v>
      </c>
      <c r="H204" s="20">
        <f t="shared" si="24"/>
        <v>3.968</v>
      </c>
      <c r="I204" s="20">
        <f t="shared" si="25"/>
        <v>3.875</v>
      </c>
      <c r="J204" s="75">
        <f t="shared" si="26"/>
        <v>3.843</v>
      </c>
      <c r="K204" s="780"/>
      <c r="L204" s="20"/>
      <c r="M204" s="20"/>
      <c r="N204" s="20"/>
      <c r="O204" s="20"/>
      <c r="P204" s="20"/>
      <c r="Q204" s="23"/>
      <c r="R204" s="22" t="s">
        <v>16</v>
      </c>
      <c r="S204" s="22" t="s">
        <v>16</v>
      </c>
      <c r="T204" s="20" t="e">
        <f t="shared" si="27"/>
        <v>#REF!</v>
      </c>
      <c r="U204" s="22" t="e">
        <f>#REF!</f>
        <v>#REF!</v>
      </c>
      <c r="V204" s="20"/>
    </row>
    <row r="205" spans="1:22" ht="12.75" customHeight="1">
      <c r="A205" s="76" t="s">
        <v>634</v>
      </c>
      <c r="B205" s="2" t="s">
        <v>22</v>
      </c>
      <c r="C205" s="2">
        <v>250</v>
      </c>
      <c r="D205" s="2">
        <v>124</v>
      </c>
      <c r="E205" s="2">
        <v>130</v>
      </c>
      <c r="F205" s="2">
        <v>120</v>
      </c>
      <c r="G205" s="21">
        <f t="shared" si="32"/>
        <v>3.875</v>
      </c>
      <c r="H205" s="20">
        <f t="shared" si="24"/>
        <v>4.03</v>
      </c>
      <c r="I205" s="20">
        <f t="shared" si="25"/>
        <v>3.875</v>
      </c>
      <c r="J205" s="75">
        <f t="shared" si="26"/>
        <v>3.81</v>
      </c>
      <c r="K205" s="780"/>
      <c r="L205" s="20"/>
      <c r="M205" s="20"/>
      <c r="N205" s="20"/>
      <c r="O205" s="20"/>
      <c r="P205" s="20"/>
      <c r="Q205" s="23"/>
      <c r="R205" s="22" t="s">
        <v>16</v>
      </c>
      <c r="S205" s="22" t="s">
        <v>16</v>
      </c>
      <c r="T205" s="20" t="e">
        <f t="shared" si="27"/>
        <v>#REF!</v>
      </c>
      <c r="U205" s="22" t="e">
        <f>#REF!</f>
        <v>#REF!</v>
      </c>
      <c r="V205" s="20"/>
    </row>
    <row r="206" spans="1:22" ht="12.75" customHeight="1">
      <c r="A206" s="76" t="s">
        <v>635</v>
      </c>
      <c r="B206" s="2" t="s">
        <v>22</v>
      </c>
      <c r="C206" s="2">
        <v>250</v>
      </c>
      <c r="D206" s="2">
        <v>124</v>
      </c>
      <c r="E206" s="2">
        <v>137</v>
      </c>
      <c r="F206" s="2">
        <v>113</v>
      </c>
      <c r="G206" s="21">
        <f t="shared" si="32"/>
        <v>3.875</v>
      </c>
      <c r="H206" s="20">
        <f t="shared" si="24"/>
        <v>4.2469999999999999</v>
      </c>
      <c r="I206" s="20">
        <f t="shared" si="25"/>
        <v>3.875</v>
      </c>
      <c r="J206" s="75">
        <f t="shared" si="26"/>
        <v>3.6869999999999998</v>
      </c>
      <c r="K206" s="780"/>
      <c r="L206" s="20"/>
      <c r="M206" s="20"/>
      <c r="N206" s="20"/>
      <c r="O206" s="20"/>
      <c r="P206" s="20"/>
      <c r="Q206" s="23"/>
      <c r="R206" s="22" t="s">
        <v>16</v>
      </c>
      <c r="S206" s="22" t="s">
        <v>16</v>
      </c>
      <c r="T206" s="20" t="e">
        <f t="shared" si="27"/>
        <v>#REF!</v>
      </c>
      <c r="U206" s="22" t="e">
        <f>#REF!</f>
        <v>#REF!</v>
      </c>
      <c r="V206" s="20"/>
    </row>
    <row r="207" spans="1:22" ht="12.75" customHeight="1">
      <c r="A207" s="76" t="s">
        <v>616</v>
      </c>
      <c r="B207" s="2" t="s">
        <v>22</v>
      </c>
      <c r="C207" s="2">
        <v>250</v>
      </c>
      <c r="D207" s="2">
        <v>155</v>
      </c>
      <c r="E207" s="2">
        <v>100</v>
      </c>
      <c r="F207" s="2">
        <v>100</v>
      </c>
      <c r="G207" s="21">
        <f t="shared" si="32"/>
        <v>3.875</v>
      </c>
      <c r="H207" s="20">
        <f t="shared" si="24"/>
        <v>3.875</v>
      </c>
      <c r="I207" s="20">
        <f t="shared" si="25"/>
        <v>3.875</v>
      </c>
      <c r="J207" s="75">
        <f t="shared" si="26"/>
        <v>3.1880000000000002</v>
      </c>
      <c r="K207" s="780"/>
      <c r="L207" s="20"/>
      <c r="M207" s="20"/>
      <c r="N207" s="20"/>
      <c r="O207" s="20"/>
      <c r="P207" s="20"/>
      <c r="Q207" s="23"/>
      <c r="R207" s="22" t="s">
        <v>16</v>
      </c>
      <c r="S207" s="22" t="s">
        <v>16</v>
      </c>
      <c r="T207" s="20" t="e">
        <f t="shared" si="27"/>
        <v>#REF!</v>
      </c>
      <c r="U207" s="22" t="e">
        <f>#REF!</f>
        <v>#REF!</v>
      </c>
      <c r="V207" s="20"/>
    </row>
    <row r="208" spans="1:22" ht="12.75" customHeight="1">
      <c r="A208" s="76" t="s">
        <v>617</v>
      </c>
      <c r="B208" s="2" t="s">
        <v>22</v>
      </c>
      <c r="C208" s="2">
        <v>250</v>
      </c>
      <c r="D208" s="2">
        <v>155</v>
      </c>
      <c r="E208" s="2">
        <v>103</v>
      </c>
      <c r="F208" s="2">
        <v>97</v>
      </c>
      <c r="G208" s="21">
        <f t="shared" si="32"/>
        <v>3.875</v>
      </c>
      <c r="H208" s="20">
        <f t="shared" si="24"/>
        <v>3.9910000000000001</v>
      </c>
      <c r="I208" s="20">
        <f t="shared" si="25"/>
        <v>3.875</v>
      </c>
      <c r="J208" s="75">
        <f t="shared" si="26"/>
        <v>3.1280000000000001</v>
      </c>
      <c r="K208" s="780"/>
      <c r="L208" s="20"/>
      <c r="M208" s="20"/>
      <c r="N208" s="20"/>
      <c r="O208" s="20"/>
      <c r="P208" s="20"/>
      <c r="Q208" s="23"/>
      <c r="R208" s="22" t="s">
        <v>16</v>
      </c>
      <c r="S208" s="22" t="s">
        <v>16</v>
      </c>
      <c r="T208" s="20" t="e">
        <f t="shared" si="27"/>
        <v>#REF!</v>
      </c>
      <c r="U208" s="22" t="e">
        <f>#REF!</f>
        <v>#REF!</v>
      </c>
      <c r="V208" s="20"/>
    </row>
    <row r="209" spans="1:22" ht="12.75" customHeight="1">
      <c r="A209" s="76" t="s">
        <v>618</v>
      </c>
      <c r="B209" s="2" t="s">
        <v>22</v>
      </c>
      <c r="C209" s="2">
        <v>250</v>
      </c>
      <c r="D209" s="2">
        <v>155</v>
      </c>
      <c r="E209" s="2">
        <v>105</v>
      </c>
      <c r="F209" s="2">
        <v>95</v>
      </c>
      <c r="G209" s="21">
        <f t="shared" si="32"/>
        <v>3.875</v>
      </c>
      <c r="H209" s="20">
        <f t="shared" si="24"/>
        <v>4.069</v>
      </c>
      <c r="I209" s="20">
        <f t="shared" si="25"/>
        <v>3.875</v>
      </c>
      <c r="J209" s="75">
        <f t="shared" si="26"/>
        <v>3.0880000000000001</v>
      </c>
      <c r="K209" s="780"/>
      <c r="L209" s="20"/>
      <c r="M209" s="20"/>
      <c r="N209" s="20"/>
      <c r="O209" s="20"/>
      <c r="P209" s="20"/>
      <c r="Q209" s="23"/>
      <c r="R209" s="22" t="s">
        <v>16</v>
      </c>
      <c r="S209" s="22" t="s">
        <v>16</v>
      </c>
      <c r="T209" s="20" t="e">
        <f t="shared" si="27"/>
        <v>#REF!</v>
      </c>
      <c r="U209" s="22" t="e">
        <f>#REF!</f>
        <v>#REF!</v>
      </c>
      <c r="V209" s="20"/>
    </row>
    <row r="210" spans="1:22" ht="12.75" customHeight="1">
      <c r="A210" s="76" t="s">
        <v>619</v>
      </c>
      <c r="B210" s="2" t="s">
        <v>22</v>
      </c>
      <c r="C210" s="2">
        <v>250</v>
      </c>
      <c r="D210" s="2">
        <v>155</v>
      </c>
      <c r="E210" s="2">
        <v>110</v>
      </c>
      <c r="F210" s="2">
        <v>90</v>
      </c>
      <c r="G210" s="21">
        <f t="shared" si="32"/>
        <v>3.875</v>
      </c>
      <c r="H210" s="20">
        <f t="shared" si="24"/>
        <v>4.2629999999999999</v>
      </c>
      <c r="I210" s="20">
        <f t="shared" si="25"/>
        <v>3.875</v>
      </c>
      <c r="J210" s="75">
        <f t="shared" si="26"/>
        <v>2.9809999999999999</v>
      </c>
      <c r="K210" s="780"/>
      <c r="L210" s="20"/>
      <c r="M210" s="20"/>
      <c r="N210" s="20"/>
      <c r="O210" s="20"/>
      <c r="P210" s="20"/>
      <c r="Q210" s="23"/>
      <c r="R210" s="22" t="s">
        <v>16</v>
      </c>
      <c r="S210" s="22" t="s">
        <v>16</v>
      </c>
      <c r="T210" s="20" t="e">
        <f t="shared" si="27"/>
        <v>#REF!</v>
      </c>
      <c r="U210" s="22" t="e">
        <f>#REF!</f>
        <v>#REF!</v>
      </c>
      <c r="V210" s="20"/>
    </row>
    <row r="211" spans="1:22" ht="12.75" customHeight="1">
      <c r="A211" s="76" t="s">
        <v>620</v>
      </c>
      <c r="B211" s="2" t="s">
        <v>22</v>
      </c>
      <c r="C211" s="2">
        <v>250</v>
      </c>
      <c r="D211" s="2">
        <v>155</v>
      </c>
      <c r="E211" s="2">
        <v>113</v>
      </c>
      <c r="F211" s="2">
        <v>87</v>
      </c>
      <c r="G211" s="21">
        <f t="shared" si="32"/>
        <v>3.875</v>
      </c>
      <c r="H211" s="20">
        <f t="shared" si="24"/>
        <v>4.3789999999999996</v>
      </c>
      <c r="I211" s="20">
        <f t="shared" si="25"/>
        <v>3.875</v>
      </c>
      <c r="J211" s="75">
        <f t="shared" si="26"/>
        <v>2.915</v>
      </c>
      <c r="K211" s="780"/>
      <c r="L211" s="20"/>
      <c r="M211" s="20"/>
      <c r="N211" s="20"/>
      <c r="O211" s="20"/>
      <c r="P211" s="20"/>
      <c r="Q211" s="23"/>
      <c r="R211" s="22" t="s">
        <v>16</v>
      </c>
      <c r="S211" s="22" t="s">
        <v>16</v>
      </c>
      <c r="T211" s="20" t="e">
        <f t="shared" si="27"/>
        <v>#REF!</v>
      </c>
      <c r="U211" s="22" t="e">
        <f>#REF!</f>
        <v>#REF!</v>
      </c>
      <c r="V211" s="20"/>
    </row>
    <row r="212" spans="1:22" ht="12.75" customHeight="1">
      <c r="A212" s="76" t="s">
        <v>621</v>
      </c>
      <c r="B212" s="2" t="s">
        <v>22</v>
      </c>
      <c r="C212" s="2">
        <v>250</v>
      </c>
      <c r="D212" s="2">
        <v>187</v>
      </c>
      <c r="E212" s="2">
        <v>100</v>
      </c>
      <c r="F212" s="2">
        <v>100</v>
      </c>
      <c r="G212" s="21">
        <f t="shared" si="32"/>
        <v>4.6749999999999998</v>
      </c>
      <c r="H212" s="20">
        <f t="shared" si="24"/>
        <v>4.6749999999999998</v>
      </c>
      <c r="I212" s="20">
        <f t="shared" si="25"/>
        <v>4.6749999999999998</v>
      </c>
      <c r="J212" s="75">
        <f t="shared" si="26"/>
        <v>3.5880000000000001</v>
      </c>
      <c r="K212" s="780"/>
      <c r="L212" s="20"/>
      <c r="M212" s="20"/>
      <c r="N212" s="20"/>
      <c r="O212" s="20"/>
      <c r="P212" s="20"/>
      <c r="Q212" s="23"/>
      <c r="R212" s="22" t="s">
        <v>16</v>
      </c>
      <c r="S212" s="22" t="s">
        <v>16</v>
      </c>
      <c r="T212" s="20" t="e">
        <f t="shared" si="27"/>
        <v>#REF!</v>
      </c>
      <c r="U212" s="22" t="e">
        <f>#REF!</f>
        <v>#REF!</v>
      </c>
      <c r="V212" s="20"/>
    </row>
    <row r="213" spans="1:22" ht="12.75" customHeight="1">
      <c r="A213" s="76" t="s">
        <v>622</v>
      </c>
      <c r="B213" s="2" t="s">
        <v>22</v>
      </c>
      <c r="C213" s="2">
        <v>250</v>
      </c>
      <c r="D213" s="2">
        <v>187</v>
      </c>
      <c r="E213" s="2">
        <v>104</v>
      </c>
      <c r="F213" s="2">
        <v>96</v>
      </c>
      <c r="G213" s="21">
        <f t="shared" si="32"/>
        <v>4.6749999999999998</v>
      </c>
      <c r="H213" s="20">
        <f t="shared" si="24"/>
        <v>4.8620000000000001</v>
      </c>
      <c r="I213" s="20">
        <f t="shared" si="25"/>
        <v>4.6749999999999998</v>
      </c>
      <c r="J213" s="75">
        <f t="shared" si="26"/>
        <v>3.492</v>
      </c>
      <c r="K213" s="780"/>
      <c r="L213" s="20"/>
      <c r="M213" s="20"/>
      <c r="N213" s="20"/>
      <c r="O213" s="20"/>
      <c r="P213" s="20"/>
      <c r="Q213" s="23"/>
      <c r="R213" s="22" t="s">
        <v>16</v>
      </c>
      <c r="S213" s="22" t="s">
        <v>16</v>
      </c>
      <c r="T213" s="20" t="e">
        <f t="shared" si="27"/>
        <v>#REF!</v>
      </c>
      <c r="U213" s="22" t="e">
        <f>#REF!</f>
        <v>#REF!</v>
      </c>
      <c r="V213" s="20"/>
    </row>
    <row r="214" spans="1:22" ht="12.75" customHeight="1">
      <c r="A214" s="76" t="s">
        <v>623</v>
      </c>
      <c r="B214" s="2" t="s">
        <v>22</v>
      </c>
      <c r="C214" s="2">
        <v>250</v>
      </c>
      <c r="D214" s="2">
        <v>187</v>
      </c>
      <c r="E214" s="2">
        <v>105</v>
      </c>
      <c r="F214" s="2">
        <v>95</v>
      </c>
      <c r="G214" s="21">
        <f t="shared" si="32"/>
        <v>4.6749999999999998</v>
      </c>
      <c r="H214" s="20">
        <f t="shared" si="24"/>
        <v>4.9089999999999998</v>
      </c>
      <c r="I214" s="20">
        <f t="shared" si="25"/>
        <v>4.6749999999999998</v>
      </c>
      <c r="J214" s="75">
        <f t="shared" si="26"/>
        <v>3.468</v>
      </c>
      <c r="K214" s="780"/>
      <c r="L214" s="20"/>
      <c r="M214" s="20"/>
      <c r="N214" s="20"/>
      <c r="O214" s="20"/>
      <c r="P214" s="20"/>
      <c r="Q214" s="23"/>
      <c r="R214" s="22" t="s">
        <v>16</v>
      </c>
      <c r="S214" s="22" t="s">
        <v>16</v>
      </c>
      <c r="T214" s="20" t="e">
        <f t="shared" si="27"/>
        <v>#REF!</v>
      </c>
      <c r="U214" s="22" t="e">
        <f>#REF!</f>
        <v>#REF!</v>
      </c>
      <c r="V214" s="20"/>
    </row>
    <row r="215" spans="1:22" ht="12.75" customHeight="1">
      <c r="A215" s="76" t="s">
        <v>624</v>
      </c>
      <c r="B215" s="2" t="s">
        <v>22</v>
      </c>
      <c r="C215" s="2">
        <v>250</v>
      </c>
      <c r="D215" s="2">
        <v>187</v>
      </c>
      <c r="E215" s="2">
        <v>106</v>
      </c>
      <c r="F215" s="2">
        <v>94</v>
      </c>
      <c r="G215" s="21">
        <f t="shared" si="32"/>
        <v>4.6749999999999998</v>
      </c>
      <c r="H215" s="20">
        <f t="shared" si="24"/>
        <v>4.9560000000000004</v>
      </c>
      <c r="I215" s="20">
        <f t="shared" si="25"/>
        <v>4.6749999999999998</v>
      </c>
      <c r="J215" s="75">
        <f t="shared" si="26"/>
        <v>3.4430000000000001</v>
      </c>
      <c r="K215" s="780"/>
      <c r="L215" s="20"/>
      <c r="M215" s="20"/>
      <c r="N215" s="20"/>
      <c r="O215" s="20"/>
      <c r="P215" s="20"/>
      <c r="Q215" s="23"/>
      <c r="R215" s="22" t="s">
        <v>16</v>
      </c>
      <c r="S215" s="22" t="s">
        <v>16</v>
      </c>
      <c r="T215" s="20" t="e">
        <f t="shared" si="27"/>
        <v>#REF!</v>
      </c>
      <c r="U215" s="22" t="e">
        <f>#REF!</f>
        <v>#REF!</v>
      </c>
      <c r="V215" s="20"/>
    </row>
    <row r="216" spans="1:22" ht="12.75" customHeight="1">
      <c r="A216" s="76" t="s">
        <v>625</v>
      </c>
      <c r="B216" s="2" t="s">
        <v>22</v>
      </c>
      <c r="C216" s="2">
        <v>250</v>
      </c>
      <c r="D216" s="2">
        <v>187</v>
      </c>
      <c r="E216" s="2">
        <v>110</v>
      </c>
      <c r="F216" s="2">
        <v>90</v>
      </c>
      <c r="G216" s="21">
        <f t="shared" si="32"/>
        <v>4.6749999999999998</v>
      </c>
      <c r="H216" s="20">
        <f t="shared" si="24"/>
        <v>5.1429999999999998</v>
      </c>
      <c r="I216" s="20">
        <f t="shared" si="25"/>
        <v>4.6749999999999998</v>
      </c>
      <c r="J216" s="75">
        <f t="shared" si="26"/>
        <v>3.3410000000000002</v>
      </c>
      <c r="K216" s="780"/>
      <c r="L216" s="20"/>
      <c r="M216" s="20"/>
      <c r="N216" s="20"/>
      <c r="O216" s="20"/>
      <c r="P216" s="20"/>
      <c r="Q216" s="23"/>
      <c r="R216" s="22" t="s">
        <v>16</v>
      </c>
      <c r="S216" s="22" t="s">
        <v>16</v>
      </c>
      <c r="T216" s="20" t="e">
        <f t="shared" si="27"/>
        <v>#REF!</v>
      </c>
      <c r="U216" s="22" t="e">
        <f>#REF!</f>
        <v>#REF!</v>
      </c>
      <c r="V216" s="20"/>
    </row>
    <row r="217" spans="1:22" ht="12.75" customHeight="1">
      <c r="A217" s="76" t="s">
        <v>626</v>
      </c>
      <c r="B217" s="2" t="s">
        <v>22</v>
      </c>
      <c r="C217" s="2">
        <v>250</v>
      </c>
      <c r="D217" s="2">
        <v>187</v>
      </c>
      <c r="E217" s="2">
        <v>111</v>
      </c>
      <c r="F217" s="2">
        <v>89</v>
      </c>
      <c r="G217" s="21">
        <f t="shared" si="32"/>
        <v>4.6749999999999998</v>
      </c>
      <c r="H217" s="20">
        <f t="shared" si="24"/>
        <v>5.1890000000000001</v>
      </c>
      <c r="I217" s="20">
        <f t="shared" si="25"/>
        <v>4.6749999999999998</v>
      </c>
      <c r="J217" s="75">
        <f t="shared" si="26"/>
        <v>3.3149999999999999</v>
      </c>
      <c r="K217" s="780"/>
      <c r="L217" s="20"/>
      <c r="M217" s="20"/>
      <c r="N217" s="20"/>
      <c r="O217" s="20"/>
      <c r="P217" s="20"/>
      <c r="Q217" s="23"/>
      <c r="R217" s="22" t="s">
        <v>16</v>
      </c>
      <c r="S217" s="22" t="s">
        <v>16</v>
      </c>
      <c r="T217" s="20" t="e">
        <f t="shared" si="27"/>
        <v>#REF!</v>
      </c>
      <c r="U217" s="22" t="e">
        <f>#REF!</f>
        <v>#REF!</v>
      </c>
      <c r="V217" s="20"/>
    </row>
    <row r="218" spans="1:22" ht="12.75" customHeight="1">
      <c r="A218" s="76" t="s">
        <v>627</v>
      </c>
      <c r="B218" s="2" t="s">
        <v>22</v>
      </c>
      <c r="C218" s="2">
        <v>250</v>
      </c>
      <c r="D218" s="2">
        <v>220</v>
      </c>
      <c r="E218" s="2">
        <v>100</v>
      </c>
      <c r="F218" s="2">
        <v>100</v>
      </c>
      <c r="G218" s="21">
        <f t="shared" si="32"/>
        <v>5.5</v>
      </c>
      <c r="H218" s="20">
        <f t="shared" si="24"/>
        <v>5.5</v>
      </c>
      <c r="I218" s="20">
        <f t="shared" si="25"/>
        <v>5.5</v>
      </c>
      <c r="J218" s="75">
        <f t="shared" si="26"/>
        <v>4</v>
      </c>
      <c r="K218" s="780"/>
      <c r="L218" s="20"/>
      <c r="M218" s="20"/>
      <c r="N218" s="20"/>
      <c r="O218" s="20"/>
      <c r="P218" s="20"/>
      <c r="Q218" s="23"/>
      <c r="R218" s="22" t="s">
        <v>16</v>
      </c>
      <c r="S218" s="22" t="s">
        <v>16</v>
      </c>
      <c r="T218" s="20" t="e">
        <f t="shared" si="27"/>
        <v>#REF!</v>
      </c>
      <c r="U218" s="22" t="e">
        <f>#REF!</f>
        <v>#REF!</v>
      </c>
      <c r="V218" s="20"/>
    </row>
    <row r="219" spans="1:22" ht="12.75" customHeight="1">
      <c r="A219" s="76" t="s">
        <v>628</v>
      </c>
      <c r="B219" s="2" t="s">
        <v>22</v>
      </c>
      <c r="C219" s="2">
        <v>250</v>
      </c>
      <c r="D219" s="2">
        <v>220</v>
      </c>
      <c r="E219" s="2">
        <v>103</v>
      </c>
      <c r="F219" s="2">
        <v>97</v>
      </c>
      <c r="G219" s="21">
        <f t="shared" si="32"/>
        <v>5.5</v>
      </c>
      <c r="H219" s="20">
        <f t="shared" si="24"/>
        <v>5.665</v>
      </c>
      <c r="I219" s="20">
        <f t="shared" si="25"/>
        <v>5.5</v>
      </c>
      <c r="J219" s="75">
        <f t="shared" si="26"/>
        <v>3.9159999999999999</v>
      </c>
      <c r="K219" s="780"/>
      <c r="L219" s="20"/>
      <c r="M219" s="20"/>
      <c r="N219" s="20"/>
      <c r="O219" s="20"/>
      <c r="P219" s="20"/>
      <c r="Q219" s="23"/>
      <c r="R219" s="22" t="s">
        <v>16</v>
      </c>
      <c r="S219" s="22" t="s">
        <v>16</v>
      </c>
      <c r="T219" s="20" t="e">
        <f t="shared" si="27"/>
        <v>#REF!</v>
      </c>
      <c r="U219" s="22" t="e">
        <f>#REF!</f>
        <v>#REF!</v>
      </c>
      <c r="V219" s="20"/>
    </row>
    <row r="220" spans="1:22" ht="12.75" customHeight="1">
      <c r="A220" s="76" t="s">
        <v>629</v>
      </c>
      <c r="B220" s="2" t="s">
        <v>22</v>
      </c>
      <c r="C220" s="2">
        <v>250</v>
      </c>
      <c r="D220" s="2">
        <v>220</v>
      </c>
      <c r="E220" s="2">
        <v>104</v>
      </c>
      <c r="F220" s="2">
        <v>96</v>
      </c>
      <c r="G220" s="21">
        <f t="shared" si="32"/>
        <v>5.5</v>
      </c>
      <c r="H220" s="20">
        <f t="shared" si="24"/>
        <v>5.72</v>
      </c>
      <c r="I220" s="20">
        <f t="shared" si="25"/>
        <v>5.5</v>
      </c>
      <c r="J220" s="75">
        <f t="shared" si="26"/>
        <v>3.8879999999999999</v>
      </c>
      <c r="K220" s="780"/>
      <c r="L220" s="20"/>
      <c r="M220" s="20"/>
      <c r="N220" s="20"/>
      <c r="O220" s="20"/>
      <c r="P220" s="20"/>
      <c r="Q220" s="23"/>
      <c r="R220" s="22" t="s">
        <v>16</v>
      </c>
      <c r="S220" s="22" t="s">
        <v>16</v>
      </c>
      <c r="T220" s="20" t="e">
        <f t="shared" si="27"/>
        <v>#REF!</v>
      </c>
      <c r="U220" s="22" t="e">
        <f>#REF!</f>
        <v>#REF!</v>
      </c>
      <c r="V220" s="20"/>
    </row>
    <row r="221" spans="1:22" ht="12.75" customHeight="1">
      <c r="A221" s="76" t="s">
        <v>630</v>
      </c>
      <c r="B221" s="2" t="s">
        <v>22</v>
      </c>
      <c r="C221" s="2">
        <v>250</v>
      </c>
      <c r="D221" s="2">
        <v>220</v>
      </c>
      <c r="E221" s="2">
        <v>106</v>
      </c>
      <c r="F221" s="2">
        <v>94</v>
      </c>
      <c r="G221" s="21">
        <f t="shared" si="32"/>
        <v>5.5</v>
      </c>
      <c r="H221" s="20">
        <f t="shared" si="24"/>
        <v>5.83</v>
      </c>
      <c r="I221" s="20">
        <f t="shared" si="25"/>
        <v>5.5</v>
      </c>
      <c r="J221" s="75">
        <f t="shared" si="26"/>
        <v>3.831</v>
      </c>
      <c r="K221" s="780"/>
      <c r="L221" s="20"/>
      <c r="M221" s="20"/>
      <c r="N221" s="20"/>
      <c r="O221" s="20"/>
      <c r="P221" s="20"/>
      <c r="Q221" s="23"/>
      <c r="R221" s="22" t="s">
        <v>16</v>
      </c>
      <c r="S221" s="22" t="s">
        <v>16</v>
      </c>
      <c r="T221" s="20" t="e">
        <f t="shared" si="27"/>
        <v>#REF!</v>
      </c>
      <c r="U221" s="22" t="e">
        <f>#REF!</f>
        <v>#REF!</v>
      </c>
      <c r="V221" s="20"/>
    </row>
    <row r="222" spans="1:22" ht="12.75" customHeight="1">
      <c r="A222" s="76" t="s">
        <v>631</v>
      </c>
      <c r="B222" s="2" t="s">
        <v>22</v>
      </c>
      <c r="C222" s="2">
        <v>250</v>
      </c>
      <c r="D222" s="2">
        <v>220</v>
      </c>
      <c r="E222" s="2">
        <v>108</v>
      </c>
      <c r="F222" s="2">
        <v>92</v>
      </c>
      <c r="G222" s="21">
        <f t="shared" si="32"/>
        <v>5.5</v>
      </c>
      <c r="H222" s="20">
        <f t="shared" si="24"/>
        <v>5.94</v>
      </c>
      <c r="I222" s="20">
        <f t="shared" si="25"/>
        <v>5.5</v>
      </c>
      <c r="J222" s="75">
        <f t="shared" si="26"/>
        <v>3.7719999999999998</v>
      </c>
      <c r="K222" s="780"/>
      <c r="L222" s="20"/>
      <c r="M222" s="20"/>
      <c r="N222" s="20"/>
      <c r="O222" s="20"/>
      <c r="P222" s="20"/>
      <c r="Q222" s="23"/>
      <c r="R222" s="22" t="s">
        <v>16</v>
      </c>
      <c r="S222" s="22" t="s">
        <v>16</v>
      </c>
      <c r="T222" s="20" t="e">
        <f t="shared" si="27"/>
        <v>#REF!</v>
      </c>
      <c r="U222" s="22" t="e">
        <f>#REF!</f>
        <v>#REF!</v>
      </c>
      <c r="V222" s="20"/>
    </row>
    <row r="223" spans="1:22" ht="12.75" customHeight="1" thickBot="1">
      <c r="A223" s="76" t="s">
        <v>632</v>
      </c>
      <c r="B223" s="2" t="s">
        <v>22</v>
      </c>
      <c r="C223" s="2">
        <v>250</v>
      </c>
      <c r="D223" s="2">
        <v>220</v>
      </c>
      <c r="E223" s="2">
        <v>111</v>
      </c>
      <c r="F223" s="2">
        <v>89</v>
      </c>
      <c r="G223" s="21">
        <f t="shared" si="32"/>
        <v>5.5</v>
      </c>
      <c r="H223" s="20">
        <f t="shared" si="24"/>
        <v>6.1050000000000004</v>
      </c>
      <c r="I223" s="20">
        <f t="shared" si="25"/>
        <v>5.5</v>
      </c>
      <c r="J223" s="75">
        <f t="shared" si="26"/>
        <v>3.6819999999999999</v>
      </c>
      <c r="K223" s="781"/>
      <c r="L223" s="20"/>
      <c r="M223" s="20"/>
      <c r="N223" s="20"/>
      <c r="O223" s="20"/>
      <c r="P223" s="20"/>
      <c r="Q223" s="23"/>
      <c r="R223" s="22" t="s">
        <v>16</v>
      </c>
      <c r="S223" s="22" t="s">
        <v>16</v>
      </c>
      <c r="T223" s="20" t="e">
        <f t="shared" si="27"/>
        <v>#REF!</v>
      </c>
      <c r="U223" s="22" t="e">
        <f>#REF!</f>
        <v>#REF!</v>
      </c>
      <c r="V223" s="20"/>
    </row>
    <row r="224" spans="1:22" ht="25.2" thickBot="1">
      <c r="A224" s="368"/>
      <c r="B224" s="72"/>
      <c r="C224" s="72"/>
      <c r="D224" s="72"/>
      <c r="E224" s="72"/>
      <c r="F224" s="72"/>
      <c r="G224" s="102"/>
      <c r="H224" s="72"/>
      <c r="I224" s="72"/>
      <c r="J224" s="72"/>
      <c r="K224" s="74"/>
      <c r="L224" s="20"/>
      <c r="M224" s="20"/>
      <c r="N224" s="20"/>
      <c r="O224" s="20"/>
      <c r="P224" s="20"/>
      <c r="Q224" s="23"/>
      <c r="R224" s="22"/>
      <c r="S224" s="22"/>
      <c r="T224" s="20"/>
      <c r="U224" s="22"/>
      <c r="V224" s="20"/>
    </row>
    <row r="225" spans="1:22">
      <c r="A225" s="76" t="s">
        <v>445</v>
      </c>
      <c r="B225" s="2" t="s">
        <v>2181</v>
      </c>
      <c r="C225" s="2">
        <v>200</v>
      </c>
      <c r="D225" s="2">
        <v>150</v>
      </c>
      <c r="E225" s="2">
        <v>119</v>
      </c>
      <c r="F225" s="2">
        <v>110</v>
      </c>
      <c r="G225" s="21">
        <f t="shared" si="32"/>
        <v>3.4350000000000001</v>
      </c>
      <c r="H225" s="20">
        <f t="shared" ref="H225:H226" si="33">ROUND(C225*D225*E225/10^6,3)</f>
        <v>3.57</v>
      </c>
      <c r="I225" s="20">
        <f t="shared" ref="I225:I227" si="34">IF(F225="","-",ROUND((E225+F225)*C225/2*D225/10^6,3))</f>
        <v>3.4350000000000001</v>
      </c>
      <c r="J225" s="75">
        <f t="shared" ref="J225:J227" si="35">IF(F225="","-",ROUND((D225+E225)*C225/2*F225/10^6,3))</f>
        <v>2.9590000000000001</v>
      </c>
      <c r="K225" s="59"/>
      <c r="L225" s="20"/>
      <c r="M225" s="20"/>
      <c r="N225" s="20"/>
      <c r="O225" s="20"/>
      <c r="P225" s="20"/>
      <c r="Q225" s="21"/>
      <c r="R225" s="22">
        <f t="shared" ref="R225:R260" si="36">D225</f>
        <v>150</v>
      </c>
      <c r="S225" s="20"/>
      <c r="T225" s="20">
        <f t="shared" ref="T225:T260" si="37">(E225+U225)/2/(SIN(RADIANS((ATAN(((E225+U225)-(F225+U225))/2/C225)*180/PI()))))*2</f>
        <v>5334.6831625171944</v>
      </c>
      <c r="U225" s="22">
        <v>1</v>
      </c>
      <c r="V225" s="20"/>
    </row>
    <row r="226" spans="1:22">
      <c r="A226" s="76" t="s">
        <v>446</v>
      </c>
      <c r="B226" s="2" t="s">
        <v>2181</v>
      </c>
      <c r="C226" s="2">
        <v>200</v>
      </c>
      <c r="D226" s="2">
        <v>150</v>
      </c>
      <c r="E226" s="2">
        <v>130</v>
      </c>
      <c r="F226" s="2">
        <v>110</v>
      </c>
      <c r="G226" s="21">
        <f t="shared" si="32"/>
        <v>3.6</v>
      </c>
      <c r="H226" s="20">
        <f t="shared" si="33"/>
        <v>3.9</v>
      </c>
      <c r="I226" s="20">
        <f t="shared" si="34"/>
        <v>3.6</v>
      </c>
      <c r="J226" s="75">
        <f t="shared" si="35"/>
        <v>3.08</v>
      </c>
      <c r="K226" s="59"/>
      <c r="L226" s="20"/>
      <c r="M226" s="20"/>
      <c r="N226" s="20"/>
      <c r="O226" s="20"/>
      <c r="P226" s="20"/>
      <c r="Q226" s="21"/>
      <c r="R226" s="22">
        <f t="shared" si="36"/>
        <v>150</v>
      </c>
      <c r="S226" s="20"/>
      <c r="T226" s="20">
        <f t="shared" si="37"/>
        <v>2623.272955679603</v>
      </c>
      <c r="U226" s="22">
        <v>1</v>
      </c>
      <c r="V226" s="20"/>
    </row>
    <row r="227" spans="1:22">
      <c r="A227" s="76" t="s">
        <v>451</v>
      </c>
      <c r="B227" s="2" t="s">
        <v>2181</v>
      </c>
      <c r="C227" s="2">
        <v>300</v>
      </c>
      <c r="D227" s="2">
        <v>150</v>
      </c>
      <c r="E227" s="2">
        <v>69</v>
      </c>
      <c r="F227" s="2">
        <v>65</v>
      </c>
      <c r="G227" s="21">
        <f t="shared" si="32"/>
        <v>3.0150000000000001</v>
      </c>
      <c r="H227" s="20">
        <f t="shared" ref="H227:H231" si="38">ROUND(C227*D227*E227/10^6,3)</f>
        <v>3.105</v>
      </c>
      <c r="I227" s="20">
        <f t="shared" si="34"/>
        <v>3.0150000000000001</v>
      </c>
      <c r="J227" s="75">
        <f t="shared" si="35"/>
        <v>2.1349999999999998</v>
      </c>
      <c r="K227" s="59"/>
      <c r="L227" s="20"/>
      <c r="M227" s="20"/>
      <c r="N227" s="20"/>
      <c r="O227" s="20"/>
      <c r="P227" s="20"/>
      <c r="Q227" s="21"/>
      <c r="R227" s="22">
        <f t="shared" si="36"/>
        <v>150</v>
      </c>
      <c r="S227" s="20"/>
      <c r="T227" s="20">
        <f t="shared" si="37"/>
        <v>10500.233330740797</v>
      </c>
      <c r="U227" s="22">
        <v>1</v>
      </c>
      <c r="V227" s="20"/>
    </row>
    <row r="228" spans="1:22">
      <c r="A228" s="76" t="s">
        <v>452</v>
      </c>
      <c r="B228" s="2" t="s">
        <v>2181</v>
      </c>
      <c r="C228" s="2">
        <v>300</v>
      </c>
      <c r="D228" s="2">
        <v>150</v>
      </c>
      <c r="E228" s="2">
        <v>71</v>
      </c>
      <c r="F228" s="2">
        <v>65</v>
      </c>
      <c r="G228" s="21">
        <f t="shared" si="32"/>
        <v>3.06</v>
      </c>
      <c r="H228" s="20">
        <f t="shared" si="38"/>
        <v>3.1949999999999998</v>
      </c>
      <c r="I228" s="20">
        <f t="shared" ref="I228:I233" si="39">IF(F228="","-",ROUND((E228+F228)*C228/2*D228/10^6,3))</f>
        <v>3.06</v>
      </c>
      <c r="J228" s="75">
        <f t="shared" ref="J228:J233" si="40">IF(F228="","-",ROUND((D228+E228)*C228/2*F228/10^6,3))</f>
        <v>2.1549999999999998</v>
      </c>
      <c r="K228" s="59"/>
      <c r="L228" s="20"/>
      <c r="M228" s="20"/>
      <c r="N228" s="20"/>
      <c r="O228" s="20"/>
      <c r="P228" s="20"/>
      <c r="Q228" s="21"/>
      <c r="R228" s="22">
        <f t="shared" si="36"/>
        <v>150</v>
      </c>
      <c r="S228" s="20"/>
      <c r="T228" s="20">
        <f t="shared" si="37"/>
        <v>7200.3599910004505</v>
      </c>
      <c r="U228" s="22">
        <v>1</v>
      </c>
      <c r="V228" s="20"/>
    </row>
    <row r="229" spans="1:22">
      <c r="A229" s="76" t="s">
        <v>453</v>
      </c>
      <c r="B229" s="2" t="s">
        <v>2181</v>
      </c>
      <c r="C229" s="2">
        <v>300</v>
      </c>
      <c r="D229" s="2">
        <v>150</v>
      </c>
      <c r="E229" s="2">
        <v>75</v>
      </c>
      <c r="F229" s="2">
        <v>65</v>
      </c>
      <c r="G229" s="21">
        <f t="shared" si="32"/>
        <v>3.15</v>
      </c>
      <c r="H229" s="20">
        <f t="shared" si="38"/>
        <v>3.375</v>
      </c>
      <c r="I229" s="20">
        <f t="shared" si="39"/>
        <v>3.15</v>
      </c>
      <c r="J229" s="75">
        <f t="shared" si="40"/>
        <v>2.194</v>
      </c>
      <c r="K229" s="59"/>
      <c r="L229" s="20"/>
      <c r="M229" s="20"/>
      <c r="N229" s="20"/>
      <c r="O229" s="20"/>
      <c r="P229" s="20"/>
      <c r="Q229" s="21"/>
      <c r="R229" s="22">
        <f t="shared" si="36"/>
        <v>150</v>
      </c>
      <c r="S229" s="20"/>
      <c r="T229" s="20">
        <f t="shared" si="37"/>
        <v>4560.6332893579602</v>
      </c>
      <c r="U229" s="22">
        <v>1</v>
      </c>
      <c r="V229" s="20"/>
    </row>
    <row r="230" spans="1:22">
      <c r="A230" s="76" t="s">
        <v>454</v>
      </c>
      <c r="B230" s="2" t="s">
        <v>2181</v>
      </c>
      <c r="C230" s="2">
        <v>300</v>
      </c>
      <c r="D230" s="2">
        <v>150</v>
      </c>
      <c r="E230" s="2">
        <v>85</v>
      </c>
      <c r="F230" s="2">
        <v>65</v>
      </c>
      <c r="G230" s="21">
        <f t="shared" si="32"/>
        <v>3.375</v>
      </c>
      <c r="H230" s="20">
        <f t="shared" si="38"/>
        <v>3.8250000000000002</v>
      </c>
      <c r="I230" s="20">
        <f t="shared" si="39"/>
        <v>3.375</v>
      </c>
      <c r="J230" s="75">
        <f t="shared" si="40"/>
        <v>2.2909999999999999</v>
      </c>
      <c r="K230" s="59"/>
      <c r="L230" s="20"/>
      <c r="M230" s="20"/>
      <c r="N230" s="20"/>
      <c r="O230" s="20"/>
      <c r="P230" s="20"/>
      <c r="Q230" s="23"/>
      <c r="R230" s="22">
        <f t="shared" si="36"/>
        <v>150</v>
      </c>
      <c r="S230" s="20"/>
      <c r="T230" s="20">
        <f t="shared" si="37"/>
        <v>2581.4329354062252</v>
      </c>
      <c r="U230" s="22">
        <v>1</v>
      </c>
      <c r="V230" s="20"/>
    </row>
    <row r="231" spans="1:22">
      <c r="A231" s="76" t="s">
        <v>455</v>
      </c>
      <c r="B231" s="2" t="s">
        <v>2181</v>
      </c>
      <c r="C231" s="2">
        <v>300</v>
      </c>
      <c r="D231" s="2">
        <v>150</v>
      </c>
      <c r="E231" s="2">
        <v>90</v>
      </c>
      <c r="F231" s="2">
        <v>65</v>
      </c>
      <c r="G231" s="21">
        <f t="shared" si="32"/>
        <v>3.4874999999999998</v>
      </c>
      <c r="H231" s="20">
        <f t="shared" si="38"/>
        <v>4.05</v>
      </c>
      <c r="I231" s="20">
        <f t="shared" si="39"/>
        <v>3.488</v>
      </c>
      <c r="J231" s="75">
        <f t="shared" si="40"/>
        <v>2.34</v>
      </c>
      <c r="K231" s="59"/>
      <c r="L231" s="20"/>
      <c r="M231" s="20"/>
      <c r="N231" s="20"/>
      <c r="O231" s="20"/>
      <c r="P231" s="20"/>
      <c r="Q231" s="23"/>
      <c r="R231" s="22">
        <f t="shared" si="36"/>
        <v>150</v>
      </c>
      <c r="S231" s="20"/>
      <c r="T231" s="20">
        <f t="shared" si="37"/>
        <v>2185.8950112025054</v>
      </c>
      <c r="U231" s="22">
        <v>1</v>
      </c>
      <c r="V231" s="20"/>
    </row>
    <row r="232" spans="1:22">
      <c r="A232" s="2" t="s">
        <v>456</v>
      </c>
      <c r="B232" s="2" t="s">
        <v>2181</v>
      </c>
      <c r="C232" s="2">
        <v>300</v>
      </c>
      <c r="D232" s="2">
        <v>225</v>
      </c>
      <c r="E232" s="2">
        <v>69</v>
      </c>
      <c r="F232" s="2">
        <v>65</v>
      </c>
      <c r="G232" s="21">
        <f t="shared" si="32"/>
        <v>4.5225</v>
      </c>
      <c r="H232" s="20">
        <f t="shared" ref="H232:H237" si="41">ROUND(C232*D232*E232/10^6,3)</f>
        <v>4.6580000000000004</v>
      </c>
      <c r="I232" s="20">
        <f t="shared" si="39"/>
        <v>4.5229999999999997</v>
      </c>
      <c r="J232" s="75">
        <f t="shared" si="40"/>
        <v>2.867</v>
      </c>
      <c r="K232" s="59"/>
      <c r="L232" s="20"/>
      <c r="M232" s="20"/>
      <c r="N232" s="20"/>
      <c r="O232" s="20"/>
      <c r="P232" s="20"/>
      <c r="Q232" s="21"/>
      <c r="R232" s="22">
        <f t="shared" si="36"/>
        <v>225</v>
      </c>
      <c r="S232" s="20"/>
      <c r="T232" s="20">
        <f t="shared" si="37"/>
        <v>10500.233330740797</v>
      </c>
      <c r="U232" s="22">
        <v>1</v>
      </c>
      <c r="V232" s="20"/>
    </row>
    <row r="233" spans="1:22">
      <c r="A233" s="2" t="s">
        <v>457</v>
      </c>
      <c r="B233" s="2" t="s">
        <v>2181</v>
      </c>
      <c r="C233" s="2">
        <v>300</v>
      </c>
      <c r="D233" s="2">
        <v>225</v>
      </c>
      <c r="E233" s="2">
        <v>71</v>
      </c>
      <c r="F233" s="2">
        <v>65</v>
      </c>
      <c r="G233" s="21">
        <f t="shared" si="32"/>
        <v>4.59</v>
      </c>
      <c r="H233" s="20">
        <f t="shared" si="41"/>
        <v>4.7930000000000001</v>
      </c>
      <c r="I233" s="20">
        <f t="shared" si="39"/>
        <v>4.59</v>
      </c>
      <c r="J233" s="75">
        <f t="shared" si="40"/>
        <v>2.8860000000000001</v>
      </c>
      <c r="K233" s="59"/>
      <c r="L233" s="20"/>
      <c r="M233" s="20"/>
      <c r="N233" s="20"/>
      <c r="O233" s="20"/>
      <c r="P233" s="20"/>
      <c r="Q233" s="21"/>
      <c r="R233" s="22">
        <f t="shared" si="36"/>
        <v>225</v>
      </c>
      <c r="S233" s="20"/>
      <c r="T233" s="20">
        <f t="shared" si="37"/>
        <v>7200.3599910004505</v>
      </c>
      <c r="U233" s="22">
        <v>1</v>
      </c>
      <c r="V233" s="20"/>
    </row>
    <row r="234" spans="1:22">
      <c r="A234" s="2" t="s">
        <v>458</v>
      </c>
      <c r="B234" s="2" t="s">
        <v>2181</v>
      </c>
      <c r="C234" s="2">
        <v>300</v>
      </c>
      <c r="D234" s="2">
        <v>225</v>
      </c>
      <c r="E234" s="2">
        <v>75</v>
      </c>
      <c r="F234" s="2">
        <v>65</v>
      </c>
      <c r="G234" s="21">
        <f t="shared" si="32"/>
        <v>4.7249999999999996</v>
      </c>
      <c r="H234" s="20">
        <f t="shared" si="41"/>
        <v>5.0629999999999997</v>
      </c>
      <c r="I234" s="20">
        <f t="shared" ref="I234:I239" si="42">IF(F234="","-",ROUND((E234+F234)*C234/2*D234/10^6,3))</f>
        <v>4.7249999999999996</v>
      </c>
      <c r="J234" s="75">
        <f t="shared" ref="J234:J239" si="43">IF(F234="","-",ROUND((D234+E234)*C234/2*F234/10^6,3))</f>
        <v>2.9249999999999998</v>
      </c>
      <c r="K234" s="59"/>
      <c r="L234" s="20"/>
      <c r="M234" s="20"/>
      <c r="N234" s="20"/>
      <c r="O234" s="20"/>
      <c r="P234" s="20"/>
      <c r="Q234" s="21"/>
      <c r="R234" s="22">
        <f t="shared" si="36"/>
        <v>225</v>
      </c>
      <c r="S234" s="20"/>
      <c r="T234" s="20">
        <f t="shared" si="37"/>
        <v>4560.6332893579602</v>
      </c>
      <c r="U234" s="22">
        <v>1</v>
      </c>
      <c r="V234" s="20"/>
    </row>
    <row r="235" spans="1:22">
      <c r="A235" s="2" t="s">
        <v>459</v>
      </c>
      <c r="B235" s="2" t="s">
        <v>2181</v>
      </c>
      <c r="C235" s="2">
        <v>300</v>
      </c>
      <c r="D235" s="2">
        <v>225</v>
      </c>
      <c r="E235" s="2">
        <v>85</v>
      </c>
      <c r="F235" s="2">
        <v>65</v>
      </c>
      <c r="G235" s="21">
        <f t="shared" si="32"/>
        <v>5.0625</v>
      </c>
      <c r="H235" s="20">
        <f t="shared" si="41"/>
        <v>5.7380000000000004</v>
      </c>
      <c r="I235" s="20">
        <f t="shared" si="42"/>
        <v>5.0629999999999997</v>
      </c>
      <c r="J235" s="75">
        <f t="shared" si="43"/>
        <v>3.0230000000000001</v>
      </c>
      <c r="K235" s="59"/>
      <c r="L235" s="20"/>
      <c r="M235" s="20"/>
      <c r="N235" s="20"/>
      <c r="O235" s="20"/>
      <c r="P235" s="20"/>
      <c r="Q235" s="21"/>
      <c r="R235" s="22">
        <f t="shared" si="36"/>
        <v>225</v>
      </c>
      <c r="S235" s="20"/>
      <c r="T235" s="20">
        <f t="shared" si="37"/>
        <v>2581.4329354062252</v>
      </c>
      <c r="U235" s="22">
        <v>1</v>
      </c>
      <c r="V235" s="20"/>
    </row>
    <row r="236" spans="1:22">
      <c r="A236" s="2" t="s">
        <v>460</v>
      </c>
      <c r="B236" s="2" t="s">
        <v>2181</v>
      </c>
      <c r="C236" s="2">
        <v>300</v>
      </c>
      <c r="D236" s="2">
        <v>225</v>
      </c>
      <c r="E236" s="2">
        <v>90</v>
      </c>
      <c r="F236" s="2">
        <v>65</v>
      </c>
      <c r="G236" s="21">
        <f t="shared" si="32"/>
        <v>5.2312500000000002</v>
      </c>
      <c r="H236" s="20">
        <f t="shared" si="41"/>
        <v>6.0750000000000002</v>
      </c>
      <c r="I236" s="20">
        <f t="shared" si="42"/>
        <v>5.2309999999999999</v>
      </c>
      <c r="J236" s="75">
        <f t="shared" si="43"/>
        <v>3.0710000000000002</v>
      </c>
      <c r="K236" s="59"/>
      <c r="L236" s="20"/>
      <c r="M236" s="20"/>
      <c r="N236" s="20"/>
      <c r="O236" s="20"/>
      <c r="P236" s="20"/>
      <c r="Q236" s="23"/>
      <c r="R236" s="22">
        <f t="shared" si="36"/>
        <v>225</v>
      </c>
      <c r="S236" s="20"/>
      <c r="T236" s="20">
        <f t="shared" si="37"/>
        <v>2185.8950112025054</v>
      </c>
      <c r="U236" s="22">
        <v>1</v>
      </c>
      <c r="V236" s="20"/>
    </row>
    <row r="237" spans="1:22">
      <c r="A237" s="2" t="s">
        <v>461</v>
      </c>
      <c r="B237" s="2" t="s">
        <v>2181</v>
      </c>
      <c r="C237" s="2">
        <v>300</v>
      </c>
      <c r="D237" s="2">
        <v>300</v>
      </c>
      <c r="E237" s="2">
        <v>69</v>
      </c>
      <c r="F237" s="2">
        <v>65</v>
      </c>
      <c r="G237" s="21">
        <f t="shared" si="32"/>
        <v>6.03</v>
      </c>
      <c r="H237" s="20">
        <f t="shared" si="41"/>
        <v>6.21</v>
      </c>
      <c r="I237" s="20">
        <f t="shared" si="42"/>
        <v>6.03</v>
      </c>
      <c r="J237" s="75">
        <f t="shared" si="43"/>
        <v>3.5979999999999999</v>
      </c>
      <c r="K237" s="59"/>
      <c r="L237" s="20"/>
      <c r="M237" s="20"/>
      <c r="N237" s="20"/>
      <c r="O237" s="20"/>
      <c r="P237" s="20"/>
      <c r="Q237" s="23"/>
      <c r="R237" s="22">
        <f t="shared" si="36"/>
        <v>300</v>
      </c>
      <c r="S237" s="20"/>
      <c r="T237" s="20">
        <f t="shared" si="37"/>
        <v>10500.233330740797</v>
      </c>
      <c r="U237" s="22">
        <v>1</v>
      </c>
      <c r="V237" s="20"/>
    </row>
    <row r="238" spans="1:22">
      <c r="A238" s="2" t="s">
        <v>462</v>
      </c>
      <c r="B238" s="2" t="s">
        <v>2181</v>
      </c>
      <c r="C238" s="2">
        <v>300</v>
      </c>
      <c r="D238" s="2">
        <v>300</v>
      </c>
      <c r="E238" s="2">
        <v>71</v>
      </c>
      <c r="F238" s="2">
        <v>65</v>
      </c>
      <c r="G238" s="21">
        <f t="shared" si="32"/>
        <v>6.12</v>
      </c>
      <c r="H238" s="20">
        <f t="shared" ref="H238:H243" si="44">ROUND(C238*D238*E238/10^6,3)</f>
        <v>6.39</v>
      </c>
      <c r="I238" s="20">
        <f t="shared" si="42"/>
        <v>6.12</v>
      </c>
      <c r="J238" s="75">
        <f t="shared" si="43"/>
        <v>3.617</v>
      </c>
      <c r="K238" s="59"/>
      <c r="L238" s="20"/>
      <c r="M238" s="20"/>
      <c r="N238" s="20"/>
      <c r="O238" s="20"/>
      <c r="P238" s="20"/>
      <c r="Q238" s="21"/>
      <c r="R238" s="22">
        <f t="shared" si="36"/>
        <v>300</v>
      </c>
      <c r="S238" s="20"/>
      <c r="T238" s="20">
        <f t="shared" si="37"/>
        <v>7200.3599910004505</v>
      </c>
      <c r="U238" s="22">
        <v>1</v>
      </c>
      <c r="V238" s="20"/>
    </row>
    <row r="239" spans="1:22">
      <c r="A239" s="2" t="s">
        <v>463</v>
      </c>
      <c r="B239" s="2" t="s">
        <v>2181</v>
      </c>
      <c r="C239" s="2">
        <v>300</v>
      </c>
      <c r="D239" s="2">
        <v>300</v>
      </c>
      <c r="E239" s="2">
        <v>75</v>
      </c>
      <c r="F239" s="2">
        <v>65</v>
      </c>
      <c r="G239" s="21">
        <f t="shared" si="32"/>
        <v>6.3</v>
      </c>
      <c r="H239" s="20">
        <f t="shared" si="44"/>
        <v>6.75</v>
      </c>
      <c r="I239" s="20">
        <f t="shared" si="42"/>
        <v>6.3</v>
      </c>
      <c r="J239" s="75">
        <f t="shared" si="43"/>
        <v>3.6560000000000001</v>
      </c>
      <c r="K239" s="59"/>
      <c r="L239" s="20"/>
      <c r="M239" s="20"/>
      <c r="N239" s="20"/>
      <c r="O239" s="20"/>
      <c r="P239" s="20"/>
      <c r="Q239" s="21"/>
      <c r="R239" s="22">
        <f t="shared" si="36"/>
        <v>300</v>
      </c>
      <c r="S239" s="20"/>
      <c r="T239" s="20">
        <f t="shared" si="37"/>
        <v>4560.6332893579602</v>
      </c>
      <c r="U239" s="22">
        <v>1</v>
      </c>
      <c r="V239" s="20"/>
    </row>
    <row r="240" spans="1:22">
      <c r="A240" s="2" t="s">
        <v>464</v>
      </c>
      <c r="B240" s="2" t="s">
        <v>2181</v>
      </c>
      <c r="C240" s="2">
        <v>300</v>
      </c>
      <c r="D240" s="2">
        <v>300</v>
      </c>
      <c r="E240" s="2">
        <v>90</v>
      </c>
      <c r="F240" s="2">
        <v>65</v>
      </c>
      <c r="G240" s="21">
        <f t="shared" si="32"/>
        <v>6.9749999999999996</v>
      </c>
      <c r="H240" s="20">
        <f t="shared" si="44"/>
        <v>8.1</v>
      </c>
      <c r="I240" s="20">
        <f t="shared" ref="I240:I245" si="45">IF(F240="","-",ROUND((E240+F240)*C240/2*D240/10^6,3))</f>
        <v>6.9749999999999996</v>
      </c>
      <c r="J240" s="75">
        <f t="shared" ref="J240:J245" si="46">IF(F240="","-",ROUND((D240+E240)*C240/2*F240/10^6,3))</f>
        <v>3.8029999999999999</v>
      </c>
      <c r="K240" s="59"/>
      <c r="L240" s="20"/>
      <c r="M240" s="20"/>
      <c r="N240" s="20"/>
      <c r="O240" s="20"/>
      <c r="P240" s="20"/>
      <c r="Q240" s="21"/>
      <c r="R240" s="22">
        <f t="shared" si="36"/>
        <v>300</v>
      </c>
      <c r="S240" s="20"/>
      <c r="T240" s="20">
        <f t="shared" si="37"/>
        <v>2185.8950112025054</v>
      </c>
      <c r="U240" s="22">
        <v>1</v>
      </c>
      <c r="V240" s="20"/>
    </row>
    <row r="241" spans="1:22">
      <c r="A241" s="2" t="s">
        <v>465</v>
      </c>
      <c r="B241" s="2" t="s">
        <v>2181</v>
      </c>
      <c r="C241" s="2">
        <v>375</v>
      </c>
      <c r="D241" s="2">
        <v>150</v>
      </c>
      <c r="E241" s="2">
        <v>66</v>
      </c>
      <c r="F241" s="2">
        <v>50</v>
      </c>
      <c r="G241" s="21">
        <f t="shared" si="32"/>
        <v>3.2625000000000002</v>
      </c>
      <c r="H241" s="20">
        <f t="shared" si="44"/>
        <v>3.7130000000000001</v>
      </c>
      <c r="I241" s="20">
        <f t="shared" si="45"/>
        <v>3.2629999999999999</v>
      </c>
      <c r="J241" s="75">
        <f t="shared" si="46"/>
        <v>2.0249999999999999</v>
      </c>
      <c r="K241" s="59"/>
      <c r="L241" s="20"/>
      <c r="M241" s="20"/>
      <c r="N241" s="20"/>
      <c r="O241" s="20"/>
      <c r="P241" s="20"/>
      <c r="Q241" s="21"/>
      <c r="R241" s="22">
        <f t="shared" si="36"/>
        <v>150</v>
      </c>
      <c r="S241" s="20"/>
      <c r="T241" s="20">
        <f t="shared" si="37"/>
        <v>3141.3395853719794</v>
      </c>
      <c r="U241" s="22">
        <v>1</v>
      </c>
      <c r="V241" s="20"/>
    </row>
    <row r="242" spans="1:22">
      <c r="A242" s="2" t="s">
        <v>466</v>
      </c>
      <c r="B242" s="2" t="s">
        <v>2181</v>
      </c>
      <c r="C242" s="2">
        <v>375</v>
      </c>
      <c r="D242" s="2">
        <v>150</v>
      </c>
      <c r="E242" s="2">
        <v>70</v>
      </c>
      <c r="F242" s="2">
        <v>65</v>
      </c>
      <c r="G242" s="21">
        <f t="shared" si="32"/>
        <v>3.796875</v>
      </c>
      <c r="H242" s="20">
        <f t="shared" si="44"/>
        <v>3.9380000000000002</v>
      </c>
      <c r="I242" s="20">
        <f t="shared" si="45"/>
        <v>3.7970000000000002</v>
      </c>
      <c r="J242" s="75">
        <f t="shared" si="46"/>
        <v>2.681</v>
      </c>
      <c r="K242" s="59"/>
      <c r="L242" s="20"/>
      <c r="M242" s="20"/>
      <c r="N242" s="20"/>
      <c r="O242" s="20"/>
      <c r="P242" s="20"/>
      <c r="Q242" s="23"/>
      <c r="R242" s="22">
        <f t="shared" si="36"/>
        <v>150</v>
      </c>
      <c r="S242" s="20"/>
      <c r="T242" s="20">
        <f t="shared" si="37"/>
        <v>10650.236664037093</v>
      </c>
      <c r="U242" s="22">
        <v>1</v>
      </c>
      <c r="V242" s="20"/>
    </row>
    <row r="243" spans="1:22">
      <c r="A243" s="2" t="s">
        <v>467</v>
      </c>
      <c r="B243" s="2" t="s">
        <v>2181</v>
      </c>
      <c r="C243" s="2">
        <v>375</v>
      </c>
      <c r="D243" s="2">
        <v>150</v>
      </c>
      <c r="E243" s="2">
        <v>73</v>
      </c>
      <c r="F243" s="2">
        <v>65</v>
      </c>
      <c r="G243" s="21">
        <f t="shared" si="32"/>
        <v>3.8812500000000001</v>
      </c>
      <c r="H243" s="20">
        <f t="shared" si="44"/>
        <v>4.1059999999999999</v>
      </c>
      <c r="I243" s="20">
        <f t="shared" si="45"/>
        <v>3.8809999999999998</v>
      </c>
      <c r="J243" s="75">
        <f t="shared" si="46"/>
        <v>2.718</v>
      </c>
      <c r="K243" s="59"/>
      <c r="L243" s="20"/>
      <c r="M243" s="20"/>
      <c r="N243" s="20"/>
      <c r="O243" s="20"/>
      <c r="P243" s="20"/>
      <c r="Q243" s="23"/>
      <c r="R243" s="22">
        <f t="shared" si="36"/>
        <v>150</v>
      </c>
      <c r="S243" s="20"/>
      <c r="T243" s="20">
        <f t="shared" si="37"/>
        <v>6937.8946554412332</v>
      </c>
      <c r="U243" s="22">
        <v>1</v>
      </c>
      <c r="V243" s="20"/>
    </row>
    <row r="244" spans="1:22">
      <c r="A244" s="2" t="s">
        <v>468</v>
      </c>
      <c r="B244" s="2" t="s">
        <v>2181</v>
      </c>
      <c r="C244" s="2">
        <v>375</v>
      </c>
      <c r="D244" s="2">
        <v>150</v>
      </c>
      <c r="E244" s="2">
        <v>78</v>
      </c>
      <c r="F244" s="2">
        <v>65</v>
      </c>
      <c r="G244" s="21">
        <f t="shared" si="32"/>
        <v>4.0218749999999996</v>
      </c>
      <c r="H244" s="20">
        <f t="shared" ref="H244:H260" si="47">ROUND(C244*D244*E244/10^6,3)</f>
        <v>4.3879999999999999</v>
      </c>
      <c r="I244" s="20">
        <f t="shared" si="45"/>
        <v>4.0220000000000002</v>
      </c>
      <c r="J244" s="75">
        <f t="shared" si="46"/>
        <v>2.7789999999999999</v>
      </c>
      <c r="K244" s="59"/>
      <c r="L244" s="20"/>
      <c r="M244" s="20"/>
      <c r="N244" s="20"/>
      <c r="O244" s="20"/>
      <c r="P244" s="20"/>
      <c r="Q244" s="21"/>
      <c r="R244" s="22">
        <f t="shared" si="36"/>
        <v>150</v>
      </c>
      <c r="S244" s="20"/>
      <c r="T244" s="20">
        <f t="shared" si="37"/>
        <v>4558.3769229406253</v>
      </c>
      <c r="U244" s="22">
        <v>1</v>
      </c>
      <c r="V244" s="20"/>
    </row>
    <row r="245" spans="1:22">
      <c r="A245" s="2" t="s">
        <v>469</v>
      </c>
      <c r="B245" s="2" t="s">
        <v>2181</v>
      </c>
      <c r="C245" s="2">
        <v>375</v>
      </c>
      <c r="D245" s="2">
        <v>150</v>
      </c>
      <c r="E245" s="2">
        <v>90</v>
      </c>
      <c r="F245" s="2">
        <v>65</v>
      </c>
      <c r="G245" s="21">
        <f t="shared" si="32"/>
        <v>4.359375</v>
      </c>
      <c r="H245" s="20">
        <f t="shared" si="47"/>
        <v>5.0629999999999997</v>
      </c>
      <c r="I245" s="20">
        <f t="shared" si="45"/>
        <v>4.359</v>
      </c>
      <c r="J245" s="75">
        <f t="shared" si="46"/>
        <v>2.9249999999999998</v>
      </c>
      <c r="K245" s="59"/>
      <c r="L245" s="20"/>
      <c r="M245" s="20"/>
      <c r="N245" s="20"/>
      <c r="O245" s="20"/>
      <c r="P245" s="20"/>
      <c r="Q245" s="21"/>
      <c r="R245" s="22">
        <f t="shared" si="36"/>
        <v>150</v>
      </c>
      <c r="S245" s="22"/>
      <c r="T245" s="20">
        <f t="shared" si="37"/>
        <v>2731.5162456042617</v>
      </c>
      <c r="U245" s="22">
        <v>1</v>
      </c>
      <c r="V245" s="20"/>
    </row>
    <row r="246" spans="1:22">
      <c r="A246" s="2" t="s">
        <v>470</v>
      </c>
      <c r="B246" s="2" t="s">
        <v>2181</v>
      </c>
      <c r="C246" s="2">
        <v>375</v>
      </c>
      <c r="D246" s="2">
        <v>150</v>
      </c>
      <c r="E246" s="2">
        <v>96</v>
      </c>
      <c r="F246" s="2">
        <v>65</v>
      </c>
      <c r="G246" s="21">
        <f t="shared" si="32"/>
        <v>4.5281250000000002</v>
      </c>
      <c r="H246" s="20">
        <f t="shared" si="47"/>
        <v>5.4</v>
      </c>
      <c r="I246" s="20">
        <f t="shared" ref="I246:I260" si="48">IF(F246="","-",ROUND((E246+F246)*C246/2*D246/10^6,3))</f>
        <v>4.5279999999999996</v>
      </c>
      <c r="J246" s="75">
        <f t="shared" ref="J246:J260" si="49">IF(F246="","-",ROUND((D246+E246)*C246/2*F246/10^6,3))</f>
        <v>2.9980000000000002</v>
      </c>
      <c r="K246" s="59"/>
      <c r="L246" s="20"/>
      <c r="M246" s="20"/>
      <c r="N246" s="20"/>
      <c r="O246" s="20"/>
      <c r="P246" s="20"/>
      <c r="Q246" s="21"/>
      <c r="R246" s="22">
        <f t="shared" si="36"/>
        <v>150</v>
      </c>
      <c r="S246" s="22"/>
      <c r="T246" s="20">
        <f t="shared" si="37"/>
        <v>2348.7780047302645</v>
      </c>
      <c r="U246" s="22">
        <v>1</v>
      </c>
      <c r="V246" s="20"/>
    </row>
    <row r="247" spans="1:22">
      <c r="A247" s="2" t="s">
        <v>471</v>
      </c>
      <c r="B247" s="2" t="s">
        <v>2181</v>
      </c>
      <c r="C247" s="2">
        <v>375</v>
      </c>
      <c r="D247" s="2">
        <v>225</v>
      </c>
      <c r="E247" s="2">
        <v>70</v>
      </c>
      <c r="F247" s="2">
        <v>65</v>
      </c>
      <c r="G247" s="21">
        <f t="shared" si="32"/>
        <v>5.6953125</v>
      </c>
      <c r="H247" s="20">
        <f t="shared" si="47"/>
        <v>5.9059999999999997</v>
      </c>
      <c r="I247" s="20">
        <f t="shared" si="48"/>
        <v>5.6950000000000003</v>
      </c>
      <c r="J247" s="75">
        <f t="shared" si="49"/>
        <v>3.5950000000000002</v>
      </c>
      <c r="K247" s="59"/>
      <c r="L247" s="20"/>
      <c r="M247" s="20"/>
      <c r="N247" s="20"/>
      <c r="O247" s="20"/>
      <c r="P247" s="20"/>
      <c r="Q247" s="21"/>
      <c r="R247" s="22">
        <f t="shared" si="36"/>
        <v>225</v>
      </c>
      <c r="S247" s="22"/>
      <c r="T247" s="20">
        <f t="shared" si="37"/>
        <v>10650.236664037093</v>
      </c>
      <c r="U247" s="22">
        <v>1</v>
      </c>
      <c r="V247" s="20"/>
    </row>
    <row r="248" spans="1:22">
      <c r="A248" s="2" t="s">
        <v>472</v>
      </c>
      <c r="B248" s="2" t="s">
        <v>2181</v>
      </c>
      <c r="C248" s="2">
        <v>375</v>
      </c>
      <c r="D248" s="2">
        <v>225</v>
      </c>
      <c r="E248" s="2">
        <v>73</v>
      </c>
      <c r="F248" s="2">
        <v>65</v>
      </c>
      <c r="G248" s="21">
        <f t="shared" si="32"/>
        <v>5.8218750000000004</v>
      </c>
      <c r="H248" s="20">
        <f t="shared" si="47"/>
        <v>6.1589999999999998</v>
      </c>
      <c r="I248" s="20">
        <f t="shared" si="48"/>
        <v>5.8220000000000001</v>
      </c>
      <c r="J248" s="75">
        <f t="shared" si="49"/>
        <v>3.6320000000000001</v>
      </c>
      <c r="K248" s="59"/>
      <c r="L248" s="20"/>
      <c r="M248" s="20"/>
      <c r="N248" s="20"/>
      <c r="O248" s="20"/>
      <c r="P248" s="20"/>
      <c r="Q248" s="21"/>
      <c r="R248" s="22">
        <f t="shared" si="36"/>
        <v>225</v>
      </c>
      <c r="S248" s="22"/>
      <c r="T248" s="20">
        <f t="shared" si="37"/>
        <v>6937.8946554412332</v>
      </c>
      <c r="U248" s="22">
        <v>1</v>
      </c>
      <c r="V248" s="20"/>
    </row>
    <row r="249" spans="1:22">
      <c r="A249" s="2" t="s">
        <v>473</v>
      </c>
      <c r="B249" s="2" t="s">
        <v>2181</v>
      </c>
      <c r="C249" s="2">
        <v>375</v>
      </c>
      <c r="D249" s="2">
        <v>225</v>
      </c>
      <c r="E249" s="2">
        <v>78</v>
      </c>
      <c r="F249" s="2">
        <v>65</v>
      </c>
      <c r="G249" s="21">
        <f t="shared" si="32"/>
        <v>6.0328125000000004</v>
      </c>
      <c r="H249" s="20">
        <f t="shared" si="47"/>
        <v>6.5810000000000004</v>
      </c>
      <c r="I249" s="20">
        <f t="shared" si="48"/>
        <v>6.0330000000000004</v>
      </c>
      <c r="J249" s="75">
        <f t="shared" si="49"/>
        <v>3.6930000000000001</v>
      </c>
      <c r="K249" s="59"/>
      <c r="L249" s="20"/>
      <c r="M249" s="20"/>
      <c r="N249" s="20"/>
      <c r="O249" s="20"/>
      <c r="P249" s="20"/>
      <c r="Q249" s="21"/>
      <c r="R249" s="22">
        <f t="shared" si="36"/>
        <v>225</v>
      </c>
      <c r="S249" s="22"/>
      <c r="T249" s="20">
        <f t="shared" si="37"/>
        <v>4558.3769229406253</v>
      </c>
      <c r="U249" s="22">
        <v>1</v>
      </c>
      <c r="V249" s="20"/>
    </row>
    <row r="250" spans="1:22">
      <c r="A250" s="2" t="s">
        <v>474</v>
      </c>
      <c r="B250" s="2" t="s">
        <v>2181</v>
      </c>
      <c r="C250" s="2">
        <v>375</v>
      </c>
      <c r="D250" s="2">
        <v>225</v>
      </c>
      <c r="E250" s="2">
        <v>90</v>
      </c>
      <c r="F250" s="2">
        <v>65</v>
      </c>
      <c r="G250" s="21">
        <f t="shared" si="32"/>
        <v>6.5390625</v>
      </c>
      <c r="H250" s="20">
        <f t="shared" si="47"/>
        <v>7.5940000000000003</v>
      </c>
      <c r="I250" s="20">
        <f t="shared" si="48"/>
        <v>6.5389999999999997</v>
      </c>
      <c r="J250" s="75">
        <f t="shared" si="49"/>
        <v>3.839</v>
      </c>
      <c r="K250" s="59"/>
      <c r="L250" s="20"/>
      <c r="M250" s="20"/>
      <c r="N250" s="20"/>
      <c r="O250" s="20"/>
      <c r="P250" s="20"/>
      <c r="Q250" s="21"/>
      <c r="R250" s="22">
        <f t="shared" si="36"/>
        <v>225</v>
      </c>
      <c r="S250" s="22"/>
      <c r="T250" s="20">
        <f t="shared" si="37"/>
        <v>2731.5162456042617</v>
      </c>
      <c r="U250" s="22">
        <v>1</v>
      </c>
      <c r="V250" s="20"/>
    </row>
    <row r="251" spans="1:22">
      <c r="A251" s="2" t="s">
        <v>475</v>
      </c>
      <c r="B251" s="2" t="s">
        <v>2181</v>
      </c>
      <c r="C251" s="2">
        <v>375</v>
      </c>
      <c r="D251" s="2">
        <v>225</v>
      </c>
      <c r="E251" s="2">
        <v>96</v>
      </c>
      <c r="F251" s="2">
        <v>65</v>
      </c>
      <c r="G251" s="21">
        <f t="shared" si="32"/>
        <v>6.7921874999999998</v>
      </c>
      <c r="H251" s="20">
        <f t="shared" si="47"/>
        <v>8.1</v>
      </c>
      <c r="I251" s="20">
        <f t="shared" si="48"/>
        <v>6.7919999999999998</v>
      </c>
      <c r="J251" s="75">
        <f t="shared" si="49"/>
        <v>3.9119999999999999</v>
      </c>
      <c r="K251" s="59"/>
      <c r="L251" s="20"/>
      <c r="M251" s="20"/>
      <c r="N251" s="20"/>
      <c r="O251" s="20"/>
      <c r="P251" s="20"/>
      <c r="Q251" s="23"/>
      <c r="R251" s="22">
        <f t="shared" si="36"/>
        <v>225</v>
      </c>
      <c r="S251" s="22"/>
      <c r="T251" s="20">
        <f t="shared" si="37"/>
        <v>2348.7780047302645</v>
      </c>
      <c r="U251" s="22">
        <v>1</v>
      </c>
      <c r="V251" s="20"/>
    </row>
    <row r="252" spans="1:22">
      <c r="A252" s="2" t="s">
        <v>476</v>
      </c>
      <c r="B252" s="2" t="s">
        <v>2181</v>
      </c>
      <c r="C252" s="2">
        <v>375</v>
      </c>
      <c r="D252" s="2">
        <v>300</v>
      </c>
      <c r="E252" s="2">
        <v>70</v>
      </c>
      <c r="F252" s="2">
        <v>65</v>
      </c>
      <c r="G252" s="21">
        <f t="shared" si="32"/>
        <v>7.59375</v>
      </c>
      <c r="H252" s="20">
        <f t="shared" si="47"/>
        <v>7.875</v>
      </c>
      <c r="I252" s="20">
        <f t="shared" si="48"/>
        <v>7.5940000000000003</v>
      </c>
      <c r="J252" s="75">
        <f t="shared" si="49"/>
        <v>4.5090000000000003</v>
      </c>
      <c r="K252" s="59"/>
      <c r="L252" s="20"/>
      <c r="M252" s="20"/>
      <c r="N252" s="20"/>
      <c r="O252" s="20"/>
      <c r="P252" s="20"/>
      <c r="Q252" s="23"/>
      <c r="R252" s="22">
        <f t="shared" si="36"/>
        <v>300</v>
      </c>
      <c r="S252" s="22"/>
      <c r="T252" s="20">
        <f t="shared" si="37"/>
        <v>10650.236664037093</v>
      </c>
      <c r="U252" s="22">
        <v>1</v>
      </c>
      <c r="V252" s="20"/>
    </row>
    <row r="253" spans="1:22">
      <c r="A253" s="2" t="s">
        <v>477</v>
      </c>
      <c r="B253" s="2" t="s">
        <v>2181</v>
      </c>
      <c r="C253" s="2">
        <v>375</v>
      </c>
      <c r="D253" s="2">
        <v>300</v>
      </c>
      <c r="E253" s="2">
        <v>73</v>
      </c>
      <c r="F253" s="2">
        <v>65</v>
      </c>
      <c r="G253" s="21">
        <f t="shared" si="32"/>
        <v>7.7625000000000002</v>
      </c>
      <c r="H253" s="20">
        <f t="shared" si="47"/>
        <v>8.2129999999999992</v>
      </c>
      <c r="I253" s="20">
        <f t="shared" si="48"/>
        <v>7.7629999999999999</v>
      </c>
      <c r="J253" s="75">
        <f t="shared" si="49"/>
        <v>4.5460000000000003</v>
      </c>
      <c r="K253" s="59"/>
      <c r="L253" s="20"/>
      <c r="M253" s="20"/>
      <c r="N253" s="20"/>
      <c r="O253" s="20"/>
      <c r="P253" s="20"/>
      <c r="Q253" s="21"/>
      <c r="R253" s="22">
        <f t="shared" si="36"/>
        <v>300</v>
      </c>
      <c r="S253" s="22"/>
      <c r="T253" s="20">
        <f t="shared" si="37"/>
        <v>6937.8946554412332</v>
      </c>
      <c r="U253" s="22">
        <v>1</v>
      </c>
      <c r="V253" s="20"/>
    </row>
    <row r="254" spans="1:22">
      <c r="A254" s="2" t="s">
        <v>478</v>
      </c>
      <c r="B254" s="2" t="s">
        <v>2181</v>
      </c>
      <c r="C254" s="2">
        <v>375</v>
      </c>
      <c r="D254" s="2">
        <v>300</v>
      </c>
      <c r="E254" s="2">
        <v>78</v>
      </c>
      <c r="F254" s="2">
        <v>65</v>
      </c>
      <c r="G254" s="21">
        <f t="shared" si="32"/>
        <v>8.0437499999999993</v>
      </c>
      <c r="H254" s="20">
        <f t="shared" si="47"/>
        <v>8.7750000000000004</v>
      </c>
      <c r="I254" s="20">
        <f t="shared" si="48"/>
        <v>8.0440000000000005</v>
      </c>
      <c r="J254" s="75">
        <f t="shared" si="49"/>
        <v>4.6070000000000002</v>
      </c>
      <c r="K254" s="59"/>
      <c r="L254" s="20"/>
      <c r="M254" s="20"/>
      <c r="N254" s="20"/>
      <c r="O254" s="20"/>
      <c r="P254" s="20"/>
      <c r="Q254" s="21"/>
      <c r="R254" s="22">
        <f t="shared" si="36"/>
        <v>300</v>
      </c>
      <c r="S254" s="22"/>
      <c r="T254" s="20">
        <f t="shared" si="37"/>
        <v>4558.3769229406253</v>
      </c>
      <c r="U254" s="22">
        <v>1</v>
      </c>
      <c r="V254" s="20"/>
    </row>
    <row r="255" spans="1:22">
      <c r="A255" s="2" t="s">
        <v>479</v>
      </c>
      <c r="B255" s="2" t="s">
        <v>2181</v>
      </c>
      <c r="C255" s="2">
        <v>375</v>
      </c>
      <c r="D255" s="2">
        <v>300</v>
      </c>
      <c r="E255" s="2">
        <v>96</v>
      </c>
      <c r="F255" s="2">
        <v>65</v>
      </c>
      <c r="G255" s="21">
        <f t="shared" si="32"/>
        <v>9.0562500000000004</v>
      </c>
      <c r="H255" s="20">
        <f t="shared" si="47"/>
        <v>10.8</v>
      </c>
      <c r="I255" s="20">
        <f t="shared" si="48"/>
        <v>9.0559999999999992</v>
      </c>
      <c r="J255" s="75">
        <f t="shared" si="49"/>
        <v>4.8259999999999996</v>
      </c>
      <c r="K255" s="59"/>
      <c r="L255" s="20"/>
      <c r="M255" s="20"/>
      <c r="N255" s="20"/>
      <c r="O255" s="20"/>
      <c r="P255" s="20"/>
      <c r="Q255" s="21"/>
      <c r="R255" s="22">
        <f t="shared" si="36"/>
        <v>300</v>
      </c>
      <c r="S255" s="22"/>
      <c r="T255" s="20">
        <f t="shared" si="37"/>
        <v>2348.7780047302645</v>
      </c>
      <c r="U255" s="22">
        <v>1</v>
      </c>
      <c r="V255" s="20"/>
    </row>
    <row r="256" spans="1:22">
      <c r="A256" s="2" t="s">
        <v>480</v>
      </c>
      <c r="B256" s="2" t="s">
        <v>2181</v>
      </c>
      <c r="C256" s="2">
        <v>375</v>
      </c>
      <c r="D256" s="2">
        <v>375</v>
      </c>
      <c r="E256" s="2">
        <v>94</v>
      </c>
      <c r="F256" s="2">
        <v>76</v>
      </c>
      <c r="G256" s="21">
        <f t="shared" si="32"/>
        <v>11.953125</v>
      </c>
      <c r="H256" s="20">
        <f t="shared" si="47"/>
        <v>13.218999999999999</v>
      </c>
      <c r="I256" s="20">
        <f t="shared" si="48"/>
        <v>11.952999999999999</v>
      </c>
      <c r="J256" s="75">
        <f t="shared" si="49"/>
        <v>6.6829999999999998</v>
      </c>
      <c r="K256" s="59"/>
      <c r="L256" s="20"/>
      <c r="M256" s="20"/>
      <c r="N256" s="20"/>
      <c r="O256" s="20"/>
      <c r="P256" s="20"/>
      <c r="Q256" s="21"/>
      <c r="R256" s="22">
        <f t="shared" si="36"/>
        <v>375</v>
      </c>
      <c r="S256" s="22"/>
      <c r="T256" s="20">
        <f t="shared" si="37"/>
        <v>3959.4731692205942</v>
      </c>
      <c r="U256" s="22">
        <v>1</v>
      </c>
      <c r="V256" s="20"/>
    </row>
    <row r="257" spans="1:22">
      <c r="A257" s="2" t="s">
        <v>481</v>
      </c>
      <c r="B257" s="2" t="s">
        <v>2181</v>
      </c>
      <c r="C257" s="2">
        <v>450</v>
      </c>
      <c r="D257" s="2">
        <v>150</v>
      </c>
      <c r="E257" s="2">
        <v>75</v>
      </c>
      <c r="F257" s="2">
        <v>65</v>
      </c>
      <c r="G257" s="21">
        <f t="shared" si="32"/>
        <v>4.7249999999999996</v>
      </c>
      <c r="H257" s="20">
        <f t="shared" si="47"/>
        <v>5.0629999999999997</v>
      </c>
      <c r="I257" s="20">
        <f t="shared" si="48"/>
        <v>4.7249999999999996</v>
      </c>
      <c r="J257" s="75">
        <f t="shared" si="49"/>
        <v>3.2909999999999999</v>
      </c>
      <c r="K257" s="59"/>
      <c r="L257" s="20"/>
      <c r="M257" s="20"/>
      <c r="N257" s="20"/>
      <c r="O257" s="20"/>
      <c r="P257" s="20"/>
      <c r="Q257" s="23"/>
      <c r="R257" s="22">
        <f t="shared" si="36"/>
        <v>150</v>
      </c>
      <c r="S257" s="22"/>
      <c r="T257" s="20">
        <f t="shared" si="37"/>
        <v>6840.422209191478</v>
      </c>
      <c r="U257" s="22">
        <v>1</v>
      </c>
      <c r="V257" s="20"/>
    </row>
    <row r="258" spans="1:22">
      <c r="A258" s="2" t="s">
        <v>482</v>
      </c>
      <c r="B258" s="2" t="s">
        <v>2181</v>
      </c>
      <c r="C258" s="2">
        <v>450</v>
      </c>
      <c r="D258" s="2">
        <v>150</v>
      </c>
      <c r="E258" s="2">
        <v>80</v>
      </c>
      <c r="F258" s="2">
        <v>65</v>
      </c>
      <c r="G258" s="21">
        <f t="shared" si="32"/>
        <v>4.8937499999999998</v>
      </c>
      <c r="H258" s="20">
        <f t="shared" si="47"/>
        <v>5.4</v>
      </c>
      <c r="I258" s="20">
        <f t="shared" si="48"/>
        <v>4.8940000000000001</v>
      </c>
      <c r="J258" s="75">
        <f t="shared" si="49"/>
        <v>3.3639999999999999</v>
      </c>
      <c r="K258" s="59"/>
      <c r="L258" s="20"/>
      <c r="M258" s="20"/>
      <c r="N258" s="20"/>
      <c r="O258" s="20"/>
      <c r="P258" s="20"/>
      <c r="Q258" s="23"/>
      <c r="R258" s="22">
        <f t="shared" si="36"/>
        <v>150</v>
      </c>
      <c r="S258" s="22"/>
      <c r="T258" s="20">
        <f t="shared" si="37"/>
        <v>4860.6749531315099</v>
      </c>
      <c r="U258" s="22">
        <v>1</v>
      </c>
      <c r="V258" s="20"/>
    </row>
    <row r="259" spans="1:22">
      <c r="A259" s="2" t="s">
        <v>483</v>
      </c>
      <c r="B259" s="2" t="s">
        <v>2181</v>
      </c>
      <c r="C259" s="2">
        <v>450</v>
      </c>
      <c r="D259" s="2">
        <v>225</v>
      </c>
      <c r="E259" s="2">
        <v>75</v>
      </c>
      <c r="F259" s="2">
        <v>65</v>
      </c>
      <c r="G259" s="21">
        <f t="shared" si="32"/>
        <v>7.0875000000000004</v>
      </c>
      <c r="H259" s="20">
        <f t="shared" si="47"/>
        <v>7.5940000000000003</v>
      </c>
      <c r="I259" s="20">
        <f t="shared" si="48"/>
        <v>7.0880000000000001</v>
      </c>
      <c r="J259" s="75">
        <f t="shared" si="49"/>
        <v>4.3879999999999999</v>
      </c>
      <c r="K259" s="59"/>
      <c r="L259" s="20"/>
      <c r="M259" s="20"/>
      <c r="N259" s="20"/>
      <c r="O259" s="20"/>
      <c r="P259" s="20"/>
      <c r="Q259" s="21"/>
      <c r="R259" s="22">
        <f t="shared" si="36"/>
        <v>225</v>
      </c>
      <c r="S259" s="22"/>
      <c r="T259" s="20">
        <f t="shared" si="37"/>
        <v>6840.422209191478</v>
      </c>
      <c r="U259" s="22">
        <v>1</v>
      </c>
      <c r="V259" s="20"/>
    </row>
    <row r="260" spans="1:22" ht="13.8" thickBot="1">
      <c r="A260" s="2" t="s">
        <v>484</v>
      </c>
      <c r="B260" s="2" t="s">
        <v>2181</v>
      </c>
      <c r="C260" s="2">
        <v>450</v>
      </c>
      <c r="D260" s="2">
        <v>225</v>
      </c>
      <c r="E260" s="2">
        <v>80</v>
      </c>
      <c r="F260" s="2">
        <v>65</v>
      </c>
      <c r="G260" s="21">
        <f t="shared" si="32"/>
        <v>7.3406250000000002</v>
      </c>
      <c r="H260" s="20">
        <f t="shared" si="47"/>
        <v>8.1</v>
      </c>
      <c r="I260" s="20">
        <f t="shared" si="48"/>
        <v>7.3410000000000002</v>
      </c>
      <c r="J260" s="75">
        <f t="shared" si="49"/>
        <v>4.4610000000000003</v>
      </c>
      <c r="K260" s="59"/>
      <c r="L260" s="20"/>
      <c r="M260" s="20"/>
      <c r="N260" s="20"/>
      <c r="O260" s="20"/>
      <c r="P260" s="20"/>
      <c r="Q260" s="21"/>
      <c r="R260" s="22">
        <f t="shared" si="36"/>
        <v>225</v>
      </c>
      <c r="S260" s="22"/>
      <c r="T260" s="20">
        <f t="shared" si="37"/>
        <v>4860.6749531315099</v>
      </c>
      <c r="U260" s="22">
        <v>1</v>
      </c>
      <c r="V260" s="20"/>
    </row>
    <row r="261" spans="1:22" ht="25.2" thickBot="1">
      <c r="A261" s="392" t="s">
        <v>1509</v>
      </c>
      <c r="B261" s="371"/>
      <c r="C261" s="371"/>
      <c r="D261" s="371"/>
      <c r="E261" s="371"/>
      <c r="F261" s="371"/>
      <c r="G261" s="102"/>
      <c r="H261" s="72"/>
      <c r="I261" s="72"/>
      <c r="J261" s="72"/>
      <c r="K261" s="74"/>
      <c r="L261" s="20"/>
      <c r="M261" s="20"/>
      <c r="N261" s="20"/>
      <c r="O261" s="20"/>
      <c r="P261" s="20"/>
      <c r="Q261" s="23"/>
      <c r="R261" s="22"/>
      <c r="S261" s="22"/>
      <c r="T261" s="20"/>
      <c r="U261" s="22"/>
      <c r="V261" s="20"/>
    </row>
    <row r="262" spans="1:22">
      <c r="A262" s="68" t="s">
        <v>1272</v>
      </c>
      <c r="B262" s="363" t="s">
        <v>2180</v>
      </c>
      <c r="C262" s="452">
        <v>152.4</v>
      </c>
      <c r="D262" s="452">
        <v>114.3</v>
      </c>
      <c r="E262" s="452">
        <v>76.2</v>
      </c>
      <c r="F262" s="452">
        <v>76.2</v>
      </c>
      <c r="G262" s="17">
        <f t="shared" ref="G262:G325" si="50">C262*D262*E262/10^6</f>
        <v>1.3273521840000002</v>
      </c>
      <c r="K262" s="59"/>
    </row>
    <row r="263" spans="1:22">
      <c r="A263" s="68" t="s">
        <v>1277</v>
      </c>
      <c r="B263" s="363" t="s">
        <v>2180</v>
      </c>
      <c r="C263" s="452">
        <v>152.4</v>
      </c>
      <c r="D263" s="452">
        <v>114.3</v>
      </c>
      <c r="E263" s="452">
        <v>63.5</v>
      </c>
      <c r="F263" s="452">
        <v>63.5</v>
      </c>
      <c r="G263" s="17">
        <f t="shared" si="50"/>
        <v>1.1061268200000001</v>
      </c>
      <c r="K263" s="59"/>
    </row>
    <row r="264" spans="1:22">
      <c r="A264" s="68" t="s">
        <v>1282</v>
      </c>
      <c r="B264" s="363" t="s">
        <v>2180</v>
      </c>
      <c r="C264" s="452">
        <v>152.4</v>
      </c>
      <c r="D264" s="452">
        <v>114.3</v>
      </c>
      <c r="E264" s="452">
        <v>100</v>
      </c>
      <c r="F264" s="452">
        <v>100</v>
      </c>
      <c r="G264" s="17">
        <f t="shared" si="50"/>
        <v>1.741932</v>
      </c>
      <c r="K264" s="59"/>
    </row>
    <row r="265" spans="1:22">
      <c r="A265" s="68" t="s">
        <v>1281</v>
      </c>
      <c r="B265" s="363" t="s">
        <v>2180</v>
      </c>
      <c r="C265" s="452">
        <v>152.4</v>
      </c>
      <c r="D265" s="452">
        <v>127</v>
      </c>
      <c r="E265" s="452">
        <v>76.2</v>
      </c>
      <c r="F265" s="452">
        <v>76.2</v>
      </c>
      <c r="G265" s="17">
        <f t="shared" si="50"/>
        <v>1.4748357599999999</v>
      </c>
      <c r="K265" s="59"/>
    </row>
    <row r="266" spans="1:22">
      <c r="A266" s="68" t="s">
        <v>1280</v>
      </c>
      <c r="B266" s="363" t="s">
        <v>2180</v>
      </c>
      <c r="C266" s="452">
        <v>152.4</v>
      </c>
      <c r="D266" s="452">
        <v>139.69999999999999</v>
      </c>
      <c r="E266" s="452">
        <v>101.6</v>
      </c>
      <c r="F266" s="452">
        <v>101.6</v>
      </c>
      <c r="G266" s="17">
        <f t="shared" si="50"/>
        <v>2.163092448</v>
      </c>
      <c r="K266" s="59"/>
    </row>
    <row r="267" spans="1:22">
      <c r="A267" s="68" t="s">
        <v>1275</v>
      </c>
      <c r="B267" s="363" t="s">
        <v>2180</v>
      </c>
      <c r="C267" s="452">
        <v>152.4</v>
      </c>
      <c r="D267" s="452">
        <v>152.4</v>
      </c>
      <c r="E267" s="452">
        <v>50.8</v>
      </c>
      <c r="F267" s="452">
        <v>50.8</v>
      </c>
      <c r="G267" s="17">
        <f t="shared" si="50"/>
        <v>1.179868608</v>
      </c>
      <c r="K267" s="59"/>
    </row>
    <row r="268" spans="1:22">
      <c r="A268" s="68" t="s">
        <v>1274</v>
      </c>
      <c r="B268" s="363" t="s">
        <v>2180</v>
      </c>
      <c r="C268" s="452">
        <v>152.4</v>
      </c>
      <c r="D268" s="452">
        <v>152.4</v>
      </c>
      <c r="E268" s="452">
        <v>76.2</v>
      </c>
      <c r="F268" s="452">
        <v>76.2</v>
      </c>
      <c r="G268" s="17">
        <f t="shared" si="50"/>
        <v>1.7698029120000003</v>
      </c>
      <c r="K268" s="59"/>
    </row>
    <row r="269" spans="1:22">
      <c r="A269" s="68" t="s">
        <v>1273</v>
      </c>
      <c r="B269" s="363" t="s">
        <v>2180</v>
      </c>
      <c r="C269" s="452">
        <v>152.4</v>
      </c>
      <c r="D269" s="452">
        <v>152.4</v>
      </c>
      <c r="E269" s="452">
        <v>101.6</v>
      </c>
      <c r="F269" s="452">
        <v>101.6</v>
      </c>
      <c r="G269" s="17">
        <f t="shared" si="50"/>
        <v>2.3597372160000001</v>
      </c>
      <c r="K269" s="59"/>
    </row>
    <row r="270" spans="1:22">
      <c r="A270" s="68" t="s">
        <v>1279</v>
      </c>
      <c r="B270" s="363" t="s">
        <v>2180</v>
      </c>
      <c r="C270" s="452">
        <v>152.4</v>
      </c>
      <c r="D270" s="452">
        <v>152.4</v>
      </c>
      <c r="E270" s="452">
        <v>114.3</v>
      </c>
      <c r="F270" s="452">
        <v>114.3</v>
      </c>
      <c r="G270" s="17">
        <f t="shared" si="50"/>
        <v>2.6547043680000004</v>
      </c>
      <c r="K270" s="59"/>
    </row>
    <row r="271" spans="1:22">
      <c r="A271" s="68" t="s">
        <v>1276</v>
      </c>
      <c r="B271" s="363" t="s">
        <v>2180</v>
      </c>
      <c r="C271" s="452">
        <v>152.4</v>
      </c>
      <c r="D271" s="452">
        <v>152.4</v>
      </c>
      <c r="E271" s="452">
        <v>139.69999999999999</v>
      </c>
      <c r="F271" s="452">
        <v>139.69999999999999</v>
      </c>
      <c r="G271" s="17">
        <f t="shared" si="50"/>
        <v>3.2446386720000002</v>
      </c>
      <c r="K271" s="59"/>
    </row>
    <row r="272" spans="1:22">
      <c r="A272" s="68" t="s">
        <v>1278</v>
      </c>
      <c r="B272" s="363" t="s">
        <v>2180</v>
      </c>
      <c r="C272" s="452">
        <v>152.4</v>
      </c>
      <c r="D272" s="452">
        <v>152.4</v>
      </c>
      <c r="E272" s="452">
        <v>152.4</v>
      </c>
      <c r="F272" s="452">
        <v>152.4</v>
      </c>
      <c r="G272" s="17">
        <f t="shared" si="50"/>
        <v>3.5396058240000006</v>
      </c>
      <c r="K272" s="59"/>
    </row>
    <row r="273" spans="1:11">
      <c r="A273" s="389" t="s">
        <v>1291</v>
      </c>
      <c r="B273" s="389" t="s">
        <v>2180</v>
      </c>
      <c r="C273" s="389">
        <v>177.8</v>
      </c>
      <c r="D273" s="389">
        <v>76.2</v>
      </c>
      <c r="E273" s="389">
        <v>76.2</v>
      </c>
      <c r="F273" s="389">
        <v>76.2</v>
      </c>
      <c r="G273" s="17">
        <f t="shared" si="50"/>
        <v>1.0323850320000001</v>
      </c>
      <c r="K273" s="59"/>
    </row>
    <row r="274" spans="1:11">
      <c r="A274" s="389" t="s">
        <v>1289</v>
      </c>
      <c r="B274" s="389" t="s">
        <v>2180</v>
      </c>
      <c r="C274" s="389">
        <v>177.8</v>
      </c>
      <c r="D274" s="389">
        <v>114.3</v>
      </c>
      <c r="E274" s="389">
        <v>76.2</v>
      </c>
      <c r="F274" s="389">
        <v>76.2</v>
      </c>
      <c r="G274" s="17">
        <f t="shared" si="50"/>
        <v>1.5485775480000001</v>
      </c>
      <c r="K274" s="59"/>
    </row>
    <row r="275" spans="1:11">
      <c r="A275" s="389" t="s">
        <v>1292</v>
      </c>
      <c r="B275" s="389" t="s">
        <v>2180</v>
      </c>
      <c r="C275" s="389">
        <v>177.8</v>
      </c>
      <c r="D275" s="389">
        <v>127</v>
      </c>
      <c r="E275" s="389">
        <v>101.6</v>
      </c>
      <c r="F275" s="389">
        <v>101.6</v>
      </c>
      <c r="G275" s="17">
        <f t="shared" si="50"/>
        <v>2.2941889600000001</v>
      </c>
      <c r="K275" s="59"/>
    </row>
    <row r="276" spans="1:11">
      <c r="A276" s="389" t="s">
        <v>1290</v>
      </c>
      <c r="B276" s="389" t="s">
        <v>2180</v>
      </c>
      <c r="C276" s="389">
        <v>177.8</v>
      </c>
      <c r="D276" s="389">
        <v>152.4</v>
      </c>
      <c r="E276" s="389">
        <v>50.8</v>
      </c>
      <c r="F276" s="389">
        <v>50.8</v>
      </c>
      <c r="G276" s="17">
        <f t="shared" si="50"/>
        <v>1.3765133759999999</v>
      </c>
      <c r="K276" s="59"/>
    </row>
    <row r="277" spans="1:11">
      <c r="A277" s="389" t="s">
        <v>1286</v>
      </c>
      <c r="B277" s="389" t="s">
        <v>2180</v>
      </c>
      <c r="C277" s="389">
        <v>177.8</v>
      </c>
      <c r="D277" s="389">
        <v>152.4</v>
      </c>
      <c r="E277" s="389">
        <v>57.2</v>
      </c>
      <c r="F277" s="389">
        <v>57.2</v>
      </c>
      <c r="G277" s="17">
        <f t="shared" si="50"/>
        <v>1.5499323840000001</v>
      </c>
      <c r="K277" s="59"/>
    </row>
    <row r="278" spans="1:11">
      <c r="A278" s="389" t="s">
        <v>1288</v>
      </c>
      <c r="B278" s="389" t="s">
        <v>2180</v>
      </c>
      <c r="C278" s="389">
        <v>177.8</v>
      </c>
      <c r="D278" s="389">
        <v>152.4</v>
      </c>
      <c r="E278" s="389">
        <v>63.5</v>
      </c>
      <c r="F278" s="389">
        <v>63.5</v>
      </c>
      <c r="G278" s="17">
        <f t="shared" si="50"/>
        <v>1.7206417199999999</v>
      </c>
      <c r="K278" s="59"/>
    </row>
    <row r="279" spans="1:11">
      <c r="A279" s="389" t="s">
        <v>1284</v>
      </c>
      <c r="B279" s="389" t="s">
        <v>2180</v>
      </c>
      <c r="C279" s="389">
        <v>177.8</v>
      </c>
      <c r="D279" s="389">
        <v>152.4</v>
      </c>
      <c r="E279" s="389">
        <v>76.2</v>
      </c>
      <c r="F279" s="389">
        <v>76.2</v>
      </c>
      <c r="G279" s="17">
        <f t="shared" si="50"/>
        <v>2.0647700640000002</v>
      </c>
      <c r="K279" s="59"/>
    </row>
    <row r="280" spans="1:11">
      <c r="A280" s="389" t="s">
        <v>1285</v>
      </c>
      <c r="B280" s="389" t="s">
        <v>2180</v>
      </c>
      <c r="C280" s="389">
        <v>177.8</v>
      </c>
      <c r="D280" s="389">
        <v>152.4</v>
      </c>
      <c r="E280" s="389">
        <v>100</v>
      </c>
      <c r="F280" s="389">
        <v>100</v>
      </c>
      <c r="G280" s="17">
        <f t="shared" si="50"/>
        <v>2.7096719999999999</v>
      </c>
      <c r="K280" s="59"/>
    </row>
    <row r="281" spans="1:11">
      <c r="A281" s="389" t="s">
        <v>1283</v>
      </c>
      <c r="B281" s="389" t="s">
        <v>2180</v>
      </c>
      <c r="C281" s="389">
        <v>177.8</v>
      </c>
      <c r="D281" s="389">
        <v>152.4</v>
      </c>
      <c r="E281" s="389">
        <v>101.6</v>
      </c>
      <c r="F281" s="389">
        <v>101.6</v>
      </c>
      <c r="G281" s="17">
        <f t="shared" si="50"/>
        <v>2.7530267519999998</v>
      </c>
      <c r="K281" s="59"/>
    </row>
    <row r="282" spans="1:11">
      <c r="A282" s="389" t="s">
        <v>1287</v>
      </c>
      <c r="B282" s="389" t="s">
        <v>2180</v>
      </c>
      <c r="C282" s="389">
        <v>177.8</v>
      </c>
      <c r="D282" s="389">
        <v>177.8</v>
      </c>
      <c r="E282" s="389">
        <v>57.2</v>
      </c>
      <c r="F282" s="389">
        <v>57.2</v>
      </c>
      <c r="G282" s="17">
        <f t="shared" si="50"/>
        <v>1.8082544480000002</v>
      </c>
      <c r="K282" s="59"/>
    </row>
    <row r="283" spans="1:11">
      <c r="A283" s="397" t="s">
        <v>1294</v>
      </c>
      <c r="B283" s="397" t="s">
        <v>2180</v>
      </c>
      <c r="C283" s="397">
        <v>203.2</v>
      </c>
      <c r="D283" s="397">
        <v>101.6</v>
      </c>
      <c r="E283" s="397">
        <v>60.3</v>
      </c>
      <c r="F283" s="397">
        <v>60.3</v>
      </c>
      <c r="G283" s="17">
        <f t="shared" si="50"/>
        <v>1.2449007359999997</v>
      </c>
      <c r="K283" s="59"/>
    </row>
    <row r="284" spans="1:11">
      <c r="A284" s="397" t="s">
        <v>1295</v>
      </c>
      <c r="B284" s="397" t="s">
        <v>2180</v>
      </c>
      <c r="C284" s="397">
        <v>203.2</v>
      </c>
      <c r="D284" s="397">
        <v>101.6</v>
      </c>
      <c r="E284" s="397">
        <v>76.2</v>
      </c>
      <c r="F284" s="397">
        <v>76.2</v>
      </c>
      <c r="G284" s="17">
        <f t="shared" si="50"/>
        <v>1.573158144</v>
      </c>
      <c r="K284" s="59"/>
    </row>
    <row r="285" spans="1:11">
      <c r="A285" s="397" t="s">
        <v>1296</v>
      </c>
      <c r="B285" s="397" t="s">
        <v>2180</v>
      </c>
      <c r="C285" s="397">
        <v>203.2</v>
      </c>
      <c r="D285" s="397">
        <v>114.3</v>
      </c>
      <c r="E285" s="397">
        <v>69.900000000000006</v>
      </c>
      <c r="F285" s="397">
        <v>69.900000000000006</v>
      </c>
      <c r="G285" s="17">
        <f t="shared" si="50"/>
        <v>1.6234806240000001</v>
      </c>
      <c r="K285" s="59"/>
    </row>
    <row r="286" spans="1:11">
      <c r="A286" s="397" t="s">
        <v>1293</v>
      </c>
      <c r="B286" s="397" t="s">
        <v>2180</v>
      </c>
      <c r="C286" s="397">
        <v>203.2</v>
      </c>
      <c r="D286" s="397">
        <v>152.4</v>
      </c>
      <c r="E286" s="397">
        <v>76.2</v>
      </c>
      <c r="F286" s="397">
        <v>76.2</v>
      </c>
      <c r="G286" s="17">
        <f t="shared" si="50"/>
        <v>2.3597372160000001</v>
      </c>
      <c r="K286" s="59"/>
    </row>
    <row r="287" spans="1:11">
      <c r="A287" s="397" t="s">
        <v>1297</v>
      </c>
      <c r="B287" s="397" t="s">
        <v>2180</v>
      </c>
      <c r="C287" s="397">
        <v>203.2</v>
      </c>
      <c r="D287" s="397">
        <v>171.5</v>
      </c>
      <c r="E287" s="397">
        <v>100</v>
      </c>
      <c r="F287" s="397">
        <v>100</v>
      </c>
      <c r="G287" s="17">
        <f t="shared" si="50"/>
        <v>3.4848799999999995</v>
      </c>
      <c r="K287" s="59"/>
    </row>
    <row r="288" spans="1:11">
      <c r="A288" s="377" t="s">
        <v>1325</v>
      </c>
      <c r="B288" s="377" t="s">
        <v>2180</v>
      </c>
      <c r="C288" s="377">
        <v>228.6</v>
      </c>
      <c r="D288" s="377">
        <v>63.5</v>
      </c>
      <c r="E288" s="377">
        <v>63.5</v>
      </c>
      <c r="F288" s="377">
        <v>63.5</v>
      </c>
      <c r="G288" s="17">
        <f t="shared" si="50"/>
        <v>0.92177235000000002</v>
      </c>
      <c r="K288" s="59"/>
    </row>
    <row r="289" spans="1:11">
      <c r="A289" s="377" t="s">
        <v>1309</v>
      </c>
      <c r="B289" s="377" t="s">
        <v>2180</v>
      </c>
      <c r="C289" s="377">
        <v>228.6</v>
      </c>
      <c r="D289" s="377">
        <v>76.2</v>
      </c>
      <c r="E289" s="377">
        <v>63.5</v>
      </c>
      <c r="F289" s="377">
        <v>63.5</v>
      </c>
      <c r="G289" s="17">
        <f t="shared" si="50"/>
        <v>1.1061268200000001</v>
      </c>
      <c r="K289" s="59"/>
    </row>
    <row r="290" spans="1:11">
      <c r="A290" s="377" t="s">
        <v>1310</v>
      </c>
      <c r="B290" s="377" t="s">
        <v>2180</v>
      </c>
      <c r="C290" s="377">
        <v>228.6</v>
      </c>
      <c r="D290" s="377">
        <v>76.2</v>
      </c>
      <c r="E290" s="377">
        <v>57.2</v>
      </c>
      <c r="F290" s="377">
        <v>57.2</v>
      </c>
      <c r="G290" s="17">
        <f t="shared" si="50"/>
        <v>0.99638510400000002</v>
      </c>
      <c r="K290" s="59"/>
    </row>
    <row r="291" spans="1:11">
      <c r="A291" s="377" t="s">
        <v>1316</v>
      </c>
      <c r="B291" s="377" t="s">
        <v>2180</v>
      </c>
      <c r="C291" s="377">
        <v>228.6</v>
      </c>
      <c r="D291" s="377">
        <v>76.2</v>
      </c>
      <c r="E291" s="377">
        <v>76.2</v>
      </c>
      <c r="F291" s="377">
        <v>76.2</v>
      </c>
      <c r="G291" s="17">
        <f t="shared" si="50"/>
        <v>1.3273521840000002</v>
      </c>
      <c r="K291" s="59"/>
    </row>
    <row r="292" spans="1:11">
      <c r="A292" s="377" t="s">
        <v>1321</v>
      </c>
      <c r="B292" s="377" t="s">
        <v>2180</v>
      </c>
      <c r="C292" s="377">
        <v>228.6</v>
      </c>
      <c r="D292" s="377">
        <v>101.6</v>
      </c>
      <c r="E292" s="377">
        <v>76.2</v>
      </c>
      <c r="F292" s="377">
        <v>76.2</v>
      </c>
      <c r="G292" s="17">
        <f t="shared" si="50"/>
        <v>1.7698029120000001</v>
      </c>
      <c r="K292" s="59"/>
    </row>
    <row r="293" spans="1:11">
      <c r="A293" s="377" t="s">
        <v>1330</v>
      </c>
      <c r="B293" s="377" t="s">
        <v>2180</v>
      </c>
      <c r="C293" s="377">
        <v>228.6</v>
      </c>
      <c r="D293" s="377">
        <v>101.6</v>
      </c>
      <c r="E293" s="377">
        <v>101.6</v>
      </c>
      <c r="F293" s="377">
        <v>101.6</v>
      </c>
      <c r="G293" s="17">
        <f t="shared" si="50"/>
        <v>2.3597372159999996</v>
      </c>
      <c r="K293" s="59"/>
    </row>
    <row r="294" spans="1:11">
      <c r="A294" s="377" t="s">
        <v>1311</v>
      </c>
      <c r="B294" s="377" t="s">
        <v>2180</v>
      </c>
      <c r="C294" s="377">
        <v>228.6</v>
      </c>
      <c r="D294" s="377">
        <v>114.3</v>
      </c>
      <c r="E294" s="377">
        <v>25.4</v>
      </c>
      <c r="F294" s="377">
        <v>25.4</v>
      </c>
      <c r="G294" s="17">
        <f t="shared" si="50"/>
        <v>0.663676092</v>
      </c>
      <c r="K294" s="59"/>
    </row>
    <row r="295" spans="1:11">
      <c r="A295" s="377" t="s">
        <v>1300</v>
      </c>
      <c r="B295" s="377" t="s">
        <v>2180</v>
      </c>
      <c r="C295" s="377">
        <v>228.6</v>
      </c>
      <c r="D295" s="377">
        <v>114.3</v>
      </c>
      <c r="E295" s="377">
        <v>31.8</v>
      </c>
      <c r="F295" s="377">
        <v>31.8</v>
      </c>
      <c r="G295" s="17">
        <f t="shared" si="50"/>
        <v>0.83090156400000004</v>
      </c>
      <c r="K295" s="59"/>
    </row>
    <row r="296" spans="1:11">
      <c r="A296" s="377" t="s">
        <v>1319</v>
      </c>
      <c r="B296" s="377" t="s">
        <v>2180</v>
      </c>
      <c r="C296" s="377">
        <v>228.6</v>
      </c>
      <c r="D296" s="377">
        <v>114.3</v>
      </c>
      <c r="E296" s="377">
        <v>38.1</v>
      </c>
      <c r="F296" s="377">
        <v>38.1</v>
      </c>
      <c r="G296" s="17">
        <f t="shared" si="50"/>
        <v>0.99551413799999999</v>
      </c>
      <c r="K296" s="59"/>
    </row>
    <row r="297" spans="1:11">
      <c r="A297" s="377" t="s">
        <v>1342</v>
      </c>
      <c r="B297" s="377" t="s">
        <v>2180</v>
      </c>
      <c r="C297" s="377">
        <v>228.6</v>
      </c>
      <c r="D297" s="377">
        <v>114.3</v>
      </c>
      <c r="E297" s="377">
        <v>40</v>
      </c>
      <c r="F297" s="377">
        <v>40</v>
      </c>
      <c r="G297" s="17">
        <f t="shared" si="50"/>
        <v>1.0451591999999998</v>
      </c>
      <c r="K297" s="59"/>
    </row>
    <row r="298" spans="1:11">
      <c r="A298" s="377" t="s">
        <v>1301</v>
      </c>
      <c r="B298" s="377" t="s">
        <v>2180</v>
      </c>
      <c r="C298" s="377">
        <v>228.6</v>
      </c>
      <c r="D298" s="377">
        <v>114.3</v>
      </c>
      <c r="E298" s="377">
        <v>50.8</v>
      </c>
      <c r="F298" s="377">
        <v>50.8</v>
      </c>
      <c r="G298" s="17">
        <f t="shared" si="50"/>
        <v>1.327352184</v>
      </c>
      <c r="K298" s="59"/>
    </row>
    <row r="299" spans="1:11">
      <c r="A299" s="377" t="s">
        <v>1299</v>
      </c>
      <c r="B299" s="377" t="s">
        <v>2180</v>
      </c>
      <c r="C299" s="377">
        <v>228.6</v>
      </c>
      <c r="D299" s="377">
        <v>114.3</v>
      </c>
      <c r="E299" s="377">
        <v>63.5</v>
      </c>
      <c r="F299" s="377">
        <v>63.5</v>
      </c>
      <c r="G299" s="17">
        <f t="shared" si="50"/>
        <v>1.6591902299999999</v>
      </c>
      <c r="K299" s="59"/>
    </row>
    <row r="300" spans="1:11">
      <c r="A300" s="377" t="s">
        <v>1343</v>
      </c>
      <c r="B300" s="377" t="s">
        <v>2180</v>
      </c>
      <c r="C300" s="377">
        <v>228.6</v>
      </c>
      <c r="D300" s="377">
        <v>114.3</v>
      </c>
      <c r="E300" s="377">
        <v>64</v>
      </c>
      <c r="F300" s="377">
        <v>64</v>
      </c>
      <c r="G300" s="17">
        <f t="shared" si="50"/>
        <v>1.67225472</v>
      </c>
      <c r="K300" s="59"/>
    </row>
    <row r="301" spans="1:11">
      <c r="A301" s="377" t="s">
        <v>1317</v>
      </c>
      <c r="B301" s="377" t="s">
        <v>2180</v>
      </c>
      <c r="C301" s="377">
        <v>228.6</v>
      </c>
      <c r="D301" s="377">
        <v>114.3</v>
      </c>
      <c r="E301" s="377">
        <v>76.2</v>
      </c>
      <c r="F301" s="377">
        <v>76.2</v>
      </c>
      <c r="G301" s="17">
        <f t="shared" si="50"/>
        <v>1.991028276</v>
      </c>
      <c r="K301" s="59"/>
    </row>
    <row r="302" spans="1:11">
      <c r="A302" s="377" t="s">
        <v>1312</v>
      </c>
      <c r="B302" s="377" t="s">
        <v>2180</v>
      </c>
      <c r="C302" s="377">
        <v>228.6</v>
      </c>
      <c r="D302" s="377">
        <v>114.3</v>
      </c>
      <c r="E302" s="377">
        <v>100</v>
      </c>
      <c r="F302" s="377">
        <v>100</v>
      </c>
      <c r="G302" s="17">
        <f t="shared" si="50"/>
        <v>2.6128979999999999</v>
      </c>
      <c r="K302" s="59"/>
    </row>
    <row r="303" spans="1:11">
      <c r="A303" s="377" t="s">
        <v>1335</v>
      </c>
      <c r="B303" s="377" t="s">
        <v>2180</v>
      </c>
      <c r="C303" s="377">
        <v>228.6</v>
      </c>
      <c r="D303" s="377">
        <v>114.3</v>
      </c>
      <c r="E303" s="377">
        <v>101.6</v>
      </c>
      <c r="F303" s="377">
        <v>101.6</v>
      </c>
      <c r="G303" s="17">
        <f t="shared" si="50"/>
        <v>2.654704368</v>
      </c>
      <c r="K303" s="59"/>
    </row>
    <row r="304" spans="1:11">
      <c r="A304" s="377" t="s">
        <v>1302</v>
      </c>
      <c r="B304" s="377" t="s">
        <v>2180</v>
      </c>
      <c r="C304" s="377">
        <v>228.6</v>
      </c>
      <c r="D304" s="377">
        <v>114.3</v>
      </c>
      <c r="E304" s="377">
        <v>114.3</v>
      </c>
      <c r="F304" s="377">
        <v>114.3</v>
      </c>
      <c r="G304" s="17">
        <f t="shared" si="50"/>
        <v>2.9865424140000001</v>
      </c>
      <c r="K304" s="59"/>
    </row>
    <row r="305" spans="1:11">
      <c r="A305" s="377" t="s">
        <v>1340</v>
      </c>
      <c r="B305" s="377" t="s">
        <v>2180</v>
      </c>
      <c r="C305" s="377">
        <v>228.6</v>
      </c>
      <c r="D305" s="377">
        <v>127</v>
      </c>
      <c r="E305" s="377">
        <v>76.2</v>
      </c>
      <c r="F305" s="377">
        <v>76.2</v>
      </c>
      <c r="G305" s="17">
        <f t="shared" si="50"/>
        <v>2.2122536400000001</v>
      </c>
      <c r="K305" s="59"/>
    </row>
    <row r="306" spans="1:11">
      <c r="A306" s="377" t="s">
        <v>1341</v>
      </c>
      <c r="B306" s="377" t="s">
        <v>2180</v>
      </c>
      <c r="C306" s="377">
        <v>228.6</v>
      </c>
      <c r="D306" s="377">
        <v>152.4</v>
      </c>
      <c r="E306" s="377">
        <v>19.100000000000001</v>
      </c>
      <c r="F306" s="377">
        <v>19.100000000000001</v>
      </c>
      <c r="G306" s="17">
        <f t="shared" si="50"/>
        <v>0.66541802400000005</v>
      </c>
      <c r="K306" s="59"/>
    </row>
    <row r="307" spans="1:11">
      <c r="A307" s="377" t="s">
        <v>1328</v>
      </c>
      <c r="B307" s="377" t="s">
        <v>2180</v>
      </c>
      <c r="C307" s="377">
        <v>228.6</v>
      </c>
      <c r="D307" s="377">
        <v>152.4</v>
      </c>
      <c r="E307" s="377">
        <v>25.4</v>
      </c>
      <c r="F307" s="377">
        <v>25.4</v>
      </c>
      <c r="G307" s="17">
        <f t="shared" si="50"/>
        <v>0.88490145599999992</v>
      </c>
      <c r="K307" s="59"/>
    </row>
    <row r="308" spans="1:11">
      <c r="A308" s="377" t="s">
        <v>1331</v>
      </c>
      <c r="B308" s="377" t="s">
        <v>2180</v>
      </c>
      <c r="C308" s="377">
        <v>228.6</v>
      </c>
      <c r="D308" s="377">
        <v>152.4</v>
      </c>
      <c r="E308" s="377">
        <v>31.8</v>
      </c>
      <c r="F308" s="377">
        <v>31.8</v>
      </c>
      <c r="G308" s="17">
        <f t="shared" si="50"/>
        <v>1.1078687520000001</v>
      </c>
      <c r="K308" s="59"/>
    </row>
    <row r="309" spans="1:11">
      <c r="A309" s="377" t="s">
        <v>1303</v>
      </c>
      <c r="B309" s="377" t="s">
        <v>2180</v>
      </c>
      <c r="C309" s="377">
        <v>228.6</v>
      </c>
      <c r="D309" s="377">
        <v>152.4</v>
      </c>
      <c r="E309" s="377">
        <v>38.1</v>
      </c>
      <c r="F309" s="377">
        <v>38.1</v>
      </c>
      <c r="G309" s="17">
        <f t="shared" si="50"/>
        <v>1.3273521840000002</v>
      </c>
      <c r="K309" s="59"/>
    </row>
    <row r="310" spans="1:11">
      <c r="A310" s="377" t="s">
        <v>1304</v>
      </c>
      <c r="B310" s="377" t="s">
        <v>2180</v>
      </c>
      <c r="C310" s="377">
        <v>228.6</v>
      </c>
      <c r="D310" s="377">
        <v>152.4</v>
      </c>
      <c r="E310" s="377">
        <v>50.8</v>
      </c>
      <c r="F310" s="377">
        <v>50.8</v>
      </c>
      <c r="G310" s="17">
        <f t="shared" si="50"/>
        <v>1.7698029119999998</v>
      </c>
      <c r="K310" s="59"/>
    </row>
    <row r="311" spans="1:11">
      <c r="A311" s="377" t="s">
        <v>1305</v>
      </c>
      <c r="B311" s="377" t="s">
        <v>2180</v>
      </c>
      <c r="C311" s="377">
        <v>228.6</v>
      </c>
      <c r="D311" s="377">
        <v>152.4</v>
      </c>
      <c r="E311" s="377">
        <v>63.5</v>
      </c>
      <c r="F311" s="377">
        <v>63.5</v>
      </c>
      <c r="G311" s="17">
        <f t="shared" si="50"/>
        <v>2.2122536400000001</v>
      </c>
      <c r="K311" s="59"/>
    </row>
    <row r="312" spans="1:11">
      <c r="A312" s="377" t="s">
        <v>1318</v>
      </c>
      <c r="B312" s="377" t="s">
        <v>2180</v>
      </c>
      <c r="C312" s="377">
        <v>228.6</v>
      </c>
      <c r="D312" s="377">
        <v>152.4</v>
      </c>
      <c r="E312" s="377">
        <v>76.2</v>
      </c>
      <c r="F312" s="377">
        <v>76.2</v>
      </c>
      <c r="G312" s="17">
        <f t="shared" si="50"/>
        <v>2.6547043680000004</v>
      </c>
      <c r="K312" s="59"/>
    </row>
    <row r="313" spans="1:11">
      <c r="A313" s="377" t="s">
        <v>1298</v>
      </c>
      <c r="B313" s="377" t="s">
        <v>2180</v>
      </c>
      <c r="C313" s="377">
        <v>228.6</v>
      </c>
      <c r="D313" s="377">
        <v>152.4</v>
      </c>
      <c r="E313" s="377">
        <v>100</v>
      </c>
      <c r="F313" s="377">
        <v>100</v>
      </c>
      <c r="G313" s="17">
        <f t="shared" si="50"/>
        <v>3.4838640000000001</v>
      </c>
      <c r="K313" s="59"/>
    </row>
    <row r="314" spans="1:11">
      <c r="A314" s="377" t="s">
        <v>1324</v>
      </c>
      <c r="B314" s="377" t="s">
        <v>2180</v>
      </c>
      <c r="C314" s="377">
        <v>228.6</v>
      </c>
      <c r="D314" s="377">
        <v>152.4</v>
      </c>
      <c r="E314" s="377">
        <v>101.6</v>
      </c>
      <c r="F314" s="377">
        <v>101.6</v>
      </c>
      <c r="G314" s="17">
        <f t="shared" si="50"/>
        <v>3.5396058239999997</v>
      </c>
      <c r="K314" s="59"/>
    </row>
    <row r="315" spans="1:11">
      <c r="A315" s="377" t="s">
        <v>1306</v>
      </c>
      <c r="B315" s="377" t="s">
        <v>2180</v>
      </c>
      <c r="C315" s="377">
        <v>228.6</v>
      </c>
      <c r="D315" s="377">
        <v>152.4</v>
      </c>
      <c r="E315" s="377">
        <v>114.3</v>
      </c>
      <c r="F315" s="377">
        <v>114.3</v>
      </c>
      <c r="G315" s="17">
        <f t="shared" si="50"/>
        <v>3.9820565519999995</v>
      </c>
      <c r="K315" s="59"/>
    </row>
    <row r="316" spans="1:11">
      <c r="A316" s="377" t="s">
        <v>1334</v>
      </c>
      <c r="B316" s="377" t="s">
        <v>2180</v>
      </c>
      <c r="C316" s="377">
        <v>228.6</v>
      </c>
      <c r="D316" s="377">
        <v>152.4</v>
      </c>
      <c r="E316" s="377">
        <v>152.4</v>
      </c>
      <c r="F316" s="377">
        <v>152.4</v>
      </c>
      <c r="G316" s="17">
        <f t="shared" si="50"/>
        <v>5.3094087360000009</v>
      </c>
      <c r="K316" s="59"/>
    </row>
    <row r="317" spans="1:11">
      <c r="A317" s="377" t="s">
        <v>1326</v>
      </c>
      <c r="B317" s="377" t="s">
        <v>2180</v>
      </c>
      <c r="C317" s="377">
        <v>228.6</v>
      </c>
      <c r="D317" s="377">
        <v>171.5</v>
      </c>
      <c r="E317" s="377">
        <v>38.1</v>
      </c>
      <c r="F317" s="377">
        <v>38.1</v>
      </c>
      <c r="G317" s="17">
        <f t="shared" si="50"/>
        <v>1.4937066900000002</v>
      </c>
      <c r="K317" s="59"/>
    </row>
    <row r="318" spans="1:11">
      <c r="A318" s="377" t="s">
        <v>1327</v>
      </c>
      <c r="B318" s="377" t="s">
        <v>2180</v>
      </c>
      <c r="C318" s="377">
        <v>228.6</v>
      </c>
      <c r="D318" s="377">
        <v>171.5</v>
      </c>
      <c r="E318" s="377">
        <v>50.8</v>
      </c>
      <c r="F318" s="377">
        <v>50.8</v>
      </c>
      <c r="G318" s="17">
        <f t="shared" si="50"/>
        <v>1.99160892</v>
      </c>
      <c r="K318" s="59"/>
    </row>
    <row r="319" spans="1:11">
      <c r="A319" s="377" t="s">
        <v>1332</v>
      </c>
      <c r="B319" s="377" t="s">
        <v>2180</v>
      </c>
      <c r="C319" s="377">
        <v>228.6</v>
      </c>
      <c r="D319" s="377">
        <v>177.8</v>
      </c>
      <c r="E319" s="377">
        <v>76.2</v>
      </c>
      <c r="F319" s="377">
        <v>76.2</v>
      </c>
      <c r="G319" s="17">
        <f t="shared" si="50"/>
        <v>3.0971550960000003</v>
      </c>
      <c r="K319" s="59"/>
    </row>
    <row r="320" spans="1:11">
      <c r="A320" s="377" t="s">
        <v>1338</v>
      </c>
      <c r="B320" s="377" t="s">
        <v>2180</v>
      </c>
      <c r="C320" s="377">
        <v>228.6</v>
      </c>
      <c r="D320" s="377">
        <v>203.2</v>
      </c>
      <c r="E320" s="377">
        <v>63.5</v>
      </c>
      <c r="F320" s="377">
        <v>63.5</v>
      </c>
      <c r="G320" s="17">
        <f t="shared" si="50"/>
        <v>2.9496715199999999</v>
      </c>
      <c r="K320" s="59"/>
    </row>
    <row r="321" spans="1:11">
      <c r="A321" s="377" t="s">
        <v>1314</v>
      </c>
      <c r="B321" s="377" t="s">
        <v>2180</v>
      </c>
      <c r="C321" s="377">
        <v>228.6</v>
      </c>
      <c r="D321" s="377">
        <v>203.2</v>
      </c>
      <c r="E321" s="377">
        <v>76.2</v>
      </c>
      <c r="F321" s="377">
        <v>76.2</v>
      </c>
      <c r="G321" s="17">
        <f t="shared" si="50"/>
        <v>3.5396058240000001</v>
      </c>
      <c r="K321" s="59"/>
    </row>
    <row r="322" spans="1:11">
      <c r="A322" s="377" t="s">
        <v>1337</v>
      </c>
      <c r="B322" s="377" t="s">
        <v>2180</v>
      </c>
      <c r="C322" s="377">
        <v>228.6</v>
      </c>
      <c r="D322" s="377">
        <v>203.2</v>
      </c>
      <c r="E322" s="377">
        <v>152.4</v>
      </c>
      <c r="F322" s="377">
        <v>152.4</v>
      </c>
      <c r="G322" s="17">
        <f t="shared" si="50"/>
        <v>7.0792116480000002</v>
      </c>
      <c r="K322" s="59"/>
    </row>
    <row r="323" spans="1:11">
      <c r="A323" s="377" t="s">
        <v>1339</v>
      </c>
      <c r="B323" s="377" t="s">
        <v>2180</v>
      </c>
      <c r="C323" s="377">
        <v>228.6</v>
      </c>
      <c r="D323" s="377">
        <v>228.6</v>
      </c>
      <c r="E323" s="377">
        <v>25.4</v>
      </c>
      <c r="F323" s="377">
        <v>25.4</v>
      </c>
      <c r="G323" s="17">
        <f t="shared" si="50"/>
        <v>1.327352184</v>
      </c>
      <c r="K323" s="59"/>
    </row>
    <row r="324" spans="1:11">
      <c r="A324" s="377" t="s">
        <v>1333</v>
      </c>
      <c r="B324" s="377" t="s">
        <v>2180</v>
      </c>
      <c r="C324" s="377">
        <v>228.6</v>
      </c>
      <c r="D324" s="377">
        <v>228.6</v>
      </c>
      <c r="E324" s="377">
        <v>31.8</v>
      </c>
      <c r="F324" s="377">
        <v>31.8</v>
      </c>
      <c r="G324" s="17">
        <f t="shared" si="50"/>
        <v>1.6618031280000001</v>
      </c>
      <c r="K324" s="59"/>
    </row>
    <row r="325" spans="1:11">
      <c r="A325" s="377" t="s">
        <v>1329</v>
      </c>
      <c r="B325" s="377" t="s">
        <v>2180</v>
      </c>
      <c r="C325" s="377">
        <v>228.6</v>
      </c>
      <c r="D325" s="377">
        <v>228.6</v>
      </c>
      <c r="E325" s="377">
        <v>38.1</v>
      </c>
      <c r="F325" s="377">
        <v>38.1</v>
      </c>
      <c r="G325" s="17">
        <f t="shared" si="50"/>
        <v>1.991028276</v>
      </c>
      <c r="K325" s="59"/>
    </row>
    <row r="326" spans="1:11">
      <c r="A326" s="377" t="s">
        <v>1322</v>
      </c>
      <c r="B326" s="377" t="s">
        <v>2180</v>
      </c>
      <c r="C326" s="377">
        <v>228.6</v>
      </c>
      <c r="D326" s="377">
        <v>228.6</v>
      </c>
      <c r="E326" s="377">
        <v>50.8</v>
      </c>
      <c r="F326" s="377">
        <v>50.8</v>
      </c>
      <c r="G326" s="17">
        <f t="shared" ref="G326:G389" si="51">C326*D326*E326/10^6</f>
        <v>2.654704368</v>
      </c>
      <c r="K326" s="59"/>
    </row>
    <row r="327" spans="1:11">
      <c r="A327" s="377" t="s">
        <v>1323</v>
      </c>
      <c r="B327" s="377" t="s">
        <v>2180</v>
      </c>
      <c r="C327" s="377">
        <v>228.6</v>
      </c>
      <c r="D327" s="377">
        <v>228.6</v>
      </c>
      <c r="E327" s="377">
        <v>63.5</v>
      </c>
      <c r="F327" s="377">
        <v>63.5</v>
      </c>
      <c r="G327" s="17">
        <f t="shared" si="51"/>
        <v>3.3183804599999998</v>
      </c>
      <c r="K327" s="59"/>
    </row>
    <row r="328" spans="1:11">
      <c r="A328" s="377" t="s">
        <v>1320</v>
      </c>
      <c r="B328" s="377" t="s">
        <v>2180</v>
      </c>
      <c r="C328" s="377">
        <v>228.6</v>
      </c>
      <c r="D328" s="377">
        <v>228.6</v>
      </c>
      <c r="E328" s="377">
        <v>76.2</v>
      </c>
      <c r="F328" s="377">
        <v>76.2</v>
      </c>
      <c r="G328" s="17">
        <f t="shared" si="51"/>
        <v>3.982056552</v>
      </c>
      <c r="K328" s="59"/>
    </row>
    <row r="329" spans="1:11">
      <c r="A329" s="377" t="s">
        <v>1313</v>
      </c>
      <c r="B329" s="377" t="s">
        <v>2180</v>
      </c>
      <c r="C329" s="377">
        <v>228.6</v>
      </c>
      <c r="D329" s="377">
        <v>228.6</v>
      </c>
      <c r="E329" s="377">
        <v>100</v>
      </c>
      <c r="F329" s="377">
        <v>100</v>
      </c>
      <c r="G329" s="17">
        <f t="shared" si="51"/>
        <v>5.2257959999999999</v>
      </c>
      <c r="K329" s="59"/>
    </row>
    <row r="330" spans="1:11">
      <c r="A330" s="377" t="s">
        <v>1307</v>
      </c>
      <c r="B330" s="377" t="s">
        <v>2180</v>
      </c>
      <c r="C330" s="377">
        <v>228.6</v>
      </c>
      <c r="D330" s="377">
        <v>228.6</v>
      </c>
      <c r="E330" s="377">
        <v>101.6</v>
      </c>
      <c r="F330" s="377">
        <v>101.6</v>
      </c>
      <c r="G330" s="17">
        <f t="shared" si="51"/>
        <v>5.309408736</v>
      </c>
      <c r="K330" s="59"/>
    </row>
    <row r="331" spans="1:11">
      <c r="A331" s="377" t="s">
        <v>1315</v>
      </c>
      <c r="B331" s="377" t="s">
        <v>2180</v>
      </c>
      <c r="C331" s="377">
        <v>228.6</v>
      </c>
      <c r="D331" s="377">
        <v>228.6</v>
      </c>
      <c r="E331" s="377">
        <v>114.3</v>
      </c>
      <c r="F331" s="377">
        <v>114.3</v>
      </c>
      <c r="G331" s="17">
        <f t="shared" si="51"/>
        <v>5.9730848280000002</v>
      </c>
      <c r="K331" s="59"/>
    </row>
    <row r="332" spans="1:11">
      <c r="A332" s="377" t="s">
        <v>1308</v>
      </c>
      <c r="B332" s="377" t="s">
        <v>2180</v>
      </c>
      <c r="C332" s="377">
        <v>228.6</v>
      </c>
      <c r="D332" s="377">
        <v>228.6</v>
      </c>
      <c r="E332" s="377">
        <v>152.4</v>
      </c>
      <c r="F332" s="377">
        <v>152.4</v>
      </c>
      <c r="G332" s="17">
        <f t="shared" si="51"/>
        <v>7.9641131039999999</v>
      </c>
      <c r="K332" s="59"/>
    </row>
    <row r="333" spans="1:11">
      <c r="A333" s="377" t="s">
        <v>1336</v>
      </c>
      <c r="B333" s="377" t="s">
        <v>2180</v>
      </c>
      <c r="C333" s="377">
        <v>228.6</v>
      </c>
      <c r="D333" s="377">
        <v>228.6</v>
      </c>
      <c r="E333" s="377">
        <v>228.6</v>
      </c>
      <c r="F333" s="377">
        <v>228.6</v>
      </c>
      <c r="G333" s="17">
        <f t="shared" si="51"/>
        <v>11.946169656</v>
      </c>
      <c r="K333" s="59"/>
    </row>
    <row r="334" spans="1:11">
      <c r="A334" s="448" t="s">
        <v>1356</v>
      </c>
      <c r="B334" s="448" t="s">
        <v>2180</v>
      </c>
      <c r="C334" s="448">
        <v>304.8</v>
      </c>
      <c r="D334" s="448">
        <v>100</v>
      </c>
      <c r="E334" s="448">
        <v>76.2</v>
      </c>
      <c r="F334" s="448">
        <v>76.2</v>
      </c>
      <c r="G334" s="17">
        <f t="shared" si="51"/>
        <v>2.3225760000000002</v>
      </c>
      <c r="K334" s="59"/>
    </row>
    <row r="335" spans="1:11">
      <c r="A335" s="448" t="s">
        <v>1372</v>
      </c>
      <c r="B335" s="448" t="s">
        <v>2180</v>
      </c>
      <c r="C335" s="448">
        <v>304.8</v>
      </c>
      <c r="D335" s="448">
        <v>101.6</v>
      </c>
      <c r="E335" s="448">
        <v>76.2</v>
      </c>
      <c r="F335" s="448">
        <v>76.2</v>
      </c>
      <c r="G335" s="17">
        <f t="shared" si="51"/>
        <v>2.3597372160000001</v>
      </c>
      <c r="K335" s="59"/>
    </row>
    <row r="336" spans="1:11">
      <c r="A336" s="448" t="s">
        <v>1377</v>
      </c>
      <c r="B336" s="448" t="s">
        <v>2180</v>
      </c>
      <c r="C336" s="448">
        <v>304.8</v>
      </c>
      <c r="D336" s="448">
        <v>114.3</v>
      </c>
      <c r="E336" s="448">
        <v>25.4</v>
      </c>
      <c r="F336" s="448">
        <v>25.4</v>
      </c>
      <c r="G336" s="17">
        <f t="shared" si="51"/>
        <v>0.88490145599999992</v>
      </c>
      <c r="K336" s="59"/>
    </row>
    <row r="337" spans="1:11">
      <c r="A337" s="448" t="s">
        <v>1422</v>
      </c>
      <c r="B337" s="448" t="s">
        <v>2180</v>
      </c>
      <c r="C337" s="448">
        <v>304.8</v>
      </c>
      <c r="D337" s="448">
        <v>114.3</v>
      </c>
      <c r="E337" s="448">
        <v>31.8</v>
      </c>
      <c r="F337" s="448">
        <v>31.8</v>
      </c>
      <c r="G337" s="17">
        <f t="shared" si="51"/>
        <v>1.1078687520000001</v>
      </c>
      <c r="K337" s="59"/>
    </row>
    <row r="338" spans="1:11">
      <c r="A338" s="448" t="s">
        <v>1422</v>
      </c>
      <c r="B338" s="448" t="s">
        <v>2180</v>
      </c>
      <c r="C338" s="448">
        <v>304.8</v>
      </c>
      <c r="D338" s="448">
        <v>114.3</v>
      </c>
      <c r="E338" s="448">
        <v>38.1</v>
      </c>
      <c r="F338" s="448">
        <v>38.1</v>
      </c>
      <c r="G338" s="17">
        <f t="shared" si="51"/>
        <v>1.3273521840000002</v>
      </c>
      <c r="K338" s="59"/>
    </row>
    <row r="339" spans="1:11">
      <c r="A339" s="448" t="s">
        <v>1365</v>
      </c>
      <c r="B339" s="448" t="s">
        <v>2180</v>
      </c>
      <c r="C339" s="448">
        <v>304.8</v>
      </c>
      <c r="D339" s="448">
        <v>114.3</v>
      </c>
      <c r="E339" s="448">
        <v>50.8</v>
      </c>
      <c r="F339" s="448">
        <v>50.8</v>
      </c>
      <c r="G339" s="17">
        <f t="shared" si="51"/>
        <v>1.7698029119999998</v>
      </c>
      <c r="K339" s="59"/>
    </row>
    <row r="340" spans="1:11">
      <c r="A340" s="448" t="s">
        <v>1386</v>
      </c>
      <c r="B340" s="448" t="s">
        <v>2180</v>
      </c>
      <c r="C340" s="448">
        <v>304.8</v>
      </c>
      <c r="D340" s="448">
        <v>114.3</v>
      </c>
      <c r="E340" s="448">
        <v>63.5</v>
      </c>
      <c r="F340" s="448">
        <v>63.5</v>
      </c>
      <c r="G340" s="17">
        <f t="shared" si="51"/>
        <v>2.2122536400000001</v>
      </c>
      <c r="K340" s="59"/>
    </row>
    <row r="341" spans="1:11">
      <c r="A341" s="448" t="s">
        <v>1357</v>
      </c>
      <c r="B341" s="448" t="s">
        <v>2180</v>
      </c>
      <c r="C341" s="448">
        <v>304.8</v>
      </c>
      <c r="D341" s="448">
        <v>114.3</v>
      </c>
      <c r="E341" s="448">
        <v>76.2</v>
      </c>
      <c r="F341" s="448">
        <v>76.2</v>
      </c>
      <c r="G341" s="17">
        <f t="shared" si="51"/>
        <v>2.6547043680000004</v>
      </c>
      <c r="K341" s="59"/>
    </row>
    <row r="342" spans="1:11">
      <c r="A342" s="448" t="s">
        <v>1366</v>
      </c>
      <c r="B342" s="448" t="s">
        <v>2180</v>
      </c>
      <c r="C342" s="448">
        <v>304.8</v>
      </c>
      <c r="D342" s="448">
        <v>114.3</v>
      </c>
      <c r="E342" s="448">
        <v>101.6</v>
      </c>
      <c r="F342" s="448">
        <v>101.6</v>
      </c>
      <c r="G342" s="17">
        <f t="shared" si="51"/>
        <v>3.5396058239999997</v>
      </c>
      <c r="K342" s="59"/>
    </row>
    <row r="343" spans="1:11">
      <c r="A343" s="448" t="s">
        <v>1423</v>
      </c>
      <c r="B343" s="448" t="s">
        <v>2180</v>
      </c>
      <c r="C343" s="448">
        <v>304.8</v>
      </c>
      <c r="D343" s="448">
        <v>114.3</v>
      </c>
      <c r="E343" s="448">
        <v>114.3</v>
      </c>
      <c r="F343" s="448">
        <v>114.3</v>
      </c>
      <c r="G343" s="17">
        <f t="shared" si="51"/>
        <v>3.9820565519999995</v>
      </c>
      <c r="K343" s="59"/>
    </row>
    <row r="344" spans="1:11">
      <c r="A344" s="448" t="s">
        <v>1381</v>
      </c>
      <c r="B344" s="448" t="s">
        <v>2180</v>
      </c>
      <c r="C344" s="448">
        <v>304.8</v>
      </c>
      <c r="D344" s="448">
        <v>127</v>
      </c>
      <c r="E344" s="448">
        <v>101.6</v>
      </c>
      <c r="F344" s="448">
        <v>101.6</v>
      </c>
      <c r="G344" s="17">
        <f t="shared" si="51"/>
        <v>3.9328953599999994</v>
      </c>
      <c r="K344" s="59"/>
    </row>
    <row r="345" spans="1:11">
      <c r="A345" s="448" t="s">
        <v>1345</v>
      </c>
      <c r="B345" s="448" t="s">
        <v>2180</v>
      </c>
      <c r="C345" s="448">
        <v>304.8</v>
      </c>
      <c r="D345" s="448">
        <v>152.4</v>
      </c>
      <c r="E345" s="448">
        <v>25.4</v>
      </c>
      <c r="F345" s="448">
        <v>25.4</v>
      </c>
      <c r="G345" s="17">
        <f t="shared" si="51"/>
        <v>1.179868608</v>
      </c>
      <c r="K345" s="59"/>
    </row>
    <row r="346" spans="1:11">
      <c r="A346" s="448" t="s">
        <v>1373</v>
      </c>
      <c r="B346" s="448" t="s">
        <v>2180</v>
      </c>
      <c r="C346" s="448">
        <v>304.8</v>
      </c>
      <c r="D346" s="448">
        <v>152.4</v>
      </c>
      <c r="E346" s="448">
        <v>31.8</v>
      </c>
      <c r="F346" s="448">
        <v>31.8</v>
      </c>
      <c r="G346" s="17">
        <f t="shared" si="51"/>
        <v>1.477158336</v>
      </c>
      <c r="K346" s="59"/>
    </row>
    <row r="347" spans="1:11">
      <c r="A347" s="448" t="s">
        <v>1346</v>
      </c>
      <c r="B347" s="448" t="s">
        <v>2180</v>
      </c>
      <c r="C347" s="448">
        <v>304.8</v>
      </c>
      <c r="D347" s="448">
        <v>152.4</v>
      </c>
      <c r="E347" s="448">
        <v>38.1</v>
      </c>
      <c r="F347" s="448">
        <v>38.1</v>
      </c>
      <c r="G347" s="17">
        <f t="shared" si="51"/>
        <v>1.7698029120000003</v>
      </c>
      <c r="K347" s="59"/>
    </row>
    <row r="348" spans="1:11">
      <c r="A348" s="448" t="s">
        <v>1360</v>
      </c>
      <c r="B348" s="448" t="s">
        <v>2180</v>
      </c>
      <c r="C348" s="448">
        <v>304.8</v>
      </c>
      <c r="D348" s="448">
        <v>152.4</v>
      </c>
      <c r="E348" s="448">
        <v>50.8</v>
      </c>
      <c r="F348" s="448">
        <v>50.8</v>
      </c>
      <c r="G348" s="17">
        <f t="shared" si="51"/>
        <v>2.3597372160000001</v>
      </c>
      <c r="K348" s="59"/>
    </row>
    <row r="349" spans="1:11">
      <c r="A349" s="448" t="s">
        <v>1361</v>
      </c>
      <c r="B349" s="448" t="s">
        <v>2180</v>
      </c>
      <c r="C349" s="448">
        <v>304.8</v>
      </c>
      <c r="D349" s="448">
        <v>152.4</v>
      </c>
      <c r="E349" s="448">
        <v>63.5</v>
      </c>
      <c r="F349" s="448">
        <v>63.5</v>
      </c>
      <c r="G349" s="17">
        <f t="shared" si="51"/>
        <v>2.9496715200000003</v>
      </c>
      <c r="K349" s="59"/>
    </row>
    <row r="350" spans="1:11">
      <c r="A350" s="448" t="s">
        <v>1358</v>
      </c>
      <c r="B350" s="448" t="s">
        <v>2180</v>
      </c>
      <c r="C350" s="448">
        <v>304.8</v>
      </c>
      <c r="D350" s="448">
        <v>152.4</v>
      </c>
      <c r="E350" s="448">
        <v>76.2</v>
      </c>
      <c r="F350" s="448">
        <v>76.2</v>
      </c>
      <c r="G350" s="17">
        <f t="shared" si="51"/>
        <v>3.5396058240000006</v>
      </c>
      <c r="K350" s="59"/>
    </row>
    <row r="351" spans="1:11">
      <c r="A351" s="448" t="s">
        <v>1344</v>
      </c>
      <c r="B351" s="448" t="s">
        <v>2180</v>
      </c>
      <c r="C351" s="448">
        <v>304.8</v>
      </c>
      <c r="D351" s="448">
        <v>152.4</v>
      </c>
      <c r="E351" s="448">
        <v>100</v>
      </c>
      <c r="F351" s="448">
        <v>100</v>
      </c>
      <c r="G351" s="17">
        <f t="shared" si="51"/>
        <v>4.6451520000000004</v>
      </c>
      <c r="K351" s="59"/>
    </row>
    <row r="352" spans="1:11">
      <c r="A352" s="448" t="s">
        <v>1353</v>
      </c>
      <c r="B352" s="448" t="s">
        <v>2180</v>
      </c>
      <c r="C352" s="448">
        <v>304.8</v>
      </c>
      <c r="D352" s="448">
        <v>152.4</v>
      </c>
      <c r="E352" s="448">
        <v>101.6</v>
      </c>
      <c r="F352" s="448">
        <v>101.6</v>
      </c>
      <c r="G352" s="17">
        <f t="shared" si="51"/>
        <v>4.7194744320000002</v>
      </c>
      <c r="K352" s="59"/>
    </row>
    <row r="353" spans="1:11">
      <c r="A353" s="448" t="s">
        <v>1347</v>
      </c>
      <c r="B353" s="448" t="s">
        <v>2180</v>
      </c>
      <c r="C353" s="448">
        <v>304.8</v>
      </c>
      <c r="D353" s="448">
        <v>152.4</v>
      </c>
      <c r="E353" s="448">
        <v>114.3</v>
      </c>
      <c r="F353" s="448">
        <v>114.3</v>
      </c>
      <c r="G353" s="17">
        <f t="shared" si="51"/>
        <v>5.3094087360000009</v>
      </c>
      <c r="K353" s="59"/>
    </row>
    <row r="354" spans="1:11">
      <c r="A354" s="448" t="s">
        <v>1374</v>
      </c>
      <c r="B354" s="448" t="s">
        <v>2180</v>
      </c>
      <c r="C354" s="448">
        <v>304.8</v>
      </c>
      <c r="D354" s="448">
        <v>152.4</v>
      </c>
      <c r="E354" s="448">
        <v>127</v>
      </c>
      <c r="F354" s="448">
        <v>127</v>
      </c>
      <c r="G354" s="17">
        <f t="shared" si="51"/>
        <v>5.8993430400000006</v>
      </c>
      <c r="K354" s="59"/>
    </row>
    <row r="355" spans="1:11">
      <c r="A355" s="448" t="s">
        <v>1354</v>
      </c>
      <c r="B355" s="448" t="s">
        <v>2180</v>
      </c>
      <c r="C355" s="448">
        <v>304.8</v>
      </c>
      <c r="D355" s="448">
        <v>203.2</v>
      </c>
      <c r="E355" s="448">
        <v>76.2</v>
      </c>
      <c r="F355" s="448">
        <v>76.2</v>
      </c>
      <c r="G355" s="17">
        <f t="shared" si="51"/>
        <v>4.7194744320000002</v>
      </c>
      <c r="K355" s="59"/>
    </row>
    <row r="356" spans="1:11">
      <c r="A356" s="448" t="s">
        <v>1371</v>
      </c>
      <c r="B356" s="448" t="s">
        <v>2180</v>
      </c>
      <c r="C356" s="448">
        <v>304.8</v>
      </c>
      <c r="D356" s="448">
        <v>203.2</v>
      </c>
      <c r="E356" s="448">
        <v>101.6</v>
      </c>
      <c r="F356" s="448">
        <v>101.6</v>
      </c>
      <c r="G356" s="17">
        <f t="shared" si="51"/>
        <v>6.292632575999999</v>
      </c>
      <c r="K356" s="59"/>
    </row>
    <row r="357" spans="1:11">
      <c r="A357" s="448" t="s">
        <v>1382</v>
      </c>
      <c r="B357" s="448" t="s">
        <v>2180</v>
      </c>
      <c r="C357" s="448">
        <v>304.8</v>
      </c>
      <c r="D357" s="448">
        <v>228.6</v>
      </c>
      <c r="E357" s="448">
        <v>25.4</v>
      </c>
      <c r="F357" s="448">
        <v>25.4</v>
      </c>
      <c r="G357" s="17">
        <f t="shared" si="51"/>
        <v>1.7698029119999998</v>
      </c>
      <c r="K357" s="59"/>
    </row>
    <row r="358" spans="1:11">
      <c r="A358" s="448" t="s">
        <v>1375</v>
      </c>
      <c r="B358" s="448" t="s">
        <v>2180</v>
      </c>
      <c r="C358" s="448">
        <v>304.8</v>
      </c>
      <c r="D358" s="448">
        <v>228.6</v>
      </c>
      <c r="E358" s="448">
        <v>31.8</v>
      </c>
      <c r="F358" s="448">
        <v>31.8</v>
      </c>
      <c r="G358" s="17">
        <f t="shared" si="51"/>
        <v>2.2157375040000002</v>
      </c>
      <c r="K358" s="59"/>
    </row>
    <row r="359" spans="1:11">
      <c r="A359" s="448" t="s">
        <v>1364</v>
      </c>
      <c r="B359" s="448" t="s">
        <v>2180</v>
      </c>
      <c r="C359" s="448">
        <v>304.8</v>
      </c>
      <c r="D359" s="448">
        <v>228.6</v>
      </c>
      <c r="E359" s="448">
        <v>38.1</v>
      </c>
      <c r="F359" s="448">
        <v>38.1</v>
      </c>
      <c r="G359" s="17">
        <f t="shared" si="51"/>
        <v>2.6547043680000004</v>
      </c>
      <c r="K359" s="59"/>
    </row>
    <row r="360" spans="1:11">
      <c r="A360" s="448" t="s">
        <v>1348</v>
      </c>
      <c r="B360" s="448" t="s">
        <v>2180</v>
      </c>
      <c r="C360" s="448">
        <v>304.8</v>
      </c>
      <c r="D360" s="448">
        <v>228.6</v>
      </c>
      <c r="E360" s="448">
        <v>50.8</v>
      </c>
      <c r="F360" s="448">
        <v>50.8</v>
      </c>
      <c r="G360" s="17">
        <f t="shared" si="51"/>
        <v>3.5396058239999997</v>
      </c>
      <c r="K360" s="59"/>
    </row>
    <row r="361" spans="1:11">
      <c r="A361" s="448" t="s">
        <v>1349</v>
      </c>
      <c r="B361" s="448" t="s">
        <v>2180</v>
      </c>
      <c r="C361" s="448">
        <v>304.8</v>
      </c>
      <c r="D361" s="448">
        <v>228.6</v>
      </c>
      <c r="E361" s="448">
        <v>63.5</v>
      </c>
      <c r="F361" s="448">
        <v>63.5</v>
      </c>
      <c r="G361" s="17">
        <f t="shared" si="51"/>
        <v>4.4245072800000003</v>
      </c>
      <c r="K361" s="59"/>
    </row>
    <row r="362" spans="1:11">
      <c r="A362" s="448" t="s">
        <v>1359</v>
      </c>
      <c r="B362" s="448" t="s">
        <v>2180</v>
      </c>
      <c r="C362" s="448">
        <v>304.8</v>
      </c>
      <c r="D362" s="448">
        <v>228.6</v>
      </c>
      <c r="E362" s="448">
        <v>76.2</v>
      </c>
      <c r="F362" s="448">
        <v>76.2</v>
      </c>
      <c r="G362" s="17">
        <f t="shared" si="51"/>
        <v>5.3094087360000009</v>
      </c>
      <c r="K362" s="59"/>
    </row>
    <row r="363" spans="1:11">
      <c r="A363" s="448" t="s">
        <v>1350</v>
      </c>
      <c r="B363" s="448" t="s">
        <v>2180</v>
      </c>
      <c r="C363" s="448">
        <v>304.8</v>
      </c>
      <c r="D363" s="448">
        <v>228.6</v>
      </c>
      <c r="E363" s="448">
        <v>100</v>
      </c>
      <c r="F363" s="448">
        <v>100</v>
      </c>
      <c r="G363" s="17">
        <f t="shared" si="51"/>
        <v>6.9677280000000001</v>
      </c>
      <c r="K363" s="59"/>
    </row>
    <row r="364" spans="1:11">
      <c r="A364" s="448" t="s">
        <v>1355</v>
      </c>
      <c r="B364" s="448" t="s">
        <v>2180</v>
      </c>
      <c r="C364" s="448">
        <v>304.8</v>
      </c>
      <c r="D364" s="448">
        <v>228.6</v>
      </c>
      <c r="E364" s="448">
        <v>101.6</v>
      </c>
      <c r="F364" s="448">
        <v>101.6</v>
      </c>
      <c r="G364" s="17">
        <f t="shared" si="51"/>
        <v>7.0792116479999994</v>
      </c>
      <c r="K364" s="59"/>
    </row>
    <row r="365" spans="1:11">
      <c r="A365" s="448" t="s">
        <v>1351</v>
      </c>
      <c r="B365" s="448" t="s">
        <v>2180</v>
      </c>
      <c r="C365" s="448">
        <v>304.8</v>
      </c>
      <c r="D365" s="448">
        <v>228.6</v>
      </c>
      <c r="E365" s="448">
        <v>114.3</v>
      </c>
      <c r="F365" s="448">
        <v>114.3</v>
      </c>
      <c r="G365" s="17">
        <f t="shared" si="51"/>
        <v>7.9641131039999991</v>
      </c>
      <c r="K365" s="59"/>
    </row>
    <row r="366" spans="1:11">
      <c r="A366" s="448" t="s">
        <v>1383</v>
      </c>
      <c r="B366" s="448" t="s">
        <v>2180</v>
      </c>
      <c r="C366" s="448">
        <v>304.8</v>
      </c>
      <c r="D366" s="448">
        <v>228.6</v>
      </c>
      <c r="E366" s="448">
        <v>127</v>
      </c>
      <c r="F366" s="448">
        <v>127</v>
      </c>
      <c r="G366" s="17">
        <f t="shared" si="51"/>
        <v>8.8490145600000005</v>
      </c>
      <c r="K366" s="59"/>
    </row>
    <row r="367" spans="1:11">
      <c r="A367" s="448" t="s">
        <v>1370</v>
      </c>
      <c r="B367" s="448" t="s">
        <v>2180</v>
      </c>
      <c r="C367" s="448">
        <v>304.8</v>
      </c>
      <c r="D367" s="448">
        <v>228.6</v>
      </c>
      <c r="E367" s="448">
        <v>152.4</v>
      </c>
      <c r="F367" s="448">
        <v>152.4</v>
      </c>
      <c r="G367" s="17">
        <f t="shared" si="51"/>
        <v>10.618817472000002</v>
      </c>
      <c r="K367" s="59"/>
    </row>
    <row r="368" spans="1:11">
      <c r="A368" s="448" t="s">
        <v>1380</v>
      </c>
      <c r="B368" s="448" t="s">
        <v>2180</v>
      </c>
      <c r="C368" s="448">
        <v>304.8</v>
      </c>
      <c r="D368" s="448">
        <v>228.6</v>
      </c>
      <c r="E368" s="448">
        <v>203.2</v>
      </c>
      <c r="F368" s="448">
        <v>203.2</v>
      </c>
      <c r="G368" s="17">
        <f t="shared" si="51"/>
        <v>14.158423295999999</v>
      </c>
      <c r="K368" s="59"/>
    </row>
    <row r="369" spans="1:11">
      <c r="A369" s="448" t="s">
        <v>1362</v>
      </c>
      <c r="B369" s="448" t="s">
        <v>2180</v>
      </c>
      <c r="C369" s="448">
        <v>304.8</v>
      </c>
      <c r="D369" s="448">
        <v>304.8</v>
      </c>
      <c r="E369" s="448">
        <v>25.4</v>
      </c>
      <c r="F369" s="448">
        <v>25.4</v>
      </c>
      <c r="G369" s="17">
        <f t="shared" si="51"/>
        <v>2.3597372160000001</v>
      </c>
      <c r="K369" s="59"/>
    </row>
    <row r="370" spans="1:11">
      <c r="A370" s="448" t="s">
        <v>1378</v>
      </c>
      <c r="B370" s="448" t="s">
        <v>2180</v>
      </c>
      <c r="C370" s="448">
        <v>304.8</v>
      </c>
      <c r="D370" s="448">
        <v>304.8</v>
      </c>
      <c r="E370" s="448">
        <v>31.8</v>
      </c>
      <c r="F370" s="448">
        <v>31.8</v>
      </c>
      <c r="G370" s="17">
        <f t="shared" si="51"/>
        <v>2.954316672</v>
      </c>
      <c r="K370" s="59"/>
    </row>
    <row r="371" spans="1:11">
      <c r="A371" s="448" t="s">
        <v>1379</v>
      </c>
      <c r="B371" s="448" t="s">
        <v>2180</v>
      </c>
      <c r="C371" s="448">
        <v>304.8</v>
      </c>
      <c r="D371" s="448">
        <v>304.8</v>
      </c>
      <c r="E371" s="448">
        <v>38.1</v>
      </c>
      <c r="F371" s="448">
        <v>38.1</v>
      </c>
      <c r="G371" s="17">
        <f t="shared" si="51"/>
        <v>3.5396058240000006</v>
      </c>
      <c r="K371" s="59"/>
    </row>
    <row r="372" spans="1:11">
      <c r="A372" s="448" t="s">
        <v>1352</v>
      </c>
      <c r="B372" s="448" t="s">
        <v>2180</v>
      </c>
      <c r="C372" s="448">
        <v>304.8</v>
      </c>
      <c r="D372" s="448">
        <v>304.8</v>
      </c>
      <c r="E372" s="448">
        <v>50.8</v>
      </c>
      <c r="F372" s="448">
        <v>50.8</v>
      </c>
      <c r="G372" s="17">
        <f t="shared" si="51"/>
        <v>4.7194744320000002</v>
      </c>
      <c r="K372" s="59"/>
    </row>
    <row r="373" spans="1:11">
      <c r="A373" s="448" t="s">
        <v>1385</v>
      </c>
      <c r="B373" s="448" t="s">
        <v>2180</v>
      </c>
      <c r="C373" s="448">
        <v>304.8</v>
      </c>
      <c r="D373" s="448">
        <v>304.8</v>
      </c>
      <c r="E373" s="448">
        <v>63.5</v>
      </c>
      <c r="F373" s="448">
        <v>63.5</v>
      </c>
      <c r="G373" s="17">
        <f t="shared" si="51"/>
        <v>5.8993430400000006</v>
      </c>
      <c r="K373" s="59"/>
    </row>
    <row r="374" spans="1:11">
      <c r="A374" s="448" t="s">
        <v>1363</v>
      </c>
      <c r="B374" s="448" t="s">
        <v>2180</v>
      </c>
      <c r="C374" s="448">
        <v>304.8</v>
      </c>
      <c r="D374" s="448">
        <v>304.8</v>
      </c>
      <c r="E374" s="448">
        <v>76.2</v>
      </c>
      <c r="F374" s="448">
        <v>76.2</v>
      </c>
      <c r="G374" s="17">
        <f t="shared" si="51"/>
        <v>7.0792116480000011</v>
      </c>
      <c r="K374" s="59"/>
    </row>
    <row r="375" spans="1:11">
      <c r="A375" s="448" t="s">
        <v>1384</v>
      </c>
      <c r="B375" s="448" t="s">
        <v>2180</v>
      </c>
      <c r="C375" s="448">
        <v>304.8</v>
      </c>
      <c r="D375" s="448">
        <v>304.8</v>
      </c>
      <c r="E375" s="448">
        <v>100</v>
      </c>
      <c r="F375" s="448">
        <v>100</v>
      </c>
      <c r="G375" s="17">
        <f t="shared" si="51"/>
        <v>9.2903040000000008</v>
      </c>
      <c r="K375" s="59"/>
    </row>
    <row r="376" spans="1:11">
      <c r="A376" s="448" t="s">
        <v>1369</v>
      </c>
      <c r="B376" s="448" t="s">
        <v>2180</v>
      </c>
      <c r="C376" s="448">
        <v>304.8</v>
      </c>
      <c r="D376" s="448">
        <v>304.8</v>
      </c>
      <c r="E376" s="448">
        <v>101.6</v>
      </c>
      <c r="F376" s="448">
        <v>101.6</v>
      </c>
      <c r="G376" s="17">
        <f t="shared" si="51"/>
        <v>9.4389488640000003</v>
      </c>
      <c r="K376" s="59"/>
    </row>
    <row r="377" spans="1:11">
      <c r="A377" s="448" t="s">
        <v>1376</v>
      </c>
      <c r="B377" s="448" t="s">
        <v>2180</v>
      </c>
      <c r="C377" s="448">
        <v>304.8</v>
      </c>
      <c r="D377" s="448">
        <v>304.8</v>
      </c>
      <c r="E377" s="448">
        <v>114.3</v>
      </c>
      <c r="F377" s="448">
        <v>114.3</v>
      </c>
      <c r="G377" s="17">
        <f t="shared" si="51"/>
        <v>10.618817472000002</v>
      </c>
      <c r="K377" s="59"/>
    </row>
    <row r="378" spans="1:11">
      <c r="A378" s="448" t="s">
        <v>1368</v>
      </c>
      <c r="B378" s="448" t="s">
        <v>2180</v>
      </c>
      <c r="C378" s="448">
        <v>304.8</v>
      </c>
      <c r="D378" s="448">
        <v>304.8</v>
      </c>
      <c r="E378" s="448">
        <v>127</v>
      </c>
      <c r="F378" s="448">
        <v>127</v>
      </c>
      <c r="G378" s="17">
        <f t="shared" si="51"/>
        <v>11.798686080000001</v>
      </c>
      <c r="K378" s="59"/>
    </row>
    <row r="379" spans="1:11">
      <c r="A379" s="448" t="s">
        <v>1367</v>
      </c>
      <c r="B379" s="448" t="s">
        <v>2180</v>
      </c>
      <c r="C379" s="448">
        <v>304.8</v>
      </c>
      <c r="D379" s="448">
        <v>304.8</v>
      </c>
      <c r="E379" s="448">
        <v>152.4</v>
      </c>
      <c r="F379" s="448">
        <v>152.4</v>
      </c>
      <c r="G379" s="17">
        <f t="shared" si="51"/>
        <v>14.158423296000002</v>
      </c>
      <c r="K379" s="59"/>
    </row>
    <row r="380" spans="1:11">
      <c r="A380" s="450" t="s">
        <v>1387</v>
      </c>
      <c r="B380" s="450" t="s">
        <v>2180</v>
      </c>
      <c r="C380" s="450">
        <v>381</v>
      </c>
      <c r="D380" s="450">
        <v>76.2</v>
      </c>
      <c r="E380" s="450">
        <v>76.2</v>
      </c>
      <c r="F380" s="450">
        <v>76.2</v>
      </c>
      <c r="G380" s="17">
        <f t="shared" si="51"/>
        <v>2.2122536400000001</v>
      </c>
      <c r="K380" s="59"/>
    </row>
    <row r="381" spans="1:11">
      <c r="A381" s="450" t="s">
        <v>1393</v>
      </c>
      <c r="B381" s="450" t="s">
        <v>2180</v>
      </c>
      <c r="C381" s="450">
        <v>381</v>
      </c>
      <c r="D381" s="450">
        <v>100</v>
      </c>
      <c r="E381" s="450">
        <v>76.2</v>
      </c>
      <c r="F381" s="450">
        <v>76.2</v>
      </c>
      <c r="G381" s="17">
        <f t="shared" si="51"/>
        <v>2.9032200000000001</v>
      </c>
      <c r="K381" s="59"/>
    </row>
    <row r="382" spans="1:11">
      <c r="A382" s="450" t="s">
        <v>1402</v>
      </c>
      <c r="B382" s="450" t="s">
        <v>2180</v>
      </c>
      <c r="C382" s="450">
        <v>381</v>
      </c>
      <c r="D382" s="450">
        <v>101.6</v>
      </c>
      <c r="E382" s="450">
        <v>101.6</v>
      </c>
      <c r="F382" s="450">
        <v>101.6</v>
      </c>
      <c r="G382" s="17">
        <f t="shared" si="51"/>
        <v>3.9328953599999994</v>
      </c>
      <c r="K382" s="59"/>
    </row>
    <row r="383" spans="1:11">
      <c r="A383" s="450" t="s">
        <v>1415</v>
      </c>
      <c r="B383" s="450" t="s">
        <v>2180</v>
      </c>
      <c r="C383" s="450">
        <v>381</v>
      </c>
      <c r="D383" s="450">
        <v>114.3</v>
      </c>
      <c r="E383" s="450">
        <v>25.4</v>
      </c>
      <c r="F383" s="450">
        <v>25.4</v>
      </c>
      <c r="G383" s="17">
        <f t="shared" si="51"/>
        <v>1.1061268199999998</v>
      </c>
      <c r="K383" s="59"/>
    </row>
    <row r="384" spans="1:11">
      <c r="A384" s="450" t="s">
        <v>1421</v>
      </c>
      <c r="B384" s="450" t="s">
        <v>2180</v>
      </c>
      <c r="C384" s="450">
        <v>381</v>
      </c>
      <c r="D384" s="450">
        <v>114.3</v>
      </c>
      <c r="E384" s="450">
        <v>63.5</v>
      </c>
      <c r="F384" s="450">
        <v>63.5</v>
      </c>
      <c r="G384" s="17">
        <f t="shared" si="51"/>
        <v>2.7653170499999997</v>
      </c>
      <c r="K384" s="59"/>
    </row>
    <row r="385" spans="1:11">
      <c r="A385" s="450" t="s">
        <v>1396</v>
      </c>
      <c r="B385" s="450" t="s">
        <v>2180</v>
      </c>
      <c r="C385" s="450">
        <v>381</v>
      </c>
      <c r="D385" s="450">
        <v>114.3</v>
      </c>
      <c r="E385" s="450">
        <v>76.2</v>
      </c>
      <c r="F385" s="450">
        <v>76.2</v>
      </c>
      <c r="G385" s="17">
        <f t="shared" si="51"/>
        <v>3.3183804599999998</v>
      </c>
      <c r="K385" s="59"/>
    </row>
    <row r="386" spans="1:11">
      <c r="A386" s="450" t="s">
        <v>1424</v>
      </c>
      <c r="B386" s="450" t="s">
        <v>2180</v>
      </c>
      <c r="C386" s="450">
        <v>381</v>
      </c>
      <c r="D386" s="450">
        <v>114.3</v>
      </c>
      <c r="E386" s="450">
        <v>114.3</v>
      </c>
      <c r="F386" s="450">
        <v>114.3</v>
      </c>
      <c r="G386" s="17">
        <f t="shared" si="51"/>
        <v>4.9775706899999994</v>
      </c>
      <c r="K386" s="59"/>
    </row>
    <row r="387" spans="1:11">
      <c r="A387" s="450" t="s">
        <v>1419</v>
      </c>
      <c r="B387" s="450" t="s">
        <v>2180</v>
      </c>
      <c r="C387" s="450">
        <v>381</v>
      </c>
      <c r="D387" s="450">
        <v>127</v>
      </c>
      <c r="E387" s="450">
        <v>76.2</v>
      </c>
      <c r="F387" s="450">
        <v>76.2</v>
      </c>
      <c r="G387" s="17">
        <f t="shared" si="51"/>
        <v>3.6870894000000001</v>
      </c>
      <c r="K387" s="59"/>
    </row>
    <row r="388" spans="1:11">
      <c r="A388" s="450" t="s">
        <v>1395</v>
      </c>
      <c r="B388" s="450" t="s">
        <v>2180</v>
      </c>
      <c r="C388" s="450">
        <v>381</v>
      </c>
      <c r="D388" s="450">
        <v>152.4</v>
      </c>
      <c r="E388" s="450">
        <v>31.8</v>
      </c>
      <c r="F388" s="450">
        <v>31.8</v>
      </c>
      <c r="G388" s="17">
        <f t="shared" si="51"/>
        <v>1.8464479200000001</v>
      </c>
      <c r="K388" s="59"/>
    </row>
    <row r="389" spans="1:11">
      <c r="A389" s="450" t="s">
        <v>1388</v>
      </c>
      <c r="B389" s="450" t="s">
        <v>2180</v>
      </c>
      <c r="C389" s="450">
        <v>381</v>
      </c>
      <c r="D389" s="450">
        <v>152.4</v>
      </c>
      <c r="E389" s="450">
        <v>38.1</v>
      </c>
      <c r="F389" s="450">
        <v>38.1</v>
      </c>
      <c r="G389" s="17">
        <f t="shared" si="51"/>
        <v>2.2122536400000001</v>
      </c>
      <c r="K389" s="59"/>
    </row>
    <row r="390" spans="1:11">
      <c r="A390" s="450" t="s">
        <v>1389</v>
      </c>
      <c r="B390" s="450" t="s">
        <v>2180</v>
      </c>
      <c r="C390" s="450">
        <v>381</v>
      </c>
      <c r="D390" s="450">
        <v>152.4</v>
      </c>
      <c r="E390" s="450">
        <v>50.8</v>
      </c>
      <c r="F390" s="450">
        <v>50.8</v>
      </c>
      <c r="G390" s="17">
        <f t="shared" ref="G390:G453" si="52">C390*D390*E390/10^6</f>
        <v>2.9496715199999999</v>
      </c>
      <c r="K390" s="59"/>
    </row>
    <row r="391" spans="1:11">
      <c r="A391" s="450" t="s">
        <v>1390</v>
      </c>
      <c r="B391" s="450" t="s">
        <v>2180</v>
      </c>
      <c r="C391" s="450">
        <v>381</v>
      </c>
      <c r="D391" s="450">
        <v>152.4</v>
      </c>
      <c r="E391" s="450">
        <v>63.5</v>
      </c>
      <c r="F391" s="450">
        <v>63.5</v>
      </c>
      <c r="G391" s="17">
        <f t="shared" si="52"/>
        <v>3.6870894000000001</v>
      </c>
      <c r="K391" s="59"/>
    </row>
    <row r="392" spans="1:11">
      <c r="A392" s="450" t="s">
        <v>1397</v>
      </c>
      <c r="B392" s="450" t="s">
        <v>2180</v>
      </c>
      <c r="C392" s="450">
        <v>381</v>
      </c>
      <c r="D392" s="450">
        <v>152.4</v>
      </c>
      <c r="E392" s="450">
        <v>76.2</v>
      </c>
      <c r="F392" s="450">
        <v>76.2</v>
      </c>
      <c r="G392" s="17">
        <f t="shared" si="52"/>
        <v>4.4245072800000003</v>
      </c>
      <c r="K392" s="59"/>
    </row>
    <row r="393" spans="1:11">
      <c r="A393" s="450" t="s">
        <v>1403</v>
      </c>
      <c r="B393" s="450" t="s">
        <v>2180</v>
      </c>
      <c r="C393" s="450">
        <v>381</v>
      </c>
      <c r="D393" s="450">
        <v>152.4</v>
      </c>
      <c r="E393" s="450">
        <v>100</v>
      </c>
      <c r="F393" s="450">
        <v>100</v>
      </c>
      <c r="G393" s="17">
        <f t="shared" si="52"/>
        <v>5.8064400000000003</v>
      </c>
      <c r="K393" s="59"/>
    </row>
    <row r="394" spans="1:11">
      <c r="A394" s="450" t="s">
        <v>1391</v>
      </c>
      <c r="B394" s="450" t="s">
        <v>2180</v>
      </c>
      <c r="C394" s="450">
        <v>381</v>
      </c>
      <c r="D394" s="450">
        <v>152.4</v>
      </c>
      <c r="E394" s="450">
        <v>101.6</v>
      </c>
      <c r="F394" s="450">
        <v>101.6</v>
      </c>
      <c r="G394" s="17">
        <f t="shared" si="52"/>
        <v>5.8993430399999998</v>
      </c>
      <c r="K394" s="59"/>
    </row>
    <row r="395" spans="1:11">
      <c r="A395" s="450" t="s">
        <v>1392</v>
      </c>
      <c r="B395" s="450" t="s">
        <v>2180</v>
      </c>
      <c r="C395" s="450">
        <v>381</v>
      </c>
      <c r="D395" s="450">
        <v>152.4</v>
      </c>
      <c r="E395" s="450">
        <v>114.3</v>
      </c>
      <c r="F395" s="450">
        <v>114.3</v>
      </c>
      <c r="G395" s="17">
        <f t="shared" si="52"/>
        <v>6.6367609199999995</v>
      </c>
      <c r="K395" s="59"/>
    </row>
    <row r="396" spans="1:11">
      <c r="A396" s="450" t="s">
        <v>1398</v>
      </c>
      <c r="B396" s="450" t="s">
        <v>2180</v>
      </c>
      <c r="C396" s="450">
        <v>381</v>
      </c>
      <c r="D396" s="450">
        <v>152.4</v>
      </c>
      <c r="E396" s="450">
        <v>152.4</v>
      </c>
      <c r="F396" s="450">
        <v>152.4</v>
      </c>
      <c r="G396" s="17">
        <f t="shared" si="52"/>
        <v>8.8490145600000005</v>
      </c>
      <c r="K396" s="59"/>
    </row>
    <row r="397" spans="1:11">
      <c r="A397" s="450" t="s">
        <v>1420</v>
      </c>
      <c r="B397" s="454" t="s">
        <v>2180</v>
      </c>
      <c r="C397" s="454">
        <v>381</v>
      </c>
      <c r="D397" s="455">
        <v>177.8</v>
      </c>
      <c r="E397" s="455">
        <v>76.2</v>
      </c>
      <c r="F397" s="455">
        <v>76.2</v>
      </c>
      <c r="G397" s="17">
        <f t="shared" si="52"/>
        <v>5.16192516</v>
      </c>
      <c r="K397" s="59"/>
    </row>
    <row r="398" spans="1:11">
      <c r="A398" s="450" t="s">
        <v>1394</v>
      </c>
      <c r="B398" s="450" t="s">
        <v>2180</v>
      </c>
      <c r="C398" s="450">
        <v>381</v>
      </c>
      <c r="D398" s="450">
        <v>203.2</v>
      </c>
      <c r="E398" s="450">
        <v>76.2</v>
      </c>
      <c r="F398" s="450">
        <v>76.2</v>
      </c>
      <c r="G398" s="17">
        <f t="shared" si="52"/>
        <v>5.8993430399999998</v>
      </c>
      <c r="K398" s="59"/>
    </row>
    <row r="399" spans="1:11">
      <c r="A399" s="450" t="s">
        <v>1399</v>
      </c>
      <c r="B399" s="450" t="s">
        <v>2180</v>
      </c>
      <c r="C399" s="450">
        <v>381</v>
      </c>
      <c r="D399" s="450">
        <v>203.2</v>
      </c>
      <c r="E399" s="450">
        <v>152.4</v>
      </c>
      <c r="F399" s="450">
        <v>152.4</v>
      </c>
      <c r="G399" s="17">
        <f t="shared" si="52"/>
        <v>11.79868608</v>
      </c>
      <c r="K399" s="59"/>
    </row>
    <row r="400" spans="1:11">
      <c r="A400" s="450" t="s">
        <v>1404</v>
      </c>
      <c r="B400" s="450" t="s">
        <v>2180</v>
      </c>
      <c r="C400" s="450">
        <v>381</v>
      </c>
      <c r="D400" s="450">
        <v>228.6</v>
      </c>
      <c r="E400" s="450">
        <v>50.8</v>
      </c>
      <c r="F400" s="450">
        <v>50.8</v>
      </c>
      <c r="G400" s="17">
        <f t="shared" si="52"/>
        <v>4.4245072799999994</v>
      </c>
      <c r="K400" s="59"/>
    </row>
    <row r="401" spans="1:25">
      <c r="A401" s="450" t="s">
        <v>1408</v>
      </c>
      <c r="B401" s="450" t="s">
        <v>2180</v>
      </c>
      <c r="C401" s="450">
        <v>381</v>
      </c>
      <c r="D401" s="450">
        <v>228.6</v>
      </c>
      <c r="E401" s="450">
        <v>63.5</v>
      </c>
      <c r="F401" s="450">
        <v>63.5</v>
      </c>
      <c r="G401" s="17">
        <f t="shared" si="52"/>
        <v>5.5306340999999994</v>
      </c>
      <c r="K401" s="59"/>
    </row>
    <row r="402" spans="1:25">
      <c r="A402" s="450" t="s">
        <v>1401</v>
      </c>
      <c r="B402" s="450" t="s">
        <v>2180</v>
      </c>
      <c r="C402" s="450">
        <v>381</v>
      </c>
      <c r="D402" s="450">
        <v>228.6</v>
      </c>
      <c r="E402" s="450">
        <v>76.2</v>
      </c>
      <c r="F402" s="450">
        <v>76.2</v>
      </c>
      <c r="G402" s="17">
        <f t="shared" si="52"/>
        <v>6.6367609199999995</v>
      </c>
      <c r="K402" s="59"/>
    </row>
    <row r="403" spans="1:25">
      <c r="A403" s="450" t="s">
        <v>1417</v>
      </c>
      <c r="B403" s="450" t="s">
        <v>2180</v>
      </c>
      <c r="C403" s="450">
        <v>381</v>
      </c>
      <c r="D403" s="450">
        <v>228.6</v>
      </c>
      <c r="E403" s="450">
        <v>100</v>
      </c>
      <c r="F403" s="450">
        <v>100</v>
      </c>
      <c r="G403" s="17">
        <f t="shared" si="52"/>
        <v>8.7096599999999995</v>
      </c>
      <c r="K403" s="59"/>
    </row>
    <row r="404" spans="1:25">
      <c r="A404" s="450" t="s">
        <v>1410</v>
      </c>
      <c r="B404" s="450" t="s">
        <v>2180</v>
      </c>
      <c r="C404" s="450">
        <v>381</v>
      </c>
      <c r="D404" s="450">
        <v>228.6</v>
      </c>
      <c r="E404" s="450">
        <v>101.6</v>
      </c>
      <c r="F404" s="450">
        <v>101.6</v>
      </c>
      <c r="G404" s="17">
        <f t="shared" si="52"/>
        <v>8.8490145599999988</v>
      </c>
      <c r="K404" s="59"/>
    </row>
    <row r="405" spans="1:25">
      <c r="A405" s="450" t="s">
        <v>1407</v>
      </c>
      <c r="B405" s="450" t="s">
        <v>2180</v>
      </c>
      <c r="C405" s="450">
        <v>381</v>
      </c>
      <c r="D405" s="450">
        <v>228.6</v>
      </c>
      <c r="E405" s="450">
        <v>114.3</v>
      </c>
      <c r="F405" s="450">
        <v>114.3</v>
      </c>
      <c r="G405" s="17">
        <f t="shared" si="52"/>
        <v>9.9551413799999988</v>
      </c>
      <c r="K405" s="59"/>
    </row>
    <row r="406" spans="1:25">
      <c r="A406" s="450" t="s">
        <v>1414</v>
      </c>
      <c r="B406" s="450" t="s">
        <v>2180</v>
      </c>
      <c r="C406" s="450">
        <v>381</v>
      </c>
      <c r="D406" s="450">
        <v>228.6</v>
      </c>
      <c r="E406" s="450">
        <v>152.4</v>
      </c>
      <c r="F406" s="450">
        <v>152.4</v>
      </c>
      <c r="G406" s="17">
        <f t="shared" si="52"/>
        <v>13.273521839999999</v>
      </c>
      <c r="K406" s="59"/>
    </row>
    <row r="407" spans="1:25">
      <c r="A407" s="450" t="s">
        <v>1405</v>
      </c>
      <c r="B407" s="450" t="s">
        <v>2180</v>
      </c>
      <c r="C407" s="450">
        <v>381</v>
      </c>
      <c r="D407" s="450">
        <v>304.8</v>
      </c>
      <c r="E407" s="450">
        <v>38.1</v>
      </c>
      <c r="F407" s="450">
        <v>38.1</v>
      </c>
      <c r="G407" s="17">
        <f t="shared" si="52"/>
        <v>4.4245072800000003</v>
      </c>
      <c r="K407" s="59"/>
    </row>
    <row r="408" spans="1:25">
      <c r="A408" s="450" t="s">
        <v>1406</v>
      </c>
      <c r="B408" s="450" t="s">
        <v>2180</v>
      </c>
      <c r="C408" s="450">
        <v>381</v>
      </c>
      <c r="D408" s="450">
        <v>304.8</v>
      </c>
      <c r="E408" s="450">
        <v>50.8</v>
      </c>
      <c r="F408" s="450">
        <v>50.8</v>
      </c>
      <c r="G408" s="17">
        <f t="shared" si="52"/>
        <v>5.8993430399999998</v>
      </c>
      <c r="K408" s="59"/>
    </row>
    <row r="409" spans="1:25">
      <c r="A409" s="450" t="s">
        <v>1418</v>
      </c>
      <c r="B409" s="450" t="s">
        <v>2180</v>
      </c>
      <c r="C409" s="450">
        <v>381</v>
      </c>
      <c r="D409" s="450">
        <v>304.8</v>
      </c>
      <c r="E409" s="450">
        <v>63.5</v>
      </c>
      <c r="F409" s="450">
        <v>63.5</v>
      </c>
      <c r="G409" s="17">
        <f t="shared" si="52"/>
        <v>7.3741788000000001</v>
      </c>
      <c r="K409" s="59"/>
    </row>
    <row r="410" spans="1:25">
      <c r="A410" s="450" t="s">
        <v>1400</v>
      </c>
      <c r="B410" s="450" t="s">
        <v>2180</v>
      </c>
      <c r="C410" s="450">
        <v>381</v>
      </c>
      <c r="D410" s="450">
        <v>304.8</v>
      </c>
      <c r="E410" s="450">
        <v>76.2</v>
      </c>
      <c r="F410" s="450">
        <v>76.2</v>
      </c>
      <c r="G410" s="17">
        <f t="shared" si="52"/>
        <v>8.8490145600000005</v>
      </c>
      <c r="K410" s="59"/>
    </row>
    <row r="411" spans="1:25">
      <c r="A411" s="450" t="s">
        <v>1416</v>
      </c>
      <c r="B411" s="450" t="s">
        <v>2180</v>
      </c>
      <c r="C411" s="450">
        <v>381</v>
      </c>
      <c r="D411" s="450">
        <v>304.8</v>
      </c>
      <c r="E411" s="450">
        <v>100</v>
      </c>
      <c r="F411" s="450">
        <v>100</v>
      </c>
      <c r="G411" s="17">
        <f t="shared" si="52"/>
        <v>11.612880000000001</v>
      </c>
      <c r="K411" s="59"/>
    </row>
    <row r="412" spans="1:25">
      <c r="A412" s="450" t="s">
        <v>1411</v>
      </c>
      <c r="B412" s="450" t="s">
        <v>2180</v>
      </c>
      <c r="C412" s="450">
        <v>381</v>
      </c>
      <c r="D412" s="450">
        <v>304.8</v>
      </c>
      <c r="E412" s="450">
        <v>101.6</v>
      </c>
      <c r="F412" s="450">
        <v>101.6</v>
      </c>
      <c r="G412" s="17">
        <f t="shared" si="52"/>
        <v>11.79868608</v>
      </c>
      <c r="K412" s="59"/>
    </row>
    <row r="413" spans="1:25">
      <c r="A413" s="450" t="s">
        <v>1412</v>
      </c>
      <c r="B413" s="450" t="s">
        <v>2180</v>
      </c>
      <c r="C413" s="450">
        <v>381</v>
      </c>
      <c r="D413" s="450">
        <v>304.8</v>
      </c>
      <c r="E413" s="450">
        <v>152.4</v>
      </c>
      <c r="F413" s="450">
        <v>152.4</v>
      </c>
      <c r="G413" s="17">
        <f t="shared" si="52"/>
        <v>17.698029120000001</v>
      </c>
      <c r="K413" s="59"/>
    </row>
    <row r="414" spans="1:25">
      <c r="A414" s="450" t="s">
        <v>1409</v>
      </c>
      <c r="B414" s="450" t="s">
        <v>2180</v>
      </c>
      <c r="C414" s="450">
        <v>381</v>
      </c>
      <c r="D414" s="450">
        <v>381</v>
      </c>
      <c r="E414" s="450">
        <v>50.8</v>
      </c>
      <c r="F414" s="450">
        <v>50.8</v>
      </c>
      <c r="G414" s="17">
        <f t="shared" si="52"/>
        <v>7.3741788000000001</v>
      </c>
      <c r="K414" s="59"/>
    </row>
    <row r="415" spans="1:25">
      <c r="A415" s="450" t="s">
        <v>1413</v>
      </c>
      <c r="B415" s="450" t="s">
        <v>2180</v>
      </c>
      <c r="C415" s="450">
        <v>381</v>
      </c>
      <c r="D415" s="450">
        <v>381</v>
      </c>
      <c r="E415" s="450">
        <v>76.2</v>
      </c>
      <c r="F415" s="450">
        <v>76.2</v>
      </c>
      <c r="G415" s="17">
        <f t="shared" si="52"/>
        <v>11.061268200000001</v>
      </c>
      <c r="K415" s="59"/>
    </row>
    <row r="416" spans="1:25" customFormat="1">
      <c r="A416" s="453" t="s">
        <v>1426</v>
      </c>
      <c r="B416" s="456" t="s">
        <v>2180</v>
      </c>
      <c r="C416" s="457">
        <v>457.2</v>
      </c>
      <c r="D416" s="457">
        <v>152.4</v>
      </c>
      <c r="E416" s="457">
        <v>50.8</v>
      </c>
      <c r="F416" s="457">
        <v>50.8</v>
      </c>
      <c r="G416" s="17">
        <f t="shared" si="52"/>
        <v>3.5396058239999997</v>
      </c>
      <c r="H416" s="3"/>
      <c r="I416" s="3"/>
      <c r="J416" s="3"/>
      <c r="K416" s="59"/>
      <c r="T416" s="366"/>
      <c r="Y416" s="366"/>
    </row>
    <row r="417" spans="1:25" customFormat="1">
      <c r="A417" s="453" t="s">
        <v>1427</v>
      </c>
      <c r="B417" s="456" t="s">
        <v>2180</v>
      </c>
      <c r="C417" s="457">
        <v>457.2</v>
      </c>
      <c r="D417" s="457">
        <v>152.4</v>
      </c>
      <c r="E417" s="457">
        <v>63.5</v>
      </c>
      <c r="F417" s="457">
        <v>63.5</v>
      </c>
      <c r="G417" s="17">
        <f t="shared" si="52"/>
        <v>4.4245072800000003</v>
      </c>
      <c r="H417" s="3"/>
      <c r="I417" s="3"/>
      <c r="J417" s="3"/>
      <c r="K417" s="59"/>
      <c r="T417" s="366"/>
      <c r="Y417" s="366"/>
    </row>
    <row r="418" spans="1:25" customFormat="1">
      <c r="A418" s="453" t="s">
        <v>1438</v>
      </c>
      <c r="B418" s="456" t="s">
        <v>2180</v>
      </c>
      <c r="C418" s="457">
        <v>457.2</v>
      </c>
      <c r="D418" s="457">
        <v>152.4</v>
      </c>
      <c r="E418" s="457">
        <v>76.2</v>
      </c>
      <c r="F418" s="457">
        <v>76.2</v>
      </c>
      <c r="G418" s="17">
        <f t="shared" si="52"/>
        <v>5.3094087360000009</v>
      </c>
      <c r="H418" s="3"/>
      <c r="I418" s="3"/>
      <c r="J418" s="3"/>
      <c r="K418" s="59"/>
      <c r="T418" s="366"/>
      <c r="Y418" s="366"/>
    </row>
    <row r="419" spans="1:25" customFormat="1">
      <c r="A419" s="453" t="s">
        <v>1425</v>
      </c>
      <c r="B419" s="456" t="s">
        <v>2180</v>
      </c>
      <c r="C419" s="457">
        <v>457.2</v>
      </c>
      <c r="D419" s="457">
        <v>152.4</v>
      </c>
      <c r="E419" s="457">
        <v>100</v>
      </c>
      <c r="F419" s="457">
        <v>100</v>
      </c>
      <c r="G419" s="17">
        <f t="shared" si="52"/>
        <v>6.9677280000000001</v>
      </c>
      <c r="H419" s="3"/>
      <c r="I419" s="3"/>
      <c r="J419" s="3"/>
      <c r="K419" s="59"/>
      <c r="T419" s="366"/>
      <c r="Y419" s="366"/>
    </row>
    <row r="420" spans="1:25" customFormat="1">
      <c r="A420" s="453" t="s">
        <v>1428</v>
      </c>
      <c r="B420" s="456" t="s">
        <v>2180</v>
      </c>
      <c r="C420" s="457">
        <v>457.2</v>
      </c>
      <c r="D420" s="457">
        <v>152.4</v>
      </c>
      <c r="E420" s="457">
        <v>101.6</v>
      </c>
      <c r="F420" s="457">
        <v>101.6</v>
      </c>
      <c r="G420" s="17">
        <f t="shared" si="52"/>
        <v>7.0792116479999994</v>
      </c>
      <c r="H420" s="3"/>
      <c r="I420" s="3"/>
      <c r="J420" s="3"/>
      <c r="K420" s="59"/>
      <c r="T420" s="366"/>
      <c r="Y420" s="366"/>
    </row>
    <row r="421" spans="1:25" customFormat="1">
      <c r="A421" s="453" t="s">
        <v>1429</v>
      </c>
      <c r="B421" s="456" t="s">
        <v>2180</v>
      </c>
      <c r="C421" s="457">
        <v>457.2</v>
      </c>
      <c r="D421" s="457">
        <v>152.4</v>
      </c>
      <c r="E421" s="457">
        <v>114.3</v>
      </c>
      <c r="F421" s="457">
        <v>114.3</v>
      </c>
      <c r="G421" s="17">
        <f t="shared" si="52"/>
        <v>7.9641131039999991</v>
      </c>
      <c r="H421" s="3"/>
      <c r="I421" s="3"/>
      <c r="J421" s="3"/>
      <c r="K421" s="59"/>
      <c r="T421" s="366"/>
      <c r="Y421" s="366"/>
    </row>
    <row r="422" spans="1:25" customFormat="1">
      <c r="A422" s="453" t="s">
        <v>1444</v>
      </c>
      <c r="B422" s="456" t="s">
        <v>2180</v>
      </c>
      <c r="C422" s="457">
        <v>457.2</v>
      </c>
      <c r="D422" s="457">
        <v>152.4</v>
      </c>
      <c r="E422" s="457">
        <v>152.4</v>
      </c>
      <c r="F422" s="457">
        <v>152.4</v>
      </c>
      <c r="G422" s="17">
        <f t="shared" si="52"/>
        <v>10.618817472000002</v>
      </c>
      <c r="H422" s="3"/>
      <c r="I422" s="3"/>
      <c r="J422" s="3"/>
      <c r="K422" s="59"/>
      <c r="T422" s="366"/>
      <c r="Y422" s="366"/>
    </row>
    <row r="423" spans="1:25" customFormat="1">
      <c r="A423" s="453" t="s">
        <v>1448</v>
      </c>
      <c r="B423" s="456" t="s">
        <v>2180</v>
      </c>
      <c r="C423" s="457">
        <v>457.2</v>
      </c>
      <c r="D423" s="457">
        <v>203.2</v>
      </c>
      <c r="E423" s="457">
        <v>76.2</v>
      </c>
      <c r="F423" s="457">
        <v>76.2</v>
      </c>
      <c r="G423" s="17">
        <f t="shared" si="52"/>
        <v>7.0792116480000002</v>
      </c>
      <c r="H423" s="3"/>
      <c r="I423" s="3"/>
      <c r="J423" s="3"/>
      <c r="K423" s="59"/>
      <c r="T423" s="366"/>
      <c r="Y423" s="366"/>
    </row>
    <row r="424" spans="1:25" customFormat="1">
      <c r="A424" s="453" t="s">
        <v>1462</v>
      </c>
      <c r="B424" s="456" t="s">
        <v>2180</v>
      </c>
      <c r="C424" s="457">
        <v>457.2</v>
      </c>
      <c r="D424" s="457">
        <v>203.2</v>
      </c>
      <c r="E424" s="457">
        <v>101.6</v>
      </c>
      <c r="F424" s="457">
        <v>101.6</v>
      </c>
      <c r="G424" s="17">
        <f t="shared" si="52"/>
        <v>9.4389488639999986</v>
      </c>
      <c r="H424" s="3"/>
      <c r="I424" s="3"/>
      <c r="J424" s="3"/>
      <c r="K424" s="59"/>
      <c r="T424" s="366"/>
      <c r="Y424" s="366"/>
    </row>
    <row r="425" spans="1:25" customFormat="1">
      <c r="A425" s="453" t="s">
        <v>1449</v>
      </c>
      <c r="B425" s="456" t="s">
        <v>2180</v>
      </c>
      <c r="C425" s="457">
        <v>457.2</v>
      </c>
      <c r="D425" s="457">
        <v>203.2</v>
      </c>
      <c r="E425" s="457">
        <v>114.3</v>
      </c>
      <c r="F425" s="457">
        <v>114.3</v>
      </c>
      <c r="G425" s="17">
        <f t="shared" si="52"/>
        <v>10.618817472</v>
      </c>
      <c r="H425" s="3"/>
      <c r="I425" s="3"/>
      <c r="J425" s="3"/>
      <c r="K425" s="59"/>
      <c r="T425" s="366"/>
      <c r="Y425" s="366"/>
    </row>
    <row r="426" spans="1:25" customFormat="1">
      <c r="A426" s="453" t="s">
        <v>1452</v>
      </c>
      <c r="B426" s="456" t="s">
        <v>2180</v>
      </c>
      <c r="C426" s="457">
        <v>457.2</v>
      </c>
      <c r="D426" s="457">
        <v>203.2</v>
      </c>
      <c r="E426" s="457">
        <v>203.2</v>
      </c>
      <c r="F426" s="457">
        <v>203.2</v>
      </c>
      <c r="G426" s="17">
        <f t="shared" si="52"/>
        <v>18.877897727999997</v>
      </c>
      <c r="H426" s="3"/>
      <c r="I426" s="3"/>
      <c r="J426" s="3"/>
      <c r="K426" s="59"/>
      <c r="T426" s="366"/>
      <c r="Y426" s="366"/>
    </row>
    <row r="427" spans="1:25" customFormat="1">
      <c r="A427" s="453" t="s">
        <v>1457</v>
      </c>
      <c r="B427" s="456" t="s">
        <v>2180</v>
      </c>
      <c r="C427" s="457">
        <v>457.2</v>
      </c>
      <c r="D427" s="457">
        <v>228.6</v>
      </c>
      <c r="E427" s="457">
        <v>50.8</v>
      </c>
      <c r="F427" s="457">
        <v>50.8</v>
      </c>
      <c r="G427" s="17">
        <f t="shared" si="52"/>
        <v>5.309408736</v>
      </c>
      <c r="H427" s="3"/>
      <c r="I427" s="3"/>
      <c r="J427" s="3"/>
      <c r="K427" s="59"/>
      <c r="T427" s="366"/>
      <c r="Y427" s="366"/>
    </row>
    <row r="428" spans="1:25" customFormat="1">
      <c r="A428" s="453" t="s">
        <v>1430</v>
      </c>
      <c r="B428" s="456" t="s">
        <v>2180</v>
      </c>
      <c r="C428" s="457">
        <v>457.2</v>
      </c>
      <c r="D428" s="457">
        <v>228.6</v>
      </c>
      <c r="E428" s="457">
        <v>63.5</v>
      </c>
      <c r="F428" s="457">
        <v>63.5</v>
      </c>
      <c r="G428" s="17">
        <f t="shared" si="52"/>
        <v>6.6367609199999995</v>
      </c>
      <c r="H428" s="3"/>
      <c r="I428" s="3"/>
      <c r="J428" s="3"/>
      <c r="K428" s="59"/>
      <c r="T428" s="366"/>
      <c r="Y428" s="366"/>
    </row>
    <row r="429" spans="1:25" customFormat="1">
      <c r="A429" s="453" t="s">
        <v>1439</v>
      </c>
      <c r="B429" s="456" t="s">
        <v>2180</v>
      </c>
      <c r="C429" s="457">
        <v>457.2</v>
      </c>
      <c r="D429" s="457">
        <v>228.6</v>
      </c>
      <c r="E429" s="457">
        <v>76.2</v>
      </c>
      <c r="F429" s="457">
        <v>76.2</v>
      </c>
      <c r="G429" s="17">
        <f t="shared" si="52"/>
        <v>7.9641131039999999</v>
      </c>
      <c r="H429" s="3"/>
      <c r="I429" s="3"/>
      <c r="J429" s="3"/>
      <c r="K429" s="59"/>
      <c r="T429" s="366"/>
      <c r="Y429" s="366"/>
    </row>
    <row r="430" spans="1:25" customFormat="1">
      <c r="A430" s="453" t="s">
        <v>1434</v>
      </c>
      <c r="B430" s="456" t="s">
        <v>2180</v>
      </c>
      <c r="C430" s="457">
        <v>457.2</v>
      </c>
      <c r="D430" s="457">
        <v>228.6</v>
      </c>
      <c r="E430" s="457">
        <v>100</v>
      </c>
      <c r="F430" s="457">
        <v>100</v>
      </c>
      <c r="G430" s="17">
        <f t="shared" si="52"/>
        <v>10.451592</v>
      </c>
      <c r="H430" s="3"/>
      <c r="I430" s="3"/>
      <c r="J430" s="3"/>
      <c r="K430" s="59"/>
      <c r="T430" s="366"/>
      <c r="Y430" s="366"/>
    </row>
    <row r="431" spans="1:25" customFormat="1">
      <c r="A431" s="453" t="s">
        <v>1431</v>
      </c>
      <c r="B431" s="456" t="s">
        <v>2180</v>
      </c>
      <c r="C431" s="457">
        <v>457.2</v>
      </c>
      <c r="D431" s="457">
        <v>228.6</v>
      </c>
      <c r="E431" s="457">
        <v>101.6</v>
      </c>
      <c r="F431" s="457">
        <v>101.6</v>
      </c>
      <c r="G431" s="17">
        <f t="shared" si="52"/>
        <v>10.618817472</v>
      </c>
      <c r="H431" s="3"/>
      <c r="I431" s="3"/>
      <c r="J431" s="3"/>
      <c r="K431" s="59"/>
      <c r="T431" s="366"/>
      <c r="Y431" s="366"/>
    </row>
    <row r="432" spans="1:25" customFormat="1">
      <c r="A432" s="453" t="s">
        <v>1432</v>
      </c>
      <c r="B432" s="456" t="s">
        <v>2180</v>
      </c>
      <c r="C432" s="457">
        <v>457.2</v>
      </c>
      <c r="D432" s="457">
        <v>228.6</v>
      </c>
      <c r="E432" s="457">
        <v>114.3</v>
      </c>
      <c r="F432" s="457">
        <v>114.3</v>
      </c>
      <c r="G432" s="17">
        <f t="shared" si="52"/>
        <v>11.946169656</v>
      </c>
      <c r="H432" s="3"/>
      <c r="I432" s="3"/>
      <c r="J432" s="3"/>
      <c r="K432" s="59"/>
      <c r="T432" s="366"/>
      <c r="Y432" s="366"/>
    </row>
    <row r="433" spans="1:25" customFormat="1">
      <c r="A433" s="453" t="s">
        <v>1433</v>
      </c>
      <c r="B433" s="456" t="s">
        <v>2180</v>
      </c>
      <c r="C433" s="457">
        <v>457.2</v>
      </c>
      <c r="D433" s="457">
        <v>228.6</v>
      </c>
      <c r="E433" s="457">
        <v>152.6</v>
      </c>
      <c r="F433" s="457">
        <v>152.6</v>
      </c>
      <c r="G433" s="17">
        <f t="shared" si="52"/>
        <v>15.949129392</v>
      </c>
      <c r="H433" s="3"/>
      <c r="I433" s="3"/>
      <c r="J433" s="3"/>
      <c r="K433" s="59"/>
      <c r="T433" s="366"/>
      <c r="Y433" s="366"/>
    </row>
    <row r="434" spans="1:25" customFormat="1">
      <c r="A434" s="453" t="s">
        <v>1435</v>
      </c>
      <c r="B434" s="456" t="s">
        <v>2180</v>
      </c>
      <c r="C434" s="457">
        <v>457.2</v>
      </c>
      <c r="D434" s="457">
        <v>304.8</v>
      </c>
      <c r="E434" s="457">
        <v>50.8</v>
      </c>
      <c r="F434" s="457">
        <v>50.8</v>
      </c>
      <c r="G434" s="17">
        <f t="shared" si="52"/>
        <v>7.0792116479999994</v>
      </c>
      <c r="H434" s="3"/>
      <c r="I434" s="3"/>
      <c r="J434" s="3"/>
      <c r="K434" s="59"/>
      <c r="T434" s="366"/>
      <c r="Y434" s="366"/>
    </row>
    <row r="435" spans="1:25" customFormat="1">
      <c r="A435" s="453" t="s">
        <v>1458</v>
      </c>
      <c r="B435" s="456" t="s">
        <v>2180</v>
      </c>
      <c r="C435" s="457">
        <v>457.2</v>
      </c>
      <c r="D435" s="457">
        <v>304.8</v>
      </c>
      <c r="E435" s="457">
        <v>63.5</v>
      </c>
      <c r="F435" s="457">
        <v>63.5</v>
      </c>
      <c r="G435" s="17">
        <f t="shared" si="52"/>
        <v>8.8490145600000005</v>
      </c>
      <c r="H435" s="3"/>
      <c r="I435" s="3"/>
      <c r="J435" s="3"/>
      <c r="K435" s="59"/>
      <c r="T435" s="366"/>
      <c r="Y435" s="366"/>
    </row>
    <row r="436" spans="1:25" customFormat="1">
      <c r="A436" s="453" t="s">
        <v>1440</v>
      </c>
      <c r="B436" s="456" t="s">
        <v>2180</v>
      </c>
      <c r="C436" s="457">
        <v>457.2</v>
      </c>
      <c r="D436" s="457">
        <v>304.8</v>
      </c>
      <c r="E436" s="457">
        <v>76.2</v>
      </c>
      <c r="F436" s="457">
        <v>76.2</v>
      </c>
      <c r="G436" s="17">
        <f t="shared" si="52"/>
        <v>10.618817472000002</v>
      </c>
      <c r="H436" s="3"/>
      <c r="I436" s="3"/>
      <c r="J436" s="3"/>
      <c r="K436" s="59"/>
      <c r="T436" s="366"/>
      <c r="Y436" s="366"/>
    </row>
    <row r="437" spans="1:25" customFormat="1">
      <c r="A437" s="453" t="s">
        <v>1461</v>
      </c>
      <c r="B437" s="456" t="s">
        <v>2180</v>
      </c>
      <c r="C437" s="457">
        <v>457.2</v>
      </c>
      <c r="D437" s="457">
        <v>304.8</v>
      </c>
      <c r="E437" s="457">
        <v>100</v>
      </c>
      <c r="F437" s="457">
        <v>100</v>
      </c>
      <c r="G437" s="17">
        <f t="shared" si="52"/>
        <v>13.935456</v>
      </c>
      <c r="H437" s="3"/>
      <c r="I437" s="3"/>
      <c r="J437" s="3"/>
      <c r="K437" s="59"/>
      <c r="T437" s="366"/>
      <c r="Y437" s="366"/>
    </row>
    <row r="438" spans="1:25" customFormat="1">
      <c r="A438" s="453" t="s">
        <v>1450</v>
      </c>
      <c r="B438" s="456" t="s">
        <v>2180</v>
      </c>
      <c r="C438" s="457">
        <v>457.2</v>
      </c>
      <c r="D438" s="457">
        <v>304.8</v>
      </c>
      <c r="E438" s="457">
        <v>101.6</v>
      </c>
      <c r="F438" s="457">
        <v>101.6</v>
      </c>
      <c r="G438" s="17">
        <f t="shared" si="52"/>
        <v>14.158423295999999</v>
      </c>
      <c r="H438" s="3"/>
      <c r="I438" s="3"/>
      <c r="J438" s="3"/>
      <c r="K438" s="59"/>
      <c r="T438" s="366"/>
      <c r="Y438" s="366"/>
    </row>
    <row r="439" spans="1:25" customFormat="1">
      <c r="A439" s="453" t="s">
        <v>1441</v>
      </c>
      <c r="B439" s="456" t="s">
        <v>2180</v>
      </c>
      <c r="C439" s="457">
        <v>457.2</v>
      </c>
      <c r="D439" s="457">
        <v>304.8</v>
      </c>
      <c r="E439" s="457">
        <v>152.4</v>
      </c>
      <c r="F439" s="457">
        <v>152.4</v>
      </c>
      <c r="G439" s="17">
        <f t="shared" si="52"/>
        <v>21.237634944000003</v>
      </c>
      <c r="H439" s="3"/>
      <c r="I439" s="3"/>
      <c r="J439" s="3"/>
      <c r="K439" s="59"/>
      <c r="T439" s="366"/>
      <c r="Y439" s="366"/>
    </row>
    <row r="440" spans="1:25" customFormat="1">
      <c r="A440" s="453" t="s">
        <v>1442</v>
      </c>
      <c r="B440" s="456" t="s">
        <v>2180</v>
      </c>
      <c r="C440" s="457">
        <v>457.2</v>
      </c>
      <c r="D440" s="457">
        <v>304.8</v>
      </c>
      <c r="E440" s="457">
        <v>203.2</v>
      </c>
      <c r="F440" s="457">
        <v>203.2</v>
      </c>
      <c r="G440" s="17">
        <f t="shared" si="52"/>
        <v>28.316846591999997</v>
      </c>
      <c r="H440" s="3"/>
      <c r="I440" s="3"/>
      <c r="J440" s="3"/>
      <c r="K440" s="59"/>
      <c r="T440" s="366"/>
      <c r="Y440" s="366"/>
    </row>
    <row r="441" spans="1:25" customFormat="1">
      <c r="A441" s="453" t="s">
        <v>1456</v>
      </c>
      <c r="B441" s="456" t="s">
        <v>2180</v>
      </c>
      <c r="C441" s="457">
        <v>457.2</v>
      </c>
      <c r="D441" s="457">
        <v>304.8</v>
      </c>
      <c r="E441" s="457">
        <v>228.6</v>
      </c>
      <c r="F441" s="457">
        <v>228.6</v>
      </c>
      <c r="G441" s="17">
        <f t="shared" si="52"/>
        <v>31.856452415999996</v>
      </c>
      <c r="H441" s="3"/>
      <c r="I441" s="3"/>
      <c r="J441" s="3"/>
      <c r="K441" s="59"/>
      <c r="T441" s="366"/>
      <c r="Y441" s="366"/>
    </row>
    <row r="442" spans="1:25" customFormat="1">
      <c r="A442" s="453" t="s">
        <v>1455</v>
      </c>
      <c r="B442" s="456" t="s">
        <v>2180</v>
      </c>
      <c r="C442" s="457">
        <v>457.2</v>
      </c>
      <c r="D442" s="457">
        <v>304.8</v>
      </c>
      <c r="E442" s="457">
        <v>304.8</v>
      </c>
      <c r="F442" s="457">
        <v>304.8</v>
      </c>
      <c r="G442" s="17">
        <f t="shared" si="52"/>
        <v>42.475269888000007</v>
      </c>
      <c r="H442" s="3"/>
      <c r="I442" s="3"/>
      <c r="J442" s="3"/>
      <c r="K442" s="59"/>
      <c r="T442" s="366"/>
      <c r="Y442" s="366"/>
    </row>
    <row r="443" spans="1:25" customFormat="1">
      <c r="A443" s="453" t="s">
        <v>1459</v>
      </c>
      <c r="B443" s="456" t="s">
        <v>2180</v>
      </c>
      <c r="C443" s="457">
        <v>457.2</v>
      </c>
      <c r="D443" s="457">
        <v>381</v>
      </c>
      <c r="E443" s="457">
        <v>50.8</v>
      </c>
      <c r="F443" s="457">
        <v>50.8</v>
      </c>
      <c r="G443" s="17">
        <f t="shared" si="52"/>
        <v>8.8490145599999988</v>
      </c>
      <c r="H443" s="3"/>
      <c r="I443" s="3"/>
      <c r="J443" s="3"/>
      <c r="K443" s="59"/>
      <c r="T443" s="366"/>
      <c r="Y443" s="366"/>
    </row>
    <row r="444" spans="1:25" customFormat="1">
      <c r="A444" s="453" t="s">
        <v>1436</v>
      </c>
      <c r="B444" s="456" t="s">
        <v>2180</v>
      </c>
      <c r="C444" s="457">
        <v>457.2</v>
      </c>
      <c r="D444" s="457">
        <v>381</v>
      </c>
      <c r="E444" s="457">
        <v>63.5</v>
      </c>
      <c r="F444" s="457">
        <v>63.5</v>
      </c>
      <c r="G444" s="17">
        <f t="shared" si="52"/>
        <v>11.061268199999999</v>
      </c>
      <c r="H444" s="3"/>
      <c r="I444" s="3"/>
      <c r="J444" s="3"/>
      <c r="K444" s="59"/>
      <c r="T444" s="366"/>
      <c r="Y444" s="366"/>
    </row>
    <row r="445" spans="1:25" customFormat="1">
      <c r="A445" s="453" t="s">
        <v>1445</v>
      </c>
      <c r="B445" s="456" t="s">
        <v>2180</v>
      </c>
      <c r="C445" s="457">
        <v>457.2</v>
      </c>
      <c r="D445" s="457">
        <v>381</v>
      </c>
      <c r="E445" s="457">
        <v>76.2</v>
      </c>
      <c r="F445" s="457">
        <v>76.2</v>
      </c>
      <c r="G445" s="17">
        <f t="shared" si="52"/>
        <v>13.273521839999999</v>
      </c>
      <c r="H445" s="3"/>
      <c r="I445" s="3"/>
      <c r="J445" s="3"/>
      <c r="K445" s="59"/>
      <c r="T445" s="366"/>
      <c r="Y445" s="366"/>
    </row>
    <row r="446" spans="1:25" customFormat="1">
      <c r="A446" s="453" t="s">
        <v>1451</v>
      </c>
      <c r="B446" s="456" t="s">
        <v>2180</v>
      </c>
      <c r="C446" s="457">
        <v>457.2</v>
      </c>
      <c r="D446" s="457">
        <v>381</v>
      </c>
      <c r="E446" s="457">
        <v>101.6</v>
      </c>
      <c r="F446" s="457">
        <v>101.6</v>
      </c>
      <c r="G446" s="17">
        <f t="shared" si="52"/>
        <v>17.698029119999998</v>
      </c>
      <c r="H446" s="3"/>
      <c r="I446" s="3"/>
      <c r="J446" s="3"/>
      <c r="K446" s="59"/>
      <c r="T446" s="366"/>
      <c r="Y446" s="366"/>
    </row>
    <row r="447" spans="1:25" customFormat="1">
      <c r="A447" s="453" t="s">
        <v>1453</v>
      </c>
      <c r="B447" s="456" t="s">
        <v>2180</v>
      </c>
      <c r="C447" s="457">
        <v>457.2</v>
      </c>
      <c r="D447" s="457">
        <v>381</v>
      </c>
      <c r="E447" s="457">
        <v>127</v>
      </c>
      <c r="F447" s="457">
        <v>127</v>
      </c>
      <c r="G447" s="17">
        <f t="shared" si="52"/>
        <v>22.122536399999998</v>
      </c>
      <c r="H447" s="3"/>
      <c r="I447" s="3"/>
      <c r="J447" s="3"/>
      <c r="K447" s="59"/>
      <c r="T447" s="366"/>
      <c r="Y447" s="366"/>
    </row>
    <row r="448" spans="1:25" customFormat="1">
      <c r="A448" s="453" t="s">
        <v>1446</v>
      </c>
      <c r="B448" s="456" t="s">
        <v>2180</v>
      </c>
      <c r="C448" s="457">
        <v>457.2</v>
      </c>
      <c r="D448" s="457">
        <v>457.2</v>
      </c>
      <c r="E448" s="457">
        <v>63.5</v>
      </c>
      <c r="F448" s="457">
        <v>63.5</v>
      </c>
      <c r="G448" s="17">
        <f t="shared" si="52"/>
        <v>13.273521839999999</v>
      </c>
      <c r="H448" s="3"/>
      <c r="I448" s="3"/>
      <c r="J448" s="3"/>
      <c r="K448" s="59"/>
      <c r="T448" s="366"/>
      <c r="Y448" s="366"/>
    </row>
    <row r="449" spans="1:25" customFormat="1">
      <c r="A449" s="453" t="s">
        <v>1447</v>
      </c>
      <c r="B449" s="456" t="s">
        <v>2180</v>
      </c>
      <c r="C449" s="457">
        <v>457.2</v>
      </c>
      <c r="D449" s="457">
        <v>457.2</v>
      </c>
      <c r="E449" s="457">
        <v>76.2</v>
      </c>
      <c r="F449" s="457">
        <v>76.2</v>
      </c>
      <c r="G449" s="17">
        <f t="shared" si="52"/>
        <v>15.928226208</v>
      </c>
      <c r="H449" s="3"/>
      <c r="I449" s="3"/>
      <c r="J449" s="3"/>
      <c r="K449" s="59"/>
      <c r="T449" s="366"/>
      <c r="Y449" s="366"/>
    </row>
    <row r="450" spans="1:25" customFormat="1">
      <c r="A450" s="453" t="s">
        <v>1443</v>
      </c>
      <c r="B450" s="456" t="s">
        <v>2180</v>
      </c>
      <c r="C450" s="457">
        <v>457.2</v>
      </c>
      <c r="D450" s="457">
        <v>457.2</v>
      </c>
      <c r="E450" s="457">
        <v>101.6</v>
      </c>
      <c r="F450" s="457">
        <v>101.6</v>
      </c>
      <c r="G450" s="17">
        <f t="shared" si="52"/>
        <v>21.237634944</v>
      </c>
      <c r="H450" s="3"/>
      <c r="I450" s="3"/>
      <c r="J450" s="3"/>
      <c r="K450" s="59"/>
      <c r="T450" s="366"/>
      <c r="Y450" s="366"/>
    </row>
    <row r="451" spans="1:25" customFormat="1">
      <c r="A451" s="453" t="s">
        <v>1437</v>
      </c>
      <c r="B451" s="456" t="s">
        <v>2180</v>
      </c>
      <c r="C451" s="457">
        <v>457.2</v>
      </c>
      <c r="D451" s="457">
        <v>457.2</v>
      </c>
      <c r="E451" s="457">
        <v>114.3</v>
      </c>
      <c r="F451" s="457">
        <v>114.3</v>
      </c>
      <c r="G451" s="17">
        <f t="shared" si="52"/>
        <v>23.892339312000001</v>
      </c>
      <c r="H451" s="3"/>
      <c r="I451" s="3"/>
      <c r="J451" s="3"/>
      <c r="K451" s="59"/>
      <c r="T451" s="366"/>
      <c r="Y451" s="366"/>
    </row>
    <row r="452" spans="1:25" customFormat="1">
      <c r="A452" s="453" t="s">
        <v>1460</v>
      </c>
      <c r="B452" s="456" t="s">
        <v>2180</v>
      </c>
      <c r="C452" s="457">
        <v>457.2</v>
      </c>
      <c r="D452" s="457">
        <v>457.2</v>
      </c>
      <c r="E452" s="457">
        <v>152.4</v>
      </c>
      <c r="F452" s="457">
        <v>152.4</v>
      </c>
      <c r="G452" s="17">
        <f t="shared" si="52"/>
        <v>31.856452416</v>
      </c>
      <c r="H452" s="3"/>
      <c r="I452" s="3"/>
      <c r="J452" s="3"/>
      <c r="K452" s="59"/>
      <c r="T452" s="366"/>
      <c r="Y452" s="366"/>
    </row>
    <row r="453" spans="1:25" customFormat="1">
      <c r="A453" s="453" t="s">
        <v>1454</v>
      </c>
      <c r="B453" s="456" t="s">
        <v>2180</v>
      </c>
      <c r="C453" s="457">
        <v>457.2</v>
      </c>
      <c r="D453" s="457">
        <v>457.2</v>
      </c>
      <c r="E453" s="457">
        <v>228.6</v>
      </c>
      <c r="F453" s="457">
        <v>228.6</v>
      </c>
      <c r="G453" s="17">
        <f t="shared" si="52"/>
        <v>47.784678624000001</v>
      </c>
      <c r="H453" s="3"/>
      <c r="I453" s="3"/>
      <c r="J453" s="3"/>
      <c r="K453" s="59"/>
      <c r="T453" s="366"/>
      <c r="Y453" s="366"/>
    </row>
    <row r="454" spans="1:25">
      <c r="A454" s="384" t="s">
        <v>1469</v>
      </c>
      <c r="B454" s="623" t="s">
        <v>2180</v>
      </c>
      <c r="C454" s="458">
        <v>533.4</v>
      </c>
      <c r="D454" s="458">
        <v>152.4</v>
      </c>
      <c r="E454" s="458">
        <v>63.5</v>
      </c>
      <c r="F454" s="458">
        <v>63.5</v>
      </c>
      <c r="G454" s="17">
        <f t="shared" ref="G454:G467" si="53">C454*D454*E454/10^6</f>
        <v>5.16192516</v>
      </c>
      <c r="K454" s="59"/>
    </row>
    <row r="455" spans="1:25">
      <c r="A455" s="384" t="s">
        <v>1465</v>
      </c>
      <c r="B455" s="623" t="s">
        <v>2180</v>
      </c>
      <c r="C455" s="458">
        <v>533.4</v>
      </c>
      <c r="D455" s="458">
        <v>152.4</v>
      </c>
      <c r="E455" s="458">
        <v>76.2</v>
      </c>
      <c r="F455" s="458">
        <v>76.2</v>
      </c>
      <c r="G455" s="17">
        <f t="shared" si="53"/>
        <v>6.1943101920000005</v>
      </c>
      <c r="K455" s="59"/>
    </row>
    <row r="456" spans="1:25">
      <c r="A456" s="384" t="s">
        <v>1463</v>
      </c>
      <c r="B456" s="623" t="s">
        <v>2180</v>
      </c>
      <c r="C456" s="458">
        <v>533.4</v>
      </c>
      <c r="D456" s="458">
        <v>152.4</v>
      </c>
      <c r="E456" s="458">
        <v>100</v>
      </c>
      <c r="F456" s="458">
        <v>100</v>
      </c>
      <c r="G456" s="17">
        <f t="shared" si="53"/>
        <v>8.129016</v>
      </c>
      <c r="K456" s="59"/>
    </row>
    <row r="457" spans="1:25">
      <c r="A457" s="384" t="s">
        <v>1467</v>
      </c>
      <c r="B457" s="623" t="s">
        <v>2180</v>
      </c>
      <c r="C457" s="458">
        <v>533.4</v>
      </c>
      <c r="D457" s="458">
        <v>152.4</v>
      </c>
      <c r="E457" s="458">
        <v>101.6</v>
      </c>
      <c r="F457" s="458">
        <v>101.6</v>
      </c>
      <c r="G457" s="17">
        <f t="shared" si="53"/>
        <v>8.2590802560000007</v>
      </c>
      <c r="K457" s="59"/>
    </row>
    <row r="458" spans="1:25">
      <c r="A458" s="384" t="s">
        <v>1476</v>
      </c>
      <c r="B458" s="623" t="s">
        <v>2180</v>
      </c>
      <c r="C458" s="458">
        <v>533.4</v>
      </c>
      <c r="D458" s="458">
        <v>152.4</v>
      </c>
      <c r="E458" s="458">
        <v>114.3</v>
      </c>
      <c r="F458" s="458">
        <v>114.3</v>
      </c>
      <c r="G458" s="17">
        <f t="shared" si="53"/>
        <v>9.2914652880000013</v>
      </c>
      <c r="K458" s="59"/>
    </row>
    <row r="459" spans="1:25">
      <c r="A459" s="384" t="s">
        <v>1466</v>
      </c>
      <c r="B459" s="623" t="s">
        <v>2180</v>
      </c>
      <c r="C459" s="458">
        <v>533.4</v>
      </c>
      <c r="D459" s="458">
        <v>152.4</v>
      </c>
      <c r="E459" s="458">
        <v>152.4</v>
      </c>
      <c r="F459" s="458">
        <v>152.4</v>
      </c>
      <c r="G459" s="17">
        <f t="shared" si="53"/>
        <v>12.388620384000001</v>
      </c>
      <c r="K459" s="59"/>
    </row>
    <row r="460" spans="1:25" ht="12" customHeight="1">
      <c r="A460" s="384" t="s">
        <v>1475</v>
      </c>
      <c r="B460" s="623" t="s">
        <v>2180</v>
      </c>
      <c r="C460" s="458">
        <v>533.4</v>
      </c>
      <c r="D460" s="458">
        <v>228.6</v>
      </c>
      <c r="E460" s="458">
        <v>63.5</v>
      </c>
      <c r="F460" s="458">
        <v>63.5</v>
      </c>
      <c r="G460" s="17">
        <f t="shared" si="53"/>
        <v>7.7428877399999996</v>
      </c>
      <c r="K460" s="59"/>
    </row>
    <row r="461" spans="1:25">
      <c r="A461" s="384" t="s">
        <v>1464</v>
      </c>
      <c r="B461" s="623" t="s">
        <v>2180</v>
      </c>
      <c r="C461" s="458">
        <v>533.4</v>
      </c>
      <c r="D461" s="458">
        <v>228.6</v>
      </c>
      <c r="E461" s="458">
        <v>76.2</v>
      </c>
      <c r="F461" s="458">
        <v>76.2</v>
      </c>
      <c r="G461" s="17">
        <f t="shared" si="53"/>
        <v>9.2914652879999995</v>
      </c>
      <c r="K461" s="59"/>
    </row>
    <row r="462" spans="1:25">
      <c r="A462" s="384" t="s">
        <v>1468</v>
      </c>
      <c r="B462" s="623" t="s">
        <v>2180</v>
      </c>
      <c r="C462" s="458">
        <v>533.4</v>
      </c>
      <c r="D462" s="458">
        <v>304.8</v>
      </c>
      <c r="E462" s="458">
        <v>76.2</v>
      </c>
      <c r="F462" s="458">
        <v>76.2</v>
      </c>
      <c r="G462" s="17">
        <f t="shared" si="53"/>
        <v>12.388620384000001</v>
      </c>
      <c r="K462" s="59"/>
    </row>
    <row r="463" spans="1:25">
      <c r="A463" s="384" t="s">
        <v>1473</v>
      </c>
      <c r="B463" s="623" t="s">
        <v>2180</v>
      </c>
      <c r="C463" s="458">
        <v>533.4</v>
      </c>
      <c r="D463" s="458">
        <v>304.8</v>
      </c>
      <c r="E463" s="458">
        <v>304.8</v>
      </c>
      <c r="F463" s="458">
        <v>304.8</v>
      </c>
      <c r="G463" s="17">
        <f t="shared" si="53"/>
        <v>49.554481536000004</v>
      </c>
      <c r="K463" s="59"/>
    </row>
    <row r="464" spans="1:25">
      <c r="A464" s="384" t="s">
        <v>1472</v>
      </c>
      <c r="B464" s="623" t="s">
        <v>2180</v>
      </c>
      <c r="C464" s="458">
        <v>533.4</v>
      </c>
      <c r="D464" s="458">
        <v>457.2</v>
      </c>
      <c r="E464" s="458">
        <v>63.5</v>
      </c>
      <c r="F464" s="458">
        <v>63.5</v>
      </c>
      <c r="G464" s="17">
        <f t="shared" si="53"/>
        <v>15.485775479999999</v>
      </c>
      <c r="K464" s="59"/>
    </row>
    <row r="465" spans="1:22">
      <c r="A465" s="384" t="s">
        <v>1471</v>
      </c>
      <c r="B465" s="623" t="s">
        <v>2180</v>
      </c>
      <c r="C465" s="458">
        <v>533.4</v>
      </c>
      <c r="D465" s="458">
        <v>457.2</v>
      </c>
      <c r="E465" s="458">
        <v>76.2</v>
      </c>
      <c r="F465" s="458">
        <v>76.2</v>
      </c>
      <c r="G465" s="17">
        <f t="shared" si="53"/>
        <v>18.582930575999999</v>
      </c>
      <c r="K465" s="59"/>
    </row>
    <row r="466" spans="1:22">
      <c r="A466" s="384" t="s">
        <v>1470</v>
      </c>
      <c r="B466" s="623" t="s">
        <v>2180</v>
      </c>
      <c r="C466" s="458">
        <v>533.4</v>
      </c>
      <c r="D466" s="458">
        <v>457.2</v>
      </c>
      <c r="E466" s="458">
        <v>228.6</v>
      </c>
      <c r="F466" s="458">
        <v>228.6</v>
      </c>
      <c r="G466" s="17">
        <f t="shared" si="53"/>
        <v>55.748791727999993</v>
      </c>
      <c r="K466" s="59"/>
    </row>
    <row r="467" spans="1:22" ht="13.8" thickBot="1">
      <c r="A467" s="384" t="s">
        <v>1474</v>
      </c>
      <c r="B467" s="623" t="s">
        <v>2180</v>
      </c>
      <c r="C467" s="458">
        <v>533.4</v>
      </c>
      <c r="D467" s="458">
        <v>533.4</v>
      </c>
      <c r="E467" s="458">
        <v>304.8</v>
      </c>
      <c r="F467" s="458">
        <v>304.8</v>
      </c>
      <c r="G467" s="17">
        <f t="shared" si="53"/>
        <v>86.720342688000002</v>
      </c>
      <c r="K467" s="59"/>
    </row>
    <row r="468" spans="1:22" ht="25.2" thickBot="1">
      <c r="A468" s="459" t="s">
        <v>1510</v>
      </c>
      <c r="B468" s="371"/>
      <c r="C468" s="371"/>
      <c r="D468" s="371"/>
      <c r="E468" s="371"/>
      <c r="F468" s="371"/>
      <c r="G468" s="102"/>
      <c r="H468" s="102"/>
      <c r="I468" s="102"/>
      <c r="J468" s="102"/>
      <c r="K468" s="102"/>
      <c r="L468" s="20"/>
      <c r="M468" s="20"/>
      <c r="N468" s="20"/>
      <c r="O468" s="20"/>
      <c r="P468" s="20"/>
      <c r="Q468" s="23"/>
      <c r="R468" s="22"/>
      <c r="S468" s="22"/>
      <c r="T468" s="20"/>
      <c r="U468" s="22"/>
      <c r="V468" s="20"/>
    </row>
    <row r="469" spans="1:22">
      <c r="A469" s="68" t="s">
        <v>1477</v>
      </c>
      <c r="B469" s="363" t="s">
        <v>22</v>
      </c>
      <c r="C469" s="452">
        <v>152.4</v>
      </c>
      <c r="D469" s="452">
        <v>114.3</v>
      </c>
      <c r="E469" s="452">
        <v>76.2</v>
      </c>
      <c r="F469" s="452">
        <v>25.4</v>
      </c>
      <c r="G469" s="17">
        <f>((E469+F469)/2)*D469*C469/10^6</f>
        <v>0.88490145600000003</v>
      </c>
      <c r="K469" s="59"/>
    </row>
    <row r="470" spans="1:22">
      <c r="A470" s="389" t="s">
        <v>1135</v>
      </c>
      <c r="B470" s="389" t="s">
        <v>22</v>
      </c>
      <c r="C470" s="389">
        <v>203.2</v>
      </c>
      <c r="D470" s="389">
        <v>171.5</v>
      </c>
      <c r="E470" s="389">
        <v>76.2</v>
      </c>
      <c r="F470" s="389">
        <v>69.900000000000006</v>
      </c>
      <c r="G470" s="17">
        <f t="shared" ref="G470:G472" si="54">((E470+F470)/2)*D470*C470/10^6</f>
        <v>2.5457048400000004</v>
      </c>
      <c r="K470" s="59"/>
    </row>
    <row r="471" spans="1:22">
      <c r="A471" s="389" t="s">
        <v>1140</v>
      </c>
      <c r="B471" s="389" t="s">
        <v>22</v>
      </c>
      <c r="C471" s="389">
        <v>203.2</v>
      </c>
      <c r="D471" s="389">
        <v>171.5</v>
      </c>
      <c r="E471" s="389">
        <v>76.2</v>
      </c>
      <c r="F471" s="389">
        <v>63.5</v>
      </c>
      <c r="G471" s="17">
        <f t="shared" si="54"/>
        <v>2.4341886799999997</v>
      </c>
      <c r="K471" s="59"/>
    </row>
    <row r="472" spans="1:22">
      <c r="A472" s="389" t="s">
        <v>1478</v>
      </c>
      <c r="B472" s="501" t="s">
        <v>22</v>
      </c>
      <c r="C472" s="389">
        <v>203.2</v>
      </c>
      <c r="D472" s="389">
        <v>171.5</v>
      </c>
      <c r="E472" s="389">
        <v>57.2</v>
      </c>
      <c r="F472" s="389">
        <v>50.8</v>
      </c>
      <c r="G472" s="17">
        <f t="shared" si="54"/>
        <v>1.8818352</v>
      </c>
      <c r="K472" s="59"/>
    </row>
    <row r="473" spans="1:22">
      <c r="A473" s="397" t="s">
        <v>1139</v>
      </c>
      <c r="B473" s="461" t="s">
        <v>22</v>
      </c>
      <c r="C473" s="393">
        <v>228.6</v>
      </c>
      <c r="D473" s="393">
        <v>50.8</v>
      </c>
      <c r="E473" s="393">
        <v>76.2</v>
      </c>
      <c r="F473" s="393">
        <v>69.900000000000006</v>
      </c>
      <c r="G473" s="17">
        <f t="shared" ref="G473:G520" si="55">((E473+F473)/2)*D473*C473/10^6</f>
        <v>0.84832088400000005</v>
      </c>
      <c r="K473" s="59"/>
    </row>
    <row r="474" spans="1:22">
      <c r="A474" s="397" t="s">
        <v>1483</v>
      </c>
      <c r="B474" s="461" t="s">
        <v>22</v>
      </c>
      <c r="C474" s="393">
        <v>228.6</v>
      </c>
      <c r="D474" s="393">
        <v>50.8</v>
      </c>
      <c r="E474" s="393">
        <v>76.2</v>
      </c>
      <c r="F474" s="393">
        <v>63.5</v>
      </c>
      <c r="G474" s="17">
        <f t="shared" si="55"/>
        <v>0.81115966799999994</v>
      </c>
      <c r="K474" s="59"/>
    </row>
    <row r="475" spans="1:22">
      <c r="A475" s="397" t="s">
        <v>1132</v>
      </c>
      <c r="B475" s="461" t="s">
        <v>22</v>
      </c>
      <c r="C475" s="393">
        <v>228.6</v>
      </c>
      <c r="D475" s="393">
        <v>63.5</v>
      </c>
      <c r="E475" s="393">
        <v>76.2</v>
      </c>
      <c r="F475" s="393">
        <v>69.900000000000006</v>
      </c>
      <c r="G475" s="17">
        <f t="shared" si="55"/>
        <v>1.0604011050000002</v>
      </c>
      <c r="K475" s="59"/>
    </row>
    <row r="476" spans="1:22">
      <c r="A476" s="397" t="s">
        <v>1149</v>
      </c>
      <c r="B476" s="461" t="s">
        <v>22</v>
      </c>
      <c r="C476" s="393">
        <v>228.6</v>
      </c>
      <c r="D476" s="393">
        <v>63.5</v>
      </c>
      <c r="E476" s="393">
        <v>76.2</v>
      </c>
      <c r="F476" s="393">
        <v>63.5</v>
      </c>
      <c r="G476" s="17">
        <f t="shared" si="55"/>
        <v>1.0139495849999998</v>
      </c>
      <c r="K476" s="59"/>
    </row>
    <row r="477" spans="1:22">
      <c r="A477" s="397" t="s">
        <v>1115</v>
      </c>
      <c r="B477" s="461" t="s">
        <v>22</v>
      </c>
      <c r="C477" s="393">
        <v>228.6</v>
      </c>
      <c r="D477" s="393">
        <v>76.2</v>
      </c>
      <c r="E477" s="393">
        <v>76.2</v>
      </c>
      <c r="F477" s="393">
        <v>69.900000000000006</v>
      </c>
      <c r="G477" s="17">
        <f t="shared" si="55"/>
        <v>1.2724813260000001</v>
      </c>
      <c r="K477" s="59"/>
    </row>
    <row r="478" spans="1:22">
      <c r="A478" s="397" t="s">
        <v>1114</v>
      </c>
      <c r="B478" s="461" t="s">
        <v>22</v>
      </c>
      <c r="C478" s="393">
        <v>228.6</v>
      </c>
      <c r="D478" s="393">
        <v>76.2</v>
      </c>
      <c r="E478" s="393">
        <v>76.2</v>
      </c>
      <c r="F478" s="393">
        <v>63.5</v>
      </c>
      <c r="G478" s="17">
        <f t="shared" si="55"/>
        <v>1.2167395019999998</v>
      </c>
      <c r="K478" s="59"/>
    </row>
    <row r="479" spans="1:22">
      <c r="A479" s="397" t="s">
        <v>1481</v>
      </c>
      <c r="B479" s="461" t="s">
        <v>22</v>
      </c>
      <c r="C479" s="393">
        <v>228.6</v>
      </c>
      <c r="D479" s="393">
        <v>76.2</v>
      </c>
      <c r="E479" s="393">
        <v>76.2</v>
      </c>
      <c r="F479" s="393">
        <v>57.2</v>
      </c>
      <c r="G479" s="17">
        <f t="shared" si="55"/>
        <v>1.1618686439999999</v>
      </c>
      <c r="K479" s="59"/>
    </row>
    <row r="480" spans="1:22">
      <c r="A480" s="397" t="s">
        <v>1480</v>
      </c>
      <c r="B480" s="461" t="s">
        <v>22</v>
      </c>
      <c r="C480" s="393">
        <v>228.6</v>
      </c>
      <c r="D480" s="393">
        <v>76.2</v>
      </c>
      <c r="E480" s="393">
        <v>76.2</v>
      </c>
      <c r="F480" s="393">
        <v>50.8</v>
      </c>
      <c r="G480" s="17">
        <f t="shared" si="55"/>
        <v>1.1061268199999998</v>
      </c>
      <c r="K480" s="59"/>
    </row>
    <row r="481" spans="1:11">
      <c r="A481" s="397" t="s">
        <v>1484</v>
      </c>
      <c r="B481" s="461" t="s">
        <v>22</v>
      </c>
      <c r="C481" s="393">
        <v>228.6</v>
      </c>
      <c r="D481" s="393">
        <v>76.2</v>
      </c>
      <c r="E481" s="393">
        <v>101.6</v>
      </c>
      <c r="F481" s="393">
        <v>95.3</v>
      </c>
      <c r="G481" s="17">
        <f t="shared" si="55"/>
        <v>1.7149320539999997</v>
      </c>
      <c r="K481" s="59"/>
    </row>
    <row r="482" spans="1:11">
      <c r="A482" s="397" t="s">
        <v>1479</v>
      </c>
      <c r="B482" s="461" t="s">
        <v>22</v>
      </c>
      <c r="C482" s="393">
        <v>228.6</v>
      </c>
      <c r="D482" s="393">
        <v>76.2</v>
      </c>
      <c r="E482" s="393">
        <v>114.3</v>
      </c>
      <c r="F482" s="393">
        <v>101.6</v>
      </c>
      <c r="G482" s="17">
        <f t="shared" si="55"/>
        <v>1.8804155939999998</v>
      </c>
      <c r="K482" s="59"/>
    </row>
    <row r="483" spans="1:11">
      <c r="A483" s="397" t="s">
        <v>1482</v>
      </c>
      <c r="B483" s="461" t="s">
        <v>22</v>
      </c>
      <c r="C483" s="393">
        <v>228.6</v>
      </c>
      <c r="D483" s="393">
        <v>101.6</v>
      </c>
      <c r="E483" s="393">
        <v>76.2</v>
      </c>
      <c r="F483" s="393">
        <v>69.900000000000006</v>
      </c>
      <c r="G483" s="17">
        <f t="shared" si="55"/>
        <v>1.6966417680000001</v>
      </c>
      <c r="K483" s="59"/>
    </row>
    <row r="484" spans="1:11">
      <c r="A484" s="397" t="s">
        <v>1119</v>
      </c>
      <c r="B484" s="461" t="s">
        <v>22</v>
      </c>
      <c r="C484" s="393">
        <v>228.6</v>
      </c>
      <c r="D484" s="393">
        <v>114.3</v>
      </c>
      <c r="E484" s="393">
        <v>76.2</v>
      </c>
      <c r="F484" s="393">
        <v>73</v>
      </c>
      <c r="G484" s="17">
        <f t="shared" si="55"/>
        <v>1.9492219079999995</v>
      </c>
      <c r="K484" s="59"/>
    </row>
    <row r="485" spans="1:11">
      <c r="A485" s="397" t="s">
        <v>1126</v>
      </c>
      <c r="B485" s="461" t="s">
        <v>22</v>
      </c>
      <c r="C485" s="393">
        <v>228.6</v>
      </c>
      <c r="D485" s="393">
        <v>114.3</v>
      </c>
      <c r="E485" s="393">
        <v>76.2</v>
      </c>
      <c r="F485" s="393">
        <v>69.900000000000006</v>
      </c>
      <c r="G485" s="17">
        <f t="shared" si="55"/>
        <v>1.9087219890000002</v>
      </c>
      <c r="K485" s="59"/>
    </row>
    <row r="486" spans="1:11">
      <c r="A486" s="397" t="s">
        <v>1123</v>
      </c>
      <c r="B486" s="461" t="s">
        <v>22</v>
      </c>
      <c r="C486" s="393">
        <v>228.6</v>
      </c>
      <c r="D486" s="393">
        <v>114.3</v>
      </c>
      <c r="E486" s="393">
        <v>76.2</v>
      </c>
      <c r="F486" s="393">
        <v>63.5</v>
      </c>
      <c r="G486" s="17">
        <f t="shared" si="55"/>
        <v>1.8251092529999997</v>
      </c>
      <c r="K486" s="59"/>
    </row>
    <row r="487" spans="1:11">
      <c r="A487" s="397" t="s">
        <v>1493</v>
      </c>
      <c r="B487" s="461" t="s">
        <v>22</v>
      </c>
      <c r="C487" s="393">
        <v>228.6</v>
      </c>
      <c r="D487" s="393">
        <v>114.3</v>
      </c>
      <c r="E487" s="393">
        <v>76.2</v>
      </c>
      <c r="F487" s="393">
        <v>57.2</v>
      </c>
      <c r="G487" s="17">
        <f t="shared" si="55"/>
        <v>1.742802966</v>
      </c>
      <c r="K487" s="59"/>
    </row>
    <row r="488" spans="1:11">
      <c r="A488" s="397" t="s">
        <v>1124</v>
      </c>
      <c r="B488" s="461" t="s">
        <v>22</v>
      </c>
      <c r="C488" s="393">
        <v>228.6</v>
      </c>
      <c r="D488" s="393">
        <v>114.3</v>
      </c>
      <c r="E488" s="393">
        <v>76.2</v>
      </c>
      <c r="F488" s="393">
        <v>50.8</v>
      </c>
      <c r="G488" s="17">
        <f t="shared" si="55"/>
        <v>1.6591902299999999</v>
      </c>
      <c r="K488" s="59"/>
    </row>
    <row r="489" spans="1:11">
      <c r="A489" s="397" t="s">
        <v>1145</v>
      </c>
      <c r="B489" s="461" t="s">
        <v>22</v>
      </c>
      <c r="C489" s="393">
        <v>228.6</v>
      </c>
      <c r="D489" s="393">
        <v>114.3</v>
      </c>
      <c r="E489" s="393">
        <v>76.2</v>
      </c>
      <c r="F489" s="393">
        <v>38.1</v>
      </c>
      <c r="G489" s="17">
        <f t="shared" si="55"/>
        <v>1.4932712070000003</v>
      </c>
      <c r="K489" s="59"/>
    </row>
    <row r="490" spans="1:11">
      <c r="A490" s="397" t="s">
        <v>1492</v>
      </c>
      <c r="B490" s="461" t="s">
        <v>22</v>
      </c>
      <c r="C490" s="393">
        <v>228.6</v>
      </c>
      <c r="D490" s="393">
        <v>114.3</v>
      </c>
      <c r="E490" s="393">
        <v>101.6</v>
      </c>
      <c r="F490" s="393">
        <v>69.900000000000006</v>
      </c>
      <c r="G490" s="17">
        <f t="shared" si="55"/>
        <v>2.2405600350000001</v>
      </c>
      <c r="K490" s="59"/>
    </row>
    <row r="491" spans="1:11">
      <c r="A491" s="397" t="s">
        <v>1491</v>
      </c>
      <c r="B491" s="461" t="s">
        <v>22</v>
      </c>
      <c r="C491" s="393">
        <v>228.6</v>
      </c>
      <c r="D491" s="393">
        <v>114.3</v>
      </c>
      <c r="E491" s="393">
        <v>101.6</v>
      </c>
      <c r="F491" s="393">
        <v>63.5</v>
      </c>
      <c r="G491" s="17">
        <f t="shared" si="55"/>
        <v>2.156947299</v>
      </c>
      <c r="K491" s="59"/>
    </row>
    <row r="492" spans="1:11">
      <c r="A492" s="397" t="s">
        <v>1136</v>
      </c>
      <c r="B492" s="461" t="s">
        <v>22</v>
      </c>
      <c r="C492" s="393">
        <v>228.6</v>
      </c>
      <c r="D492" s="393">
        <v>114.3</v>
      </c>
      <c r="E492" s="393">
        <v>100</v>
      </c>
      <c r="F492" s="393">
        <v>95</v>
      </c>
      <c r="G492" s="17">
        <f t="shared" si="55"/>
        <v>2.5475755499999999</v>
      </c>
      <c r="K492" s="59"/>
    </row>
    <row r="493" spans="1:11">
      <c r="A493" s="397" t="s">
        <v>1138</v>
      </c>
      <c r="B493" s="461" t="s">
        <v>22</v>
      </c>
      <c r="C493" s="393">
        <v>228.6</v>
      </c>
      <c r="D493" s="393">
        <v>127</v>
      </c>
      <c r="E493" s="393">
        <v>76.2</v>
      </c>
      <c r="F493" s="393">
        <v>69.900000000000006</v>
      </c>
      <c r="G493" s="17">
        <f t="shared" si="55"/>
        <v>2.1208022100000004</v>
      </c>
      <c r="K493" s="59"/>
    </row>
    <row r="494" spans="1:11">
      <c r="A494" s="397" t="s">
        <v>1142</v>
      </c>
      <c r="B494" s="461" t="s">
        <v>22</v>
      </c>
      <c r="C494" s="393">
        <v>228.6</v>
      </c>
      <c r="D494" s="393">
        <v>127</v>
      </c>
      <c r="E494" s="393">
        <v>76.2</v>
      </c>
      <c r="F494" s="393">
        <v>63.5</v>
      </c>
      <c r="G494" s="17">
        <f t="shared" si="55"/>
        <v>2.0278991699999995</v>
      </c>
      <c r="K494" s="59"/>
    </row>
    <row r="495" spans="1:11">
      <c r="A495" s="397" t="s">
        <v>1143</v>
      </c>
      <c r="B495" s="461" t="s">
        <v>22</v>
      </c>
      <c r="C495" s="393">
        <v>228.6</v>
      </c>
      <c r="D495" s="393">
        <v>127</v>
      </c>
      <c r="E495" s="393">
        <v>76.2</v>
      </c>
      <c r="F495" s="393">
        <v>50.8</v>
      </c>
      <c r="G495" s="17">
        <f t="shared" si="55"/>
        <v>1.8435447</v>
      </c>
      <c r="K495" s="59"/>
    </row>
    <row r="496" spans="1:11">
      <c r="A496" s="397" t="s">
        <v>1137</v>
      </c>
      <c r="B496" s="461" t="s">
        <v>22</v>
      </c>
      <c r="C496" s="393">
        <v>228.6</v>
      </c>
      <c r="D496" s="393">
        <v>127</v>
      </c>
      <c r="E496" s="393">
        <v>100</v>
      </c>
      <c r="F496" s="393">
        <v>95</v>
      </c>
      <c r="G496" s="17">
        <f t="shared" si="55"/>
        <v>2.8306395000000002</v>
      </c>
      <c r="K496" s="59"/>
    </row>
    <row r="497" spans="1:11">
      <c r="A497" s="397" t="s">
        <v>1141</v>
      </c>
      <c r="B497" s="461" t="s">
        <v>22</v>
      </c>
      <c r="C497" s="393">
        <v>228.6</v>
      </c>
      <c r="D497" s="393">
        <v>127</v>
      </c>
      <c r="E497" s="393">
        <v>100</v>
      </c>
      <c r="F497" s="393">
        <v>90</v>
      </c>
      <c r="G497" s="17">
        <f t="shared" si="55"/>
        <v>2.7580589999999998</v>
      </c>
      <c r="K497" s="59"/>
    </row>
    <row r="498" spans="1:11">
      <c r="A498" s="397" t="s">
        <v>1117</v>
      </c>
      <c r="B498" s="461" t="s">
        <v>22</v>
      </c>
      <c r="C498" s="393">
        <v>228.6</v>
      </c>
      <c r="D498" s="393">
        <v>152.4</v>
      </c>
      <c r="E498" s="393">
        <v>76.2</v>
      </c>
      <c r="F498" s="393">
        <v>69.900000000000006</v>
      </c>
      <c r="G498" s="17">
        <f t="shared" si="55"/>
        <v>2.5449626520000002</v>
      </c>
      <c r="K498" s="59"/>
    </row>
    <row r="499" spans="1:11">
      <c r="A499" s="397" t="s">
        <v>1118</v>
      </c>
      <c r="B499" s="461" t="s">
        <v>22</v>
      </c>
      <c r="C499" s="393">
        <v>228.6</v>
      </c>
      <c r="D499" s="393">
        <v>152.4</v>
      </c>
      <c r="E499" s="393">
        <v>76.2</v>
      </c>
      <c r="F499" s="393">
        <v>63.5</v>
      </c>
      <c r="G499" s="17">
        <f t="shared" si="55"/>
        <v>2.4334790039999996</v>
      </c>
      <c r="K499" s="59"/>
    </row>
    <row r="500" spans="1:11">
      <c r="A500" s="397" t="s">
        <v>1125</v>
      </c>
      <c r="B500" s="461" t="s">
        <v>22</v>
      </c>
      <c r="C500" s="393">
        <v>228.6</v>
      </c>
      <c r="D500" s="393">
        <v>152.4</v>
      </c>
      <c r="E500" s="393">
        <v>76.2</v>
      </c>
      <c r="F500" s="393">
        <v>50.8</v>
      </c>
      <c r="G500" s="17">
        <f t="shared" si="55"/>
        <v>2.2122536399999997</v>
      </c>
      <c r="K500" s="59"/>
    </row>
    <row r="501" spans="1:11">
      <c r="A501" s="397" t="s">
        <v>1146</v>
      </c>
      <c r="B501" s="461" t="s">
        <v>22</v>
      </c>
      <c r="C501" s="393">
        <v>228.6</v>
      </c>
      <c r="D501" s="393">
        <v>152.4</v>
      </c>
      <c r="E501" s="393">
        <v>76.2</v>
      </c>
      <c r="F501" s="393">
        <v>38.1</v>
      </c>
      <c r="G501" s="17">
        <f t="shared" si="55"/>
        <v>1.9910282760000002</v>
      </c>
      <c r="K501" s="59"/>
    </row>
    <row r="502" spans="1:11">
      <c r="A502" s="397" t="s">
        <v>1116</v>
      </c>
      <c r="B502" s="461" t="s">
        <v>22</v>
      </c>
      <c r="C502" s="393">
        <v>228.6</v>
      </c>
      <c r="D502" s="393">
        <v>171.5</v>
      </c>
      <c r="E502" s="393">
        <v>76.2</v>
      </c>
      <c r="F502" s="393">
        <v>69.900000000000006</v>
      </c>
      <c r="G502" s="17">
        <f t="shared" si="55"/>
        <v>2.8639179450000003</v>
      </c>
      <c r="K502" s="59"/>
    </row>
    <row r="503" spans="1:11">
      <c r="A503" s="397" t="s">
        <v>1130</v>
      </c>
      <c r="B503" s="461" t="s">
        <v>22</v>
      </c>
      <c r="C503" s="393">
        <v>228.6</v>
      </c>
      <c r="D503" s="393">
        <v>171.5</v>
      </c>
      <c r="E503" s="393">
        <v>76.2</v>
      </c>
      <c r="F503" s="393">
        <v>50.8</v>
      </c>
      <c r="G503" s="17">
        <f t="shared" si="55"/>
        <v>2.4895111499999998</v>
      </c>
      <c r="K503" s="59"/>
    </row>
    <row r="504" spans="1:11">
      <c r="A504" s="397" t="s">
        <v>1147</v>
      </c>
      <c r="B504" s="461" t="s">
        <v>22</v>
      </c>
      <c r="C504" s="393">
        <v>228.6</v>
      </c>
      <c r="D504" s="393">
        <v>171.5</v>
      </c>
      <c r="E504" s="393">
        <v>76.2</v>
      </c>
      <c r="F504" s="393">
        <v>38.1</v>
      </c>
      <c r="G504" s="17">
        <f t="shared" si="55"/>
        <v>2.2405600350000001</v>
      </c>
      <c r="K504" s="59"/>
    </row>
    <row r="505" spans="1:11">
      <c r="A505" s="377" t="s">
        <v>1824</v>
      </c>
      <c r="B505" s="462" t="s">
        <v>22</v>
      </c>
      <c r="C505" s="396">
        <v>304.8</v>
      </c>
      <c r="D505" s="396">
        <v>114.3</v>
      </c>
      <c r="E505" s="396">
        <v>76.2</v>
      </c>
      <c r="F505" s="396">
        <v>73</v>
      </c>
      <c r="G505" s="17">
        <f t="shared" si="55"/>
        <v>2.5989625439999999</v>
      </c>
      <c r="K505" s="59"/>
    </row>
    <row r="506" spans="1:11">
      <c r="A506" s="377" t="s">
        <v>1104</v>
      </c>
      <c r="B506" s="462" t="s">
        <v>22</v>
      </c>
      <c r="C506" s="396">
        <v>304.8</v>
      </c>
      <c r="D506" s="396">
        <v>114.3</v>
      </c>
      <c r="E506" s="396">
        <v>76.2</v>
      </c>
      <c r="F506" s="396">
        <v>69.900000000000006</v>
      </c>
      <c r="G506" s="17">
        <f t="shared" si="55"/>
        <v>2.5449626520000006</v>
      </c>
      <c r="K506" s="59"/>
    </row>
    <row r="507" spans="1:11">
      <c r="A507" s="377" t="s">
        <v>1105</v>
      </c>
      <c r="B507" s="462" t="s">
        <v>22</v>
      </c>
      <c r="C507" s="396">
        <v>304.8</v>
      </c>
      <c r="D507" s="396">
        <v>114.3</v>
      </c>
      <c r="E507" s="396">
        <v>76.2</v>
      </c>
      <c r="F507" s="396">
        <v>63.5</v>
      </c>
      <c r="G507" s="17">
        <f t="shared" si="55"/>
        <v>2.4334790040000001</v>
      </c>
      <c r="K507" s="59"/>
    </row>
    <row r="508" spans="1:11">
      <c r="A508" s="377" t="s">
        <v>1106</v>
      </c>
      <c r="B508" s="462" t="s">
        <v>22</v>
      </c>
      <c r="C508" s="396">
        <v>304.8</v>
      </c>
      <c r="D508" s="396">
        <v>114.3</v>
      </c>
      <c r="E508" s="396">
        <v>76.2</v>
      </c>
      <c r="F508" s="396">
        <v>50.8</v>
      </c>
      <c r="G508" s="17">
        <f t="shared" si="55"/>
        <v>2.2122536400000001</v>
      </c>
      <c r="K508" s="59"/>
    </row>
    <row r="509" spans="1:11">
      <c r="A509" s="377" t="s">
        <v>1485</v>
      </c>
      <c r="B509" s="462" t="s">
        <v>22</v>
      </c>
      <c r="C509" s="396">
        <v>304.8</v>
      </c>
      <c r="D509" s="396">
        <v>114.3</v>
      </c>
      <c r="E509" s="396">
        <v>76.2</v>
      </c>
      <c r="F509" s="396">
        <v>25.4</v>
      </c>
      <c r="G509" s="17">
        <f t="shared" si="55"/>
        <v>1.7698029120000001</v>
      </c>
      <c r="K509" s="59"/>
    </row>
    <row r="510" spans="1:11">
      <c r="A510" s="377" t="s">
        <v>1487</v>
      </c>
      <c r="B510" s="462" t="s">
        <v>22</v>
      </c>
      <c r="C510" s="396">
        <v>304.8</v>
      </c>
      <c r="D510" s="396">
        <v>152.4</v>
      </c>
      <c r="E510" s="396">
        <v>76.2</v>
      </c>
      <c r="F510" s="396">
        <v>73</v>
      </c>
      <c r="G510" s="17">
        <f t="shared" si="55"/>
        <v>3.4652833919999999</v>
      </c>
      <c r="K510" s="59"/>
    </row>
    <row r="511" spans="1:11">
      <c r="A511" s="377" t="s">
        <v>1107</v>
      </c>
      <c r="B511" s="462" t="s">
        <v>22</v>
      </c>
      <c r="C511" s="396">
        <v>304.8</v>
      </c>
      <c r="D511" s="396">
        <v>152.4</v>
      </c>
      <c r="E511" s="396">
        <v>76.2</v>
      </c>
      <c r="F511" s="396">
        <v>69.900000000000006</v>
      </c>
      <c r="G511" s="17">
        <f t="shared" si="55"/>
        <v>3.3932835360000007</v>
      </c>
      <c r="K511" s="59"/>
    </row>
    <row r="512" spans="1:11">
      <c r="A512" s="377" t="s">
        <v>1122</v>
      </c>
      <c r="B512" s="462" t="s">
        <v>22</v>
      </c>
      <c r="C512" s="396">
        <v>304.8</v>
      </c>
      <c r="D512" s="396">
        <v>152.4</v>
      </c>
      <c r="E512" s="396">
        <v>76.2</v>
      </c>
      <c r="F512" s="396">
        <v>63.5</v>
      </c>
      <c r="G512" s="17">
        <f t="shared" si="55"/>
        <v>3.2446386719999998</v>
      </c>
      <c r="K512" s="59"/>
    </row>
    <row r="513" spans="1:11">
      <c r="A513" s="377" t="s">
        <v>1127</v>
      </c>
      <c r="B513" s="462" t="s">
        <v>22</v>
      </c>
      <c r="C513" s="396">
        <v>304.8</v>
      </c>
      <c r="D513" s="396">
        <v>152.4</v>
      </c>
      <c r="E513" s="396">
        <v>76.2</v>
      </c>
      <c r="F513" s="396">
        <v>50.8</v>
      </c>
      <c r="G513" s="17">
        <f t="shared" si="55"/>
        <v>2.9496715199999999</v>
      </c>
      <c r="K513" s="59"/>
    </row>
    <row r="514" spans="1:11">
      <c r="A514" s="377" t="s">
        <v>1486</v>
      </c>
      <c r="B514" s="462" t="s">
        <v>22</v>
      </c>
      <c r="C514" s="396">
        <v>304.8</v>
      </c>
      <c r="D514" s="396">
        <v>152.4</v>
      </c>
      <c r="E514" s="396">
        <v>76.2</v>
      </c>
      <c r="F514" s="396">
        <v>38.1</v>
      </c>
      <c r="G514" s="17">
        <f t="shared" si="55"/>
        <v>2.6547043680000009</v>
      </c>
      <c r="K514" s="59"/>
    </row>
    <row r="515" spans="1:11">
      <c r="A515" s="377" t="s">
        <v>1489</v>
      </c>
      <c r="B515" s="462" t="s">
        <v>22</v>
      </c>
      <c r="C515" s="396">
        <v>304.8</v>
      </c>
      <c r="D515" s="396">
        <v>152.4</v>
      </c>
      <c r="E515" s="396">
        <v>76.2</v>
      </c>
      <c r="F515" s="396">
        <v>25.4</v>
      </c>
      <c r="G515" s="17">
        <f t="shared" si="55"/>
        <v>2.3597372160000001</v>
      </c>
      <c r="K515" s="59"/>
    </row>
    <row r="516" spans="1:11">
      <c r="A516" s="377" t="s">
        <v>1144</v>
      </c>
      <c r="B516" s="462" t="s">
        <v>22</v>
      </c>
      <c r="C516" s="396">
        <v>304.8</v>
      </c>
      <c r="D516" s="396">
        <v>171.5</v>
      </c>
      <c r="E516" s="396">
        <v>76.2</v>
      </c>
      <c r="F516" s="396">
        <v>50.8</v>
      </c>
      <c r="G516" s="17">
        <f t="shared" si="55"/>
        <v>3.3193482000000003</v>
      </c>
      <c r="K516" s="59"/>
    </row>
    <row r="517" spans="1:11">
      <c r="A517" s="377" t="s">
        <v>1490</v>
      </c>
      <c r="B517" s="462" t="s">
        <v>22</v>
      </c>
      <c r="C517" s="396">
        <v>304.8</v>
      </c>
      <c r="D517" s="396">
        <v>171.5</v>
      </c>
      <c r="E517" s="396">
        <v>76.2</v>
      </c>
      <c r="F517" s="396">
        <v>38.1</v>
      </c>
      <c r="G517" s="17">
        <f t="shared" si="55"/>
        <v>2.9874133800000005</v>
      </c>
      <c r="K517" s="59"/>
    </row>
    <row r="518" spans="1:11">
      <c r="A518" s="377" t="s">
        <v>1488</v>
      </c>
      <c r="B518" s="462" t="s">
        <v>22</v>
      </c>
      <c r="C518" s="396">
        <v>304.8</v>
      </c>
      <c r="D518" s="396">
        <v>228.6</v>
      </c>
      <c r="E518" s="396">
        <v>76.2</v>
      </c>
      <c r="F518" s="396">
        <v>73</v>
      </c>
      <c r="G518" s="17">
        <f t="shared" si="55"/>
        <v>5.1979250879999999</v>
      </c>
      <c r="K518" s="59"/>
    </row>
    <row r="519" spans="1:11">
      <c r="A519" s="377" t="s">
        <v>1121</v>
      </c>
      <c r="B519" s="462" t="s">
        <v>22</v>
      </c>
      <c r="C519" s="396">
        <v>304.8</v>
      </c>
      <c r="D519" s="396">
        <v>228.6</v>
      </c>
      <c r="E519" s="396">
        <v>76.2</v>
      </c>
      <c r="F519" s="396">
        <v>69.900000000000006</v>
      </c>
      <c r="G519" s="17">
        <f t="shared" si="55"/>
        <v>5.0899253040000012</v>
      </c>
      <c r="K519" s="59"/>
    </row>
    <row r="520" spans="1:11">
      <c r="A520" s="377" t="s">
        <v>1120</v>
      </c>
      <c r="B520" s="462" t="s">
        <v>22</v>
      </c>
      <c r="C520" s="396">
        <v>304.8</v>
      </c>
      <c r="D520" s="396">
        <v>228.6</v>
      </c>
      <c r="E520" s="396">
        <v>76.2</v>
      </c>
      <c r="F520" s="396">
        <v>63.5</v>
      </c>
      <c r="G520" s="17">
        <f t="shared" si="55"/>
        <v>4.8669580080000001</v>
      </c>
      <c r="K520" s="59"/>
    </row>
    <row r="521" spans="1:11">
      <c r="A521" s="448" t="s">
        <v>1501</v>
      </c>
      <c r="B521" s="463" t="s">
        <v>22</v>
      </c>
      <c r="C521" s="449">
        <v>381</v>
      </c>
      <c r="D521" s="449">
        <v>114.3</v>
      </c>
      <c r="E521" s="449">
        <v>76.2</v>
      </c>
      <c r="F521" s="449">
        <v>69.900000000000006</v>
      </c>
      <c r="G521" s="17">
        <f t="shared" ref="G521:G547" si="56">((E521+F521)/2)*D521*C521/10^6</f>
        <v>3.1812033150000003</v>
      </c>
      <c r="K521" s="59"/>
    </row>
    <row r="522" spans="1:11">
      <c r="A522" s="448" t="s">
        <v>1501</v>
      </c>
      <c r="B522" s="463" t="s">
        <v>22</v>
      </c>
      <c r="C522" s="449">
        <v>381</v>
      </c>
      <c r="D522" s="449">
        <v>114.3</v>
      </c>
      <c r="E522" s="449">
        <v>76.2</v>
      </c>
      <c r="F522" s="449">
        <v>63.5</v>
      </c>
      <c r="G522" s="17">
        <f>((E522+F522)/2)*D522*C522/10^6</f>
        <v>3.0418487549999997</v>
      </c>
      <c r="K522" s="59"/>
    </row>
    <row r="523" spans="1:11">
      <c r="A523" s="448" t="s">
        <v>1494</v>
      </c>
      <c r="B523" s="463" t="s">
        <v>22</v>
      </c>
      <c r="C523" s="449">
        <v>381</v>
      </c>
      <c r="D523" s="449">
        <v>114.3</v>
      </c>
      <c r="E523" s="449">
        <v>76.2</v>
      </c>
      <c r="F523" s="449">
        <v>50.8</v>
      </c>
      <c r="G523" s="17">
        <f t="shared" si="56"/>
        <v>2.7653170500000002</v>
      </c>
      <c r="K523" s="59"/>
    </row>
    <row r="524" spans="1:11">
      <c r="A524" s="448" t="s">
        <v>1495</v>
      </c>
      <c r="B524" s="463" t="s">
        <v>22</v>
      </c>
      <c r="C524" s="449">
        <v>381</v>
      </c>
      <c r="D524" s="449">
        <v>152.4</v>
      </c>
      <c r="E524" s="449">
        <v>76.2</v>
      </c>
      <c r="F524" s="449">
        <v>69.900000000000006</v>
      </c>
      <c r="G524" s="17">
        <f t="shared" si="56"/>
        <v>4.2416044200000007</v>
      </c>
      <c r="K524" s="59"/>
    </row>
    <row r="525" spans="1:11">
      <c r="A525" s="448" t="s">
        <v>1129</v>
      </c>
      <c r="B525" s="463" t="s">
        <v>22</v>
      </c>
      <c r="C525" s="449">
        <v>381</v>
      </c>
      <c r="D525" s="449">
        <v>152.4</v>
      </c>
      <c r="E525" s="449">
        <v>76.2</v>
      </c>
      <c r="F525" s="449">
        <v>50.8</v>
      </c>
      <c r="G525" s="17">
        <f t="shared" si="56"/>
        <v>3.6870894000000001</v>
      </c>
      <c r="K525" s="59"/>
    </row>
    <row r="526" spans="1:11">
      <c r="A526" s="448" t="s">
        <v>1499</v>
      </c>
      <c r="B526" s="463" t="s">
        <v>22</v>
      </c>
      <c r="C526" s="449">
        <v>381</v>
      </c>
      <c r="D526" s="449">
        <v>152.4</v>
      </c>
      <c r="E526" s="449">
        <v>76.2</v>
      </c>
      <c r="F526" s="449">
        <v>38.1</v>
      </c>
      <c r="G526" s="17">
        <f t="shared" si="56"/>
        <v>3.3183804600000006</v>
      </c>
      <c r="K526" s="59"/>
    </row>
    <row r="527" spans="1:11">
      <c r="A527" s="448" t="s">
        <v>1131</v>
      </c>
      <c r="B527" s="463" t="s">
        <v>22</v>
      </c>
      <c r="C527" s="449">
        <v>381</v>
      </c>
      <c r="D527" s="449">
        <v>152.4</v>
      </c>
      <c r="E527" s="449">
        <v>76.2</v>
      </c>
      <c r="F527" s="449">
        <v>63.5</v>
      </c>
      <c r="G527" s="17">
        <f>((E527+F527)/2)*D527*C527/10^6</f>
        <v>4.0557983399999999</v>
      </c>
      <c r="K527" s="59"/>
    </row>
    <row r="528" spans="1:11">
      <c r="A528" s="448" t="s">
        <v>1500</v>
      </c>
      <c r="B528" s="463" t="s">
        <v>22</v>
      </c>
      <c r="C528" s="449">
        <v>381</v>
      </c>
      <c r="D528" s="449">
        <v>228.6</v>
      </c>
      <c r="E528" s="449">
        <v>76.2</v>
      </c>
      <c r="F528" s="449">
        <v>73</v>
      </c>
      <c r="G528" s="17">
        <f>((E528+F528)/2)*D528*C528/10^6</f>
        <v>6.4974063599999994</v>
      </c>
      <c r="K528" s="59"/>
    </row>
    <row r="529" spans="1:11">
      <c r="A529" s="448" t="s">
        <v>1497</v>
      </c>
      <c r="B529" s="463" t="s">
        <v>22</v>
      </c>
      <c r="C529" s="449">
        <v>381</v>
      </c>
      <c r="D529" s="449">
        <v>228.6</v>
      </c>
      <c r="E529" s="449">
        <v>76.2</v>
      </c>
      <c r="F529" s="449">
        <v>69.900000000000006</v>
      </c>
      <c r="G529" s="17">
        <f>((E529+F529)/2)*D529*C529/10^6</f>
        <v>6.3624066300000006</v>
      </c>
      <c r="K529" s="59"/>
    </row>
    <row r="530" spans="1:11">
      <c r="A530" s="448" t="s">
        <v>1496</v>
      </c>
      <c r="B530" s="463" t="s">
        <v>22</v>
      </c>
      <c r="C530" s="449">
        <v>381</v>
      </c>
      <c r="D530" s="449">
        <v>228.6</v>
      </c>
      <c r="E530" s="449">
        <v>76.2</v>
      </c>
      <c r="F530" s="449">
        <v>63.5</v>
      </c>
      <c r="G530" s="17">
        <f>((E530+F530)/2)*D530*C530/10^6</f>
        <v>6.0836975099999995</v>
      </c>
      <c r="K530" s="59"/>
    </row>
    <row r="531" spans="1:11">
      <c r="A531" s="448" t="s">
        <v>1498</v>
      </c>
      <c r="B531" s="463" t="s">
        <v>22</v>
      </c>
      <c r="C531" s="449">
        <v>381</v>
      </c>
      <c r="D531" s="449">
        <v>228.6</v>
      </c>
      <c r="E531" s="449">
        <v>76.2</v>
      </c>
      <c r="F531" s="449">
        <v>50.8</v>
      </c>
      <c r="G531" s="17">
        <f>((E531+F531)/2)*D531*C531/10^6</f>
        <v>5.5306341000000003</v>
      </c>
      <c r="K531" s="59"/>
    </row>
    <row r="532" spans="1:11">
      <c r="A532" s="450" t="s">
        <v>1108</v>
      </c>
      <c r="B532" s="464" t="s">
        <v>22</v>
      </c>
      <c r="C532" s="451">
        <v>457.2</v>
      </c>
      <c r="D532" s="451">
        <v>114.3</v>
      </c>
      <c r="E532" s="451">
        <v>76.2</v>
      </c>
      <c r="F532" s="451">
        <v>63.5</v>
      </c>
      <c r="G532" s="17">
        <f t="shared" si="56"/>
        <v>3.6502185059999994</v>
      </c>
      <c r="K532" s="59"/>
    </row>
    <row r="533" spans="1:11">
      <c r="A533" s="450" t="s">
        <v>1109</v>
      </c>
      <c r="B533" s="464" t="s">
        <v>22</v>
      </c>
      <c r="C533" s="451">
        <v>457.2</v>
      </c>
      <c r="D533" s="451">
        <v>114.3</v>
      </c>
      <c r="E533" s="451">
        <v>76.2</v>
      </c>
      <c r="F533" s="451">
        <v>50.8</v>
      </c>
      <c r="G533" s="17">
        <f t="shared" si="56"/>
        <v>3.3183804599999998</v>
      </c>
      <c r="K533" s="59"/>
    </row>
    <row r="534" spans="1:11">
      <c r="A534" s="450" t="s">
        <v>1505</v>
      </c>
      <c r="B534" s="464" t="s">
        <v>22</v>
      </c>
      <c r="C534" s="451">
        <v>457.2</v>
      </c>
      <c r="D534" s="451">
        <v>114.3</v>
      </c>
      <c r="E534" s="451">
        <v>76.2</v>
      </c>
      <c r="F534" s="451">
        <v>25.4</v>
      </c>
      <c r="G534" s="17">
        <f t="shared" si="56"/>
        <v>2.654704368</v>
      </c>
      <c r="K534" s="59"/>
    </row>
    <row r="535" spans="1:11">
      <c r="A535" s="450" t="s">
        <v>1504</v>
      </c>
      <c r="B535" s="464" t="s">
        <v>22</v>
      </c>
      <c r="C535" s="451">
        <v>457.2</v>
      </c>
      <c r="D535" s="451">
        <v>152.4</v>
      </c>
      <c r="E535" s="451">
        <v>76.2</v>
      </c>
      <c r="F535" s="451">
        <v>73</v>
      </c>
      <c r="G535" s="17">
        <f>((E535+F535)/2)*D535*C535/10^6</f>
        <v>5.1979250879999999</v>
      </c>
      <c r="K535" s="59"/>
    </row>
    <row r="536" spans="1:11">
      <c r="A536" s="450" t="s">
        <v>1110</v>
      </c>
      <c r="B536" s="464" t="s">
        <v>22</v>
      </c>
      <c r="C536" s="451">
        <v>457.2</v>
      </c>
      <c r="D536" s="451">
        <v>152.4</v>
      </c>
      <c r="E536" s="451">
        <v>76.2</v>
      </c>
      <c r="F536" s="451">
        <v>69.900000000000006</v>
      </c>
      <c r="G536" s="17">
        <f t="shared" si="56"/>
        <v>5.0899253040000003</v>
      </c>
      <c r="K536" s="59"/>
    </row>
    <row r="537" spans="1:11">
      <c r="A537" s="450" t="s">
        <v>1111</v>
      </c>
      <c r="B537" s="464" t="s">
        <v>22</v>
      </c>
      <c r="C537" s="451">
        <v>457.2</v>
      </c>
      <c r="D537" s="451">
        <v>152.4</v>
      </c>
      <c r="E537" s="451">
        <v>76.2</v>
      </c>
      <c r="F537" s="451">
        <v>63.5</v>
      </c>
      <c r="G537" s="17">
        <f t="shared" si="56"/>
        <v>4.8669580079999992</v>
      </c>
      <c r="K537" s="59"/>
    </row>
    <row r="538" spans="1:11">
      <c r="A538" s="450" t="s">
        <v>1112</v>
      </c>
      <c r="B538" s="464" t="s">
        <v>22</v>
      </c>
      <c r="C538" s="451">
        <v>457.2</v>
      </c>
      <c r="D538" s="451">
        <v>152.4</v>
      </c>
      <c r="E538" s="451">
        <v>76.2</v>
      </c>
      <c r="F538" s="451">
        <v>50.8</v>
      </c>
      <c r="G538" s="17">
        <f t="shared" si="56"/>
        <v>4.4245072799999994</v>
      </c>
      <c r="K538" s="59"/>
    </row>
    <row r="539" spans="1:11">
      <c r="A539" s="450" t="s">
        <v>1134</v>
      </c>
      <c r="B539" s="464" t="s">
        <v>22</v>
      </c>
      <c r="C539" s="451">
        <v>457.2</v>
      </c>
      <c r="D539" s="451">
        <v>152.4</v>
      </c>
      <c r="E539" s="451">
        <v>76.2</v>
      </c>
      <c r="F539" s="451">
        <v>38.1</v>
      </c>
      <c r="G539" s="17">
        <f t="shared" si="56"/>
        <v>3.9820565520000004</v>
      </c>
      <c r="K539" s="59"/>
    </row>
    <row r="540" spans="1:11">
      <c r="A540" s="450" t="s">
        <v>1133</v>
      </c>
      <c r="B540" s="464" t="s">
        <v>22</v>
      </c>
      <c r="C540" s="451">
        <v>457.2</v>
      </c>
      <c r="D540" s="451">
        <v>152.4</v>
      </c>
      <c r="E540" s="451">
        <v>76.2</v>
      </c>
      <c r="F540" s="451">
        <v>25.4</v>
      </c>
      <c r="G540" s="17">
        <f>((E540+F540)/2)*D540*C540/10^6</f>
        <v>3.5396058240000001</v>
      </c>
      <c r="K540" s="59"/>
    </row>
    <row r="541" spans="1:11">
      <c r="A541" s="450" t="s">
        <v>1507</v>
      </c>
      <c r="B541" s="464" t="s">
        <v>22</v>
      </c>
      <c r="C541" s="451">
        <v>457.2</v>
      </c>
      <c r="D541" s="451">
        <v>171.5</v>
      </c>
      <c r="E541" s="451">
        <v>76.2</v>
      </c>
      <c r="F541" s="451">
        <v>69.900000000000006</v>
      </c>
      <c r="G541" s="17">
        <f t="shared" si="56"/>
        <v>5.7278358900000006</v>
      </c>
      <c r="K541" s="59"/>
    </row>
    <row r="542" spans="1:11">
      <c r="A542" s="450" t="s">
        <v>1507</v>
      </c>
      <c r="B542" s="464" t="s">
        <v>22</v>
      </c>
      <c r="C542" s="451">
        <v>457.2</v>
      </c>
      <c r="D542" s="451">
        <v>171.5</v>
      </c>
      <c r="E542" s="451">
        <v>76.2</v>
      </c>
      <c r="F542" s="451">
        <v>63.5</v>
      </c>
      <c r="G542" s="17">
        <f>((E542+F542)/2)*D542*C542/10^6</f>
        <v>5.4769245299999989</v>
      </c>
      <c r="K542" s="59"/>
    </row>
    <row r="543" spans="1:11">
      <c r="A543" s="450" t="s">
        <v>1502</v>
      </c>
      <c r="B543" s="464" t="s">
        <v>22</v>
      </c>
      <c r="C543" s="451">
        <v>457.2</v>
      </c>
      <c r="D543" s="451">
        <v>228.6</v>
      </c>
      <c r="E543" s="451">
        <v>76.2</v>
      </c>
      <c r="F543" s="451">
        <v>73</v>
      </c>
      <c r="G543" s="17">
        <f t="shared" si="56"/>
        <v>7.796887631999998</v>
      </c>
      <c r="K543" s="59"/>
    </row>
    <row r="544" spans="1:11">
      <c r="A544" s="450" t="s">
        <v>1113</v>
      </c>
      <c r="B544" s="464" t="s">
        <v>22</v>
      </c>
      <c r="C544" s="451">
        <v>457.2</v>
      </c>
      <c r="D544" s="451">
        <v>228.6</v>
      </c>
      <c r="E544" s="451">
        <v>76.2</v>
      </c>
      <c r="F544" s="451">
        <v>69.8</v>
      </c>
      <c r="G544" s="17">
        <f>((E544+F544)/2)*D544*C544/10^6</f>
        <v>7.6296621599999996</v>
      </c>
      <c r="K544" s="59"/>
    </row>
    <row r="545" spans="1:16380">
      <c r="A545" s="450" t="s">
        <v>1508</v>
      </c>
      <c r="B545" s="464" t="s">
        <v>22</v>
      </c>
      <c r="C545" s="451">
        <v>457.2</v>
      </c>
      <c r="D545" s="451">
        <v>304.8</v>
      </c>
      <c r="E545" s="451">
        <v>76.2</v>
      </c>
      <c r="F545" s="451">
        <v>63.5</v>
      </c>
      <c r="G545" s="17">
        <f>((E545+F545)/2)*D545*C545/10^6</f>
        <v>9.7339160159999985</v>
      </c>
      <c r="K545" s="59"/>
    </row>
    <row r="546" spans="1:16380">
      <c r="A546" s="450" t="s">
        <v>1128</v>
      </c>
      <c r="B546" s="464" t="s">
        <v>22</v>
      </c>
      <c r="C546" s="451">
        <v>457.2</v>
      </c>
      <c r="D546" s="451">
        <v>228.6</v>
      </c>
      <c r="E546" s="451">
        <v>76.2</v>
      </c>
      <c r="F546" s="451">
        <v>50.8</v>
      </c>
      <c r="G546" s="17">
        <f t="shared" si="56"/>
        <v>6.6367609199999995</v>
      </c>
      <c r="K546" s="59"/>
    </row>
    <row r="547" spans="1:16380">
      <c r="A547" s="450" t="s">
        <v>1148</v>
      </c>
      <c r="B547" s="464" t="s">
        <v>22</v>
      </c>
      <c r="C547" s="451">
        <v>457.2</v>
      </c>
      <c r="D547" s="451">
        <v>228.6</v>
      </c>
      <c r="E547" s="451">
        <v>76.2</v>
      </c>
      <c r="F547" s="451">
        <v>38.1</v>
      </c>
      <c r="G547" s="17">
        <f t="shared" si="56"/>
        <v>5.9730848280000011</v>
      </c>
      <c r="K547" s="59"/>
    </row>
    <row r="548" spans="1:16380">
      <c r="A548" s="450" t="s">
        <v>1503</v>
      </c>
      <c r="B548" s="464" t="s">
        <v>22</v>
      </c>
      <c r="C548" s="451">
        <v>457.2</v>
      </c>
      <c r="D548" s="451">
        <v>228.6</v>
      </c>
      <c r="E548" s="451">
        <v>76.2</v>
      </c>
      <c r="F548" s="451">
        <v>25.4</v>
      </c>
      <c r="G548" s="17">
        <f>((E548+F548)/2)*D548*C548/10^6</f>
        <v>5.309408736</v>
      </c>
      <c r="K548" s="59"/>
    </row>
    <row r="549" spans="1:16380" ht="13.8" thickBot="1">
      <c r="A549" s="450" t="s">
        <v>1506</v>
      </c>
      <c r="B549" s="464" t="s">
        <v>22</v>
      </c>
      <c r="C549" s="451">
        <v>457.2</v>
      </c>
      <c r="D549" s="451">
        <v>228.6</v>
      </c>
      <c r="E549" s="451">
        <v>101.6</v>
      </c>
      <c r="F549" s="451">
        <v>76.2</v>
      </c>
      <c r="G549" s="17">
        <f>((E549+F549)/2)*D549*C549/10^6</f>
        <v>9.2914652880000013</v>
      </c>
      <c r="K549" s="59"/>
    </row>
    <row r="550" spans="1:16380" ht="25.2" thickBot="1">
      <c r="A550" s="460" t="s">
        <v>1511</v>
      </c>
      <c r="B550" s="73"/>
      <c r="C550" s="73"/>
      <c r="D550" s="73"/>
      <c r="E550" s="73"/>
      <c r="F550" s="73"/>
      <c r="G550" s="102"/>
      <c r="H550" s="102"/>
      <c r="I550" s="102"/>
      <c r="J550" s="102"/>
      <c r="K550" s="102"/>
      <c r="L550" s="20"/>
      <c r="M550" s="20"/>
      <c r="N550" s="20"/>
      <c r="O550" s="20"/>
      <c r="P550" s="20"/>
      <c r="Q550" s="23"/>
      <c r="R550" s="22"/>
      <c r="S550" s="22"/>
      <c r="T550" s="20"/>
      <c r="U550" s="22"/>
      <c r="V550" s="20"/>
    </row>
    <row r="551" spans="1:16380">
      <c r="A551" s="68" t="s">
        <v>1513</v>
      </c>
      <c r="B551" s="363" t="s">
        <v>2181</v>
      </c>
      <c r="C551" s="373">
        <v>152.4</v>
      </c>
      <c r="D551" s="373">
        <v>152.4</v>
      </c>
      <c r="E551" s="373">
        <v>76.2</v>
      </c>
      <c r="F551" s="373">
        <v>69.900000000000006</v>
      </c>
      <c r="G551" s="17">
        <f>((E551+F551)/2)*D551*C551/10^6</f>
        <v>1.6966417680000003</v>
      </c>
      <c r="K551" s="59"/>
      <c r="L551"/>
      <c r="M551"/>
      <c r="N551" s="366"/>
      <c r="O551"/>
      <c r="P551"/>
      <c r="Q551"/>
      <c r="R551"/>
      <c r="S551" s="366"/>
      <c r="T551" s="366"/>
      <c r="U551"/>
      <c r="V551"/>
      <c r="W551"/>
      <c r="X551" s="366"/>
      <c r="Y551"/>
      <c r="Z551"/>
      <c r="AA551"/>
      <c r="AB551"/>
      <c r="AC551"/>
      <c r="AD551"/>
      <c r="AE551"/>
      <c r="AF551"/>
      <c r="AG551"/>
      <c r="AH551"/>
      <c r="AI551"/>
      <c r="AJ551" s="366"/>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c r="LQ551"/>
      <c r="LR551"/>
      <c r="LS551"/>
      <c r="LT551"/>
      <c r="LU551"/>
      <c r="LV551"/>
      <c r="LW551"/>
      <c r="LX551"/>
      <c r="LY551"/>
      <c r="LZ551"/>
      <c r="MA551"/>
      <c r="MB551"/>
      <c r="MC551"/>
      <c r="MD551"/>
      <c r="ME551"/>
      <c r="MF551"/>
      <c r="MG551"/>
      <c r="MH551"/>
      <c r="MI551"/>
      <c r="MJ551"/>
      <c r="MK551"/>
      <c r="ML551"/>
      <c r="MM551"/>
      <c r="MN551"/>
      <c r="MO551"/>
      <c r="MP551"/>
      <c r="MQ551"/>
      <c r="MR551"/>
      <c r="MS551"/>
      <c r="MT551"/>
      <c r="MU551"/>
      <c r="MV551"/>
      <c r="MW551"/>
      <c r="MX551"/>
      <c r="MY551"/>
      <c r="MZ551"/>
      <c r="NA551"/>
      <c r="NB551"/>
      <c r="NC551"/>
      <c r="ND551"/>
      <c r="NE551"/>
      <c r="NF551"/>
      <c r="NG551"/>
      <c r="NH551"/>
      <c r="NI551"/>
      <c r="NJ551"/>
      <c r="NK551"/>
      <c r="NL551"/>
      <c r="NM551"/>
      <c r="NN551"/>
      <c r="NO551"/>
      <c r="NP551"/>
      <c r="NQ551"/>
      <c r="NR551"/>
      <c r="NS551"/>
      <c r="NT551"/>
      <c r="NU551"/>
      <c r="NV551"/>
      <c r="NW551"/>
      <c r="NX551"/>
      <c r="NY551"/>
      <c r="NZ551"/>
      <c r="OA551"/>
      <c r="OB551"/>
      <c r="OC551"/>
      <c r="OD551"/>
      <c r="OE551"/>
      <c r="OF551"/>
      <c r="OG551"/>
      <c r="OH551"/>
      <c r="OI551"/>
      <c r="OJ551"/>
      <c r="OK551"/>
      <c r="OL551"/>
      <c r="OM551"/>
      <c r="ON551"/>
      <c r="OO551"/>
      <c r="OP551"/>
      <c r="OQ551"/>
      <c r="OR551"/>
      <c r="OS551"/>
      <c r="OT551"/>
      <c r="OU551"/>
      <c r="OV551"/>
      <c r="OW551"/>
      <c r="OX551"/>
      <c r="OY551"/>
      <c r="OZ551"/>
      <c r="PA551"/>
      <c r="PB551"/>
      <c r="PC551"/>
      <c r="PD551"/>
      <c r="PE551"/>
      <c r="PF551"/>
      <c r="PG551"/>
      <c r="PH551"/>
      <c r="PI551"/>
      <c r="PJ551"/>
      <c r="PK551"/>
      <c r="PL551"/>
      <c r="PM551"/>
      <c r="PN551"/>
      <c r="PO551"/>
      <c r="PP551"/>
      <c r="PQ551"/>
      <c r="PR551"/>
      <c r="PS551"/>
      <c r="PT551"/>
      <c r="PU551"/>
      <c r="PV551"/>
      <c r="PW551"/>
      <c r="PX551"/>
      <c r="PY551"/>
      <c r="PZ551"/>
      <c r="QA551"/>
      <c r="QB551"/>
      <c r="QC551"/>
      <c r="QD551"/>
      <c r="QE551"/>
      <c r="QF551"/>
      <c r="QG551"/>
      <c r="QH551"/>
      <c r="QI551"/>
      <c r="QJ551"/>
      <c r="QK551"/>
      <c r="QL551"/>
      <c r="QM551"/>
      <c r="QN551"/>
      <c r="QO551"/>
      <c r="QP551"/>
      <c r="QQ551"/>
      <c r="QR551"/>
      <c r="QS551"/>
      <c r="QT551"/>
      <c r="QU551"/>
      <c r="QV551"/>
      <c r="QW551"/>
      <c r="QX551"/>
      <c r="QY551"/>
      <c r="QZ551"/>
      <c r="RA551"/>
      <c r="RB551"/>
      <c r="RC551"/>
      <c r="RD551"/>
      <c r="RE551"/>
      <c r="RF551"/>
      <c r="RG551"/>
      <c r="RH551"/>
      <c r="RI551"/>
      <c r="RJ551"/>
      <c r="RK551"/>
      <c r="RL551"/>
      <c r="RM551"/>
      <c r="RN551"/>
      <c r="RO551"/>
      <c r="RP551"/>
      <c r="RQ551"/>
      <c r="RR551"/>
      <c r="RS551"/>
      <c r="RT551"/>
      <c r="RU551"/>
      <c r="RV551"/>
      <c r="RW551"/>
      <c r="RX551"/>
      <c r="RY551"/>
      <c r="RZ551"/>
      <c r="SA551"/>
      <c r="SB551"/>
      <c r="SC551"/>
      <c r="SD551"/>
      <c r="SE551"/>
      <c r="SF551"/>
      <c r="SG551"/>
      <c r="SH551"/>
      <c r="SI551"/>
      <c r="SJ551"/>
      <c r="SK551"/>
      <c r="SL551"/>
      <c r="SM551"/>
      <c r="SN551"/>
      <c r="SO551"/>
      <c r="SP551"/>
      <c r="SQ551"/>
      <c r="SR551"/>
      <c r="SS551"/>
      <c r="ST551"/>
      <c r="SU551"/>
      <c r="SV551"/>
      <c r="SW551"/>
      <c r="SX551"/>
      <c r="SY551"/>
      <c r="SZ551"/>
      <c r="TA551"/>
      <c r="TB551"/>
      <c r="TC551"/>
      <c r="TD551"/>
      <c r="TE551"/>
      <c r="TF551"/>
      <c r="TG551"/>
      <c r="TH551"/>
      <c r="TI551"/>
      <c r="TJ551"/>
      <c r="TK551"/>
      <c r="TL551"/>
      <c r="TM551"/>
      <c r="TN551"/>
      <c r="TO551"/>
      <c r="TP551"/>
      <c r="TQ551"/>
      <c r="TR551"/>
      <c r="TS551"/>
      <c r="TT551"/>
      <c r="TU551"/>
      <c r="TV551"/>
      <c r="TW551"/>
      <c r="TX551"/>
      <c r="TY551"/>
      <c r="TZ551"/>
      <c r="UA551"/>
      <c r="UB551"/>
      <c r="UC551"/>
      <c r="UD551"/>
      <c r="UE551"/>
      <c r="UF551"/>
      <c r="UG551"/>
      <c r="UH551"/>
      <c r="UI551"/>
      <c r="UJ551"/>
      <c r="UK551"/>
      <c r="UL551"/>
      <c r="UM551"/>
      <c r="UN551"/>
      <c r="UO551"/>
      <c r="UP551"/>
      <c r="UQ551"/>
      <c r="UR551"/>
      <c r="US551"/>
      <c r="UT551"/>
      <c r="UU551"/>
      <c r="UV551"/>
      <c r="UW551"/>
      <c r="UX551"/>
      <c r="UY551"/>
      <c r="UZ551"/>
      <c r="VA551"/>
      <c r="VB551"/>
      <c r="VC551"/>
      <c r="VD551"/>
      <c r="VE551"/>
      <c r="VF551"/>
      <c r="VG551"/>
      <c r="VH551"/>
      <c r="VI551"/>
      <c r="VJ551"/>
      <c r="VK551"/>
      <c r="VL551"/>
      <c r="VM551"/>
      <c r="VN551"/>
      <c r="VO551"/>
      <c r="VP551"/>
      <c r="VQ551"/>
      <c r="VR551"/>
      <c r="VS551"/>
      <c r="VT551"/>
      <c r="VU551"/>
      <c r="VV551"/>
      <c r="VW551"/>
      <c r="VX551"/>
      <c r="VY551"/>
      <c r="VZ551"/>
      <c r="WA551"/>
      <c r="WB551"/>
      <c r="WC551"/>
      <c r="WD551"/>
      <c r="WE551"/>
      <c r="WF551"/>
      <c r="WG551"/>
      <c r="WH551"/>
      <c r="WI551"/>
      <c r="WJ551"/>
      <c r="WK551"/>
      <c r="WL551"/>
      <c r="WM551"/>
      <c r="WN551"/>
      <c r="WO551"/>
      <c r="WP551"/>
      <c r="WQ551"/>
      <c r="WR551"/>
      <c r="WS551"/>
      <c r="WT551"/>
      <c r="WU551"/>
      <c r="WV551"/>
      <c r="WW551"/>
      <c r="WX551"/>
      <c r="WY551"/>
      <c r="WZ551"/>
      <c r="XA551"/>
      <c r="XB551"/>
      <c r="XC551"/>
      <c r="XD551"/>
      <c r="XE551"/>
      <c r="XF551"/>
      <c r="XG551"/>
      <c r="XH551"/>
      <c r="XI551"/>
      <c r="XJ551"/>
      <c r="XK551"/>
      <c r="XL551"/>
      <c r="XM551"/>
      <c r="XN551"/>
      <c r="XO551"/>
      <c r="XP551"/>
      <c r="XQ551"/>
      <c r="XR551"/>
      <c r="XS551"/>
      <c r="XT551"/>
      <c r="XU551"/>
      <c r="XV551"/>
      <c r="XW551"/>
      <c r="XX551"/>
      <c r="XY551"/>
      <c r="XZ551"/>
      <c r="YA551"/>
      <c r="YB551"/>
      <c r="YC551"/>
      <c r="YD551"/>
      <c r="YE551"/>
      <c r="YF551"/>
      <c r="YG551"/>
      <c r="YH551"/>
      <c r="YI551"/>
      <c r="YJ551"/>
      <c r="YK551"/>
      <c r="YL551"/>
      <c r="YM551"/>
      <c r="YN551"/>
      <c r="YO551"/>
      <c r="YP551"/>
      <c r="YQ551"/>
      <c r="YR551"/>
      <c r="YS551"/>
      <c r="YT551"/>
      <c r="YU551"/>
      <c r="YV551"/>
      <c r="YW551"/>
      <c r="YX551"/>
      <c r="YY551"/>
      <c r="YZ551"/>
      <c r="ZA551"/>
      <c r="ZB551"/>
      <c r="ZC551"/>
      <c r="ZD551"/>
      <c r="ZE551"/>
      <c r="ZF551"/>
      <c r="ZG551"/>
      <c r="ZH551"/>
      <c r="ZI551"/>
      <c r="ZJ551"/>
      <c r="ZK551"/>
      <c r="ZL551"/>
      <c r="ZM551"/>
      <c r="ZN551"/>
      <c r="ZO551"/>
      <c r="ZP551"/>
      <c r="ZQ551"/>
      <c r="ZR551"/>
      <c r="ZS551"/>
      <c r="ZT551"/>
      <c r="ZU551"/>
      <c r="ZV551"/>
      <c r="ZW551"/>
      <c r="ZX551"/>
      <c r="ZY551"/>
      <c r="ZZ551"/>
      <c r="AAA551"/>
      <c r="AAB551"/>
      <c r="AAC551"/>
      <c r="AAD551"/>
      <c r="AAE551"/>
      <c r="AAF551"/>
      <c r="AAG551"/>
      <c r="AAH551"/>
      <c r="AAI551"/>
      <c r="AAJ551"/>
      <c r="AAK551"/>
      <c r="AAL551"/>
      <c r="AAM551"/>
      <c r="AAN551"/>
      <c r="AAO551"/>
      <c r="AAP551"/>
      <c r="AAQ551"/>
      <c r="AAR551"/>
      <c r="AAS551"/>
      <c r="AAT551"/>
      <c r="AAU551"/>
      <c r="AAV551"/>
      <c r="AAW551"/>
      <c r="AAX551"/>
      <c r="AAY551"/>
      <c r="AAZ551"/>
      <c r="ABA551"/>
      <c r="ABB551"/>
      <c r="ABC551"/>
      <c r="ABD551"/>
      <c r="ABE551"/>
      <c r="ABF551"/>
      <c r="ABG551"/>
      <c r="ABH551"/>
      <c r="ABI551"/>
      <c r="ABJ551"/>
      <c r="ABK551"/>
      <c r="ABL551"/>
      <c r="ABM551"/>
      <c r="ABN551"/>
      <c r="ABO551"/>
      <c r="ABP551"/>
      <c r="ABQ551"/>
      <c r="ABR551"/>
      <c r="ABS551"/>
      <c r="ABT551"/>
      <c r="ABU551"/>
      <c r="ABV551"/>
      <c r="ABW551"/>
      <c r="ABX551"/>
      <c r="ABY551"/>
      <c r="ABZ551"/>
      <c r="ACA551"/>
      <c r="ACB551"/>
      <c r="ACC551"/>
      <c r="ACD551"/>
      <c r="ACE551"/>
      <c r="ACF551"/>
      <c r="ACG551"/>
      <c r="ACH551"/>
      <c r="ACI551"/>
      <c r="ACJ551"/>
      <c r="ACK551"/>
      <c r="ACL551"/>
      <c r="ACM551"/>
      <c r="ACN551"/>
      <c r="ACO551"/>
      <c r="ACP551"/>
      <c r="ACQ551"/>
      <c r="ACR551"/>
      <c r="ACS551"/>
      <c r="ACT551"/>
      <c r="ACU551"/>
      <c r="ACV551"/>
      <c r="ACW551"/>
      <c r="ACX551"/>
      <c r="ACY551"/>
      <c r="ACZ551"/>
      <c r="ADA551"/>
      <c r="ADB551"/>
      <c r="ADC551"/>
      <c r="ADD551"/>
      <c r="ADE551"/>
      <c r="ADF551"/>
      <c r="ADG551"/>
      <c r="ADH551"/>
      <c r="ADI551"/>
      <c r="ADJ551"/>
      <c r="ADK551"/>
      <c r="ADL551"/>
      <c r="ADM551"/>
      <c r="ADN551"/>
      <c r="ADO551"/>
      <c r="ADP551"/>
      <c r="ADQ551"/>
      <c r="ADR551"/>
      <c r="ADS551"/>
      <c r="ADT551"/>
      <c r="ADU551"/>
      <c r="ADV551"/>
      <c r="ADW551"/>
      <c r="ADX551"/>
      <c r="ADY551"/>
      <c r="ADZ551"/>
      <c r="AEA551"/>
      <c r="AEB551"/>
      <c r="AEC551"/>
      <c r="AED551"/>
      <c r="AEE551"/>
      <c r="AEF551"/>
      <c r="AEG551"/>
      <c r="AEH551"/>
      <c r="AEI551"/>
      <c r="AEJ551"/>
      <c r="AEK551"/>
      <c r="AEL551"/>
      <c r="AEM551"/>
      <c r="AEN551"/>
      <c r="AEO551"/>
      <c r="AEP551"/>
      <c r="AEQ551"/>
      <c r="AER551"/>
      <c r="AES551"/>
      <c r="AET551"/>
      <c r="AEU551"/>
      <c r="AEV551"/>
      <c r="AEW551"/>
      <c r="AEX551"/>
      <c r="AEY551"/>
      <c r="AEZ551"/>
      <c r="AFA551"/>
      <c r="AFB551"/>
      <c r="AFC551"/>
      <c r="AFD551"/>
      <c r="AFE551"/>
      <c r="AFF551"/>
      <c r="AFG551"/>
      <c r="AFH551"/>
      <c r="AFI551"/>
      <c r="AFJ551"/>
      <c r="AFK551"/>
      <c r="AFL551"/>
      <c r="AFM551"/>
      <c r="AFN551"/>
      <c r="AFO551"/>
      <c r="AFP551"/>
      <c r="AFQ551"/>
      <c r="AFR551"/>
      <c r="AFS551"/>
      <c r="AFT551"/>
      <c r="AFU551"/>
      <c r="AFV551"/>
      <c r="AFW551"/>
      <c r="AFX551"/>
      <c r="AFY551"/>
      <c r="AFZ551"/>
      <c r="AGA551"/>
      <c r="AGB551"/>
      <c r="AGC551"/>
      <c r="AGD551"/>
      <c r="AGE551"/>
      <c r="AGF551"/>
      <c r="AGG551"/>
      <c r="AGH551"/>
      <c r="AGI551"/>
      <c r="AGJ551"/>
      <c r="AGK551"/>
      <c r="AGL551"/>
      <c r="AGM551"/>
      <c r="AGN551"/>
      <c r="AGO551"/>
      <c r="AGP551"/>
      <c r="AGQ551"/>
      <c r="AGR551"/>
      <c r="AGS551"/>
      <c r="AGT551"/>
      <c r="AGU551"/>
      <c r="AGV551"/>
      <c r="AGW551"/>
      <c r="AGX551"/>
      <c r="AGY551"/>
      <c r="AGZ551"/>
      <c r="AHA551"/>
      <c r="AHB551"/>
      <c r="AHC551"/>
      <c r="AHD551"/>
      <c r="AHE551"/>
      <c r="AHF551"/>
      <c r="AHG551"/>
      <c r="AHH551"/>
      <c r="AHI551"/>
      <c r="AHJ551"/>
      <c r="AHK551"/>
      <c r="AHL551"/>
      <c r="AHM551"/>
      <c r="AHN551"/>
      <c r="AHO551"/>
      <c r="AHP551"/>
      <c r="AHQ551"/>
      <c r="AHR551"/>
      <c r="AHS551"/>
      <c r="AHT551"/>
      <c r="AHU551"/>
      <c r="AHV551"/>
      <c r="AHW551"/>
      <c r="AHX551"/>
      <c r="AHY551"/>
      <c r="AHZ551"/>
      <c r="AIA551"/>
      <c r="AIB551"/>
      <c r="AIC551"/>
      <c r="AID551"/>
      <c r="AIE551"/>
      <c r="AIF551"/>
      <c r="AIG551"/>
      <c r="AIH551"/>
      <c r="AII551"/>
      <c r="AIJ551"/>
      <c r="AIK551"/>
      <c r="AIL551"/>
      <c r="AIM551"/>
      <c r="AIN551"/>
      <c r="AIO551"/>
      <c r="AIP551"/>
      <c r="AIQ551"/>
      <c r="AIR551"/>
      <c r="AIS551"/>
      <c r="AIT551"/>
      <c r="AIU551"/>
      <c r="AIV551"/>
      <c r="AIW551"/>
      <c r="AIX551"/>
      <c r="AIY551"/>
      <c r="AIZ551"/>
      <c r="AJA551"/>
      <c r="AJB551"/>
      <c r="AJC551"/>
      <c r="AJD551"/>
      <c r="AJE551"/>
      <c r="AJF551"/>
      <c r="AJG551"/>
      <c r="AJH551"/>
      <c r="AJI551"/>
      <c r="AJJ551"/>
      <c r="AJK551"/>
      <c r="AJL551"/>
      <c r="AJM551"/>
      <c r="AJN551"/>
      <c r="AJO551"/>
      <c r="AJP551"/>
      <c r="AJQ551"/>
      <c r="AJR551"/>
      <c r="AJS551"/>
      <c r="AJT551"/>
      <c r="AJU551"/>
      <c r="AJV551"/>
      <c r="AJW551"/>
      <c r="AJX551"/>
      <c r="AJY551"/>
      <c r="AJZ551"/>
      <c r="AKA551"/>
      <c r="AKB551"/>
      <c r="AKC551"/>
      <c r="AKD551"/>
      <c r="AKE551"/>
      <c r="AKF551"/>
      <c r="AKG551"/>
      <c r="AKH551"/>
      <c r="AKI551"/>
      <c r="AKJ551"/>
      <c r="AKK551"/>
      <c r="AKL551"/>
      <c r="AKM551"/>
      <c r="AKN551"/>
      <c r="AKO551"/>
      <c r="AKP551"/>
      <c r="AKQ551"/>
      <c r="AKR551"/>
      <c r="AKS551"/>
      <c r="AKT551"/>
      <c r="AKU551"/>
      <c r="AKV551"/>
      <c r="AKW551"/>
      <c r="AKX551"/>
      <c r="AKY551"/>
      <c r="AKZ551"/>
      <c r="ALA551"/>
      <c r="ALB551"/>
      <c r="ALC551"/>
      <c r="ALD551"/>
      <c r="ALE551"/>
      <c r="ALF551"/>
      <c r="ALG551"/>
      <c r="ALH551"/>
      <c r="ALI551"/>
      <c r="ALJ551"/>
      <c r="ALK551"/>
      <c r="ALL551"/>
      <c r="ALM551"/>
      <c r="ALN551"/>
      <c r="ALO551"/>
      <c r="ALP551"/>
      <c r="ALQ551"/>
      <c r="ALR551"/>
      <c r="ALS551"/>
      <c r="ALT551"/>
      <c r="ALU551"/>
      <c r="ALV551"/>
      <c r="ALW551"/>
      <c r="ALX551"/>
      <c r="ALY551"/>
      <c r="ALZ551"/>
      <c r="AMA551"/>
      <c r="AMB551"/>
      <c r="AMC551"/>
      <c r="AMD551"/>
      <c r="AME551"/>
      <c r="AMF551"/>
      <c r="AMG551"/>
      <c r="AMH551"/>
      <c r="AMI551"/>
      <c r="AMJ551"/>
      <c r="AMK551"/>
      <c r="AML551"/>
      <c r="AMM551"/>
      <c r="AMN551"/>
      <c r="AMO551"/>
      <c r="AMP551"/>
      <c r="AMQ551"/>
      <c r="AMR551"/>
      <c r="AMS551"/>
      <c r="AMT551"/>
      <c r="AMU551"/>
      <c r="AMV551"/>
      <c r="AMW551"/>
      <c r="AMX551"/>
      <c r="AMY551"/>
      <c r="AMZ551"/>
      <c r="ANA551"/>
      <c r="ANB551"/>
      <c r="ANC551"/>
      <c r="AND551"/>
      <c r="ANE551"/>
      <c r="ANF551"/>
      <c r="ANG551"/>
      <c r="ANH551"/>
      <c r="ANI551"/>
      <c r="ANJ551"/>
      <c r="ANK551"/>
      <c r="ANL551"/>
      <c r="ANM551"/>
      <c r="ANN551"/>
      <c r="ANO551"/>
      <c r="ANP551"/>
      <c r="ANQ551"/>
      <c r="ANR551"/>
      <c r="ANS551"/>
      <c r="ANT551"/>
      <c r="ANU551"/>
      <c r="ANV551"/>
      <c r="ANW551"/>
      <c r="ANX551"/>
      <c r="ANY551"/>
      <c r="ANZ551"/>
      <c r="AOA551"/>
      <c r="AOB551"/>
      <c r="AOC551"/>
      <c r="AOD551"/>
      <c r="AOE551"/>
      <c r="AOF551"/>
      <c r="AOG551"/>
      <c r="AOH551"/>
      <c r="AOI551"/>
      <c r="AOJ551"/>
      <c r="AOK551"/>
      <c r="AOL551"/>
      <c r="AOM551"/>
      <c r="AON551"/>
      <c r="AOO551"/>
      <c r="AOP551"/>
      <c r="AOQ551"/>
      <c r="AOR551"/>
      <c r="AOS551"/>
      <c r="AOT551"/>
      <c r="AOU551"/>
      <c r="AOV551"/>
      <c r="AOW551"/>
      <c r="AOX551"/>
      <c r="AOY551"/>
      <c r="AOZ551"/>
      <c r="APA551"/>
      <c r="APB551"/>
      <c r="APC551"/>
      <c r="APD551"/>
      <c r="APE551"/>
      <c r="APF551"/>
      <c r="APG551"/>
      <c r="APH551"/>
      <c r="API551"/>
      <c r="APJ551"/>
      <c r="APK551"/>
      <c r="APL551"/>
      <c r="APM551"/>
      <c r="APN551"/>
      <c r="APO551"/>
      <c r="APP551"/>
      <c r="APQ551"/>
      <c r="APR551"/>
      <c r="APS551"/>
      <c r="APT551"/>
      <c r="APU551"/>
      <c r="APV551"/>
      <c r="APW551"/>
      <c r="APX551"/>
      <c r="APY551"/>
      <c r="APZ551"/>
      <c r="AQA551"/>
      <c r="AQB551"/>
      <c r="AQC551"/>
      <c r="AQD551"/>
      <c r="AQE551"/>
      <c r="AQF551"/>
      <c r="AQG551"/>
      <c r="AQH551"/>
      <c r="AQI551"/>
      <c r="AQJ551"/>
      <c r="AQK551"/>
      <c r="AQL551"/>
      <c r="AQM551"/>
      <c r="AQN551"/>
      <c r="AQO551"/>
      <c r="AQP551"/>
      <c r="AQQ551"/>
      <c r="AQR551"/>
      <c r="AQS551"/>
      <c r="AQT551"/>
      <c r="AQU551"/>
      <c r="AQV551"/>
      <c r="AQW551"/>
      <c r="AQX551"/>
      <c r="AQY551"/>
      <c r="AQZ551"/>
      <c r="ARA551"/>
      <c r="ARB551"/>
      <c r="ARC551"/>
      <c r="ARD551"/>
      <c r="ARE551"/>
      <c r="ARF551"/>
      <c r="ARG551"/>
      <c r="ARH551"/>
      <c r="ARI551"/>
      <c r="ARJ551"/>
      <c r="ARK551"/>
      <c r="ARL551"/>
      <c r="ARM551"/>
      <c r="ARN551"/>
      <c r="ARO551"/>
      <c r="ARP551"/>
      <c r="ARQ551"/>
      <c r="ARR551"/>
      <c r="ARS551"/>
      <c r="ART551"/>
      <c r="ARU551"/>
      <c r="ARV551"/>
      <c r="ARW551"/>
      <c r="ARX551"/>
      <c r="ARY551"/>
      <c r="ARZ551"/>
      <c r="ASA551"/>
      <c r="ASB551"/>
      <c r="ASC551"/>
      <c r="ASD551"/>
      <c r="ASE551"/>
      <c r="ASF551"/>
      <c r="ASG551"/>
      <c r="ASH551"/>
      <c r="ASI551"/>
      <c r="ASJ551"/>
      <c r="ASK551"/>
      <c r="ASL551"/>
      <c r="ASM551"/>
      <c r="ASN551"/>
      <c r="ASO551"/>
      <c r="ASP551"/>
      <c r="ASQ551"/>
      <c r="ASR551"/>
      <c r="ASS551"/>
      <c r="AST551"/>
      <c r="ASU551"/>
      <c r="ASV551"/>
      <c r="ASW551"/>
      <c r="ASX551"/>
      <c r="ASY551"/>
      <c r="ASZ551"/>
      <c r="ATA551"/>
      <c r="ATB551"/>
      <c r="ATC551"/>
      <c r="ATD551"/>
      <c r="ATE551"/>
      <c r="ATF551"/>
      <c r="ATG551"/>
      <c r="ATH551"/>
      <c r="ATI551"/>
      <c r="ATJ551"/>
      <c r="ATK551"/>
      <c r="ATL551"/>
      <c r="ATM551"/>
      <c r="ATN551"/>
      <c r="ATO551"/>
      <c r="ATP551"/>
      <c r="ATQ551"/>
      <c r="ATR551"/>
      <c r="ATS551"/>
      <c r="ATT551"/>
      <c r="ATU551"/>
      <c r="ATV551"/>
      <c r="ATW551"/>
      <c r="ATX551"/>
      <c r="ATY551"/>
      <c r="ATZ551"/>
      <c r="AUA551"/>
      <c r="AUB551"/>
      <c r="AUC551"/>
      <c r="AUD551"/>
      <c r="AUE551"/>
      <c r="AUF551"/>
      <c r="AUG551"/>
      <c r="AUH551"/>
      <c r="AUI551"/>
      <c r="AUJ551"/>
      <c r="AUK551"/>
      <c r="AUL551"/>
      <c r="AUM551"/>
      <c r="AUN551"/>
      <c r="AUO551"/>
      <c r="AUP551"/>
      <c r="AUQ551"/>
      <c r="AUR551"/>
      <c r="AUS551"/>
      <c r="AUT551"/>
      <c r="AUU551"/>
      <c r="AUV551"/>
      <c r="AUW551"/>
      <c r="AUX551"/>
      <c r="AUY551"/>
      <c r="AUZ551"/>
      <c r="AVA551"/>
      <c r="AVB551"/>
      <c r="AVC551"/>
      <c r="AVD551"/>
      <c r="AVE551"/>
      <c r="AVF551"/>
      <c r="AVG551"/>
      <c r="AVH551"/>
      <c r="AVI551"/>
      <c r="AVJ551"/>
      <c r="AVK551"/>
      <c r="AVL551"/>
      <c r="AVM551"/>
      <c r="AVN551"/>
      <c r="AVO551"/>
      <c r="AVP551"/>
      <c r="AVQ551"/>
      <c r="AVR551"/>
      <c r="AVS551"/>
      <c r="AVT551"/>
      <c r="AVU551"/>
      <c r="AVV551"/>
      <c r="AVW551"/>
      <c r="AVX551"/>
      <c r="AVY551"/>
      <c r="AVZ551"/>
      <c r="AWA551"/>
      <c r="AWB551"/>
      <c r="AWC551"/>
      <c r="AWD551"/>
      <c r="AWE551"/>
      <c r="AWF551"/>
      <c r="AWG551"/>
      <c r="AWH551"/>
      <c r="AWI551"/>
      <c r="AWJ551"/>
      <c r="AWK551"/>
      <c r="AWL551"/>
      <c r="AWM551"/>
      <c r="AWN551"/>
      <c r="AWO551"/>
      <c r="AWP551"/>
      <c r="AWQ551"/>
      <c r="AWR551"/>
      <c r="AWS551"/>
      <c r="AWT551"/>
      <c r="AWU551"/>
      <c r="AWV551"/>
      <c r="AWW551"/>
      <c r="AWX551"/>
      <c r="AWY551"/>
      <c r="AWZ551"/>
      <c r="AXA551"/>
      <c r="AXB551"/>
      <c r="AXC551"/>
      <c r="AXD551"/>
      <c r="AXE551"/>
      <c r="AXF551"/>
      <c r="AXG551"/>
      <c r="AXH551"/>
      <c r="AXI551"/>
      <c r="AXJ551"/>
      <c r="AXK551"/>
      <c r="AXL551"/>
      <c r="AXM551"/>
      <c r="AXN551"/>
      <c r="AXO551"/>
      <c r="AXP551"/>
      <c r="AXQ551"/>
      <c r="AXR551"/>
      <c r="AXS551"/>
      <c r="AXT551"/>
      <c r="AXU551"/>
      <c r="AXV551"/>
      <c r="AXW551"/>
      <c r="AXX551"/>
      <c r="AXY551"/>
      <c r="AXZ551"/>
      <c r="AYA551"/>
      <c r="AYB551"/>
      <c r="AYC551"/>
      <c r="AYD551"/>
      <c r="AYE551"/>
      <c r="AYF551"/>
      <c r="AYG551"/>
      <c r="AYH551"/>
      <c r="AYI551"/>
      <c r="AYJ551"/>
      <c r="AYK551"/>
      <c r="AYL551"/>
      <c r="AYM551"/>
      <c r="AYN551"/>
      <c r="AYO551"/>
      <c r="AYP551"/>
      <c r="AYQ551"/>
      <c r="AYR551"/>
      <c r="AYS551"/>
      <c r="AYT551"/>
      <c r="AYU551"/>
      <c r="AYV551"/>
      <c r="AYW551"/>
      <c r="AYX551"/>
      <c r="AYY551"/>
      <c r="AYZ551"/>
      <c r="AZA551"/>
      <c r="AZB551"/>
      <c r="AZC551"/>
      <c r="AZD551"/>
      <c r="AZE551"/>
      <c r="AZF551"/>
      <c r="AZG551"/>
      <c r="AZH551"/>
      <c r="AZI551"/>
      <c r="AZJ551"/>
      <c r="AZK551"/>
      <c r="AZL551"/>
      <c r="AZM551"/>
      <c r="AZN551"/>
      <c r="AZO551"/>
      <c r="AZP551"/>
      <c r="AZQ551"/>
      <c r="AZR551"/>
      <c r="AZS551"/>
      <c r="AZT551"/>
      <c r="AZU551"/>
      <c r="AZV551"/>
      <c r="AZW551"/>
      <c r="AZX551"/>
      <c r="AZY551"/>
      <c r="AZZ551"/>
      <c r="BAA551"/>
      <c r="BAB551"/>
      <c r="BAC551"/>
      <c r="BAD551"/>
      <c r="BAE551"/>
      <c r="BAF551"/>
      <c r="BAG551"/>
      <c r="BAH551"/>
      <c r="BAI551"/>
      <c r="BAJ551"/>
      <c r="BAK551"/>
      <c r="BAL551"/>
      <c r="BAM551"/>
      <c r="BAN551"/>
      <c r="BAO551"/>
      <c r="BAP551"/>
      <c r="BAQ551"/>
      <c r="BAR551"/>
      <c r="BAS551"/>
      <c r="BAT551"/>
      <c r="BAU551"/>
      <c r="BAV551"/>
      <c r="BAW551"/>
      <c r="BAX551"/>
      <c r="BAY551"/>
      <c r="BAZ551"/>
      <c r="BBA551"/>
      <c r="BBB551"/>
      <c r="BBC551"/>
      <c r="BBD551"/>
      <c r="BBE551"/>
      <c r="BBF551"/>
      <c r="BBG551"/>
      <c r="BBH551"/>
      <c r="BBI551"/>
      <c r="BBJ551"/>
      <c r="BBK551"/>
      <c r="BBL551"/>
      <c r="BBM551"/>
      <c r="BBN551"/>
      <c r="BBO551"/>
      <c r="BBP551"/>
      <c r="BBQ551"/>
      <c r="BBR551"/>
      <c r="BBS551"/>
      <c r="BBT551"/>
      <c r="BBU551"/>
      <c r="BBV551"/>
      <c r="BBW551"/>
      <c r="BBX551"/>
      <c r="BBY551"/>
      <c r="BBZ551"/>
      <c r="BCA551"/>
      <c r="BCB551"/>
      <c r="BCC551"/>
      <c r="BCD551"/>
      <c r="BCE551"/>
      <c r="BCF551"/>
      <c r="BCG551"/>
      <c r="BCH551"/>
      <c r="BCI551"/>
      <c r="BCJ551"/>
      <c r="BCK551"/>
      <c r="BCL551"/>
      <c r="BCM551"/>
      <c r="BCN551"/>
      <c r="BCO551"/>
      <c r="BCP551"/>
      <c r="BCQ551"/>
      <c r="BCR551"/>
      <c r="BCS551"/>
      <c r="BCT551"/>
      <c r="BCU551"/>
      <c r="BCV551"/>
      <c r="BCW551"/>
      <c r="BCX551"/>
      <c r="BCY551"/>
      <c r="BCZ551"/>
      <c r="BDA551"/>
      <c r="BDB551"/>
      <c r="BDC551"/>
      <c r="BDD551"/>
      <c r="BDE551"/>
      <c r="BDF551"/>
      <c r="BDG551"/>
      <c r="BDH551"/>
      <c r="BDI551"/>
      <c r="BDJ551"/>
      <c r="BDK551"/>
      <c r="BDL551"/>
      <c r="BDM551"/>
      <c r="BDN551"/>
      <c r="BDO551"/>
      <c r="BDP551"/>
      <c r="BDQ551"/>
      <c r="BDR551"/>
      <c r="BDS551"/>
      <c r="BDT551"/>
      <c r="BDU551"/>
      <c r="BDV551"/>
      <c r="BDW551"/>
      <c r="BDX551"/>
      <c r="BDY551"/>
      <c r="BDZ551"/>
      <c r="BEA551"/>
      <c r="BEB551"/>
      <c r="BEC551"/>
      <c r="BED551"/>
      <c r="BEE551"/>
      <c r="BEF551"/>
      <c r="BEG551"/>
      <c r="BEH551"/>
      <c r="BEI551"/>
      <c r="BEJ551"/>
      <c r="BEK551"/>
      <c r="BEL551"/>
      <c r="BEM551"/>
      <c r="BEN551"/>
      <c r="BEO551"/>
      <c r="BEP551"/>
      <c r="BEQ551"/>
      <c r="BER551"/>
      <c r="BES551"/>
      <c r="BET551"/>
      <c r="BEU551"/>
      <c r="BEV551"/>
      <c r="BEW551"/>
      <c r="BEX551"/>
      <c r="BEY551"/>
      <c r="BEZ551"/>
      <c r="BFA551"/>
      <c r="BFB551"/>
      <c r="BFC551"/>
      <c r="BFD551"/>
      <c r="BFE551"/>
      <c r="BFF551"/>
      <c r="BFG551"/>
      <c r="BFH551"/>
      <c r="BFI551"/>
      <c r="BFJ551"/>
      <c r="BFK551"/>
      <c r="BFL551"/>
      <c r="BFM551"/>
      <c r="BFN551"/>
      <c r="BFO551"/>
      <c r="BFP551"/>
      <c r="BFQ551"/>
      <c r="BFR551"/>
      <c r="BFS551"/>
      <c r="BFT551"/>
      <c r="BFU551"/>
      <c r="BFV551"/>
      <c r="BFW551"/>
      <c r="BFX551"/>
      <c r="BFY551"/>
      <c r="BFZ551"/>
      <c r="BGA551"/>
      <c r="BGB551"/>
      <c r="BGC551"/>
      <c r="BGD551"/>
      <c r="BGE551"/>
      <c r="BGF551"/>
      <c r="BGG551"/>
      <c r="BGH551"/>
      <c r="BGI551"/>
      <c r="BGJ551"/>
      <c r="BGK551"/>
      <c r="BGL551"/>
      <c r="BGM551"/>
      <c r="BGN551"/>
      <c r="BGO551"/>
      <c r="BGP551"/>
      <c r="BGQ551"/>
      <c r="BGR551"/>
      <c r="BGS551"/>
      <c r="BGT551"/>
      <c r="BGU551"/>
      <c r="BGV551"/>
      <c r="BGW551"/>
      <c r="BGX551"/>
      <c r="BGY551"/>
      <c r="BGZ551"/>
      <c r="BHA551"/>
      <c r="BHB551"/>
      <c r="BHC551"/>
      <c r="BHD551"/>
      <c r="BHE551"/>
      <c r="BHF551"/>
      <c r="BHG551"/>
      <c r="BHH551"/>
      <c r="BHI551"/>
      <c r="BHJ551"/>
      <c r="BHK551"/>
      <c r="BHL551"/>
      <c r="BHM551"/>
      <c r="BHN551"/>
      <c r="BHO551"/>
      <c r="BHP551"/>
      <c r="BHQ551"/>
      <c r="BHR551"/>
      <c r="BHS551"/>
      <c r="BHT551"/>
      <c r="BHU551"/>
      <c r="BHV551"/>
      <c r="BHW551"/>
      <c r="BHX551"/>
      <c r="BHY551"/>
      <c r="BHZ551"/>
      <c r="BIA551"/>
      <c r="BIB551"/>
      <c r="BIC551"/>
      <c r="BID551"/>
      <c r="BIE551"/>
      <c r="BIF551"/>
      <c r="BIG551"/>
      <c r="BIH551"/>
      <c r="BII551"/>
      <c r="BIJ551"/>
      <c r="BIK551"/>
      <c r="BIL551"/>
      <c r="BIM551"/>
      <c r="BIN551"/>
      <c r="BIO551"/>
      <c r="BIP551"/>
      <c r="BIQ551"/>
      <c r="BIR551"/>
      <c r="BIS551"/>
      <c r="BIT551"/>
      <c r="BIU551"/>
      <c r="BIV551"/>
      <c r="BIW551"/>
      <c r="BIX551"/>
      <c r="BIY551"/>
      <c r="BIZ551"/>
      <c r="BJA551"/>
      <c r="BJB551"/>
      <c r="BJC551"/>
      <c r="BJD551"/>
      <c r="BJE551"/>
      <c r="BJF551"/>
      <c r="BJG551"/>
      <c r="BJH551"/>
      <c r="BJI551"/>
      <c r="BJJ551"/>
      <c r="BJK551"/>
      <c r="BJL551"/>
      <c r="BJM551"/>
      <c r="BJN551"/>
      <c r="BJO551"/>
      <c r="BJP551"/>
      <c r="BJQ551"/>
      <c r="BJR551"/>
      <c r="BJS551"/>
      <c r="BJT551"/>
      <c r="BJU551"/>
      <c r="BJV551"/>
      <c r="BJW551"/>
      <c r="BJX551"/>
      <c r="BJY551"/>
      <c r="BJZ551"/>
      <c r="BKA551"/>
      <c r="BKB551"/>
      <c r="BKC551"/>
      <c r="BKD551"/>
      <c r="BKE551"/>
      <c r="BKF551"/>
      <c r="BKG551"/>
      <c r="BKH551"/>
      <c r="BKI551"/>
      <c r="BKJ551"/>
      <c r="BKK551"/>
      <c r="BKL551"/>
      <c r="BKM551"/>
      <c r="BKN551"/>
      <c r="BKO551"/>
      <c r="BKP551"/>
      <c r="BKQ551"/>
      <c r="BKR551"/>
      <c r="BKS551"/>
      <c r="BKT551"/>
      <c r="BKU551"/>
      <c r="BKV551"/>
      <c r="BKW551"/>
      <c r="BKX551"/>
      <c r="BKY551"/>
      <c r="BKZ551"/>
      <c r="BLA551"/>
      <c r="BLB551"/>
      <c r="BLC551"/>
      <c r="BLD551"/>
      <c r="BLE551"/>
      <c r="BLF551"/>
      <c r="BLG551"/>
      <c r="BLH551"/>
      <c r="BLI551"/>
      <c r="BLJ551"/>
      <c r="BLK551"/>
      <c r="BLL551"/>
      <c r="BLM551"/>
      <c r="BLN551"/>
      <c r="BLO551"/>
      <c r="BLP551"/>
      <c r="BLQ551"/>
      <c r="BLR551"/>
      <c r="BLS551"/>
      <c r="BLT551"/>
      <c r="BLU551"/>
      <c r="BLV551"/>
      <c r="BLW551"/>
      <c r="BLX551"/>
      <c r="BLY551"/>
      <c r="BLZ551"/>
      <c r="BMA551"/>
      <c r="BMB551"/>
      <c r="BMC551"/>
      <c r="BMD551"/>
      <c r="BME551"/>
      <c r="BMF551"/>
      <c r="BMG551"/>
      <c r="BMH551"/>
      <c r="BMI551"/>
      <c r="BMJ551"/>
      <c r="BMK551"/>
      <c r="BML551"/>
      <c r="BMM551"/>
      <c r="BMN551"/>
      <c r="BMO551"/>
      <c r="BMP551"/>
      <c r="BMQ551"/>
      <c r="BMR551"/>
      <c r="BMS551"/>
      <c r="BMT551"/>
      <c r="BMU551"/>
      <c r="BMV551"/>
      <c r="BMW551"/>
      <c r="BMX551"/>
      <c r="BMY551"/>
      <c r="BMZ551"/>
      <c r="BNA551"/>
      <c r="BNB551"/>
      <c r="BNC551"/>
      <c r="BND551"/>
      <c r="BNE551"/>
      <c r="BNF551"/>
      <c r="BNG551"/>
      <c r="BNH551"/>
      <c r="BNI551"/>
      <c r="BNJ551"/>
      <c r="BNK551"/>
      <c r="BNL551"/>
      <c r="BNM551"/>
      <c r="BNN551"/>
      <c r="BNO551"/>
      <c r="BNP551"/>
      <c r="BNQ551"/>
      <c r="BNR551"/>
      <c r="BNS551"/>
      <c r="BNT551"/>
      <c r="BNU551"/>
      <c r="BNV551"/>
      <c r="BNW551"/>
      <c r="BNX551"/>
      <c r="BNY551"/>
      <c r="BNZ551"/>
      <c r="BOA551"/>
      <c r="BOB551"/>
      <c r="BOC551"/>
      <c r="BOD551"/>
      <c r="BOE551"/>
      <c r="BOF551"/>
      <c r="BOG551"/>
      <c r="BOH551"/>
      <c r="BOI551"/>
      <c r="BOJ551"/>
      <c r="BOK551"/>
      <c r="BOL551"/>
      <c r="BOM551"/>
      <c r="BON551"/>
      <c r="BOO551"/>
      <c r="BOP551"/>
      <c r="BOQ551"/>
      <c r="BOR551"/>
      <c r="BOS551"/>
      <c r="BOT551"/>
      <c r="BOU551"/>
      <c r="BOV551"/>
      <c r="BOW551"/>
      <c r="BOX551"/>
      <c r="BOY551"/>
      <c r="BOZ551"/>
      <c r="BPA551"/>
      <c r="BPB551"/>
      <c r="BPC551"/>
      <c r="BPD551"/>
      <c r="BPE551"/>
      <c r="BPF551"/>
      <c r="BPG551"/>
      <c r="BPH551"/>
      <c r="BPI551"/>
      <c r="BPJ551"/>
      <c r="BPK551"/>
      <c r="BPL551"/>
      <c r="BPM551"/>
      <c r="BPN551"/>
      <c r="BPO551"/>
      <c r="BPP551"/>
      <c r="BPQ551"/>
      <c r="BPR551"/>
      <c r="BPS551"/>
      <c r="BPT551"/>
      <c r="BPU551"/>
      <c r="BPV551"/>
      <c r="BPW551"/>
      <c r="BPX551"/>
      <c r="BPY551"/>
      <c r="BPZ551"/>
      <c r="BQA551"/>
      <c r="BQB551"/>
      <c r="BQC551"/>
      <c r="BQD551"/>
      <c r="BQE551"/>
      <c r="BQF551"/>
      <c r="BQG551"/>
      <c r="BQH551"/>
      <c r="BQI551"/>
      <c r="BQJ551"/>
      <c r="BQK551"/>
      <c r="BQL551"/>
      <c r="BQM551"/>
      <c r="BQN551"/>
      <c r="BQO551"/>
      <c r="BQP551"/>
      <c r="BQQ551"/>
      <c r="BQR551"/>
      <c r="BQS551"/>
      <c r="BQT551"/>
      <c r="BQU551"/>
      <c r="BQV551"/>
      <c r="BQW551"/>
      <c r="BQX551"/>
      <c r="BQY551"/>
      <c r="BQZ551"/>
      <c r="BRA551"/>
      <c r="BRB551"/>
      <c r="BRC551"/>
      <c r="BRD551"/>
      <c r="BRE551"/>
      <c r="BRF551"/>
      <c r="BRG551"/>
      <c r="BRH551"/>
      <c r="BRI551"/>
      <c r="BRJ551"/>
      <c r="BRK551"/>
      <c r="BRL551"/>
      <c r="BRM551"/>
      <c r="BRN551"/>
      <c r="BRO551"/>
      <c r="BRP551"/>
      <c r="BRQ551"/>
      <c r="BRR551"/>
      <c r="BRS551"/>
      <c r="BRT551"/>
      <c r="BRU551"/>
      <c r="BRV551"/>
      <c r="BRW551"/>
      <c r="BRX551"/>
      <c r="BRY551"/>
      <c r="BRZ551"/>
      <c r="BSA551"/>
      <c r="BSB551"/>
      <c r="BSC551"/>
      <c r="BSD551"/>
      <c r="BSE551"/>
      <c r="BSF551"/>
      <c r="BSG551"/>
      <c r="BSH551"/>
      <c r="BSI551"/>
      <c r="BSJ551"/>
      <c r="BSK551"/>
      <c r="BSL551"/>
      <c r="BSM551"/>
      <c r="BSN551"/>
      <c r="BSO551"/>
      <c r="BSP551"/>
      <c r="BSQ551"/>
      <c r="BSR551"/>
      <c r="BSS551"/>
      <c r="BST551"/>
      <c r="BSU551"/>
      <c r="BSV551"/>
      <c r="BSW551"/>
      <c r="BSX551"/>
      <c r="BSY551"/>
      <c r="BSZ551"/>
      <c r="BTA551"/>
      <c r="BTB551"/>
      <c r="BTC551"/>
      <c r="BTD551"/>
      <c r="BTE551"/>
      <c r="BTF551"/>
      <c r="BTG551"/>
      <c r="BTH551"/>
      <c r="BTI551"/>
      <c r="BTJ551"/>
      <c r="BTK551"/>
      <c r="BTL551"/>
      <c r="BTM551"/>
      <c r="BTN551"/>
      <c r="BTO551"/>
      <c r="BTP551"/>
      <c r="BTQ551"/>
      <c r="BTR551"/>
      <c r="BTS551"/>
      <c r="BTT551"/>
      <c r="BTU551"/>
      <c r="BTV551"/>
      <c r="BTW551"/>
      <c r="BTX551"/>
      <c r="BTY551"/>
      <c r="BTZ551"/>
      <c r="BUA551"/>
      <c r="BUB551"/>
      <c r="BUC551"/>
      <c r="BUD551"/>
      <c r="BUE551"/>
      <c r="BUF551"/>
      <c r="BUG551"/>
      <c r="BUH551"/>
      <c r="BUI551"/>
      <c r="BUJ551"/>
      <c r="BUK551"/>
      <c r="BUL551"/>
      <c r="BUM551"/>
      <c r="BUN551"/>
      <c r="BUO551"/>
      <c r="BUP551"/>
      <c r="BUQ551"/>
      <c r="BUR551"/>
      <c r="BUS551"/>
      <c r="BUT551"/>
      <c r="BUU551"/>
      <c r="BUV551"/>
      <c r="BUW551"/>
      <c r="BUX551"/>
      <c r="BUY551"/>
      <c r="BUZ551"/>
      <c r="BVA551"/>
      <c r="BVB551"/>
      <c r="BVC551"/>
      <c r="BVD551"/>
      <c r="BVE551"/>
      <c r="BVF551"/>
      <c r="BVG551"/>
      <c r="BVH551"/>
      <c r="BVI551"/>
      <c r="BVJ551"/>
      <c r="BVK551"/>
      <c r="BVL551"/>
      <c r="BVM551"/>
      <c r="BVN551"/>
      <c r="BVO551"/>
      <c r="BVP551"/>
      <c r="BVQ551"/>
      <c r="BVR551"/>
      <c r="BVS551"/>
      <c r="BVT551"/>
      <c r="BVU551"/>
      <c r="BVV551"/>
      <c r="BVW551"/>
      <c r="BVX551"/>
      <c r="BVY551"/>
      <c r="BVZ551"/>
      <c r="BWA551"/>
      <c r="BWB551"/>
      <c r="BWC551"/>
      <c r="BWD551"/>
      <c r="BWE551"/>
      <c r="BWF551"/>
      <c r="BWG551"/>
      <c r="BWH551"/>
      <c r="BWI551"/>
      <c r="BWJ551"/>
      <c r="BWK551"/>
      <c r="BWL551"/>
      <c r="BWM551"/>
      <c r="BWN551"/>
      <c r="BWO551"/>
      <c r="BWP551"/>
      <c r="BWQ551"/>
      <c r="BWR551"/>
      <c r="BWS551"/>
      <c r="BWT551"/>
      <c r="BWU551"/>
      <c r="BWV551"/>
      <c r="BWW551"/>
      <c r="BWX551"/>
      <c r="BWY551"/>
      <c r="BWZ551"/>
      <c r="BXA551"/>
      <c r="BXB551"/>
      <c r="BXC551"/>
      <c r="BXD551"/>
      <c r="BXE551"/>
      <c r="BXF551"/>
      <c r="BXG551"/>
      <c r="BXH551"/>
      <c r="BXI551"/>
      <c r="BXJ551"/>
      <c r="BXK551"/>
      <c r="BXL551"/>
      <c r="BXM551"/>
      <c r="BXN551"/>
      <c r="BXO551"/>
      <c r="BXP551"/>
      <c r="BXQ551"/>
      <c r="BXR551"/>
      <c r="BXS551"/>
      <c r="BXT551"/>
      <c r="BXU551"/>
      <c r="BXV551"/>
      <c r="BXW551"/>
      <c r="BXX551"/>
      <c r="BXY551"/>
      <c r="BXZ551"/>
      <c r="BYA551"/>
      <c r="BYB551"/>
      <c r="BYC551"/>
      <c r="BYD551"/>
      <c r="BYE551"/>
      <c r="BYF551"/>
      <c r="BYG551"/>
      <c r="BYH551"/>
      <c r="BYI551"/>
      <c r="BYJ551"/>
      <c r="BYK551"/>
      <c r="BYL551"/>
      <c r="BYM551"/>
      <c r="BYN551"/>
      <c r="BYO551"/>
      <c r="BYP551"/>
      <c r="BYQ551"/>
      <c r="BYR551"/>
      <c r="BYS551"/>
      <c r="BYT551"/>
      <c r="BYU551"/>
      <c r="BYV551"/>
      <c r="BYW551"/>
      <c r="BYX551"/>
      <c r="BYY551"/>
      <c r="BYZ551"/>
      <c r="BZA551"/>
      <c r="BZB551"/>
      <c r="BZC551"/>
      <c r="BZD551"/>
      <c r="BZE551"/>
      <c r="BZF551"/>
      <c r="BZG551"/>
      <c r="BZH551"/>
      <c r="BZI551"/>
      <c r="BZJ551"/>
      <c r="BZK551"/>
      <c r="BZL551"/>
      <c r="BZM551"/>
      <c r="BZN551"/>
      <c r="BZO551"/>
      <c r="BZP551"/>
      <c r="BZQ551"/>
      <c r="BZR551"/>
      <c r="BZS551"/>
      <c r="BZT551"/>
      <c r="BZU551"/>
      <c r="BZV551"/>
      <c r="BZW551"/>
      <c r="BZX551"/>
      <c r="BZY551"/>
      <c r="BZZ551"/>
      <c r="CAA551"/>
      <c r="CAB551"/>
      <c r="CAC551"/>
      <c r="CAD551"/>
      <c r="CAE551"/>
      <c r="CAF551"/>
      <c r="CAG551"/>
      <c r="CAH551"/>
      <c r="CAI551"/>
      <c r="CAJ551"/>
      <c r="CAK551"/>
      <c r="CAL551"/>
      <c r="CAM551"/>
      <c r="CAN551"/>
      <c r="CAO551"/>
      <c r="CAP551"/>
      <c r="CAQ551"/>
      <c r="CAR551"/>
      <c r="CAS551"/>
      <c r="CAT551"/>
      <c r="CAU551"/>
      <c r="CAV551"/>
      <c r="CAW551"/>
      <c r="CAX551"/>
      <c r="CAY551"/>
      <c r="CAZ551"/>
      <c r="CBA551"/>
      <c r="CBB551"/>
      <c r="CBC551"/>
      <c r="CBD551"/>
      <c r="CBE551"/>
      <c r="CBF551"/>
      <c r="CBG551"/>
      <c r="CBH551"/>
      <c r="CBI551"/>
      <c r="CBJ551"/>
      <c r="CBK551"/>
      <c r="CBL551"/>
      <c r="CBM551"/>
      <c r="CBN551"/>
      <c r="CBO551"/>
      <c r="CBP551"/>
      <c r="CBQ551"/>
      <c r="CBR551"/>
      <c r="CBS551"/>
      <c r="CBT551"/>
      <c r="CBU551"/>
      <c r="CBV551"/>
      <c r="CBW551"/>
      <c r="CBX551"/>
      <c r="CBY551"/>
      <c r="CBZ551"/>
      <c r="CCA551"/>
      <c r="CCB551"/>
      <c r="CCC551"/>
      <c r="CCD551"/>
      <c r="CCE551"/>
      <c r="CCF551"/>
      <c r="CCG551"/>
      <c r="CCH551"/>
      <c r="CCI551"/>
      <c r="CCJ551"/>
      <c r="CCK551"/>
      <c r="CCL551"/>
      <c r="CCM551"/>
      <c r="CCN551"/>
      <c r="CCO551"/>
      <c r="CCP551"/>
      <c r="CCQ551"/>
      <c r="CCR551"/>
      <c r="CCS551"/>
      <c r="CCT551"/>
      <c r="CCU551"/>
      <c r="CCV551"/>
      <c r="CCW551"/>
      <c r="CCX551"/>
      <c r="CCY551"/>
      <c r="CCZ551"/>
      <c r="CDA551"/>
      <c r="CDB551"/>
      <c r="CDC551"/>
      <c r="CDD551"/>
      <c r="CDE551"/>
      <c r="CDF551"/>
      <c r="CDG551"/>
      <c r="CDH551"/>
      <c r="CDI551"/>
      <c r="CDJ551"/>
      <c r="CDK551"/>
      <c r="CDL551"/>
      <c r="CDM551"/>
      <c r="CDN551"/>
      <c r="CDO551"/>
      <c r="CDP551"/>
      <c r="CDQ551"/>
      <c r="CDR551"/>
      <c r="CDS551"/>
      <c r="CDT551"/>
      <c r="CDU551"/>
      <c r="CDV551"/>
      <c r="CDW551"/>
      <c r="CDX551"/>
      <c r="CDY551"/>
      <c r="CDZ551"/>
      <c r="CEA551"/>
      <c r="CEB551"/>
      <c r="CEC551"/>
      <c r="CED551"/>
      <c r="CEE551"/>
      <c r="CEF551"/>
      <c r="CEG551"/>
      <c r="CEH551"/>
      <c r="CEI551"/>
      <c r="CEJ551"/>
      <c r="CEK551"/>
      <c r="CEL551"/>
      <c r="CEM551"/>
      <c r="CEN551"/>
      <c r="CEO551"/>
      <c r="CEP551"/>
      <c r="CEQ551"/>
      <c r="CER551"/>
      <c r="CES551"/>
      <c r="CET551"/>
      <c r="CEU551"/>
      <c r="CEV551"/>
      <c r="CEW551"/>
      <c r="CEX551"/>
      <c r="CEY551"/>
      <c r="CEZ551"/>
      <c r="CFA551"/>
      <c r="CFB551"/>
      <c r="CFC551"/>
      <c r="CFD551"/>
      <c r="CFE551"/>
      <c r="CFF551"/>
      <c r="CFG551"/>
      <c r="CFH551"/>
      <c r="CFI551"/>
      <c r="CFJ551"/>
      <c r="CFK551"/>
      <c r="CFL551"/>
      <c r="CFM551"/>
      <c r="CFN551"/>
      <c r="CFO551"/>
      <c r="CFP551"/>
      <c r="CFQ551"/>
      <c r="CFR551"/>
      <c r="CFS551"/>
      <c r="CFT551"/>
      <c r="CFU551"/>
      <c r="CFV551"/>
      <c r="CFW551"/>
      <c r="CFX551"/>
      <c r="CFY551"/>
      <c r="CFZ551"/>
      <c r="CGA551"/>
      <c r="CGB551"/>
      <c r="CGC551"/>
      <c r="CGD551"/>
      <c r="CGE551"/>
      <c r="CGF551"/>
      <c r="CGG551"/>
      <c r="CGH551"/>
      <c r="CGI551"/>
      <c r="CGJ551"/>
      <c r="CGK551"/>
      <c r="CGL551"/>
      <c r="CGM551"/>
      <c r="CGN551"/>
      <c r="CGO551"/>
      <c r="CGP551"/>
      <c r="CGQ551"/>
      <c r="CGR551"/>
      <c r="CGS551"/>
      <c r="CGT551"/>
      <c r="CGU551"/>
      <c r="CGV551"/>
      <c r="CGW551"/>
      <c r="CGX551"/>
      <c r="CGY551"/>
      <c r="CGZ551"/>
      <c r="CHA551"/>
      <c r="CHB551"/>
      <c r="CHC551"/>
      <c r="CHD551"/>
      <c r="CHE551"/>
      <c r="CHF551"/>
      <c r="CHG551"/>
      <c r="CHH551"/>
      <c r="CHI551"/>
      <c r="CHJ551"/>
      <c r="CHK551"/>
      <c r="CHL551"/>
      <c r="CHM551"/>
      <c r="CHN551"/>
      <c r="CHO551"/>
      <c r="CHP551"/>
      <c r="CHQ551"/>
      <c r="CHR551"/>
      <c r="CHS551"/>
      <c r="CHT551"/>
      <c r="CHU551"/>
      <c r="CHV551"/>
      <c r="CHW551"/>
      <c r="CHX551"/>
      <c r="CHY551"/>
      <c r="CHZ551"/>
      <c r="CIA551"/>
      <c r="CIB551"/>
      <c r="CIC551"/>
      <c r="CID551"/>
      <c r="CIE551"/>
      <c r="CIF551"/>
      <c r="CIG551"/>
      <c r="CIH551"/>
      <c r="CII551"/>
      <c r="CIJ551"/>
      <c r="CIK551"/>
      <c r="CIL551"/>
      <c r="CIM551"/>
      <c r="CIN551"/>
      <c r="CIO551"/>
      <c r="CIP551"/>
      <c r="CIQ551"/>
      <c r="CIR551"/>
      <c r="CIS551"/>
      <c r="CIT551"/>
      <c r="CIU551"/>
      <c r="CIV551"/>
      <c r="CIW551"/>
      <c r="CIX551"/>
      <c r="CIY551"/>
      <c r="CIZ551"/>
      <c r="CJA551"/>
      <c r="CJB551"/>
      <c r="CJC551"/>
      <c r="CJD551"/>
      <c r="CJE551"/>
      <c r="CJF551"/>
      <c r="CJG551"/>
      <c r="CJH551"/>
      <c r="CJI551"/>
      <c r="CJJ551"/>
      <c r="CJK551"/>
      <c r="CJL551"/>
      <c r="CJM551"/>
      <c r="CJN551"/>
      <c r="CJO551"/>
      <c r="CJP551"/>
      <c r="CJQ551"/>
      <c r="CJR551"/>
      <c r="CJS551"/>
      <c r="CJT551"/>
      <c r="CJU551"/>
      <c r="CJV551"/>
      <c r="CJW551"/>
      <c r="CJX551"/>
      <c r="CJY551"/>
      <c r="CJZ551"/>
      <c r="CKA551"/>
      <c r="CKB551"/>
      <c r="CKC551"/>
      <c r="CKD551"/>
      <c r="CKE551"/>
      <c r="CKF551"/>
      <c r="CKG551"/>
      <c r="CKH551"/>
      <c r="CKI551"/>
      <c r="CKJ551"/>
      <c r="CKK551"/>
      <c r="CKL551"/>
      <c r="CKM551"/>
      <c r="CKN551"/>
      <c r="CKO551"/>
      <c r="CKP551"/>
      <c r="CKQ551"/>
      <c r="CKR551"/>
      <c r="CKS551"/>
      <c r="CKT551"/>
      <c r="CKU551"/>
      <c r="CKV551"/>
      <c r="CKW551"/>
      <c r="CKX551"/>
      <c r="CKY551"/>
      <c r="CKZ551"/>
      <c r="CLA551"/>
      <c r="CLB551"/>
      <c r="CLC551"/>
      <c r="CLD551"/>
      <c r="CLE551"/>
      <c r="CLF551"/>
      <c r="CLG551"/>
      <c r="CLH551"/>
      <c r="CLI551"/>
      <c r="CLJ551"/>
      <c r="CLK551"/>
      <c r="CLL551"/>
      <c r="CLM551"/>
      <c r="CLN551"/>
      <c r="CLO551"/>
      <c r="CLP551"/>
      <c r="CLQ551"/>
      <c r="CLR551"/>
      <c r="CLS551"/>
      <c r="CLT551"/>
      <c r="CLU551"/>
      <c r="CLV551"/>
      <c r="CLW551"/>
      <c r="CLX551"/>
      <c r="CLY551"/>
      <c r="CLZ551"/>
      <c r="CMA551"/>
      <c r="CMB551"/>
      <c r="CMC551"/>
      <c r="CMD551"/>
      <c r="CME551"/>
      <c r="CMF551"/>
      <c r="CMG551"/>
      <c r="CMH551"/>
      <c r="CMI551"/>
      <c r="CMJ551"/>
      <c r="CMK551"/>
      <c r="CML551"/>
      <c r="CMM551"/>
      <c r="CMN551"/>
      <c r="CMO551"/>
      <c r="CMP551"/>
      <c r="CMQ551"/>
      <c r="CMR551"/>
      <c r="CMS551"/>
      <c r="CMT551"/>
      <c r="CMU551"/>
      <c r="CMV551"/>
      <c r="CMW551"/>
      <c r="CMX551"/>
      <c r="CMY551"/>
      <c r="CMZ551"/>
      <c r="CNA551"/>
      <c r="CNB551"/>
      <c r="CNC551"/>
      <c r="CND551"/>
      <c r="CNE551"/>
      <c r="CNF551"/>
      <c r="CNG551"/>
      <c r="CNH551"/>
      <c r="CNI551"/>
      <c r="CNJ551"/>
      <c r="CNK551"/>
      <c r="CNL551"/>
      <c r="CNM551"/>
      <c r="CNN551"/>
      <c r="CNO551"/>
      <c r="CNP551"/>
      <c r="CNQ551"/>
      <c r="CNR551"/>
      <c r="CNS551"/>
      <c r="CNT551"/>
      <c r="CNU551"/>
      <c r="CNV551"/>
      <c r="CNW551"/>
      <c r="CNX551"/>
      <c r="CNY551"/>
      <c r="CNZ551"/>
      <c r="COA551"/>
      <c r="COB551"/>
      <c r="COC551"/>
      <c r="COD551"/>
      <c r="COE551"/>
      <c r="COF551"/>
      <c r="COG551"/>
      <c r="COH551"/>
      <c r="COI551"/>
      <c r="COJ551"/>
      <c r="COK551"/>
      <c r="COL551"/>
      <c r="COM551"/>
      <c r="CON551"/>
      <c r="COO551"/>
      <c r="COP551"/>
      <c r="COQ551"/>
      <c r="COR551"/>
      <c r="COS551"/>
      <c r="COT551"/>
      <c r="COU551"/>
      <c r="COV551"/>
      <c r="COW551"/>
      <c r="COX551"/>
      <c r="COY551"/>
      <c r="COZ551"/>
      <c r="CPA551"/>
      <c r="CPB551"/>
      <c r="CPC551"/>
      <c r="CPD551"/>
      <c r="CPE551"/>
      <c r="CPF551"/>
      <c r="CPG551"/>
      <c r="CPH551"/>
      <c r="CPI551"/>
      <c r="CPJ551"/>
      <c r="CPK551"/>
      <c r="CPL551"/>
      <c r="CPM551"/>
      <c r="CPN551"/>
      <c r="CPO551"/>
      <c r="CPP551"/>
      <c r="CPQ551"/>
      <c r="CPR551"/>
      <c r="CPS551"/>
      <c r="CPT551"/>
      <c r="CPU551"/>
      <c r="CPV551"/>
      <c r="CPW551"/>
      <c r="CPX551"/>
      <c r="CPY551"/>
      <c r="CPZ551"/>
      <c r="CQA551"/>
      <c r="CQB551"/>
      <c r="CQC551"/>
      <c r="CQD551"/>
      <c r="CQE551"/>
      <c r="CQF551"/>
      <c r="CQG551"/>
      <c r="CQH551"/>
      <c r="CQI551"/>
      <c r="CQJ551"/>
      <c r="CQK551"/>
      <c r="CQL551"/>
      <c r="CQM551"/>
      <c r="CQN551"/>
      <c r="CQO551"/>
      <c r="CQP551"/>
      <c r="CQQ551"/>
      <c r="CQR551"/>
      <c r="CQS551"/>
      <c r="CQT551"/>
      <c r="CQU551"/>
      <c r="CQV551"/>
      <c r="CQW551"/>
      <c r="CQX551"/>
      <c r="CQY551"/>
      <c r="CQZ551"/>
      <c r="CRA551"/>
      <c r="CRB551"/>
      <c r="CRC551"/>
      <c r="CRD551"/>
      <c r="CRE551"/>
      <c r="CRF551"/>
      <c r="CRG551"/>
      <c r="CRH551"/>
      <c r="CRI551"/>
      <c r="CRJ551"/>
      <c r="CRK551"/>
      <c r="CRL551"/>
      <c r="CRM551"/>
      <c r="CRN551"/>
      <c r="CRO551"/>
      <c r="CRP551"/>
      <c r="CRQ551"/>
      <c r="CRR551"/>
      <c r="CRS551"/>
      <c r="CRT551"/>
      <c r="CRU551"/>
      <c r="CRV551"/>
      <c r="CRW551"/>
      <c r="CRX551"/>
      <c r="CRY551"/>
      <c r="CRZ551"/>
      <c r="CSA551"/>
      <c r="CSB551"/>
      <c r="CSC551"/>
      <c r="CSD551"/>
      <c r="CSE551"/>
      <c r="CSF551"/>
      <c r="CSG551"/>
      <c r="CSH551"/>
      <c r="CSI551"/>
      <c r="CSJ551"/>
      <c r="CSK551"/>
      <c r="CSL551"/>
      <c r="CSM551"/>
      <c r="CSN551"/>
      <c r="CSO551"/>
      <c r="CSP551"/>
      <c r="CSQ551"/>
      <c r="CSR551"/>
      <c r="CSS551"/>
      <c r="CST551"/>
      <c r="CSU551"/>
      <c r="CSV551"/>
      <c r="CSW551"/>
      <c r="CSX551"/>
      <c r="CSY551"/>
      <c r="CSZ551"/>
      <c r="CTA551"/>
      <c r="CTB551"/>
      <c r="CTC551"/>
      <c r="CTD551"/>
      <c r="CTE551"/>
      <c r="CTF551"/>
      <c r="CTG551"/>
      <c r="CTH551"/>
      <c r="CTI551"/>
      <c r="CTJ551"/>
      <c r="CTK551"/>
      <c r="CTL551"/>
      <c r="CTM551"/>
      <c r="CTN551"/>
      <c r="CTO551"/>
      <c r="CTP551"/>
      <c r="CTQ551"/>
      <c r="CTR551"/>
      <c r="CTS551"/>
      <c r="CTT551"/>
      <c r="CTU551"/>
      <c r="CTV551"/>
      <c r="CTW551"/>
      <c r="CTX551"/>
      <c r="CTY551"/>
      <c r="CTZ551"/>
      <c r="CUA551"/>
      <c r="CUB551"/>
      <c r="CUC551"/>
      <c r="CUD551"/>
      <c r="CUE551"/>
      <c r="CUF551"/>
      <c r="CUG551"/>
      <c r="CUH551"/>
      <c r="CUI551"/>
      <c r="CUJ551"/>
      <c r="CUK551"/>
      <c r="CUL551"/>
      <c r="CUM551"/>
      <c r="CUN551"/>
      <c r="CUO551"/>
      <c r="CUP551"/>
      <c r="CUQ551"/>
      <c r="CUR551"/>
      <c r="CUS551"/>
      <c r="CUT551"/>
      <c r="CUU551"/>
      <c r="CUV551"/>
      <c r="CUW551"/>
      <c r="CUX551"/>
      <c r="CUY551"/>
      <c r="CUZ551"/>
      <c r="CVA551"/>
      <c r="CVB551"/>
      <c r="CVC551"/>
      <c r="CVD551"/>
      <c r="CVE551"/>
      <c r="CVF551"/>
      <c r="CVG551"/>
      <c r="CVH551"/>
      <c r="CVI551"/>
      <c r="CVJ551"/>
      <c r="CVK551"/>
      <c r="CVL551"/>
      <c r="CVM551"/>
      <c r="CVN551"/>
      <c r="CVO551"/>
      <c r="CVP551"/>
      <c r="CVQ551"/>
      <c r="CVR551"/>
      <c r="CVS551"/>
      <c r="CVT551"/>
      <c r="CVU551"/>
      <c r="CVV551"/>
      <c r="CVW551"/>
      <c r="CVX551"/>
      <c r="CVY551"/>
      <c r="CVZ551"/>
      <c r="CWA551"/>
      <c r="CWB551"/>
      <c r="CWC551"/>
      <c r="CWD551"/>
      <c r="CWE551"/>
      <c r="CWF551"/>
      <c r="CWG551"/>
      <c r="CWH551"/>
      <c r="CWI551"/>
      <c r="CWJ551"/>
      <c r="CWK551"/>
      <c r="CWL551"/>
      <c r="CWM551"/>
      <c r="CWN551"/>
      <c r="CWO551"/>
      <c r="CWP551"/>
      <c r="CWQ551"/>
      <c r="CWR551"/>
      <c r="CWS551"/>
      <c r="CWT551"/>
      <c r="CWU551"/>
      <c r="CWV551"/>
      <c r="CWW551"/>
      <c r="CWX551"/>
      <c r="CWY551"/>
      <c r="CWZ551"/>
      <c r="CXA551"/>
      <c r="CXB551"/>
      <c r="CXC551"/>
      <c r="CXD551"/>
      <c r="CXE551"/>
      <c r="CXF551"/>
      <c r="CXG551"/>
      <c r="CXH551"/>
      <c r="CXI551"/>
      <c r="CXJ551"/>
      <c r="CXK551"/>
      <c r="CXL551"/>
      <c r="CXM551"/>
      <c r="CXN551"/>
      <c r="CXO551"/>
      <c r="CXP551"/>
      <c r="CXQ551"/>
      <c r="CXR551"/>
      <c r="CXS551"/>
      <c r="CXT551"/>
      <c r="CXU551"/>
      <c r="CXV551"/>
      <c r="CXW551"/>
      <c r="CXX551"/>
      <c r="CXY551"/>
      <c r="CXZ551"/>
      <c r="CYA551"/>
      <c r="CYB551"/>
      <c r="CYC551"/>
      <c r="CYD551"/>
      <c r="CYE551"/>
      <c r="CYF551"/>
      <c r="CYG551"/>
      <c r="CYH551"/>
      <c r="CYI551"/>
      <c r="CYJ551"/>
      <c r="CYK551"/>
      <c r="CYL551"/>
      <c r="CYM551"/>
      <c r="CYN551"/>
      <c r="CYO551"/>
      <c r="CYP551"/>
      <c r="CYQ551"/>
      <c r="CYR551"/>
      <c r="CYS551"/>
      <c r="CYT551"/>
      <c r="CYU551"/>
      <c r="CYV551"/>
      <c r="CYW551"/>
      <c r="CYX551"/>
      <c r="CYY551"/>
      <c r="CYZ551"/>
      <c r="CZA551"/>
      <c r="CZB551"/>
      <c r="CZC551"/>
      <c r="CZD551"/>
      <c r="CZE551"/>
      <c r="CZF551"/>
      <c r="CZG551"/>
      <c r="CZH551"/>
      <c r="CZI551"/>
      <c r="CZJ551"/>
      <c r="CZK551"/>
      <c r="CZL551"/>
      <c r="CZM551"/>
      <c r="CZN551"/>
      <c r="CZO551"/>
      <c r="CZP551"/>
      <c r="CZQ551"/>
      <c r="CZR551"/>
      <c r="CZS551"/>
      <c r="CZT551"/>
      <c r="CZU551"/>
      <c r="CZV551"/>
      <c r="CZW551"/>
      <c r="CZX551"/>
      <c r="CZY551"/>
      <c r="CZZ551"/>
      <c r="DAA551"/>
      <c r="DAB551"/>
      <c r="DAC551"/>
      <c r="DAD551"/>
      <c r="DAE551"/>
      <c r="DAF551"/>
      <c r="DAG551"/>
      <c r="DAH551"/>
      <c r="DAI551"/>
      <c r="DAJ551"/>
      <c r="DAK551"/>
      <c r="DAL551"/>
      <c r="DAM551"/>
      <c r="DAN551"/>
      <c r="DAO551"/>
      <c r="DAP551"/>
      <c r="DAQ551"/>
      <c r="DAR551"/>
      <c r="DAS551"/>
      <c r="DAT551"/>
      <c r="DAU551"/>
      <c r="DAV551"/>
      <c r="DAW551"/>
      <c r="DAX551"/>
      <c r="DAY551"/>
      <c r="DAZ551"/>
      <c r="DBA551"/>
      <c r="DBB551"/>
      <c r="DBC551"/>
      <c r="DBD551"/>
      <c r="DBE551"/>
      <c r="DBF551"/>
      <c r="DBG551"/>
      <c r="DBH551"/>
      <c r="DBI551"/>
      <c r="DBJ551"/>
      <c r="DBK551"/>
      <c r="DBL551"/>
      <c r="DBM551"/>
      <c r="DBN551"/>
      <c r="DBO551"/>
      <c r="DBP551"/>
      <c r="DBQ551"/>
      <c r="DBR551"/>
      <c r="DBS551"/>
      <c r="DBT551"/>
      <c r="DBU551"/>
      <c r="DBV551"/>
      <c r="DBW551"/>
      <c r="DBX551"/>
      <c r="DBY551"/>
      <c r="DBZ551"/>
      <c r="DCA551"/>
      <c r="DCB551"/>
      <c r="DCC551"/>
      <c r="DCD551"/>
      <c r="DCE551"/>
      <c r="DCF551"/>
      <c r="DCG551"/>
      <c r="DCH551"/>
      <c r="DCI551"/>
      <c r="DCJ551"/>
      <c r="DCK551"/>
      <c r="DCL551"/>
      <c r="DCM551"/>
      <c r="DCN551"/>
      <c r="DCO551"/>
      <c r="DCP551"/>
      <c r="DCQ551"/>
      <c r="DCR551"/>
      <c r="DCS551"/>
      <c r="DCT551"/>
      <c r="DCU551"/>
      <c r="DCV551"/>
      <c r="DCW551"/>
      <c r="DCX551"/>
      <c r="DCY551"/>
      <c r="DCZ551"/>
      <c r="DDA551"/>
      <c r="DDB551"/>
      <c r="DDC551"/>
      <c r="DDD551"/>
      <c r="DDE551"/>
      <c r="DDF551"/>
      <c r="DDG551"/>
      <c r="DDH551"/>
      <c r="DDI551"/>
      <c r="DDJ551"/>
      <c r="DDK551"/>
      <c r="DDL551"/>
      <c r="DDM551"/>
      <c r="DDN551"/>
      <c r="DDO551"/>
      <c r="DDP551"/>
      <c r="DDQ551"/>
      <c r="DDR551"/>
      <c r="DDS551"/>
      <c r="DDT551"/>
      <c r="DDU551"/>
      <c r="DDV551"/>
      <c r="DDW551"/>
      <c r="DDX551"/>
      <c r="DDY551"/>
      <c r="DDZ551"/>
      <c r="DEA551"/>
      <c r="DEB551"/>
      <c r="DEC551"/>
      <c r="DED551"/>
      <c r="DEE551"/>
      <c r="DEF551"/>
      <c r="DEG551"/>
      <c r="DEH551"/>
      <c r="DEI551"/>
      <c r="DEJ551"/>
      <c r="DEK551"/>
      <c r="DEL551"/>
      <c r="DEM551"/>
      <c r="DEN551"/>
      <c r="DEO551"/>
      <c r="DEP551"/>
      <c r="DEQ551"/>
      <c r="DER551"/>
      <c r="DES551"/>
      <c r="DET551"/>
      <c r="DEU551"/>
      <c r="DEV551"/>
      <c r="DEW551"/>
      <c r="DEX551"/>
      <c r="DEY551"/>
      <c r="DEZ551"/>
      <c r="DFA551"/>
      <c r="DFB551"/>
      <c r="DFC551"/>
      <c r="DFD551"/>
      <c r="DFE551"/>
      <c r="DFF551"/>
      <c r="DFG551"/>
      <c r="DFH551"/>
      <c r="DFI551"/>
      <c r="DFJ551"/>
      <c r="DFK551"/>
      <c r="DFL551"/>
      <c r="DFM551"/>
      <c r="DFN551"/>
      <c r="DFO551"/>
      <c r="DFP551"/>
      <c r="DFQ551"/>
      <c r="DFR551"/>
      <c r="DFS551"/>
      <c r="DFT551"/>
      <c r="DFU551"/>
      <c r="DFV551"/>
      <c r="DFW551"/>
      <c r="DFX551"/>
      <c r="DFY551"/>
      <c r="DFZ551"/>
      <c r="DGA551"/>
      <c r="DGB551"/>
      <c r="DGC551"/>
      <c r="DGD551"/>
      <c r="DGE551"/>
      <c r="DGF551"/>
      <c r="DGG551"/>
      <c r="DGH551"/>
      <c r="DGI551"/>
      <c r="DGJ551"/>
      <c r="DGK551"/>
      <c r="DGL551"/>
      <c r="DGM551"/>
      <c r="DGN551"/>
      <c r="DGO551"/>
      <c r="DGP551"/>
      <c r="DGQ551"/>
      <c r="DGR551"/>
      <c r="DGS551"/>
      <c r="DGT551"/>
      <c r="DGU551"/>
      <c r="DGV551"/>
      <c r="DGW551"/>
      <c r="DGX551"/>
      <c r="DGY551"/>
      <c r="DGZ551"/>
      <c r="DHA551"/>
      <c r="DHB551"/>
      <c r="DHC551"/>
      <c r="DHD551"/>
      <c r="DHE551"/>
      <c r="DHF551"/>
      <c r="DHG551"/>
      <c r="DHH551"/>
      <c r="DHI551"/>
      <c r="DHJ551"/>
      <c r="DHK551"/>
      <c r="DHL551"/>
      <c r="DHM551"/>
      <c r="DHN551"/>
      <c r="DHO551"/>
      <c r="DHP551"/>
      <c r="DHQ551"/>
      <c r="DHR551"/>
      <c r="DHS551"/>
      <c r="DHT551"/>
      <c r="DHU551"/>
      <c r="DHV551"/>
      <c r="DHW551"/>
      <c r="DHX551"/>
      <c r="DHY551"/>
      <c r="DHZ551"/>
      <c r="DIA551"/>
      <c r="DIB551"/>
      <c r="DIC551"/>
      <c r="DID551"/>
      <c r="DIE551"/>
      <c r="DIF551"/>
      <c r="DIG551"/>
      <c r="DIH551"/>
      <c r="DII551"/>
      <c r="DIJ551"/>
      <c r="DIK551"/>
      <c r="DIL551"/>
      <c r="DIM551"/>
      <c r="DIN551"/>
      <c r="DIO551"/>
      <c r="DIP551"/>
      <c r="DIQ551"/>
      <c r="DIR551"/>
      <c r="DIS551"/>
      <c r="DIT551"/>
      <c r="DIU551"/>
      <c r="DIV551"/>
      <c r="DIW551"/>
      <c r="DIX551"/>
      <c r="DIY551"/>
      <c r="DIZ551"/>
      <c r="DJA551"/>
      <c r="DJB551"/>
      <c r="DJC551"/>
      <c r="DJD551"/>
      <c r="DJE551"/>
      <c r="DJF551"/>
      <c r="DJG551"/>
      <c r="DJH551"/>
      <c r="DJI551"/>
      <c r="DJJ551"/>
      <c r="DJK551"/>
      <c r="DJL551"/>
      <c r="DJM551"/>
      <c r="DJN551"/>
      <c r="DJO551"/>
      <c r="DJP551"/>
      <c r="DJQ551"/>
      <c r="DJR551"/>
      <c r="DJS551"/>
      <c r="DJT551"/>
      <c r="DJU551"/>
      <c r="DJV551"/>
      <c r="DJW551"/>
      <c r="DJX551"/>
      <c r="DJY551"/>
      <c r="DJZ551"/>
      <c r="DKA551"/>
      <c r="DKB551"/>
      <c r="DKC551"/>
      <c r="DKD551"/>
      <c r="DKE551"/>
      <c r="DKF551"/>
      <c r="DKG551"/>
      <c r="DKH551"/>
      <c r="DKI551"/>
      <c r="DKJ551"/>
      <c r="DKK551"/>
      <c r="DKL551"/>
      <c r="DKM551"/>
      <c r="DKN551"/>
      <c r="DKO551"/>
      <c r="DKP551"/>
      <c r="DKQ551"/>
      <c r="DKR551"/>
      <c r="DKS551"/>
      <c r="DKT551"/>
      <c r="DKU551"/>
      <c r="DKV551"/>
      <c r="DKW551"/>
      <c r="DKX551"/>
      <c r="DKY551"/>
      <c r="DKZ551"/>
      <c r="DLA551"/>
      <c r="DLB551"/>
      <c r="DLC551"/>
      <c r="DLD551"/>
      <c r="DLE551"/>
      <c r="DLF551"/>
      <c r="DLG551"/>
      <c r="DLH551"/>
      <c r="DLI551"/>
      <c r="DLJ551"/>
      <c r="DLK551"/>
      <c r="DLL551"/>
      <c r="DLM551"/>
      <c r="DLN551"/>
      <c r="DLO551"/>
      <c r="DLP551"/>
      <c r="DLQ551"/>
      <c r="DLR551"/>
      <c r="DLS551"/>
      <c r="DLT551"/>
      <c r="DLU551"/>
      <c r="DLV551"/>
      <c r="DLW551"/>
      <c r="DLX551"/>
      <c r="DLY551"/>
      <c r="DLZ551"/>
      <c r="DMA551"/>
      <c r="DMB551"/>
      <c r="DMC551"/>
      <c r="DMD551"/>
      <c r="DME551"/>
      <c r="DMF551"/>
      <c r="DMG551"/>
      <c r="DMH551"/>
      <c r="DMI551"/>
      <c r="DMJ551"/>
      <c r="DMK551"/>
      <c r="DML551"/>
      <c r="DMM551"/>
      <c r="DMN551"/>
      <c r="DMO551"/>
      <c r="DMP551"/>
      <c r="DMQ551"/>
      <c r="DMR551"/>
      <c r="DMS551"/>
      <c r="DMT551"/>
      <c r="DMU551"/>
      <c r="DMV551"/>
      <c r="DMW551"/>
      <c r="DMX551"/>
      <c r="DMY551"/>
      <c r="DMZ551"/>
      <c r="DNA551"/>
      <c r="DNB551"/>
      <c r="DNC551"/>
      <c r="DND551"/>
      <c r="DNE551"/>
      <c r="DNF551"/>
      <c r="DNG551"/>
      <c r="DNH551"/>
      <c r="DNI551"/>
      <c r="DNJ551"/>
      <c r="DNK551"/>
      <c r="DNL551"/>
      <c r="DNM551"/>
      <c r="DNN551"/>
      <c r="DNO551"/>
      <c r="DNP551"/>
      <c r="DNQ551"/>
      <c r="DNR551"/>
      <c r="DNS551"/>
      <c r="DNT551"/>
      <c r="DNU551"/>
      <c r="DNV551"/>
      <c r="DNW551"/>
      <c r="DNX551"/>
      <c r="DNY551"/>
      <c r="DNZ551"/>
      <c r="DOA551"/>
      <c r="DOB551"/>
      <c r="DOC551"/>
      <c r="DOD551"/>
      <c r="DOE551"/>
      <c r="DOF551"/>
      <c r="DOG551"/>
      <c r="DOH551"/>
      <c r="DOI551"/>
      <c r="DOJ551"/>
      <c r="DOK551"/>
      <c r="DOL551"/>
      <c r="DOM551"/>
      <c r="DON551"/>
      <c r="DOO551"/>
      <c r="DOP551"/>
      <c r="DOQ551"/>
      <c r="DOR551"/>
      <c r="DOS551"/>
      <c r="DOT551"/>
      <c r="DOU551"/>
      <c r="DOV551"/>
      <c r="DOW551"/>
      <c r="DOX551"/>
      <c r="DOY551"/>
      <c r="DOZ551"/>
      <c r="DPA551"/>
      <c r="DPB551"/>
      <c r="DPC551"/>
      <c r="DPD551"/>
      <c r="DPE551"/>
      <c r="DPF551"/>
      <c r="DPG551"/>
      <c r="DPH551"/>
      <c r="DPI551"/>
      <c r="DPJ551"/>
      <c r="DPK551"/>
      <c r="DPL551"/>
      <c r="DPM551"/>
      <c r="DPN551"/>
      <c r="DPO551"/>
      <c r="DPP551"/>
      <c r="DPQ551"/>
      <c r="DPR551"/>
      <c r="DPS551"/>
      <c r="DPT551"/>
      <c r="DPU551"/>
      <c r="DPV551"/>
      <c r="DPW551"/>
      <c r="DPX551"/>
      <c r="DPY551"/>
      <c r="DPZ551"/>
      <c r="DQA551"/>
      <c r="DQB551"/>
      <c r="DQC551"/>
      <c r="DQD551"/>
      <c r="DQE551"/>
      <c r="DQF551"/>
      <c r="DQG551"/>
      <c r="DQH551"/>
      <c r="DQI551"/>
      <c r="DQJ551"/>
      <c r="DQK551"/>
      <c r="DQL551"/>
      <c r="DQM551"/>
      <c r="DQN551"/>
      <c r="DQO551"/>
      <c r="DQP551"/>
      <c r="DQQ551"/>
      <c r="DQR551"/>
      <c r="DQS551"/>
      <c r="DQT551"/>
      <c r="DQU551"/>
      <c r="DQV551"/>
      <c r="DQW551"/>
      <c r="DQX551"/>
      <c r="DQY551"/>
      <c r="DQZ551"/>
      <c r="DRA551"/>
      <c r="DRB551"/>
      <c r="DRC551"/>
      <c r="DRD551"/>
      <c r="DRE551"/>
      <c r="DRF551"/>
      <c r="DRG551"/>
      <c r="DRH551"/>
      <c r="DRI551"/>
      <c r="DRJ551"/>
      <c r="DRK551"/>
      <c r="DRL551"/>
      <c r="DRM551"/>
      <c r="DRN551"/>
      <c r="DRO551"/>
      <c r="DRP551"/>
      <c r="DRQ551"/>
      <c r="DRR551"/>
      <c r="DRS551"/>
      <c r="DRT551"/>
      <c r="DRU551"/>
      <c r="DRV551"/>
      <c r="DRW551"/>
      <c r="DRX551"/>
      <c r="DRY551"/>
      <c r="DRZ551"/>
      <c r="DSA551"/>
      <c r="DSB551"/>
      <c r="DSC551"/>
      <c r="DSD551"/>
      <c r="DSE551"/>
      <c r="DSF551"/>
      <c r="DSG551"/>
      <c r="DSH551"/>
      <c r="DSI551"/>
      <c r="DSJ551"/>
      <c r="DSK551"/>
      <c r="DSL551"/>
      <c r="DSM551"/>
      <c r="DSN551"/>
      <c r="DSO551"/>
      <c r="DSP551"/>
      <c r="DSQ551"/>
      <c r="DSR551"/>
      <c r="DSS551"/>
      <c r="DST551"/>
      <c r="DSU551"/>
      <c r="DSV551"/>
      <c r="DSW551"/>
      <c r="DSX551"/>
      <c r="DSY551"/>
      <c r="DSZ551"/>
      <c r="DTA551"/>
      <c r="DTB551"/>
      <c r="DTC551"/>
      <c r="DTD551"/>
      <c r="DTE551"/>
      <c r="DTF551"/>
      <c r="DTG551"/>
      <c r="DTH551"/>
      <c r="DTI551"/>
      <c r="DTJ551"/>
      <c r="DTK551"/>
      <c r="DTL551"/>
      <c r="DTM551"/>
      <c r="DTN551"/>
      <c r="DTO551"/>
      <c r="DTP551"/>
      <c r="DTQ551"/>
      <c r="DTR551"/>
      <c r="DTS551"/>
      <c r="DTT551"/>
      <c r="DTU551"/>
      <c r="DTV551"/>
      <c r="DTW551"/>
      <c r="DTX551"/>
      <c r="DTY551"/>
      <c r="DTZ551"/>
      <c r="DUA551"/>
      <c r="DUB551"/>
      <c r="DUC551"/>
      <c r="DUD551"/>
      <c r="DUE551"/>
      <c r="DUF551"/>
      <c r="DUG551"/>
      <c r="DUH551"/>
      <c r="DUI551"/>
      <c r="DUJ551"/>
      <c r="DUK551"/>
      <c r="DUL551"/>
      <c r="DUM551"/>
      <c r="DUN551"/>
      <c r="DUO551"/>
      <c r="DUP551"/>
      <c r="DUQ551"/>
      <c r="DUR551"/>
      <c r="DUS551"/>
      <c r="DUT551"/>
      <c r="DUU551"/>
      <c r="DUV551"/>
      <c r="DUW551"/>
      <c r="DUX551"/>
      <c r="DUY551"/>
      <c r="DUZ551"/>
      <c r="DVA551"/>
      <c r="DVB551"/>
      <c r="DVC551"/>
      <c r="DVD551"/>
      <c r="DVE551"/>
      <c r="DVF551"/>
      <c r="DVG551"/>
      <c r="DVH551"/>
      <c r="DVI551"/>
      <c r="DVJ551"/>
      <c r="DVK551"/>
      <c r="DVL551"/>
      <c r="DVM551"/>
      <c r="DVN551"/>
      <c r="DVO551"/>
      <c r="DVP551"/>
      <c r="DVQ551"/>
      <c r="DVR551"/>
      <c r="DVS551"/>
      <c r="DVT551"/>
      <c r="DVU551"/>
      <c r="DVV551"/>
      <c r="DVW551"/>
      <c r="DVX551"/>
      <c r="DVY551"/>
      <c r="DVZ551"/>
      <c r="DWA551"/>
      <c r="DWB551"/>
      <c r="DWC551"/>
      <c r="DWD551"/>
      <c r="DWE551"/>
      <c r="DWF551"/>
      <c r="DWG551"/>
      <c r="DWH551"/>
      <c r="DWI551"/>
      <c r="DWJ551"/>
      <c r="DWK551"/>
      <c r="DWL551"/>
      <c r="DWM551"/>
      <c r="DWN551"/>
      <c r="DWO551"/>
      <c r="DWP551"/>
      <c r="DWQ551"/>
      <c r="DWR551"/>
      <c r="DWS551"/>
      <c r="DWT551"/>
      <c r="DWU551"/>
      <c r="DWV551"/>
      <c r="DWW551"/>
      <c r="DWX551"/>
      <c r="DWY551"/>
      <c r="DWZ551"/>
      <c r="DXA551"/>
      <c r="DXB551"/>
      <c r="DXC551"/>
      <c r="DXD551"/>
      <c r="DXE551"/>
      <c r="DXF551"/>
      <c r="DXG551"/>
      <c r="DXH551"/>
      <c r="DXI551"/>
      <c r="DXJ551"/>
      <c r="DXK551"/>
      <c r="DXL551"/>
      <c r="DXM551"/>
      <c r="DXN551"/>
      <c r="DXO551"/>
      <c r="DXP551"/>
      <c r="DXQ551"/>
      <c r="DXR551"/>
      <c r="DXS551"/>
      <c r="DXT551"/>
      <c r="DXU551"/>
      <c r="DXV551"/>
      <c r="DXW551"/>
      <c r="DXX551"/>
      <c r="DXY551"/>
      <c r="DXZ551"/>
      <c r="DYA551"/>
      <c r="DYB551"/>
      <c r="DYC551"/>
      <c r="DYD551"/>
      <c r="DYE551"/>
      <c r="DYF551"/>
      <c r="DYG551"/>
      <c r="DYH551"/>
      <c r="DYI551"/>
      <c r="DYJ551"/>
      <c r="DYK551"/>
      <c r="DYL551"/>
      <c r="DYM551"/>
      <c r="DYN551"/>
      <c r="DYO551"/>
      <c r="DYP551"/>
      <c r="DYQ551"/>
      <c r="DYR551"/>
      <c r="DYS551"/>
      <c r="DYT551"/>
      <c r="DYU551"/>
      <c r="DYV551"/>
      <c r="DYW551"/>
      <c r="DYX551"/>
      <c r="DYY551"/>
      <c r="DYZ551"/>
      <c r="DZA551"/>
      <c r="DZB551"/>
      <c r="DZC551"/>
      <c r="DZD551"/>
      <c r="DZE551"/>
      <c r="DZF551"/>
      <c r="DZG551"/>
      <c r="DZH551"/>
      <c r="DZI551"/>
      <c r="DZJ551"/>
      <c r="DZK551"/>
      <c r="DZL551"/>
      <c r="DZM551"/>
      <c r="DZN551"/>
      <c r="DZO551"/>
      <c r="DZP551"/>
      <c r="DZQ551"/>
      <c r="DZR551"/>
      <c r="DZS551"/>
      <c r="DZT551"/>
      <c r="DZU551"/>
      <c r="DZV551"/>
      <c r="DZW551"/>
      <c r="DZX551"/>
      <c r="DZY551"/>
      <c r="DZZ551"/>
      <c r="EAA551"/>
      <c r="EAB551"/>
      <c r="EAC551"/>
      <c r="EAD551"/>
      <c r="EAE551"/>
      <c r="EAF551"/>
      <c r="EAG551"/>
      <c r="EAH551"/>
      <c r="EAI551"/>
      <c r="EAJ551"/>
      <c r="EAK551"/>
      <c r="EAL551"/>
      <c r="EAM551"/>
      <c r="EAN551"/>
      <c r="EAO551"/>
      <c r="EAP551"/>
      <c r="EAQ551"/>
      <c r="EAR551"/>
      <c r="EAS551"/>
      <c r="EAT551"/>
      <c r="EAU551"/>
      <c r="EAV551"/>
      <c r="EAW551"/>
      <c r="EAX551"/>
      <c r="EAY551"/>
      <c r="EAZ551"/>
      <c r="EBA551"/>
      <c r="EBB551"/>
      <c r="EBC551"/>
      <c r="EBD551"/>
      <c r="EBE551"/>
      <c r="EBF551"/>
      <c r="EBG551"/>
      <c r="EBH551"/>
      <c r="EBI551"/>
      <c r="EBJ551"/>
      <c r="EBK551"/>
      <c r="EBL551"/>
      <c r="EBM551"/>
      <c r="EBN551"/>
      <c r="EBO551"/>
      <c r="EBP551"/>
      <c r="EBQ551"/>
      <c r="EBR551"/>
      <c r="EBS551"/>
      <c r="EBT551"/>
      <c r="EBU551"/>
      <c r="EBV551"/>
      <c r="EBW551"/>
      <c r="EBX551"/>
      <c r="EBY551"/>
      <c r="EBZ551"/>
      <c r="ECA551"/>
      <c r="ECB551"/>
      <c r="ECC551"/>
      <c r="ECD551"/>
      <c r="ECE551"/>
      <c r="ECF551"/>
      <c r="ECG551"/>
      <c r="ECH551"/>
      <c r="ECI551"/>
      <c r="ECJ551"/>
      <c r="ECK551"/>
      <c r="ECL551"/>
      <c r="ECM551"/>
      <c r="ECN551"/>
      <c r="ECO551"/>
      <c r="ECP551"/>
      <c r="ECQ551"/>
      <c r="ECR551"/>
      <c r="ECS551"/>
      <c r="ECT551"/>
      <c r="ECU551"/>
      <c r="ECV551"/>
      <c r="ECW551"/>
      <c r="ECX551"/>
      <c r="ECY551"/>
      <c r="ECZ551"/>
      <c r="EDA551"/>
      <c r="EDB551"/>
      <c r="EDC551"/>
      <c r="EDD551"/>
      <c r="EDE551"/>
      <c r="EDF551"/>
      <c r="EDG551"/>
      <c r="EDH551"/>
      <c r="EDI551"/>
      <c r="EDJ551"/>
      <c r="EDK551"/>
      <c r="EDL551"/>
      <c r="EDM551"/>
      <c r="EDN551"/>
      <c r="EDO551"/>
      <c r="EDP551"/>
      <c r="EDQ551"/>
      <c r="EDR551"/>
      <c r="EDS551"/>
      <c r="EDT551"/>
      <c r="EDU551"/>
      <c r="EDV551"/>
      <c r="EDW551"/>
      <c r="EDX551"/>
      <c r="EDY551"/>
      <c r="EDZ551"/>
      <c r="EEA551"/>
      <c r="EEB551"/>
      <c r="EEC551"/>
      <c r="EED551"/>
      <c r="EEE551"/>
      <c r="EEF551"/>
      <c r="EEG551"/>
      <c r="EEH551"/>
      <c r="EEI551"/>
      <c r="EEJ551"/>
      <c r="EEK551"/>
      <c r="EEL551"/>
      <c r="EEM551"/>
      <c r="EEN551"/>
      <c r="EEO551"/>
      <c r="EEP551"/>
      <c r="EEQ551"/>
      <c r="EER551"/>
      <c r="EES551"/>
      <c r="EET551"/>
      <c r="EEU551"/>
      <c r="EEV551"/>
      <c r="EEW551"/>
      <c r="EEX551"/>
      <c r="EEY551"/>
      <c r="EEZ551"/>
      <c r="EFA551"/>
      <c r="EFB551"/>
      <c r="EFC551"/>
      <c r="EFD551"/>
      <c r="EFE551"/>
      <c r="EFF551"/>
      <c r="EFG551"/>
      <c r="EFH551"/>
      <c r="EFI551"/>
      <c r="EFJ551"/>
      <c r="EFK551"/>
      <c r="EFL551"/>
      <c r="EFM551"/>
      <c r="EFN551"/>
      <c r="EFO551"/>
      <c r="EFP551"/>
      <c r="EFQ551"/>
      <c r="EFR551"/>
      <c r="EFS551"/>
      <c r="EFT551"/>
      <c r="EFU551"/>
      <c r="EFV551"/>
      <c r="EFW551"/>
      <c r="EFX551"/>
      <c r="EFY551"/>
      <c r="EFZ551"/>
      <c r="EGA551"/>
      <c r="EGB551"/>
      <c r="EGC551"/>
      <c r="EGD551"/>
      <c r="EGE551"/>
      <c r="EGF551"/>
      <c r="EGG551"/>
      <c r="EGH551"/>
      <c r="EGI551"/>
      <c r="EGJ551"/>
      <c r="EGK551"/>
      <c r="EGL551"/>
      <c r="EGM551"/>
      <c r="EGN551"/>
      <c r="EGO551"/>
      <c r="EGP551"/>
      <c r="EGQ551"/>
      <c r="EGR551"/>
      <c r="EGS551"/>
      <c r="EGT551"/>
      <c r="EGU551"/>
      <c r="EGV551"/>
      <c r="EGW551"/>
      <c r="EGX551"/>
      <c r="EGY551"/>
      <c r="EGZ551"/>
      <c r="EHA551"/>
      <c r="EHB551"/>
      <c r="EHC551"/>
      <c r="EHD551"/>
      <c r="EHE551"/>
      <c r="EHF551"/>
      <c r="EHG551"/>
      <c r="EHH551"/>
      <c r="EHI551"/>
      <c r="EHJ551"/>
      <c r="EHK551"/>
      <c r="EHL551"/>
      <c r="EHM551"/>
      <c r="EHN551"/>
      <c r="EHO551"/>
      <c r="EHP551"/>
      <c r="EHQ551"/>
      <c r="EHR551"/>
      <c r="EHS551"/>
      <c r="EHT551"/>
      <c r="EHU551"/>
      <c r="EHV551"/>
      <c r="EHW551"/>
      <c r="EHX551"/>
      <c r="EHY551"/>
      <c r="EHZ551"/>
      <c r="EIA551"/>
      <c r="EIB551"/>
      <c r="EIC551"/>
      <c r="EID551"/>
      <c r="EIE551"/>
      <c r="EIF551"/>
      <c r="EIG551"/>
      <c r="EIH551"/>
      <c r="EII551"/>
      <c r="EIJ551"/>
      <c r="EIK551"/>
      <c r="EIL551"/>
      <c r="EIM551"/>
      <c r="EIN551"/>
      <c r="EIO551"/>
      <c r="EIP551"/>
      <c r="EIQ551"/>
      <c r="EIR551"/>
      <c r="EIS551"/>
      <c r="EIT551"/>
      <c r="EIU551"/>
      <c r="EIV551"/>
      <c r="EIW551"/>
      <c r="EIX551"/>
      <c r="EIY551"/>
      <c r="EIZ551"/>
      <c r="EJA551"/>
      <c r="EJB551"/>
      <c r="EJC551"/>
      <c r="EJD551"/>
      <c r="EJE551"/>
      <c r="EJF551"/>
      <c r="EJG551"/>
      <c r="EJH551"/>
      <c r="EJI551"/>
      <c r="EJJ551"/>
      <c r="EJK551"/>
      <c r="EJL551"/>
      <c r="EJM551"/>
      <c r="EJN551"/>
      <c r="EJO551"/>
      <c r="EJP551"/>
      <c r="EJQ551"/>
      <c r="EJR551"/>
      <c r="EJS551"/>
      <c r="EJT551"/>
      <c r="EJU551"/>
      <c r="EJV551"/>
      <c r="EJW551"/>
      <c r="EJX551"/>
      <c r="EJY551"/>
      <c r="EJZ551"/>
      <c r="EKA551"/>
      <c r="EKB551"/>
      <c r="EKC551"/>
      <c r="EKD551"/>
      <c r="EKE551"/>
      <c r="EKF551"/>
      <c r="EKG551"/>
      <c r="EKH551"/>
      <c r="EKI551"/>
      <c r="EKJ551"/>
      <c r="EKK551"/>
      <c r="EKL551"/>
      <c r="EKM551"/>
      <c r="EKN551"/>
      <c r="EKO551"/>
      <c r="EKP551"/>
      <c r="EKQ551"/>
      <c r="EKR551"/>
      <c r="EKS551"/>
      <c r="EKT551"/>
      <c r="EKU551"/>
      <c r="EKV551"/>
      <c r="EKW551"/>
      <c r="EKX551"/>
      <c r="EKY551"/>
      <c r="EKZ551"/>
      <c r="ELA551"/>
      <c r="ELB551"/>
      <c r="ELC551"/>
      <c r="ELD551"/>
      <c r="ELE551"/>
      <c r="ELF551"/>
      <c r="ELG551"/>
      <c r="ELH551"/>
      <c r="ELI551"/>
      <c r="ELJ551"/>
      <c r="ELK551"/>
      <c r="ELL551"/>
      <c r="ELM551"/>
      <c r="ELN551"/>
      <c r="ELO551"/>
      <c r="ELP551"/>
      <c r="ELQ551"/>
      <c r="ELR551"/>
      <c r="ELS551"/>
      <c r="ELT551"/>
      <c r="ELU551"/>
      <c r="ELV551"/>
      <c r="ELW551"/>
      <c r="ELX551"/>
      <c r="ELY551"/>
      <c r="ELZ551"/>
      <c r="EMA551"/>
      <c r="EMB551"/>
      <c r="EMC551"/>
      <c r="EMD551"/>
      <c r="EME551"/>
      <c r="EMF551"/>
      <c r="EMG551"/>
      <c r="EMH551"/>
      <c r="EMI551"/>
      <c r="EMJ551"/>
      <c r="EMK551"/>
      <c r="EML551"/>
      <c r="EMM551"/>
      <c r="EMN551"/>
      <c r="EMO551"/>
      <c r="EMP551"/>
      <c r="EMQ551"/>
      <c r="EMR551"/>
      <c r="EMS551"/>
      <c r="EMT551"/>
      <c r="EMU551"/>
      <c r="EMV551"/>
      <c r="EMW551"/>
      <c r="EMX551"/>
      <c r="EMY551"/>
      <c r="EMZ551"/>
      <c r="ENA551"/>
      <c r="ENB551"/>
      <c r="ENC551"/>
      <c r="END551"/>
      <c r="ENE551"/>
      <c r="ENF551"/>
      <c r="ENG551"/>
      <c r="ENH551"/>
      <c r="ENI551"/>
      <c r="ENJ551"/>
      <c r="ENK551"/>
      <c r="ENL551"/>
      <c r="ENM551"/>
      <c r="ENN551"/>
      <c r="ENO551"/>
      <c r="ENP551"/>
      <c r="ENQ551"/>
      <c r="ENR551"/>
      <c r="ENS551"/>
      <c r="ENT551"/>
      <c r="ENU551"/>
      <c r="ENV551"/>
      <c r="ENW551"/>
      <c r="ENX551"/>
      <c r="ENY551"/>
      <c r="ENZ551"/>
      <c r="EOA551"/>
      <c r="EOB551"/>
      <c r="EOC551"/>
      <c r="EOD551"/>
      <c r="EOE551"/>
      <c r="EOF551"/>
      <c r="EOG551"/>
      <c r="EOH551"/>
      <c r="EOI551"/>
      <c r="EOJ551"/>
      <c r="EOK551"/>
      <c r="EOL551"/>
      <c r="EOM551"/>
      <c r="EON551"/>
      <c r="EOO551"/>
      <c r="EOP551"/>
      <c r="EOQ551"/>
      <c r="EOR551"/>
      <c r="EOS551"/>
      <c r="EOT551"/>
      <c r="EOU551"/>
      <c r="EOV551"/>
      <c r="EOW551"/>
      <c r="EOX551"/>
      <c r="EOY551"/>
      <c r="EOZ551"/>
      <c r="EPA551"/>
      <c r="EPB551"/>
      <c r="EPC551"/>
      <c r="EPD551"/>
      <c r="EPE551"/>
      <c r="EPF551"/>
      <c r="EPG551"/>
      <c r="EPH551"/>
      <c r="EPI551"/>
      <c r="EPJ551"/>
      <c r="EPK551"/>
      <c r="EPL551"/>
      <c r="EPM551"/>
      <c r="EPN551"/>
      <c r="EPO551"/>
      <c r="EPP551"/>
      <c r="EPQ551"/>
      <c r="EPR551"/>
      <c r="EPS551"/>
      <c r="EPT551"/>
      <c r="EPU551"/>
      <c r="EPV551"/>
      <c r="EPW551"/>
      <c r="EPX551"/>
      <c r="EPY551"/>
      <c r="EPZ551"/>
      <c r="EQA551"/>
      <c r="EQB551"/>
      <c r="EQC551"/>
      <c r="EQD551"/>
      <c r="EQE551"/>
      <c r="EQF551"/>
      <c r="EQG551"/>
      <c r="EQH551"/>
      <c r="EQI551"/>
      <c r="EQJ551"/>
      <c r="EQK551"/>
      <c r="EQL551"/>
      <c r="EQM551"/>
      <c r="EQN551"/>
      <c r="EQO551"/>
      <c r="EQP551"/>
      <c r="EQQ551"/>
      <c r="EQR551"/>
      <c r="EQS551"/>
      <c r="EQT551"/>
      <c r="EQU551"/>
      <c r="EQV551"/>
      <c r="EQW551"/>
      <c r="EQX551"/>
      <c r="EQY551"/>
      <c r="EQZ551"/>
      <c r="ERA551"/>
      <c r="ERB551"/>
      <c r="ERC551"/>
      <c r="ERD551"/>
      <c r="ERE551"/>
      <c r="ERF551"/>
      <c r="ERG551"/>
      <c r="ERH551"/>
      <c r="ERI551"/>
      <c r="ERJ551"/>
      <c r="ERK551"/>
      <c r="ERL551"/>
      <c r="ERM551"/>
      <c r="ERN551"/>
      <c r="ERO551"/>
      <c r="ERP551"/>
      <c r="ERQ551"/>
      <c r="ERR551"/>
      <c r="ERS551"/>
      <c r="ERT551"/>
      <c r="ERU551"/>
      <c r="ERV551"/>
      <c r="ERW551"/>
      <c r="ERX551"/>
      <c r="ERY551"/>
      <c r="ERZ551"/>
      <c r="ESA551"/>
      <c r="ESB551"/>
      <c r="ESC551"/>
      <c r="ESD551"/>
      <c r="ESE551"/>
      <c r="ESF551"/>
      <c r="ESG551"/>
      <c r="ESH551"/>
      <c r="ESI551"/>
      <c r="ESJ551"/>
      <c r="ESK551"/>
      <c r="ESL551"/>
      <c r="ESM551"/>
      <c r="ESN551"/>
      <c r="ESO551"/>
      <c r="ESP551"/>
      <c r="ESQ551"/>
      <c r="ESR551"/>
      <c r="ESS551"/>
      <c r="EST551"/>
      <c r="ESU551"/>
      <c r="ESV551"/>
      <c r="ESW551"/>
      <c r="ESX551"/>
      <c r="ESY551"/>
      <c r="ESZ551"/>
      <c r="ETA551"/>
      <c r="ETB551"/>
      <c r="ETC551"/>
      <c r="ETD551"/>
      <c r="ETE551"/>
      <c r="ETF551"/>
      <c r="ETG551"/>
      <c r="ETH551"/>
      <c r="ETI551"/>
      <c r="ETJ551"/>
      <c r="ETK551"/>
      <c r="ETL551"/>
      <c r="ETM551"/>
      <c r="ETN551"/>
      <c r="ETO551"/>
      <c r="ETP551"/>
      <c r="ETQ551"/>
      <c r="ETR551"/>
      <c r="ETS551"/>
      <c r="ETT551"/>
      <c r="ETU551"/>
      <c r="ETV551"/>
      <c r="ETW551"/>
      <c r="ETX551"/>
      <c r="ETY551"/>
      <c r="ETZ551"/>
      <c r="EUA551"/>
      <c r="EUB551"/>
      <c r="EUC551"/>
      <c r="EUD551"/>
      <c r="EUE551"/>
      <c r="EUF551"/>
      <c r="EUG551"/>
      <c r="EUH551"/>
      <c r="EUI551"/>
      <c r="EUJ551"/>
      <c r="EUK551"/>
      <c r="EUL551"/>
      <c r="EUM551"/>
      <c r="EUN551"/>
      <c r="EUO551"/>
      <c r="EUP551"/>
      <c r="EUQ551"/>
      <c r="EUR551"/>
      <c r="EUS551"/>
      <c r="EUT551"/>
      <c r="EUU551"/>
      <c r="EUV551"/>
      <c r="EUW551"/>
      <c r="EUX551"/>
      <c r="EUY551"/>
      <c r="EUZ551"/>
      <c r="EVA551"/>
      <c r="EVB551"/>
      <c r="EVC551"/>
      <c r="EVD551"/>
      <c r="EVE551"/>
      <c r="EVF551"/>
      <c r="EVG551"/>
      <c r="EVH551"/>
      <c r="EVI551"/>
      <c r="EVJ551"/>
      <c r="EVK551"/>
      <c r="EVL551"/>
      <c r="EVM551"/>
      <c r="EVN551"/>
      <c r="EVO551"/>
      <c r="EVP551"/>
      <c r="EVQ551"/>
      <c r="EVR551"/>
      <c r="EVS551"/>
      <c r="EVT551"/>
      <c r="EVU551"/>
      <c r="EVV551"/>
      <c r="EVW551"/>
      <c r="EVX551"/>
      <c r="EVY551"/>
      <c r="EVZ551"/>
      <c r="EWA551"/>
      <c r="EWB551"/>
      <c r="EWC551"/>
      <c r="EWD551"/>
      <c r="EWE551"/>
      <c r="EWF551"/>
      <c r="EWG551"/>
      <c r="EWH551"/>
      <c r="EWI551"/>
      <c r="EWJ551"/>
      <c r="EWK551"/>
      <c r="EWL551"/>
      <c r="EWM551"/>
      <c r="EWN551"/>
      <c r="EWO551"/>
      <c r="EWP551"/>
      <c r="EWQ551"/>
      <c r="EWR551"/>
      <c r="EWS551"/>
      <c r="EWT551"/>
      <c r="EWU551"/>
      <c r="EWV551"/>
      <c r="EWW551"/>
      <c r="EWX551"/>
      <c r="EWY551"/>
      <c r="EWZ551"/>
      <c r="EXA551"/>
      <c r="EXB551"/>
      <c r="EXC551"/>
      <c r="EXD551"/>
      <c r="EXE551"/>
      <c r="EXF551"/>
      <c r="EXG551"/>
      <c r="EXH551"/>
      <c r="EXI551"/>
      <c r="EXJ551"/>
      <c r="EXK551"/>
      <c r="EXL551"/>
      <c r="EXM551"/>
      <c r="EXN551"/>
      <c r="EXO551"/>
      <c r="EXP551"/>
      <c r="EXQ551"/>
      <c r="EXR551"/>
      <c r="EXS551"/>
      <c r="EXT551"/>
      <c r="EXU551"/>
      <c r="EXV551"/>
      <c r="EXW551"/>
      <c r="EXX551"/>
      <c r="EXY551"/>
      <c r="EXZ551"/>
      <c r="EYA551"/>
      <c r="EYB551"/>
      <c r="EYC551"/>
      <c r="EYD551"/>
      <c r="EYE551"/>
      <c r="EYF551"/>
      <c r="EYG551"/>
      <c r="EYH551"/>
      <c r="EYI551"/>
      <c r="EYJ551"/>
      <c r="EYK551"/>
      <c r="EYL551"/>
      <c r="EYM551"/>
      <c r="EYN551"/>
      <c r="EYO551"/>
      <c r="EYP551"/>
      <c r="EYQ551"/>
      <c r="EYR551"/>
      <c r="EYS551"/>
      <c r="EYT551"/>
      <c r="EYU551"/>
      <c r="EYV551"/>
      <c r="EYW551"/>
      <c r="EYX551"/>
      <c r="EYY551"/>
      <c r="EYZ551"/>
      <c r="EZA551"/>
      <c r="EZB551"/>
      <c r="EZC551"/>
      <c r="EZD551"/>
      <c r="EZE551"/>
      <c r="EZF551"/>
      <c r="EZG551"/>
      <c r="EZH551"/>
      <c r="EZI551"/>
      <c r="EZJ551"/>
      <c r="EZK551"/>
      <c r="EZL551"/>
      <c r="EZM551"/>
      <c r="EZN551"/>
      <c r="EZO551"/>
      <c r="EZP551"/>
      <c r="EZQ551"/>
      <c r="EZR551"/>
      <c r="EZS551"/>
      <c r="EZT551"/>
      <c r="EZU551"/>
      <c r="EZV551"/>
      <c r="EZW551"/>
      <c r="EZX551"/>
      <c r="EZY551"/>
      <c r="EZZ551"/>
      <c r="FAA551"/>
      <c r="FAB551"/>
      <c r="FAC551"/>
      <c r="FAD551"/>
      <c r="FAE551"/>
      <c r="FAF551"/>
      <c r="FAG551"/>
      <c r="FAH551"/>
      <c r="FAI551"/>
      <c r="FAJ551"/>
      <c r="FAK551"/>
      <c r="FAL551"/>
      <c r="FAM551"/>
      <c r="FAN551"/>
      <c r="FAO551"/>
      <c r="FAP551"/>
      <c r="FAQ551"/>
      <c r="FAR551"/>
      <c r="FAS551"/>
      <c r="FAT551"/>
      <c r="FAU551"/>
      <c r="FAV551"/>
      <c r="FAW551"/>
      <c r="FAX551"/>
      <c r="FAY551"/>
      <c r="FAZ551"/>
      <c r="FBA551"/>
      <c r="FBB551"/>
      <c r="FBC551"/>
      <c r="FBD551"/>
      <c r="FBE551"/>
      <c r="FBF551"/>
      <c r="FBG551"/>
      <c r="FBH551"/>
      <c r="FBI551"/>
      <c r="FBJ551"/>
      <c r="FBK551"/>
      <c r="FBL551"/>
      <c r="FBM551"/>
      <c r="FBN551"/>
      <c r="FBO551"/>
      <c r="FBP551"/>
      <c r="FBQ551"/>
      <c r="FBR551"/>
      <c r="FBS551"/>
      <c r="FBT551"/>
      <c r="FBU551"/>
      <c r="FBV551"/>
      <c r="FBW551"/>
      <c r="FBX551"/>
      <c r="FBY551"/>
      <c r="FBZ551"/>
      <c r="FCA551"/>
      <c r="FCB551"/>
      <c r="FCC551"/>
      <c r="FCD551"/>
      <c r="FCE551"/>
      <c r="FCF551"/>
      <c r="FCG551"/>
      <c r="FCH551"/>
      <c r="FCI551"/>
      <c r="FCJ551"/>
      <c r="FCK551"/>
      <c r="FCL551"/>
      <c r="FCM551"/>
      <c r="FCN551"/>
      <c r="FCO551"/>
      <c r="FCP551"/>
      <c r="FCQ551"/>
      <c r="FCR551"/>
      <c r="FCS551"/>
      <c r="FCT551"/>
      <c r="FCU551"/>
      <c r="FCV551"/>
      <c r="FCW551"/>
      <c r="FCX551"/>
      <c r="FCY551"/>
      <c r="FCZ551"/>
      <c r="FDA551"/>
      <c r="FDB551"/>
      <c r="FDC551"/>
      <c r="FDD551"/>
      <c r="FDE551"/>
      <c r="FDF551"/>
      <c r="FDG551"/>
      <c r="FDH551"/>
      <c r="FDI551"/>
      <c r="FDJ551"/>
      <c r="FDK551"/>
      <c r="FDL551"/>
      <c r="FDM551"/>
      <c r="FDN551"/>
      <c r="FDO551"/>
      <c r="FDP551"/>
      <c r="FDQ551"/>
      <c r="FDR551"/>
      <c r="FDS551"/>
      <c r="FDT551"/>
      <c r="FDU551"/>
      <c r="FDV551"/>
      <c r="FDW551"/>
      <c r="FDX551"/>
      <c r="FDY551"/>
      <c r="FDZ551"/>
      <c r="FEA551"/>
      <c r="FEB551"/>
      <c r="FEC551"/>
      <c r="FED551"/>
      <c r="FEE551"/>
      <c r="FEF551"/>
      <c r="FEG551"/>
      <c r="FEH551"/>
      <c r="FEI551"/>
      <c r="FEJ551"/>
      <c r="FEK551"/>
      <c r="FEL551"/>
      <c r="FEM551"/>
      <c r="FEN551"/>
      <c r="FEO551"/>
      <c r="FEP551"/>
      <c r="FEQ551"/>
      <c r="FER551"/>
      <c r="FES551"/>
      <c r="FET551"/>
      <c r="FEU551"/>
      <c r="FEV551"/>
      <c r="FEW551"/>
      <c r="FEX551"/>
      <c r="FEY551"/>
      <c r="FEZ551"/>
      <c r="FFA551"/>
      <c r="FFB551"/>
      <c r="FFC551"/>
      <c r="FFD551"/>
      <c r="FFE551"/>
      <c r="FFF551"/>
      <c r="FFG551"/>
      <c r="FFH551"/>
      <c r="FFI551"/>
      <c r="FFJ551"/>
      <c r="FFK551"/>
      <c r="FFL551"/>
      <c r="FFM551"/>
      <c r="FFN551"/>
      <c r="FFO551"/>
      <c r="FFP551"/>
      <c r="FFQ551"/>
      <c r="FFR551"/>
      <c r="FFS551"/>
      <c r="FFT551"/>
      <c r="FFU551"/>
      <c r="FFV551"/>
      <c r="FFW551"/>
      <c r="FFX551"/>
      <c r="FFY551"/>
      <c r="FFZ551"/>
      <c r="FGA551"/>
      <c r="FGB551"/>
      <c r="FGC551"/>
      <c r="FGD551"/>
      <c r="FGE551"/>
      <c r="FGF551"/>
      <c r="FGG551"/>
      <c r="FGH551"/>
      <c r="FGI551"/>
      <c r="FGJ551"/>
      <c r="FGK551"/>
      <c r="FGL551"/>
      <c r="FGM551"/>
      <c r="FGN551"/>
      <c r="FGO551"/>
      <c r="FGP551"/>
      <c r="FGQ551"/>
      <c r="FGR551"/>
      <c r="FGS551"/>
      <c r="FGT551"/>
      <c r="FGU551"/>
      <c r="FGV551"/>
      <c r="FGW551"/>
      <c r="FGX551"/>
      <c r="FGY551"/>
      <c r="FGZ551"/>
      <c r="FHA551"/>
      <c r="FHB551"/>
      <c r="FHC551"/>
      <c r="FHD551"/>
      <c r="FHE551"/>
      <c r="FHF551"/>
      <c r="FHG551"/>
      <c r="FHH551"/>
      <c r="FHI551"/>
      <c r="FHJ551"/>
      <c r="FHK551"/>
      <c r="FHL551"/>
      <c r="FHM551"/>
      <c r="FHN551"/>
      <c r="FHO551"/>
      <c r="FHP551"/>
      <c r="FHQ551"/>
      <c r="FHR551"/>
      <c r="FHS551"/>
      <c r="FHT551"/>
      <c r="FHU551"/>
      <c r="FHV551"/>
      <c r="FHW551"/>
      <c r="FHX551"/>
      <c r="FHY551"/>
      <c r="FHZ551"/>
      <c r="FIA551"/>
      <c r="FIB551"/>
      <c r="FIC551"/>
      <c r="FID551"/>
      <c r="FIE551"/>
      <c r="FIF551"/>
      <c r="FIG551"/>
      <c r="FIH551"/>
      <c r="FII551"/>
      <c r="FIJ551"/>
      <c r="FIK551"/>
      <c r="FIL551"/>
      <c r="FIM551"/>
      <c r="FIN551"/>
      <c r="FIO551"/>
      <c r="FIP551"/>
      <c r="FIQ551"/>
      <c r="FIR551"/>
      <c r="FIS551"/>
      <c r="FIT551"/>
      <c r="FIU551"/>
      <c r="FIV551"/>
      <c r="FIW551"/>
      <c r="FIX551"/>
      <c r="FIY551"/>
      <c r="FIZ551"/>
      <c r="FJA551"/>
      <c r="FJB551"/>
      <c r="FJC551"/>
      <c r="FJD551"/>
      <c r="FJE551"/>
      <c r="FJF551"/>
      <c r="FJG551"/>
      <c r="FJH551"/>
      <c r="FJI551"/>
      <c r="FJJ551"/>
      <c r="FJK551"/>
      <c r="FJL551"/>
      <c r="FJM551"/>
      <c r="FJN551"/>
      <c r="FJO551"/>
      <c r="FJP551"/>
      <c r="FJQ551"/>
      <c r="FJR551"/>
      <c r="FJS551"/>
      <c r="FJT551"/>
      <c r="FJU551"/>
      <c r="FJV551"/>
      <c r="FJW551"/>
      <c r="FJX551"/>
      <c r="FJY551"/>
      <c r="FJZ551"/>
      <c r="FKA551"/>
      <c r="FKB551"/>
      <c r="FKC551"/>
      <c r="FKD551"/>
      <c r="FKE551"/>
      <c r="FKF551"/>
      <c r="FKG551"/>
      <c r="FKH551"/>
      <c r="FKI551"/>
      <c r="FKJ551"/>
      <c r="FKK551"/>
      <c r="FKL551"/>
      <c r="FKM551"/>
      <c r="FKN551"/>
      <c r="FKO551"/>
      <c r="FKP551"/>
      <c r="FKQ551"/>
      <c r="FKR551"/>
      <c r="FKS551"/>
      <c r="FKT551"/>
      <c r="FKU551"/>
      <c r="FKV551"/>
      <c r="FKW551"/>
      <c r="FKX551"/>
      <c r="FKY551"/>
      <c r="FKZ551"/>
      <c r="FLA551"/>
      <c r="FLB551"/>
      <c r="FLC551"/>
      <c r="FLD551"/>
      <c r="FLE551"/>
      <c r="FLF551"/>
      <c r="FLG551"/>
      <c r="FLH551"/>
      <c r="FLI551"/>
      <c r="FLJ551"/>
      <c r="FLK551"/>
      <c r="FLL551"/>
      <c r="FLM551"/>
      <c r="FLN551"/>
      <c r="FLO551"/>
      <c r="FLP551"/>
      <c r="FLQ551"/>
      <c r="FLR551"/>
      <c r="FLS551"/>
      <c r="FLT551"/>
      <c r="FLU551"/>
      <c r="FLV551"/>
      <c r="FLW551"/>
      <c r="FLX551"/>
      <c r="FLY551"/>
      <c r="FLZ551"/>
      <c r="FMA551"/>
      <c r="FMB551"/>
      <c r="FMC551"/>
      <c r="FMD551"/>
      <c r="FME551"/>
      <c r="FMF551"/>
      <c r="FMG551"/>
      <c r="FMH551"/>
      <c r="FMI551"/>
      <c r="FMJ551"/>
      <c r="FMK551"/>
      <c r="FML551"/>
      <c r="FMM551"/>
      <c r="FMN551"/>
      <c r="FMO551"/>
      <c r="FMP551"/>
      <c r="FMQ551"/>
      <c r="FMR551"/>
      <c r="FMS551"/>
      <c r="FMT551"/>
      <c r="FMU551"/>
      <c r="FMV551"/>
      <c r="FMW551"/>
      <c r="FMX551"/>
      <c r="FMY551"/>
      <c r="FMZ551"/>
      <c r="FNA551"/>
      <c r="FNB551"/>
      <c r="FNC551"/>
      <c r="FND551"/>
      <c r="FNE551"/>
      <c r="FNF551"/>
      <c r="FNG551"/>
      <c r="FNH551"/>
      <c r="FNI551"/>
      <c r="FNJ551"/>
      <c r="FNK551"/>
      <c r="FNL551"/>
      <c r="FNM551"/>
      <c r="FNN551"/>
      <c r="FNO551"/>
      <c r="FNP551"/>
      <c r="FNQ551"/>
      <c r="FNR551"/>
      <c r="FNS551"/>
      <c r="FNT551"/>
      <c r="FNU551"/>
      <c r="FNV551"/>
      <c r="FNW551"/>
      <c r="FNX551"/>
      <c r="FNY551"/>
      <c r="FNZ551"/>
      <c r="FOA551"/>
      <c r="FOB551"/>
      <c r="FOC551"/>
      <c r="FOD551"/>
      <c r="FOE551"/>
      <c r="FOF551"/>
      <c r="FOG551"/>
      <c r="FOH551"/>
      <c r="FOI551"/>
      <c r="FOJ551"/>
      <c r="FOK551"/>
      <c r="FOL551"/>
      <c r="FOM551"/>
      <c r="FON551"/>
      <c r="FOO551"/>
      <c r="FOP551"/>
      <c r="FOQ551"/>
      <c r="FOR551"/>
      <c r="FOS551"/>
      <c r="FOT551"/>
      <c r="FOU551"/>
      <c r="FOV551"/>
      <c r="FOW551"/>
      <c r="FOX551"/>
      <c r="FOY551"/>
      <c r="FOZ551"/>
      <c r="FPA551"/>
      <c r="FPB551"/>
      <c r="FPC551"/>
      <c r="FPD551"/>
      <c r="FPE551"/>
      <c r="FPF551"/>
      <c r="FPG551"/>
      <c r="FPH551"/>
      <c r="FPI551"/>
      <c r="FPJ551"/>
      <c r="FPK551"/>
      <c r="FPL551"/>
      <c r="FPM551"/>
      <c r="FPN551"/>
      <c r="FPO551"/>
      <c r="FPP551"/>
      <c r="FPQ551"/>
      <c r="FPR551"/>
      <c r="FPS551"/>
      <c r="FPT551"/>
      <c r="FPU551"/>
      <c r="FPV551"/>
      <c r="FPW551"/>
      <c r="FPX551"/>
      <c r="FPY551"/>
      <c r="FPZ551"/>
      <c r="FQA551"/>
      <c r="FQB551"/>
      <c r="FQC551"/>
      <c r="FQD551"/>
      <c r="FQE551"/>
      <c r="FQF551"/>
      <c r="FQG551"/>
      <c r="FQH551"/>
      <c r="FQI551"/>
      <c r="FQJ551"/>
      <c r="FQK551"/>
      <c r="FQL551"/>
      <c r="FQM551"/>
      <c r="FQN551"/>
      <c r="FQO551"/>
      <c r="FQP551"/>
      <c r="FQQ551"/>
      <c r="FQR551"/>
      <c r="FQS551"/>
      <c r="FQT551"/>
      <c r="FQU551"/>
      <c r="FQV551"/>
      <c r="FQW551"/>
      <c r="FQX551"/>
      <c r="FQY551"/>
      <c r="FQZ551"/>
      <c r="FRA551"/>
      <c r="FRB551"/>
      <c r="FRC551"/>
      <c r="FRD551"/>
      <c r="FRE551"/>
      <c r="FRF551"/>
      <c r="FRG551"/>
      <c r="FRH551"/>
      <c r="FRI551"/>
      <c r="FRJ551"/>
      <c r="FRK551"/>
      <c r="FRL551"/>
      <c r="FRM551"/>
      <c r="FRN551"/>
      <c r="FRO551"/>
      <c r="FRP551"/>
      <c r="FRQ551"/>
      <c r="FRR551"/>
      <c r="FRS551"/>
      <c r="FRT551"/>
      <c r="FRU551"/>
      <c r="FRV551"/>
      <c r="FRW551"/>
      <c r="FRX551"/>
      <c r="FRY551"/>
      <c r="FRZ551"/>
      <c r="FSA551"/>
      <c r="FSB551"/>
      <c r="FSC551"/>
      <c r="FSD551"/>
      <c r="FSE551"/>
      <c r="FSF551"/>
      <c r="FSG551"/>
      <c r="FSH551"/>
      <c r="FSI551"/>
      <c r="FSJ551"/>
      <c r="FSK551"/>
      <c r="FSL551"/>
      <c r="FSM551"/>
      <c r="FSN551"/>
      <c r="FSO551"/>
      <c r="FSP551"/>
      <c r="FSQ551"/>
      <c r="FSR551"/>
      <c r="FSS551"/>
      <c r="FST551"/>
      <c r="FSU551"/>
      <c r="FSV551"/>
      <c r="FSW551"/>
      <c r="FSX551"/>
      <c r="FSY551"/>
      <c r="FSZ551"/>
      <c r="FTA551"/>
      <c r="FTB551"/>
      <c r="FTC551"/>
      <c r="FTD551"/>
      <c r="FTE551"/>
      <c r="FTF551"/>
      <c r="FTG551"/>
      <c r="FTH551"/>
      <c r="FTI551"/>
      <c r="FTJ551"/>
      <c r="FTK551"/>
      <c r="FTL551"/>
      <c r="FTM551"/>
      <c r="FTN551"/>
      <c r="FTO551"/>
      <c r="FTP551"/>
      <c r="FTQ551"/>
      <c r="FTR551"/>
      <c r="FTS551"/>
      <c r="FTT551"/>
      <c r="FTU551"/>
      <c r="FTV551"/>
      <c r="FTW551"/>
      <c r="FTX551"/>
      <c r="FTY551"/>
      <c r="FTZ551"/>
      <c r="FUA551"/>
      <c r="FUB551"/>
      <c r="FUC551"/>
      <c r="FUD551"/>
      <c r="FUE551"/>
      <c r="FUF551"/>
      <c r="FUG551"/>
      <c r="FUH551"/>
      <c r="FUI551"/>
      <c r="FUJ551"/>
      <c r="FUK551"/>
      <c r="FUL551"/>
      <c r="FUM551"/>
      <c r="FUN551"/>
      <c r="FUO551"/>
      <c r="FUP551"/>
      <c r="FUQ551"/>
      <c r="FUR551"/>
      <c r="FUS551"/>
      <c r="FUT551"/>
      <c r="FUU551"/>
      <c r="FUV551"/>
      <c r="FUW551"/>
      <c r="FUX551"/>
      <c r="FUY551"/>
      <c r="FUZ551"/>
      <c r="FVA551"/>
      <c r="FVB551"/>
      <c r="FVC551"/>
      <c r="FVD551"/>
      <c r="FVE551"/>
      <c r="FVF551"/>
      <c r="FVG551"/>
      <c r="FVH551"/>
      <c r="FVI551"/>
      <c r="FVJ551"/>
      <c r="FVK551"/>
      <c r="FVL551"/>
      <c r="FVM551"/>
      <c r="FVN551"/>
      <c r="FVO551"/>
      <c r="FVP551"/>
      <c r="FVQ551"/>
      <c r="FVR551"/>
      <c r="FVS551"/>
      <c r="FVT551"/>
      <c r="FVU551"/>
      <c r="FVV551"/>
      <c r="FVW551"/>
      <c r="FVX551"/>
      <c r="FVY551"/>
      <c r="FVZ551"/>
      <c r="FWA551"/>
      <c r="FWB551"/>
      <c r="FWC551"/>
      <c r="FWD551"/>
      <c r="FWE551"/>
      <c r="FWF551"/>
      <c r="FWG551"/>
      <c r="FWH551"/>
      <c r="FWI551"/>
      <c r="FWJ551"/>
      <c r="FWK551"/>
      <c r="FWL551"/>
      <c r="FWM551"/>
      <c r="FWN551"/>
      <c r="FWO551"/>
      <c r="FWP551"/>
      <c r="FWQ551"/>
      <c r="FWR551"/>
      <c r="FWS551"/>
      <c r="FWT551"/>
      <c r="FWU551"/>
      <c r="FWV551"/>
      <c r="FWW551"/>
      <c r="FWX551"/>
      <c r="FWY551"/>
      <c r="FWZ551"/>
      <c r="FXA551"/>
      <c r="FXB551"/>
      <c r="FXC551"/>
      <c r="FXD551"/>
      <c r="FXE551"/>
      <c r="FXF551"/>
      <c r="FXG551"/>
      <c r="FXH551"/>
      <c r="FXI551"/>
      <c r="FXJ551"/>
      <c r="FXK551"/>
      <c r="FXL551"/>
      <c r="FXM551"/>
      <c r="FXN551"/>
      <c r="FXO551"/>
      <c r="FXP551"/>
      <c r="FXQ551"/>
      <c r="FXR551"/>
      <c r="FXS551"/>
      <c r="FXT551"/>
      <c r="FXU551"/>
      <c r="FXV551"/>
      <c r="FXW551"/>
      <c r="FXX551"/>
      <c r="FXY551"/>
      <c r="FXZ551"/>
      <c r="FYA551"/>
      <c r="FYB551"/>
      <c r="FYC551"/>
      <c r="FYD551"/>
      <c r="FYE551"/>
      <c r="FYF551"/>
      <c r="FYG551"/>
      <c r="FYH551"/>
      <c r="FYI551"/>
      <c r="FYJ551"/>
      <c r="FYK551"/>
      <c r="FYL551"/>
      <c r="FYM551"/>
      <c r="FYN551"/>
      <c r="FYO551"/>
      <c r="FYP551"/>
      <c r="FYQ551"/>
      <c r="FYR551"/>
      <c r="FYS551"/>
      <c r="FYT551"/>
      <c r="FYU551"/>
      <c r="FYV551"/>
      <c r="FYW551"/>
      <c r="FYX551"/>
      <c r="FYY551"/>
      <c r="FYZ551"/>
      <c r="FZA551"/>
      <c r="FZB551"/>
      <c r="FZC551"/>
      <c r="FZD551"/>
      <c r="FZE551"/>
      <c r="FZF551"/>
      <c r="FZG551"/>
      <c r="FZH551"/>
      <c r="FZI551"/>
      <c r="FZJ551"/>
      <c r="FZK551"/>
      <c r="FZL551"/>
      <c r="FZM551"/>
      <c r="FZN551"/>
      <c r="FZO551"/>
      <c r="FZP551"/>
      <c r="FZQ551"/>
      <c r="FZR551"/>
      <c r="FZS551"/>
      <c r="FZT551"/>
      <c r="FZU551"/>
      <c r="FZV551"/>
      <c r="FZW551"/>
      <c r="FZX551"/>
      <c r="FZY551"/>
      <c r="FZZ551"/>
      <c r="GAA551"/>
      <c r="GAB551"/>
      <c r="GAC551"/>
      <c r="GAD551"/>
      <c r="GAE551"/>
      <c r="GAF551"/>
      <c r="GAG551"/>
      <c r="GAH551"/>
      <c r="GAI551"/>
      <c r="GAJ551"/>
      <c r="GAK551"/>
      <c r="GAL551"/>
      <c r="GAM551"/>
      <c r="GAN551"/>
      <c r="GAO551"/>
      <c r="GAP551"/>
      <c r="GAQ551"/>
      <c r="GAR551"/>
      <c r="GAS551"/>
      <c r="GAT551"/>
      <c r="GAU551"/>
      <c r="GAV551"/>
      <c r="GAW551"/>
      <c r="GAX551"/>
      <c r="GAY551"/>
      <c r="GAZ551"/>
      <c r="GBA551"/>
      <c r="GBB551"/>
      <c r="GBC551"/>
      <c r="GBD551"/>
      <c r="GBE551"/>
      <c r="GBF551"/>
      <c r="GBG551"/>
      <c r="GBH551"/>
      <c r="GBI551"/>
      <c r="GBJ551"/>
      <c r="GBK551"/>
      <c r="GBL551"/>
      <c r="GBM551"/>
      <c r="GBN551"/>
      <c r="GBO551"/>
      <c r="GBP551"/>
      <c r="GBQ551"/>
      <c r="GBR551"/>
      <c r="GBS551"/>
      <c r="GBT551"/>
      <c r="GBU551"/>
      <c r="GBV551"/>
      <c r="GBW551"/>
      <c r="GBX551"/>
      <c r="GBY551"/>
      <c r="GBZ551"/>
      <c r="GCA551"/>
      <c r="GCB551"/>
      <c r="GCC551"/>
      <c r="GCD551"/>
      <c r="GCE551"/>
      <c r="GCF551"/>
      <c r="GCG551"/>
      <c r="GCH551"/>
      <c r="GCI551"/>
      <c r="GCJ551"/>
      <c r="GCK551"/>
      <c r="GCL551"/>
      <c r="GCM551"/>
      <c r="GCN551"/>
      <c r="GCO551"/>
      <c r="GCP551"/>
      <c r="GCQ551"/>
      <c r="GCR551"/>
      <c r="GCS551"/>
      <c r="GCT551"/>
      <c r="GCU551"/>
      <c r="GCV551"/>
      <c r="GCW551"/>
      <c r="GCX551"/>
      <c r="GCY551"/>
      <c r="GCZ551"/>
      <c r="GDA551"/>
      <c r="GDB551"/>
      <c r="GDC551"/>
      <c r="GDD551"/>
      <c r="GDE551"/>
      <c r="GDF551"/>
      <c r="GDG551"/>
      <c r="GDH551"/>
      <c r="GDI551"/>
      <c r="GDJ551"/>
      <c r="GDK551"/>
      <c r="GDL551"/>
      <c r="GDM551"/>
      <c r="GDN551"/>
      <c r="GDO551"/>
      <c r="GDP551"/>
      <c r="GDQ551"/>
      <c r="GDR551"/>
      <c r="GDS551"/>
      <c r="GDT551"/>
      <c r="GDU551"/>
      <c r="GDV551"/>
      <c r="GDW551"/>
      <c r="GDX551"/>
      <c r="GDY551"/>
      <c r="GDZ551"/>
      <c r="GEA551"/>
      <c r="GEB551"/>
      <c r="GEC551"/>
      <c r="GED551"/>
      <c r="GEE551"/>
      <c r="GEF551"/>
      <c r="GEG551"/>
      <c r="GEH551"/>
      <c r="GEI551"/>
      <c r="GEJ551"/>
      <c r="GEK551"/>
      <c r="GEL551"/>
      <c r="GEM551"/>
      <c r="GEN551"/>
      <c r="GEO551"/>
      <c r="GEP551"/>
      <c r="GEQ551"/>
      <c r="GER551"/>
      <c r="GES551"/>
      <c r="GET551"/>
      <c r="GEU551"/>
      <c r="GEV551"/>
      <c r="GEW551"/>
      <c r="GEX551"/>
      <c r="GEY551"/>
      <c r="GEZ551"/>
      <c r="GFA551"/>
      <c r="GFB551"/>
      <c r="GFC551"/>
      <c r="GFD551"/>
      <c r="GFE551"/>
      <c r="GFF551"/>
      <c r="GFG551"/>
      <c r="GFH551"/>
      <c r="GFI551"/>
      <c r="GFJ551"/>
      <c r="GFK551"/>
      <c r="GFL551"/>
      <c r="GFM551"/>
      <c r="GFN551"/>
      <c r="GFO551"/>
      <c r="GFP551"/>
      <c r="GFQ551"/>
      <c r="GFR551"/>
      <c r="GFS551"/>
      <c r="GFT551"/>
      <c r="GFU551"/>
      <c r="GFV551"/>
      <c r="GFW551"/>
      <c r="GFX551"/>
      <c r="GFY551"/>
      <c r="GFZ551"/>
      <c r="GGA551"/>
      <c r="GGB551"/>
      <c r="GGC551"/>
      <c r="GGD551"/>
      <c r="GGE551"/>
      <c r="GGF551"/>
      <c r="GGG551"/>
      <c r="GGH551"/>
      <c r="GGI551"/>
      <c r="GGJ551"/>
      <c r="GGK551"/>
      <c r="GGL551"/>
      <c r="GGM551"/>
      <c r="GGN551"/>
      <c r="GGO551"/>
      <c r="GGP551"/>
      <c r="GGQ551"/>
      <c r="GGR551"/>
      <c r="GGS551"/>
      <c r="GGT551"/>
      <c r="GGU551"/>
      <c r="GGV551"/>
      <c r="GGW551"/>
      <c r="GGX551"/>
      <c r="GGY551"/>
      <c r="GGZ551"/>
      <c r="GHA551"/>
      <c r="GHB551"/>
      <c r="GHC551"/>
      <c r="GHD551"/>
      <c r="GHE551"/>
      <c r="GHF551"/>
      <c r="GHG551"/>
      <c r="GHH551"/>
      <c r="GHI551"/>
      <c r="GHJ551"/>
      <c r="GHK551"/>
      <c r="GHL551"/>
      <c r="GHM551"/>
      <c r="GHN551"/>
      <c r="GHO551"/>
      <c r="GHP551"/>
      <c r="GHQ551"/>
      <c r="GHR551"/>
      <c r="GHS551"/>
      <c r="GHT551"/>
      <c r="GHU551"/>
      <c r="GHV551"/>
      <c r="GHW551"/>
      <c r="GHX551"/>
      <c r="GHY551"/>
      <c r="GHZ551"/>
      <c r="GIA551"/>
      <c r="GIB551"/>
      <c r="GIC551"/>
      <c r="GID551"/>
      <c r="GIE551"/>
      <c r="GIF551"/>
      <c r="GIG551"/>
      <c r="GIH551"/>
      <c r="GII551"/>
      <c r="GIJ551"/>
      <c r="GIK551"/>
      <c r="GIL551"/>
      <c r="GIM551"/>
      <c r="GIN551"/>
      <c r="GIO551"/>
      <c r="GIP551"/>
      <c r="GIQ551"/>
      <c r="GIR551"/>
      <c r="GIS551"/>
      <c r="GIT551"/>
      <c r="GIU551"/>
      <c r="GIV551"/>
      <c r="GIW551"/>
      <c r="GIX551"/>
      <c r="GIY551"/>
      <c r="GIZ551"/>
      <c r="GJA551"/>
      <c r="GJB551"/>
      <c r="GJC551"/>
      <c r="GJD551"/>
      <c r="GJE551"/>
      <c r="GJF551"/>
      <c r="GJG551"/>
      <c r="GJH551"/>
      <c r="GJI551"/>
      <c r="GJJ551"/>
      <c r="GJK551"/>
      <c r="GJL551"/>
      <c r="GJM551"/>
      <c r="GJN551"/>
      <c r="GJO551"/>
      <c r="GJP551"/>
      <c r="GJQ551"/>
      <c r="GJR551"/>
      <c r="GJS551"/>
      <c r="GJT551"/>
      <c r="GJU551"/>
      <c r="GJV551"/>
      <c r="GJW551"/>
      <c r="GJX551"/>
      <c r="GJY551"/>
      <c r="GJZ551"/>
      <c r="GKA551"/>
      <c r="GKB551"/>
      <c r="GKC551"/>
      <c r="GKD551"/>
      <c r="GKE551"/>
      <c r="GKF551"/>
      <c r="GKG551"/>
      <c r="GKH551"/>
      <c r="GKI551"/>
      <c r="GKJ551"/>
      <c r="GKK551"/>
      <c r="GKL551"/>
      <c r="GKM551"/>
      <c r="GKN551"/>
      <c r="GKO551"/>
      <c r="GKP551"/>
      <c r="GKQ551"/>
      <c r="GKR551"/>
      <c r="GKS551"/>
      <c r="GKT551"/>
      <c r="GKU551"/>
      <c r="GKV551"/>
      <c r="GKW551"/>
      <c r="GKX551"/>
      <c r="GKY551"/>
      <c r="GKZ551"/>
      <c r="GLA551"/>
      <c r="GLB551"/>
      <c r="GLC551"/>
      <c r="GLD551"/>
      <c r="GLE551"/>
      <c r="GLF551"/>
      <c r="GLG551"/>
      <c r="GLH551"/>
      <c r="GLI551"/>
      <c r="GLJ551"/>
      <c r="GLK551"/>
      <c r="GLL551"/>
      <c r="GLM551"/>
      <c r="GLN551"/>
      <c r="GLO551"/>
      <c r="GLP551"/>
      <c r="GLQ551"/>
      <c r="GLR551"/>
      <c r="GLS551"/>
      <c r="GLT551"/>
      <c r="GLU551"/>
      <c r="GLV551"/>
      <c r="GLW551"/>
      <c r="GLX551"/>
      <c r="GLY551"/>
      <c r="GLZ551"/>
      <c r="GMA551"/>
      <c r="GMB551"/>
      <c r="GMC551"/>
      <c r="GMD551"/>
      <c r="GME551"/>
      <c r="GMF551"/>
      <c r="GMG551"/>
      <c r="GMH551"/>
      <c r="GMI551"/>
      <c r="GMJ551"/>
      <c r="GMK551"/>
      <c r="GML551"/>
      <c r="GMM551"/>
      <c r="GMN551"/>
      <c r="GMO551"/>
      <c r="GMP551"/>
      <c r="GMQ551"/>
      <c r="GMR551"/>
      <c r="GMS551"/>
      <c r="GMT551"/>
      <c r="GMU551"/>
      <c r="GMV551"/>
      <c r="GMW551"/>
      <c r="GMX551"/>
      <c r="GMY551"/>
      <c r="GMZ551"/>
      <c r="GNA551"/>
      <c r="GNB551"/>
      <c r="GNC551"/>
      <c r="GND551"/>
      <c r="GNE551"/>
      <c r="GNF551"/>
      <c r="GNG551"/>
      <c r="GNH551"/>
      <c r="GNI551"/>
      <c r="GNJ551"/>
      <c r="GNK551"/>
      <c r="GNL551"/>
      <c r="GNM551"/>
      <c r="GNN551"/>
      <c r="GNO551"/>
      <c r="GNP551"/>
      <c r="GNQ551"/>
      <c r="GNR551"/>
      <c r="GNS551"/>
      <c r="GNT551"/>
      <c r="GNU551"/>
      <c r="GNV551"/>
      <c r="GNW551"/>
      <c r="GNX551"/>
      <c r="GNY551"/>
      <c r="GNZ551"/>
      <c r="GOA551"/>
      <c r="GOB551"/>
      <c r="GOC551"/>
      <c r="GOD551"/>
      <c r="GOE551"/>
      <c r="GOF551"/>
      <c r="GOG551"/>
      <c r="GOH551"/>
      <c r="GOI551"/>
      <c r="GOJ551"/>
      <c r="GOK551"/>
      <c r="GOL551"/>
      <c r="GOM551"/>
      <c r="GON551"/>
      <c r="GOO551"/>
      <c r="GOP551"/>
      <c r="GOQ551"/>
      <c r="GOR551"/>
      <c r="GOS551"/>
      <c r="GOT551"/>
      <c r="GOU551"/>
      <c r="GOV551"/>
      <c r="GOW551"/>
      <c r="GOX551"/>
      <c r="GOY551"/>
      <c r="GOZ551"/>
      <c r="GPA551"/>
      <c r="GPB551"/>
      <c r="GPC551"/>
      <c r="GPD551"/>
      <c r="GPE551"/>
      <c r="GPF551"/>
      <c r="GPG551"/>
      <c r="GPH551"/>
      <c r="GPI551"/>
      <c r="GPJ551"/>
      <c r="GPK551"/>
      <c r="GPL551"/>
      <c r="GPM551"/>
      <c r="GPN551"/>
      <c r="GPO551"/>
      <c r="GPP551"/>
      <c r="GPQ551"/>
      <c r="GPR551"/>
      <c r="GPS551"/>
      <c r="GPT551"/>
      <c r="GPU551"/>
      <c r="GPV551"/>
      <c r="GPW551"/>
      <c r="GPX551"/>
      <c r="GPY551"/>
      <c r="GPZ551"/>
      <c r="GQA551"/>
      <c r="GQB551"/>
      <c r="GQC551"/>
      <c r="GQD551"/>
      <c r="GQE551"/>
      <c r="GQF551"/>
      <c r="GQG551"/>
      <c r="GQH551"/>
      <c r="GQI551"/>
      <c r="GQJ551"/>
      <c r="GQK551"/>
      <c r="GQL551"/>
      <c r="GQM551"/>
      <c r="GQN551"/>
      <c r="GQO551"/>
      <c r="GQP551"/>
      <c r="GQQ551"/>
      <c r="GQR551"/>
      <c r="GQS551"/>
      <c r="GQT551"/>
      <c r="GQU551"/>
      <c r="GQV551"/>
      <c r="GQW551"/>
      <c r="GQX551"/>
      <c r="GQY551"/>
      <c r="GQZ551"/>
      <c r="GRA551"/>
      <c r="GRB551"/>
      <c r="GRC551"/>
      <c r="GRD551"/>
      <c r="GRE551"/>
      <c r="GRF551"/>
      <c r="GRG551"/>
      <c r="GRH551"/>
      <c r="GRI551"/>
      <c r="GRJ551"/>
      <c r="GRK551"/>
      <c r="GRL551"/>
      <c r="GRM551"/>
      <c r="GRN551"/>
      <c r="GRO551"/>
      <c r="GRP551"/>
      <c r="GRQ551"/>
      <c r="GRR551"/>
      <c r="GRS551"/>
      <c r="GRT551"/>
      <c r="GRU551"/>
      <c r="GRV551"/>
      <c r="GRW551"/>
      <c r="GRX551"/>
      <c r="GRY551"/>
      <c r="GRZ551"/>
      <c r="GSA551"/>
      <c r="GSB551"/>
      <c r="GSC551"/>
      <c r="GSD551"/>
      <c r="GSE551"/>
      <c r="GSF551"/>
      <c r="GSG551"/>
      <c r="GSH551"/>
      <c r="GSI551"/>
      <c r="GSJ551"/>
      <c r="GSK551"/>
      <c r="GSL551"/>
      <c r="GSM551"/>
      <c r="GSN551"/>
      <c r="GSO551"/>
      <c r="GSP551"/>
      <c r="GSQ551"/>
      <c r="GSR551"/>
      <c r="GSS551"/>
      <c r="GST551"/>
      <c r="GSU551"/>
      <c r="GSV551"/>
      <c r="GSW551"/>
      <c r="GSX551"/>
      <c r="GSY551"/>
      <c r="GSZ551"/>
      <c r="GTA551"/>
      <c r="GTB551"/>
      <c r="GTC551"/>
      <c r="GTD551"/>
      <c r="GTE551"/>
      <c r="GTF551"/>
      <c r="GTG551"/>
      <c r="GTH551"/>
      <c r="GTI551"/>
      <c r="GTJ551"/>
      <c r="GTK551"/>
      <c r="GTL551"/>
      <c r="GTM551"/>
      <c r="GTN551"/>
      <c r="GTO551"/>
      <c r="GTP551"/>
      <c r="GTQ551"/>
      <c r="GTR551"/>
      <c r="GTS551"/>
      <c r="GTT551"/>
      <c r="GTU551"/>
      <c r="GTV551"/>
      <c r="GTW551"/>
      <c r="GTX551"/>
      <c r="GTY551"/>
      <c r="GTZ551"/>
      <c r="GUA551"/>
      <c r="GUB551"/>
      <c r="GUC551"/>
      <c r="GUD551"/>
      <c r="GUE551"/>
      <c r="GUF551"/>
      <c r="GUG551"/>
      <c r="GUH551"/>
      <c r="GUI551"/>
      <c r="GUJ551"/>
      <c r="GUK551"/>
      <c r="GUL551"/>
      <c r="GUM551"/>
      <c r="GUN551"/>
      <c r="GUO551"/>
      <c r="GUP551"/>
      <c r="GUQ551"/>
      <c r="GUR551"/>
      <c r="GUS551"/>
      <c r="GUT551"/>
      <c r="GUU551"/>
      <c r="GUV551"/>
      <c r="GUW551"/>
      <c r="GUX551"/>
      <c r="GUY551"/>
      <c r="GUZ551"/>
      <c r="GVA551"/>
      <c r="GVB551"/>
      <c r="GVC551"/>
      <c r="GVD551"/>
      <c r="GVE551"/>
      <c r="GVF551"/>
      <c r="GVG551"/>
      <c r="GVH551"/>
      <c r="GVI551"/>
      <c r="GVJ551"/>
      <c r="GVK551"/>
      <c r="GVL551"/>
      <c r="GVM551"/>
      <c r="GVN551"/>
      <c r="GVO551"/>
      <c r="GVP551"/>
      <c r="GVQ551"/>
      <c r="GVR551"/>
      <c r="GVS551"/>
      <c r="GVT551"/>
      <c r="GVU551"/>
      <c r="GVV551"/>
      <c r="GVW551"/>
      <c r="GVX551"/>
      <c r="GVY551"/>
      <c r="GVZ551"/>
      <c r="GWA551"/>
      <c r="GWB551"/>
      <c r="GWC551"/>
      <c r="GWD551"/>
      <c r="GWE551"/>
      <c r="GWF551"/>
      <c r="GWG551"/>
      <c r="GWH551"/>
      <c r="GWI551"/>
      <c r="GWJ551"/>
      <c r="GWK551"/>
      <c r="GWL551"/>
      <c r="GWM551"/>
      <c r="GWN551"/>
      <c r="GWO551"/>
      <c r="GWP551"/>
      <c r="GWQ551"/>
      <c r="GWR551"/>
      <c r="GWS551"/>
      <c r="GWT551"/>
      <c r="GWU551"/>
      <c r="GWV551"/>
      <c r="GWW551"/>
      <c r="GWX551"/>
      <c r="GWY551"/>
      <c r="GWZ551"/>
      <c r="GXA551"/>
      <c r="GXB551"/>
      <c r="GXC551"/>
      <c r="GXD551"/>
      <c r="GXE551"/>
      <c r="GXF551"/>
      <c r="GXG551"/>
      <c r="GXH551"/>
      <c r="GXI551"/>
      <c r="GXJ551"/>
      <c r="GXK551"/>
      <c r="GXL551"/>
      <c r="GXM551"/>
      <c r="GXN551"/>
      <c r="GXO551"/>
      <c r="GXP551"/>
      <c r="GXQ551"/>
      <c r="GXR551"/>
      <c r="GXS551"/>
      <c r="GXT551"/>
      <c r="GXU551"/>
      <c r="GXV551"/>
      <c r="GXW551"/>
      <c r="GXX551"/>
      <c r="GXY551"/>
      <c r="GXZ551"/>
      <c r="GYA551"/>
      <c r="GYB551"/>
      <c r="GYC551"/>
      <c r="GYD551"/>
      <c r="GYE551"/>
      <c r="GYF551"/>
      <c r="GYG551"/>
      <c r="GYH551"/>
      <c r="GYI551"/>
      <c r="GYJ551"/>
      <c r="GYK551"/>
      <c r="GYL551"/>
      <c r="GYM551"/>
      <c r="GYN551"/>
      <c r="GYO551"/>
      <c r="GYP551"/>
      <c r="GYQ551"/>
      <c r="GYR551"/>
      <c r="GYS551"/>
      <c r="GYT551"/>
      <c r="GYU551"/>
      <c r="GYV551"/>
      <c r="GYW551"/>
      <c r="GYX551"/>
      <c r="GYY551"/>
      <c r="GYZ551"/>
      <c r="GZA551"/>
      <c r="GZB551"/>
      <c r="GZC551"/>
      <c r="GZD551"/>
      <c r="GZE551"/>
      <c r="GZF551"/>
      <c r="GZG551"/>
      <c r="GZH551"/>
      <c r="GZI551"/>
      <c r="GZJ551"/>
      <c r="GZK551"/>
      <c r="GZL551"/>
      <c r="GZM551"/>
      <c r="GZN551"/>
      <c r="GZO551"/>
      <c r="GZP551"/>
      <c r="GZQ551"/>
      <c r="GZR551"/>
      <c r="GZS551"/>
      <c r="GZT551"/>
      <c r="GZU551"/>
      <c r="GZV551"/>
      <c r="GZW551"/>
      <c r="GZX551"/>
      <c r="GZY551"/>
      <c r="GZZ551"/>
      <c r="HAA551"/>
      <c r="HAB551"/>
      <c r="HAC551"/>
      <c r="HAD551"/>
      <c r="HAE551"/>
      <c r="HAF551"/>
      <c r="HAG551"/>
      <c r="HAH551"/>
      <c r="HAI551"/>
      <c r="HAJ551"/>
      <c r="HAK551"/>
      <c r="HAL551"/>
      <c r="HAM551"/>
      <c r="HAN551"/>
      <c r="HAO551"/>
      <c r="HAP551"/>
      <c r="HAQ551"/>
      <c r="HAR551"/>
      <c r="HAS551"/>
      <c r="HAT551"/>
      <c r="HAU551"/>
      <c r="HAV551"/>
      <c r="HAW551"/>
      <c r="HAX551"/>
      <c r="HAY551"/>
      <c r="HAZ551"/>
      <c r="HBA551"/>
      <c r="HBB551"/>
      <c r="HBC551"/>
      <c r="HBD551"/>
      <c r="HBE551"/>
      <c r="HBF551"/>
      <c r="HBG551"/>
      <c r="HBH551"/>
      <c r="HBI551"/>
      <c r="HBJ551"/>
      <c r="HBK551"/>
      <c r="HBL551"/>
      <c r="HBM551"/>
      <c r="HBN551"/>
      <c r="HBO551"/>
      <c r="HBP551"/>
      <c r="HBQ551"/>
      <c r="HBR551"/>
      <c r="HBS551"/>
      <c r="HBT551"/>
      <c r="HBU551"/>
      <c r="HBV551"/>
      <c r="HBW551"/>
      <c r="HBX551"/>
      <c r="HBY551"/>
      <c r="HBZ551"/>
      <c r="HCA551"/>
      <c r="HCB551"/>
      <c r="HCC551"/>
      <c r="HCD551"/>
      <c r="HCE551"/>
      <c r="HCF551"/>
      <c r="HCG551"/>
      <c r="HCH551"/>
      <c r="HCI551"/>
      <c r="HCJ551"/>
      <c r="HCK551"/>
      <c r="HCL551"/>
      <c r="HCM551"/>
      <c r="HCN551"/>
      <c r="HCO551"/>
      <c r="HCP551"/>
      <c r="HCQ551"/>
      <c r="HCR551"/>
      <c r="HCS551"/>
      <c r="HCT551"/>
      <c r="HCU551"/>
      <c r="HCV551"/>
      <c r="HCW551"/>
      <c r="HCX551"/>
      <c r="HCY551"/>
      <c r="HCZ551"/>
      <c r="HDA551"/>
      <c r="HDB551"/>
      <c r="HDC551"/>
      <c r="HDD551"/>
      <c r="HDE551"/>
      <c r="HDF551"/>
      <c r="HDG551"/>
      <c r="HDH551"/>
      <c r="HDI551"/>
      <c r="HDJ551"/>
      <c r="HDK551"/>
      <c r="HDL551"/>
      <c r="HDM551"/>
      <c r="HDN551"/>
      <c r="HDO551"/>
      <c r="HDP551"/>
      <c r="HDQ551"/>
      <c r="HDR551"/>
      <c r="HDS551"/>
      <c r="HDT551"/>
      <c r="HDU551"/>
      <c r="HDV551"/>
      <c r="HDW551"/>
      <c r="HDX551"/>
      <c r="HDY551"/>
      <c r="HDZ551"/>
      <c r="HEA551"/>
      <c r="HEB551"/>
      <c r="HEC551"/>
      <c r="HED551"/>
      <c r="HEE551"/>
      <c r="HEF551"/>
      <c r="HEG551"/>
      <c r="HEH551"/>
      <c r="HEI551"/>
      <c r="HEJ551"/>
      <c r="HEK551"/>
      <c r="HEL551"/>
      <c r="HEM551"/>
      <c r="HEN551"/>
      <c r="HEO551"/>
      <c r="HEP551"/>
      <c r="HEQ551"/>
      <c r="HER551"/>
      <c r="HES551"/>
      <c r="HET551"/>
      <c r="HEU551"/>
      <c r="HEV551"/>
      <c r="HEW551"/>
      <c r="HEX551"/>
      <c r="HEY551"/>
      <c r="HEZ551"/>
      <c r="HFA551"/>
      <c r="HFB551"/>
      <c r="HFC551"/>
      <c r="HFD551"/>
      <c r="HFE551"/>
      <c r="HFF551"/>
      <c r="HFG551"/>
      <c r="HFH551"/>
      <c r="HFI551"/>
      <c r="HFJ551"/>
      <c r="HFK551"/>
      <c r="HFL551"/>
      <c r="HFM551"/>
      <c r="HFN551"/>
      <c r="HFO551"/>
      <c r="HFP551"/>
      <c r="HFQ551"/>
      <c r="HFR551"/>
      <c r="HFS551"/>
      <c r="HFT551"/>
      <c r="HFU551"/>
      <c r="HFV551"/>
      <c r="HFW551"/>
      <c r="HFX551"/>
      <c r="HFY551"/>
      <c r="HFZ551"/>
      <c r="HGA551"/>
      <c r="HGB551"/>
      <c r="HGC551"/>
      <c r="HGD551"/>
      <c r="HGE551"/>
      <c r="HGF551"/>
      <c r="HGG551"/>
      <c r="HGH551"/>
      <c r="HGI551"/>
      <c r="HGJ551"/>
      <c r="HGK551"/>
      <c r="HGL551"/>
      <c r="HGM551"/>
      <c r="HGN551"/>
      <c r="HGO551"/>
      <c r="HGP551"/>
      <c r="HGQ551"/>
      <c r="HGR551"/>
      <c r="HGS551"/>
      <c r="HGT551"/>
      <c r="HGU551"/>
      <c r="HGV551"/>
      <c r="HGW551"/>
      <c r="HGX551"/>
      <c r="HGY551"/>
      <c r="HGZ551"/>
      <c r="HHA551"/>
      <c r="HHB551"/>
      <c r="HHC551"/>
      <c r="HHD551"/>
      <c r="HHE551"/>
      <c r="HHF551"/>
      <c r="HHG551"/>
      <c r="HHH551"/>
      <c r="HHI551"/>
      <c r="HHJ551"/>
      <c r="HHK551"/>
      <c r="HHL551"/>
      <c r="HHM551"/>
      <c r="HHN551"/>
      <c r="HHO551"/>
      <c r="HHP551"/>
      <c r="HHQ551"/>
      <c r="HHR551"/>
      <c r="HHS551"/>
      <c r="HHT551"/>
      <c r="HHU551"/>
      <c r="HHV551"/>
      <c r="HHW551"/>
      <c r="HHX551"/>
      <c r="HHY551"/>
      <c r="HHZ551"/>
      <c r="HIA551"/>
      <c r="HIB551"/>
      <c r="HIC551"/>
      <c r="HID551"/>
      <c r="HIE551"/>
      <c r="HIF551"/>
      <c r="HIG551"/>
      <c r="HIH551"/>
      <c r="HII551"/>
      <c r="HIJ551"/>
      <c r="HIK551"/>
      <c r="HIL551"/>
      <c r="HIM551"/>
      <c r="HIN551"/>
      <c r="HIO551"/>
      <c r="HIP551"/>
      <c r="HIQ551"/>
      <c r="HIR551"/>
      <c r="HIS551"/>
      <c r="HIT551"/>
      <c r="HIU551"/>
      <c r="HIV551"/>
      <c r="HIW551"/>
      <c r="HIX551"/>
      <c r="HIY551"/>
      <c r="HIZ551"/>
      <c r="HJA551"/>
      <c r="HJB551"/>
      <c r="HJC551"/>
      <c r="HJD551"/>
      <c r="HJE551"/>
      <c r="HJF551"/>
      <c r="HJG551"/>
      <c r="HJH551"/>
      <c r="HJI551"/>
      <c r="HJJ551"/>
      <c r="HJK551"/>
      <c r="HJL551"/>
      <c r="HJM551"/>
      <c r="HJN551"/>
      <c r="HJO551"/>
      <c r="HJP551"/>
      <c r="HJQ551"/>
      <c r="HJR551"/>
      <c r="HJS551"/>
      <c r="HJT551"/>
      <c r="HJU551"/>
      <c r="HJV551"/>
      <c r="HJW551"/>
      <c r="HJX551"/>
      <c r="HJY551"/>
      <c r="HJZ551"/>
      <c r="HKA551"/>
      <c r="HKB551"/>
      <c r="HKC551"/>
      <c r="HKD551"/>
      <c r="HKE551"/>
      <c r="HKF551"/>
      <c r="HKG551"/>
      <c r="HKH551"/>
      <c r="HKI551"/>
      <c r="HKJ551"/>
      <c r="HKK551"/>
      <c r="HKL551"/>
      <c r="HKM551"/>
      <c r="HKN551"/>
      <c r="HKO551"/>
      <c r="HKP551"/>
      <c r="HKQ551"/>
      <c r="HKR551"/>
      <c r="HKS551"/>
      <c r="HKT551"/>
      <c r="HKU551"/>
      <c r="HKV551"/>
      <c r="HKW551"/>
      <c r="HKX551"/>
      <c r="HKY551"/>
      <c r="HKZ551"/>
      <c r="HLA551"/>
      <c r="HLB551"/>
      <c r="HLC551"/>
      <c r="HLD551"/>
      <c r="HLE551"/>
      <c r="HLF551"/>
      <c r="HLG551"/>
      <c r="HLH551"/>
      <c r="HLI551"/>
      <c r="HLJ551"/>
      <c r="HLK551"/>
      <c r="HLL551"/>
      <c r="HLM551"/>
      <c r="HLN551"/>
      <c r="HLO551"/>
      <c r="HLP551"/>
      <c r="HLQ551"/>
      <c r="HLR551"/>
      <c r="HLS551"/>
      <c r="HLT551"/>
      <c r="HLU551"/>
      <c r="HLV551"/>
      <c r="HLW551"/>
      <c r="HLX551"/>
      <c r="HLY551"/>
      <c r="HLZ551"/>
      <c r="HMA551"/>
      <c r="HMB551"/>
      <c r="HMC551"/>
      <c r="HMD551"/>
      <c r="HME551"/>
      <c r="HMF551"/>
      <c r="HMG551"/>
      <c r="HMH551"/>
      <c r="HMI551"/>
      <c r="HMJ551"/>
      <c r="HMK551"/>
      <c r="HML551"/>
      <c r="HMM551"/>
      <c r="HMN551"/>
      <c r="HMO551"/>
      <c r="HMP551"/>
      <c r="HMQ551"/>
      <c r="HMR551"/>
      <c r="HMS551"/>
      <c r="HMT551"/>
      <c r="HMU551"/>
      <c r="HMV551"/>
      <c r="HMW551"/>
      <c r="HMX551"/>
      <c r="HMY551"/>
      <c r="HMZ551"/>
      <c r="HNA551"/>
      <c r="HNB551"/>
      <c r="HNC551"/>
      <c r="HND551"/>
      <c r="HNE551"/>
      <c r="HNF551"/>
      <c r="HNG551"/>
      <c r="HNH551"/>
      <c r="HNI551"/>
      <c r="HNJ551"/>
      <c r="HNK551"/>
      <c r="HNL551"/>
      <c r="HNM551"/>
      <c r="HNN551"/>
      <c r="HNO551"/>
      <c r="HNP551"/>
      <c r="HNQ551"/>
      <c r="HNR551"/>
      <c r="HNS551"/>
      <c r="HNT551"/>
      <c r="HNU551"/>
      <c r="HNV551"/>
      <c r="HNW551"/>
      <c r="HNX551"/>
      <c r="HNY551"/>
      <c r="HNZ551"/>
      <c r="HOA551"/>
      <c r="HOB551"/>
      <c r="HOC551"/>
      <c r="HOD551"/>
      <c r="HOE551"/>
      <c r="HOF551"/>
      <c r="HOG551"/>
      <c r="HOH551"/>
      <c r="HOI551"/>
      <c r="HOJ551"/>
      <c r="HOK551"/>
      <c r="HOL551"/>
      <c r="HOM551"/>
      <c r="HON551"/>
      <c r="HOO551"/>
      <c r="HOP551"/>
      <c r="HOQ551"/>
      <c r="HOR551"/>
      <c r="HOS551"/>
      <c r="HOT551"/>
      <c r="HOU551"/>
      <c r="HOV551"/>
      <c r="HOW551"/>
      <c r="HOX551"/>
      <c r="HOY551"/>
      <c r="HOZ551"/>
      <c r="HPA551"/>
      <c r="HPB551"/>
      <c r="HPC551"/>
      <c r="HPD551"/>
      <c r="HPE551"/>
      <c r="HPF551"/>
      <c r="HPG551"/>
      <c r="HPH551"/>
      <c r="HPI551"/>
      <c r="HPJ551"/>
      <c r="HPK551"/>
      <c r="HPL551"/>
      <c r="HPM551"/>
      <c r="HPN551"/>
      <c r="HPO551"/>
      <c r="HPP551"/>
      <c r="HPQ551"/>
      <c r="HPR551"/>
      <c r="HPS551"/>
      <c r="HPT551"/>
      <c r="HPU551"/>
      <c r="HPV551"/>
      <c r="HPW551"/>
      <c r="HPX551"/>
      <c r="HPY551"/>
      <c r="HPZ551"/>
      <c r="HQA551"/>
      <c r="HQB551"/>
      <c r="HQC551"/>
      <c r="HQD551"/>
      <c r="HQE551"/>
      <c r="HQF551"/>
      <c r="HQG551"/>
      <c r="HQH551"/>
      <c r="HQI551"/>
      <c r="HQJ551"/>
      <c r="HQK551"/>
      <c r="HQL551"/>
      <c r="HQM551"/>
      <c r="HQN551"/>
      <c r="HQO551"/>
      <c r="HQP551"/>
      <c r="HQQ551"/>
      <c r="HQR551"/>
      <c r="HQS551"/>
      <c r="HQT551"/>
      <c r="HQU551"/>
      <c r="HQV551"/>
      <c r="HQW551"/>
      <c r="HQX551"/>
      <c r="HQY551"/>
      <c r="HQZ551"/>
      <c r="HRA551"/>
      <c r="HRB551"/>
      <c r="HRC551"/>
      <c r="HRD551"/>
      <c r="HRE551"/>
      <c r="HRF551"/>
      <c r="HRG551"/>
      <c r="HRH551"/>
      <c r="HRI551"/>
      <c r="HRJ551"/>
      <c r="HRK551"/>
      <c r="HRL551"/>
      <c r="HRM551"/>
      <c r="HRN551"/>
      <c r="HRO551"/>
      <c r="HRP551"/>
      <c r="HRQ551"/>
      <c r="HRR551"/>
      <c r="HRS551"/>
      <c r="HRT551"/>
      <c r="HRU551"/>
      <c r="HRV551"/>
      <c r="HRW551"/>
      <c r="HRX551"/>
      <c r="HRY551"/>
      <c r="HRZ551"/>
      <c r="HSA551"/>
      <c r="HSB551"/>
      <c r="HSC551"/>
      <c r="HSD551"/>
      <c r="HSE551"/>
      <c r="HSF551"/>
      <c r="HSG551"/>
      <c r="HSH551"/>
      <c r="HSI551"/>
      <c r="HSJ551"/>
      <c r="HSK551"/>
      <c r="HSL551"/>
      <c r="HSM551"/>
      <c r="HSN551"/>
      <c r="HSO551"/>
      <c r="HSP551"/>
      <c r="HSQ551"/>
      <c r="HSR551"/>
      <c r="HSS551"/>
      <c r="HST551"/>
      <c r="HSU551"/>
      <c r="HSV551"/>
      <c r="HSW551"/>
      <c r="HSX551"/>
      <c r="HSY551"/>
      <c r="HSZ551"/>
      <c r="HTA551"/>
      <c r="HTB551"/>
      <c r="HTC551"/>
      <c r="HTD551"/>
      <c r="HTE551"/>
      <c r="HTF551"/>
      <c r="HTG551"/>
      <c r="HTH551"/>
      <c r="HTI551"/>
      <c r="HTJ551"/>
      <c r="HTK551"/>
      <c r="HTL551"/>
      <c r="HTM551"/>
      <c r="HTN551"/>
      <c r="HTO551"/>
      <c r="HTP551"/>
      <c r="HTQ551"/>
      <c r="HTR551"/>
      <c r="HTS551"/>
      <c r="HTT551"/>
      <c r="HTU551"/>
      <c r="HTV551"/>
      <c r="HTW551"/>
      <c r="HTX551"/>
      <c r="HTY551"/>
      <c r="HTZ551"/>
      <c r="HUA551"/>
      <c r="HUB551"/>
      <c r="HUC551"/>
      <c r="HUD551"/>
      <c r="HUE551"/>
      <c r="HUF551"/>
      <c r="HUG551"/>
      <c r="HUH551"/>
      <c r="HUI551"/>
      <c r="HUJ551"/>
      <c r="HUK551"/>
      <c r="HUL551"/>
      <c r="HUM551"/>
      <c r="HUN551"/>
      <c r="HUO551"/>
      <c r="HUP551"/>
      <c r="HUQ551"/>
      <c r="HUR551"/>
      <c r="HUS551"/>
      <c r="HUT551"/>
      <c r="HUU551"/>
      <c r="HUV551"/>
      <c r="HUW551"/>
      <c r="HUX551"/>
      <c r="HUY551"/>
      <c r="HUZ551"/>
      <c r="HVA551"/>
      <c r="HVB551"/>
      <c r="HVC551"/>
      <c r="HVD551"/>
      <c r="HVE551"/>
      <c r="HVF551"/>
      <c r="HVG551"/>
      <c r="HVH551"/>
      <c r="HVI551"/>
      <c r="HVJ551"/>
      <c r="HVK551"/>
      <c r="HVL551"/>
      <c r="HVM551"/>
      <c r="HVN551"/>
      <c r="HVO551"/>
      <c r="HVP551"/>
      <c r="HVQ551"/>
      <c r="HVR551"/>
      <c r="HVS551"/>
      <c r="HVT551"/>
      <c r="HVU551"/>
      <c r="HVV551"/>
      <c r="HVW551"/>
      <c r="HVX551"/>
      <c r="HVY551"/>
      <c r="HVZ551"/>
      <c r="HWA551"/>
      <c r="HWB551"/>
      <c r="HWC551"/>
      <c r="HWD551"/>
      <c r="HWE551"/>
      <c r="HWF551"/>
      <c r="HWG551"/>
      <c r="HWH551"/>
      <c r="HWI551"/>
      <c r="HWJ551"/>
      <c r="HWK551"/>
      <c r="HWL551"/>
      <c r="HWM551"/>
      <c r="HWN551"/>
      <c r="HWO551"/>
      <c r="HWP551"/>
      <c r="HWQ551"/>
      <c r="HWR551"/>
      <c r="HWS551"/>
      <c r="HWT551"/>
      <c r="HWU551"/>
      <c r="HWV551"/>
      <c r="HWW551"/>
      <c r="HWX551"/>
      <c r="HWY551"/>
      <c r="HWZ551"/>
      <c r="HXA551"/>
      <c r="HXB551"/>
      <c r="HXC551"/>
      <c r="HXD551"/>
      <c r="HXE551"/>
      <c r="HXF551"/>
      <c r="HXG551"/>
      <c r="HXH551"/>
      <c r="HXI551"/>
      <c r="HXJ551"/>
      <c r="HXK551"/>
      <c r="HXL551"/>
      <c r="HXM551"/>
      <c r="HXN551"/>
      <c r="HXO551"/>
      <c r="HXP551"/>
      <c r="HXQ551"/>
      <c r="HXR551"/>
      <c r="HXS551"/>
      <c r="HXT551"/>
      <c r="HXU551"/>
      <c r="HXV551"/>
      <c r="HXW551"/>
      <c r="HXX551"/>
      <c r="HXY551"/>
      <c r="HXZ551"/>
      <c r="HYA551"/>
      <c r="HYB551"/>
      <c r="HYC551"/>
      <c r="HYD551"/>
      <c r="HYE551"/>
      <c r="HYF551"/>
      <c r="HYG551"/>
      <c r="HYH551"/>
      <c r="HYI551"/>
      <c r="HYJ551"/>
      <c r="HYK551"/>
      <c r="HYL551"/>
      <c r="HYM551"/>
      <c r="HYN551"/>
      <c r="HYO551"/>
      <c r="HYP551"/>
      <c r="HYQ551"/>
      <c r="HYR551"/>
      <c r="HYS551"/>
      <c r="HYT551"/>
      <c r="HYU551"/>
      <c r="HYV551"/>
      <c r="HYW551"/>
      <c r="HYX551"/>
      <c r="HYY551"/>
      <c r="HYZ551"/>
      <c r="HZA551"/>
      <c r="HZB551"/>
      <c r="HZC551"/>
      <c r="HZD551"/>
      <c r="HZE551"/>
      <c r="HZF551"/>
      <c r="HZG551"/>
      <c r="HZH551"/>
      <c r="HZI551"/>
      <c r="HZJ551"/>
      <c r="HZK551"/>
      <c r="HZL551"/>
      <c r="HZM551"/>
      <c r="HZN551"/>
      <c r="HZO551"/>
      <c r="HZP551"/>
      <c r="HZQ551"/>
      <c r="HZR551"/>
      <c r="HZS551"/>
      <c r="HZT551"/>
      <c r="HZU551"/>
      <c r="HZV551"/>
      <c r="HZW551"/>
      <c r="HZX551"/>
      <c r="HZY551"/>
      <c r="HZZ551"/>
      <c r="IAA551"/>
      <c r="IAB551"/>
      <c r="IAC551"/>
      <c r="IAD551"/>
      <c r="IAE551"/>
      <c r="IAF551"/>
      <c r="IAG551"/>
      <c r="IAH551"/>
      <c r="IAI551"/>
      <c r="IAJ551"/>
      <c r="IAK551"/>
      <c r="IAL551"/>
      <c r="IAM551"/>
      <c r="IAN551"/>
      <c r="IAO551"/>
      <c r="IAP551"/>
      <c r="IAQ551"/>
      <c r="IAR551"/>
      <c r="IAS551"/>
      <c r="IAT551"/>
      <c r="IAU551"/>
      <c r="IAV551"/>
      <c r="IAW551"/>
      <c r="IAX551"/>
      <c r="IAY551"/>
      <c r="IAZ551"/>
      <c r="IBA551"/>
      <c r="IBB551"/>
      <c r="IBC551"/>
      <c r="IBD551"/>
      <c r="IBE551"/>
      <c r="IBF551"/>
      <c r="IBG551"/>
      <c r="IBH551"/>
      <c r="IBI551"/>
      <c r="IBJ551"/>
      <c r="IBK551"/>
      <c r="IBL551"/>
      <c r="IBM551"/>
      <c r="IBN551"/>
      <c r="IBO551"/>
      <c r="IBP551"/>
      <c r="IBQ551"/>
      <c r="IBR551"/>
      <c r="IBS551"/>
      <c r="IBT551"/>
      <c r="IBU551"/>
      <c r="IBV551"/>
      <c r="IBW551"/>
      <c r="IBX551"/>
      <c r="IBY551"/>
      <c r="IBZ551"/>
      <c r="ICA551"/>
      <c r="ICB551"/>
      <c r="ICC551"/>
      <c r="ICD551"/>
      <c r="ICE551"/>
      <c r="ICF551"/>
      <c r="ICG551"/>
      <c r="ICH551"/>
      <c r="ICI551"/>
      <c r="ICJ551"/>
      <c r="ICK551"/>
      <c r="ICL551"/>
      <c r="ICM551"/>
      <c r="ICN551"/>
      <c r="ICO551"/>
      <c r="ICP551"/>
      <c r="ICQ551"/>
      <c r="ICR551"/>
      <c r="ICS551"/>
      <c r="ICT551"/>
      <c r="ICU551"/>
      <c r="ICV551"/>
      <c r="ICW551"/>
      <c r="ICX551"/>
      <c r="ICY551"/>
      <c r="ICZ551"/>
      <c r="IDA551"/>
      <c r="IDB551"/>
      <c r="IDC551"/>
      <c r="IDD551"/>
      <c r="IDE551"/>
      <c r="IDF551"/>
      <c r="IDG551"/>
      <c r="IDH551"/>
      <c r="IDI551"/>
      <c r="IDJ551"/>
      <c r="IDK551"/>
      <c r="IDL551"/>
      <c r="IDM551"/>
      <c r="IDN551"/>
      <c r="IDO551"/>
      <c r="IDP551"/>
      <c r="IDQ551"/>
      <c r="IDR551"/>
      <c r="IDS551"/>
      <c r="IDT551"/>
      <c r="IDU551"/>
      <c r="IDV551"/>
      <c r="IDW551"/>
      <c r="IDX551"/>
      <c r="IDY551"/>
      <c r="IDZ551"/>
      <c r="IEA551"/>
      <c r="IEB551"/>
      <c r="IEC551"/>
      <c r="IED551"/>
      <c r="IEE551"/>
      <c r="IEF551"/>
      <c r="IEG551"/>
      <c r="IEH551"/>
      <c r="IEI551"/>
      <c r="IEJ551"/>
      <c r="IEK551"/>
      <c r="IEL551"/>
      <c r="IEM551"/>
      <c r="IEN551"/>
      <c r="IEO551"/>
      <c r="IEP551"/>
      <c r="IEQ551"/>
      <c r="IER551"/>
      <c r="IES551"/>
      <c r="IET551"/>
      <c r="IEU551"/>
      <c r="IEV551"/>
      <c r="IEW551"/>
      <c r="IEX551"/>
      <c r="IEY551"/>
      <c r="IEZ551"/>
      <c r="IFA551"/>
      <c r="IFB551"/>
      <c r="IFC551"/>
      <c r="IFD551"/>
      <c r="IFE551"/>
      <c r="IFF551"/>
      <c r="IFG551"/>
      <c r="IFH551"/>
      <c r="IFI551"/>
      <c r="IFJ551"/>
      <c r="IFK551"/>
      <c r="IFL551"/>
      <c r="IFM551"/>
      <c r="IFN551"/>
      <c r="IFO551"/>
      <c r="IFP551"/>
      <c r="IFQ551"/>
      <c r="IFR551"/>
      <c r="IFS551"/>
      <c r="IFT551"/>
      <c r="IFU551"/>
      <c r="IFV551"/>
      <c r="IFW551"/>
      <c r="IFX551"/>
      <c r="IFY551"/>
      <c r="IFZ551"/>
      <c r="IGA551"/>
      <c r="IGB551"/>
      <c r="IGC551"/>
      <c r="IGD551"/>
      <c r="IGE551"/>
      <c r="IGF551"/>
      <c r="IGG551"/>
      <c r="IGH551"/>
      <c r="IGI551"/>
      <c r="IGJ551"/>
      <c r="IGK551"/>
      <c r="IGL551"/>
      <c r="IGM551"/>
      <c r="IGN551"/>
      <c r="IGO551"/>
      <c r="IGP551"/>
      <c r="IGQ551"/>
      <c r="IGR551"/>
      <c r="IGS551"/>
      <c r="IGT551"/>
      <c r="IGU551"/>
      <c r="IGV551"/>
      <c r="IGW551"/>
      <c r="IGX551"/>
      <c r="IGY551"/>
      <c r="IGZ551"/>
      <c r="IHA551"/>
      <c r="IHB551"/>
      <c r="IHC551"/>
      <c r="IHD551"/>
      <c r="IHE551"/>
      <c r="IHF551"/>
      <c r="IHG551"/>
      <c r="IHH551"/>
      <c r="IHI551"/>
      <c r="IHJ551"/>
      <c r="IHK551"/>
      <c r="IHL551"/>
      <c r="IHM551"/>
      <c r="IHN551"/>
      <c r="IHO551"/>
      <c r="IHP551"/>
      <c r="IHQ551"/>
      <c r="IHR551"/>
      <c r="IHS551"/>
      <c r="IHT551"/>
      <c r="IHU551"/>
      <c r="IHV551"/>
      <c r="IHW551"/>
      <c r="IHX551"/>
      <c r="IHY551"/>
      <c r="IHZ551"/>
      <c r="IIA551"/>
      <c r="IIB551"/>
      <c r="IIC551"/>
      <c r="IID551"/>
      <c r="IIE551"/>
      <c r="IIF551"/>
      <c r="IIG551"/>
      <c r="IIH551"/>
      <c r="III551"/>
      <c r="IIJ551"/>
      <c r="IIK551"/>
      <c r="IIL551"/>
      <c r="IIM551"/>
      <c r="IIN551"/>
      <c r="IIO551"/>
      <c r="IIP551"/>
      <c r="IIQ551"/>
      <c r="IIR551"/>
      <c r="IIS551"/>
      <c r="IIT551"/>
      <c r="IIU551"/>
      <c r="IIV551"/>
      <c r="IIW551"/>
      <c r="IIX551"/>
      <c r="IIY551"/>
      <c r="IIZ551"/>
      <c r="IJA551"/>
      <c r="IJB551"/>
      <c r="IJC551"/>
      <c r="IJD551"/>
      <c r="IJE551"/>
      <c r="IJF551"/>
      <c r="IJG551"/>
      <c r="IJH551"/>
      <c r="IJI551"/>
      <c r="IJJ551"/>
      <c r="IJK551"/>
      <c r="IJL551"/>
      <c r="IJM551"/>
      <c r="IJN551"/>
      <c r="IJO551"/>
      <c r="IJP551"/>
      <c r="IJQ551"/>
      <c r="IJR551"/>
      <c r="IJS551"/>
      <c r="IJT551"/>
      <c r="IJU551"/>
      <c r="IJV551"/>
      <c r="IJW551"/>
      <c r="IJX551"/>
      <c r="IJY551"/>
      <c r="IJZ551"/>
      <c r="IKA551"/>
      <c r="IKB551"/>
      <c r="IKC551"/>
      <c r="IKD551"/>
      <c r="IKE551"/>
      <c r="IKF551"/>
      <c r="IKG551"/>
      <c r="IKH551"/>
      <c r="IKI551"/>
      <c r="IKJ551"/>
      <c r="IKK551"/>
      <c r="IKL551"/>
      <c r="IKM551"/>
      <c r="IKN551"/>
      <c r="IKO551"/>
      <c r="IKP551"/>
      <c r="IKQ551"/>
      <c r="IKR551"/>
      <c r="IKS551"/>
      <c r="IKT551"/>
      <c r="IKU551"/>
      <c r="IKV551"/>
      <c r="IKW551"/>
      <c r="IKX551"/>
      <c r="IKY551"/>
      <c r="IKZ551"/>
      <c r="ILA551"/>
      <c r="ILB551"/>
      <c r="ILC551"/>
      <c r="ILD551"/>
      <c r="ILE551"/>
      <c r="ILF551"/>
      <c r="ILG551"/>
      <c r="ILH551"/>
      <c r="ILI551"/>
      <c r="ILJ551"/>
      <c r="ILK551"/>
      <c r="ILL551"/>
      <c r="ILM551"/>
      <c r="ILN551"/>
      <c r="ILO551"/>
      <c r="ILP551"/>
      <c r="ILQ551"/>
      <c r="ILR551"/>
      <c r="ILS551"/>
      <c r="ILT551"/>
      <c r="ILU551"/>
      <c r="ILV551"/>
      <c r="ILW551"/>
      <c r="ILX551"/>
      <c r="ILY551"/>
      <c r="ILZ551"/>
      <c r="IMA551"/>
      <c r="IMB551"/>
      <c r="IMC551"/>
      <c r="IMD551"/>
      <c r="IME551"/>
      <c r="IMF551"/>
      <c r="IMG551"/>
      <c r="IMH551"/>
      <c r="IMI551"/>
      <c r="IMJ551"/>
      <c r="IMK551"/>
      <c r="IML551"/>
      <c r="IMM551"/>
      <c r="IMN551"/>
      <c r="IMO551"/>
      <c r="IMP551"/>
      <c r="IMQ551"/>
      <c r="IMR551"/>
      <c r="IMS551"/>
      <c r="IMT551"/>
      <c r="IMU551"/>
      <c r="IMV551"/>
      <c r="IMW551"/>
      <c r="IMX551"/>
      <c r="IMY551"/>
      <c r="IMZ551"/>
      <c r="INA551"/>
      <c r="INB551"/>
      <c r="INC551"/>
      <c r="IND551"/>
      <c r="INE551"/>
      <c r="INF551"/>
      <c r="ING551"/>
      <c r="INH551"/>
      <c r="INI551"/>
      <c r="INJ551"/>
      <c r="INK551"/>
      <c r="INL551"/>
      <c r="INM551"/>
      <c r="INN551"/>
      <c r="INO551"/>
      <c r="INP551"/>
      <c r="INQ551"/>
      <c r="INR551"/>
      <c r="INS551"/>
      <c r="INT551"/>
      <c r="INU551"/>
      <c r="INV551"/>
      <c r="INW551"/>
      <c r="INX551"/>
      <c r="INY551"/>
      <c r="INZ551"/>
      <c r="IOA551"/>
      <c r="IOB551"/>
      <c r="IOC551"/>
      <c r="IOD551"/>
      <c r="IOE551"/>
      <c r="IOF551"/>
      <c r="IOG551"/>
      <c r="IOH551"/>
      <c r="IOI551"/>
      <c r="IOJ551"/>
      <c r="IOK551"/>
      <c r="IOL551"/>
      <c r="IOM551"/>
      <c r="ION551"/>
      <c r="IOO551"/>
      <c r="IOP551"/>
      <c r="IOQ551"/>
      <c r="IOR551"/>
      <c r="IOS551"/>
      <c r="IOT551"/>
      <c r="IOU551"/>
      <c r="IOV551"/>
      <c r="IOW551"/>
      <c r="IOX551"/>
      <c r="IOY551"/>
      <c r="IOZ551"/>
      <c r="IPA551"/>
      <c r="IPB551"/>
      <c r="IPC551"/>
      <c r="IPD551"/>
      <c r="IPE551"/>
      <c r="IPF551"/>
      <c r="IPG551"/>
      <c r="IPH551"/>
      <c r="IPI551"/>
      <c r="IPJ551"/>
      <c r="IPK551"/>
      <c r="IPL551"/>
      <c r="IPM551"/>
      <c r="IPN551"/>
      <c r="IPO551"/>
      <c r="IPP551"/>
      <c r="IPQ551"/>
      <c r="IPR551"/>
      <c r="IPS551"/>
      <c r="IPT551"/>
      <c r="IPU551"/>
      <c r="IPV551"/>
      <c r="IPW551"/>
      <c r="IPX551"/>
      <c r="IPY551"/>
      <c r="IPZ551"/>
      <c r="IQA551"/>
      <c r="IQB551"/>
      <c r="IQC551"/>
      <c r="IQD551"/>
      <c r="IQE551"/>
      <c r="IQF551"/>
      <c r="IQG551"/>
      <c r="IQH551"/>
      <c r="IQI551"/>
      <c r="IQJ551"/>
      <c r="IQK551"/>
      <c r="IQL551"/>
      <c r="IQM551"/>
      <c r="IQN551"/>
      <c r="IQO551"/>
      <c r="IQP551"/>
      <c r="IQQ551"/>
      <c r="IQR551"/>
      <c r="IQS551"/>
      <c r="IQT551"/>
      <c r="IQU551"/>
      <c r="IQV551"/>
      <c r="IQW551"/>
      <c r="IQX551"/>
      <c r="IQY551"/>
      <c r="IQZ551"/>
      <c r="IRA551"/>
      <c r="IRB551"/>
      <c r="IRC551"/>
      <c r="IRD551"/>
      <c r="IRE551"/>
      <c r="IRF551"/>
      <c r="IRG551"/>
      <c r="IRH551"/>
      <c r="IRI551"/>
      <c r="IRJ551"/>
      <c r="IRK551"/>
      <c r="IRL551"/>
      <c r="IRM551"/>
      <c r="IRN551"/>
      <c r="IRO551"/>
      <c r="IRP551"/>
      <c r="IRQ551"/>
      <c r="IRR551"/>
      <c r="IRS551"/>
      <c r="IRT551"/>
      <c r="IRU551"/>
      <c r="IRV551"/>
      <c r="IRW551"/>
      <c r="IRX551"/>
      <c r="IRY551"/>
      <c r="IRZ551"/>
      <c r="ISA551"/>
      <c r="ISB551"/>
      <c r="ISC551"/>
      <c r="ISD551"/>
      <c r="ISE551"/>
      <c r="ISF551"/>
      <c r="ISG551"/>
      <c r="ISH551"/>
      <c r="ISI551"/>
      <c r="ISJ551"/>
      <c r="ISK551"/>
      <c r="ISL551"/>
      <c r="ISM551"/>
      <c r="ISN551"/>
      <c r="ISO551"/>
      <c r="ISP551"/>
      <c r="ISQ551"/>
      <c r="ISR551"/>
      <c r="ISS551"/>
      <c r="IST551"/>
      <c r="ISU551"/>
      <c r="ISV551"/>
      <c r="ISW551"/>
      <c r="ISX551"/>
      <c r="ISY551"/>
      <c r="ISZ551"/>
      <c r="ITA551"/>
      <c r="ITB551"/>
      <c r="ITC551"/>
      <c r="ITD551"/>
      <c r="ITE551"/>
      <c r="ITF551"/>
      <c r="ITG551"/>
      <c r="ITH551"/>
      <c r="ITI551"/>
      <c r="ITJ551"/>
      <c r="ITK551"/>
      <c r="ITL551"/>
      <c r="ITM551"/>
      <c r="ITN551"/>
      <c r="ITO551"/>
      <c r="ITP551"/>
      <c r="ITQ551"/>
      <c r="ITR551"/>
      <c r="ITS551"/>
      <c r="ITT551"/>
      <c r="ITU551"/>
      <c r="ITV551"/>
      <c r="ITW551"/>
      <c r="ITX551"/>
      <c r="ITY551"/>
      <c r="ITZ551"/>
      <c r="IUA551"/>
      <c r="IUB551"/>
      <c r="IUC551"/>
      <c r="IUD551"/>
      <c r="IUE551"/>
      <c r="IUF551"/>
      <c r="IUG551"/>
      <c r="IUH551"/>
      <c r="IUI551"/>
      <c r="IUJ551"/>
      <c r="IUK551"/>
      <c r="IUL551"/>
      <c r="IUM551"/>
      <c r="IUN551"/>
      <c r="IUO551"/>
      <c r="IUP551"/>
      <c r="IUQ551"/>
      <c r="IUR551"/>
      <c r="IUS551"/>
      <c r="IUT551"/>
      <c r="IUU551"/>
      <c r="IUV551"/>
      <c r="IUW551"/>
      <c r="IUX551"/>
      <c r="IUY551"/>
      <c r="IUZ551"/>
      <c r="IVA551"/>
      <c r="IVB551"/>
      <c r="IVC551"/>
      <c r="IVD551"/>
      <c r="IVE551"/>
      <c r="IVF551"/>
      <c r="IVG551"/>
      <c r="IVH551"/>
      <c r="IVI551"/>
      <c r="IVJ551"/>
      <c r="IVK551"/>
      <c r="IVL551"/>
      <c r="IVM551"/>
      <c r="IVN551"/>
      <c r="IVO551"/>
      <c r="IVP551"/>
      <c r="IVQ551"/>
      <c r="IVR551"/>
      <c r="IVS551"/>
      <c r="IVT551"/>
      <c r="IVU551"/>
      <c r="IVV551"/>
      <c r="IVW551"/>
      <c r="IVX551"/>
      <c r="IVY551"/>
      <c r="IVZ551"/>
      <c r="IWA551"/>
      <c r="IWB551"/>
      <c r="IWC551"/>
      <c r="IWD551"/>
      <c r="IWE551"/>
      <c r="IWF551"/>
      <c r="IWG551"/>
      <c r="IWH551"/>
      <c r="IWI551"/>
      <c r="IWJ551"/>
      <c r="IWK551"/>
      <c r="IWL551"/>
      <c r="IWM551"/>
      <c r="IWN551"/>
      <c r="IWO551"/>
      <c r="IWP551"/>
      <c r="IWQ551"/>
      <c r="IWR551"/>
      <c r="IWS551"/>
      <c r="IWT551"/>
      <c r="IWU551"/>
      <c r="IWV551"/>
      <c r="IWW551"/>
      <c r="IWX551"/>
      <c r="IWY551"/>
      <c r="IWZ551"/>
      <c r="IXA551"/>
      <c r="IXB551"/>
      <c r="IXC551"/>
      <c r="IXD551"/>
      <c r="IXE551"/>
      <c r="IXF551"/>
      <c r="IXG551"/>
      <c r="IXH551"/>
      <c r="IXI551"/>
      <c r="IXJ551"/>
      <c r="IXK551"/>
      <c r="IXL551"/>
      <c r="IXM551"/>
      <c r="IXN551"/>
      <c r="IXO551"/>
      <c r="IXP551"/>
      <c r="IXQ551"/>
      <c r="IXR551"/>
      <c r="IXS551"/>
      <c r="IXT551"/>
      <c r="IXU551"/>
      <c r="IXV551"/>
      <c r="IXW551"/>
      <c r="IXX551"/>
      <c r="IXY551"/>
      <c r="IXZ551"/>
      <c r="IYA551"/>
      <c r="IYB551"/>
      <c r="IYC551"/>
      <c r="IYD551"/>
      <c r="IYE551"/>
      <c r="IYF551"/>
      <c r="IYG551"/>
      <c r="IYH551"/>
      <c r="IYI551"/>
      <c r="IYJ551"/>
      <c r="IYK551"/>
      <c r="IYL551"/>
      <c r="IYM551"/>
      <c r="IYN551"/>
      <c r="IYO551"/>
      <c r="IYP551"/>
      <c r="IYQ551"/>
      <c r="IYR551"/>
      <c r="IYS551"/>
      <c r="IYT551"/>
      <c r="IYU551"/>
      <c r="IYV551"/>
      <c r="IYW551"/>
      <c r="IYX551"/>
      <c r="IYY551"/>
      <c r="IYZ551"/>
      <c r="IZA551"/>
      <c r="IZB551"/>
      <c r="IZC551"/>
      <c r="IZD551"/>
      <c r="IZE551"/>
      <c r="IZF551"/>
      <c r="IZG551"/>
      <c r="IZH551"/>
      <c r="IZI551"/>
      <c r="IZJ551"/>
      <c r="IZK551"/>
      <c r="IZL551"/>
      <c r="IZM551"/>
      <c r="IZN551"/>
      <c r="IZO551"/>
      <c r="IZP551"/>
      <c r="IZQ551"/>
      <c r="IZR551"/>
      <c r="IZS551"/>
      <c r="IZT551"/>
      <c r="IZU551"/>
      <c r="IZV551"/>
      <c r="IZW551"/>
      <c r="IZX551"/>
      <c r="IZY551"/>
      <c r="IZZ551"/>
      <c r="JAA551"/>
      <c r="JAB551"/>
      <c r="JAC551"/>
      <c r="JAD551"/>
      <c r="JAE551"/>
      <c r="JAF551"/>
      <c r="JAG551"/>
      <c r="JAH551"/>
      <c r="JAI551"/>
      <c r="JAJ551"/>
      <c r="JAK551"/>
      <c r="JAL551"/>
      <c r="JAM551"/>
      <c r="JAN551"/>
      <c r="JAO551"/>
      <c r="JAP551"/>
      <c r="JAQ551"/>
      <c r="JAR551"/>
      <c r="JAS551"/>
      <c r="JAT551"/>
      <c r="JAU551"/>
      <c r="JAV551"/>
      <c r="JAW551"/>
      <c r="JAX551"/>
      <c r="JAY551"/>
      <c r="JAZ551"/>
      <c r="JBA551"/>
      <c r="JBB551"/>
      <c r="JBC551"/>
      <c r="JBD551"/>
      <c r="JBE551"/>
      <c r="JBF551"/>
      <c r="JBG551"/>
      <c r="JBH551"/>
      <c r="JBI551"/>
      <c r="JBJ551"/>
      <c r="JBK551"/>
      <c r="JBL551"/>
      <c r="JBM551"/>
      <c r="JBN551"/>
      <c r="JBO551"/>
      <c r="JBP551"/>
      <c r="JBQ551"/>
      <c r="JBR551"/>
      <c r="JBS551"/>
      <c r="JBT551"/>
      <c r="JBU551"/>
      <c r="JBV551"/>
      <c r="JBW551"/>
      <c r="JBX551"/>
      <c r="JBY551"/>
      <c r="JBZ551"/>
      <c r="JCA551"/>
      <c r="JCB551"/>
      <c r="JCC551"/>
      <c r="JCD551"/>
      <c r="JCE551"/>
      <c r="JCF551"/>
      <c r="JCG551"/>
      <c r="JCH551"/>
      <c r="JCI551"/>
      <c r="JCJ551"/>
      <c r="JCK551"/>
      <c r="JCL551"/>
      <c r="JCM551"/>
      <c r="JCN551"/>
      <c r="JCO551"/>
      <c r="JCP551"/>
      <c r="JCQ551"/>
      <c r="JCR551"/>
      <c r="JCS551"/>
      <c r="JCT551"/>
      <c r="JCU551"/>
      <c r="JCV551"/>
      <c r="JCW551"/>
      <c r="JCX551"/>
      <c r="JCY551"/>
      <c r="JCZ551"/>
      <c r="JDA551"/>
      <c r="JDB551"/>
      <c r="JDC551"/>
      <c r="JDD551"/>
      <c r="JDE551"/>
      <c r="JDF551"/>
      <c r="JDG551"/>
      <c r="JDH551"/>
      <c r="JDI551"/>
      <c r="JDJ551"/>
      <c r="JDK551"/>
      <c r="JDL551"/>
      <c r="JDM551"/>
      <c r="JDN551"/>
      <c r="JDO551"/>
      <c r="JDP551"/>
      <c r="JDQ551"/>
      <c r="JDR551"/>
      <c r="JDS551"/>
      <c r="JDT551"/>
      <c r="JDU551"/>
      <c r="JDV551"/>
      <c r="JDW551"/>
      <c r="JDX551"/>
      <c r="JDY551"/>
      <c r="JDZ551"/>
      <c r="JEA551"/>
      <c r="JEB551"/>
      <c r="JEC551"/>
      <c r="JED551"/>
      <c r="JEE551"/>
      <c r="JEF551"/>
      <c r="JEG551"/>
      <c r="JEH551"/>
      <c r="JEI551"/>
      <c r="JEJ551"/>
      <c r="JEK551"/>
      <c r="JEL551"/>
      <c r="JEM551"/>
      <c r="JEN551"/>
      <c r="JEO551"/>
      <c r="JEP551"/>
      <c r="JEQ551"/>
      <c r="JER551"/>
      <c r="JES551"/>
      <c r="JET551"/>
      <c r="JEU551"/>
      <c r="JEV551"/>
      <c r="JEW551"/>
      <c r="JEX551"/>
      <c r="JEY551"/>
      <c r="JEZ551"/>
      <c r="JFA551"/>
      <c r="JFB551"/>
      <c r="JFC551"/>
      <c r="JFD551"/>
      <c r="JFE551"/>
      <c r="JFF551"/>
      <c r="JFG551"/>
      <c r="JFH551"/>
      <c r="JFI551"/>
      <c r="JFJ551"/>
      <c r="JFK551"/>
      <c r="JFL551"/>
      <c r="JFM551"/>
      <c r="JFN551"/>
      <c r="JFO551"/>
      <c r="JFP551"/>
      <c r="JFQ551"/>
      <c r="JFR551"/>
      <c r="JFS551"/>
      <c r="JFT551"/>
      <c r="JFU551"/>
      <c r="JFV551"/>
      <c r="JFW551"/>
      <c r="JFX551"/>
      <c r="JFY551"/>
      <c r="JFZ551"/>
      <c r="JGA551"/>
      <c r="JGB551"/>
      <c r="JGC551"/>
      <c r="JGD551"/>
      <c r="JGE551"/>
      <c r="JGF551"/>
      <c r="JGG551"/>
      <c r="JGH551"/>
      <c r="JGI551"/>
      <c r="JGJ551"/>
      <c r="JGK551"/>
      <c r="JGL551"/>
      <c r="JGM551"/>
      <c r="JGN551"/>
      <c r="JGO551"/>
      <c r="JGP551"/>
      <c r="JGQ551"/>
      <c r="JGR551"/>
      <c r="JGS551"/>
      <c r="JGT551"/>
      <c r="JGU551"/>
      <c r="JGV551"/>
      <c r="JGW551"/>
      <c r="JGX551"/>
      <c r="JGY551"/>
      <c r="JGZ551"/>
      <c r="JHA551"/>
      <c r="JHB551"/>
      <c r="JHC551"/>
      <c r="JHD551"/>
      <c r="JHE551"/>
      <c r="JHF551"/>
      <c r="JHG551"/>
      <c r="JHH551"/>
      <c r="JHI551"/>
      <c r="JHJ551"/>
      <c r="JHK551"/>
      <c r="JHL551"/>
      <c r="JHM551"/>
      <c r="JHN551"/>
      <c r="JHO551"/>
      <c r="JHP551"/>
      <c r="JHQ551"/>
      <c r="JHR551"/>
      <c r="JHS551"/>
      <c r="JHT551"/>
      <c r="JHU551"/>
      <c r="JHV551"/>
      <c r="JHW551"/>
      <c r="JHX551"/>
      <c r="JHY551"/>
      <c r="JHZ551"/>
      <c r="JIA551"/>
      <c r="JIB551"/>
      <c r="JIC551"/>
      <c r="JID551"/>
      <c r="JIE551"/>
      <c r="JIF551"/>
      <c r="JIG551"/>
      <c r="JIH551"/>
      <c r="JII551"/>
      <c r="JIJ551"/>
      <c r="JIK551"/>
      <c r="JIL551"/>
      <c r="JIM551"/>
      <c r="JIN551"/>
      <c r="JIO551"/>
      <c r="JIP551"/>
      <c r="JIQ551"/>
      <c r="JIR551"/>
      <c r="JIS551"/>
      <c r="JIT551"/>
      <c r="JIU551"/>
      <c r="JIV551"/>
      <c r="JIW551"/>
      <c r="JIX551"/>
      <c r="JIY551"/>
      <c r="JIZ551"/>
      <c r="JJA551"/>
      <c r="JJB551"/>
      <c r="JJC551"/>
      <c r="JJD551"/>
      <c r="JJE551"/>
      <c r="JJF551"/>
      <c r="JJG551"/>
      <c r="JJH551"/>
      <c r="JJI551"/>
      <c r="JJJ551"/>
      <c r="JJK551"/>
      <c r="JJL551"/>
      <c r="JJM551"/>
      <c r="JJN551"/>
      <c r="JJO551"/>
      <c r="JJP551"/>
      <c r="JJQ551"/>
      <c r="JJR551"/>
      <c r="JJS551"/>
      <c r="JJT551"/>
      <c r="JJU551"/>
      <c r="JJV551"/>
      <c r="JJW551"/>
      <c r="JJX551"/>
      <c r="JJY551"/>
      <c r="JJZ551"/>
      <c r="JKA551"/>
      <c r="JKB551"/>
      <c r="JKC551"/>
      <c r="JKD551"/>
      <c r="JKE551"/>
      <c r="JKF551"/>
      <c r="JKG551"/>
      <c r="JKH551"/>
      <c r="JKI551"/>
      <c r="JKJ551"/>
      <c r="JKK551"/>
      <c r="JKL551"/>
      <c r="JKM551"/>
      <c r="JKN551"/>
      <c r="JKO551"/>
      <c r="JKP551"/>
      <c r="JKQ551"/>
      <c r="JKR551"/>
      <c r="JKS551"/>
      <c r="JKT551"/>
      <c r="JKU551"/>
      <c r="JKV551"/>
      <c r="JKW551"/>
      <c r="JKX551"/>
      <c r="JKY551"/>
      <c r="JKZ551"/>
      <c r="JLA551"/>
      <c r="JLB551"/>
      <c r="JLC551"/>
      <c r="JLD551"/>
      <c r="JLE551"/>
      <c r="JLF551"/>
      <c r="JLG551"/>
      <c r="JLH551"/>
      <c r="JLI551"/>
      <c r="JLJ551"/>
      <c r="JLK551"/>
      <c r="JLL551"/>
      <c r="JLM551"/>
      <c r="JLN551"/>
      <c r="JLO551"/>
      <c r="JLP551"/>
      <c r="JLQ551"/>
      <c r="JLR551"/>
      <c r="JLS551"/>
      <c r="JLT551"/>
      <c r="JLU551"/>
      <c r="JLV551"/>
      <c r="JLW551"/>
      <c r="JLX551"/>
      <c r="JLY551"/>
      <c r="JLZ551"/>
      <c r="JMA551"/>
      <c r="JMB551"/>
      <c r="JMC551"/>
      <c r="JMD551"/>
      <c r="JME551"/>
      <c r="JMF551"/>
      <c r="JMG551"/>
      <c r="JMH551"/>
      <c r="JMI551"/>
      <c r="JMJ551"/>
      <c r="JMK551"/>
      <c r="JML551"/>
      <c r="JMM551"/>
      <c r="JMN551"/>
      <c r="JMO551"/>
      <c r="JMP551"/>
      <c r="JMQ551"/>
      <c r="JMR551"/>
      <c r="JMS551"/>
      <c r="JMT551"/>
      <c r="JMU551"/>
      <c r="JMV551"/>
      <c r="JMW551"/>
      <c r="JMX551"/>
      <c r="JMY551"/>
      <c r="JMZ551"/>
      <c r="JNA551"/>
      <c r="JNB551"/>
      <c r="JNC551"/>
      <c r="JND551"/>
      <c r="JNE551"/>
      <c r="JNF551"/>
      <c r="JNG551"/>
      <c r="JNH551"/>
      <c r="JNI551"/>
      <c r="JNJ551"/>
      <c r="JNK551"/>
      <c r="JNL551"/>
      <c r="JNM551"/>
      <c r="JNN551"/>
      <c r="JNO551"/>
      <c r="JNP551"/>
      <c r="JNQ551"/>
      <c r="JNR551"/>
      <c r="JNS551"/>
      <c r="JNT551"/>
      <c r="JNU551"/>
      <c r="JNV551"/>
      <c r="JNW551"/>
      <c r="JNX551"/>
      <c r="JNY551"/>
      <c r="JNZ551"/>
      <c r="JOA551"/>
      <c r="JOB551"/>
      <c r="JOC551"/>
      <c r="JOD551"/>
      <c r="JOE551"/>
      <c r="JOF551"/>
      <c r="JOG551"/>
      <c r="JOH551"/>
      <c r="JOI551"/>
      <c r="JOJ551"/>
      <c r="JOK551"/>
      <c r="JOL551"/>
      <c r="JOM551"/>
      <c r="JON551"/>
      <c r="JOO551"/>
      <c r="JOP551"/>
      <c r="JOQ551"/>
      <c r="JOR551"/>
      <c r="JOS551"/>
      <c r="JOT551"/>
      <c r="JOU551"/>
      <c r="JOV551"/>
      <c r="JOW551"/>
      <c r="JOX551"/>
      <c r="JOY551"/>
      <c r="JOZ551"/>
      <c r="JPA551"/>
      <c r="JPB551"/>
      <c r="JPC551"/>
      <c r="JPD551"/>
      <c r="JPE551"/>
      <c r="JPF551"/>
      <c r="JPG551"/>
      <c r="JPH551"/>
      <c r="JPI551"/>
      <c r="JPJ551"/>
      <c r="JPK551"/>
      <c r="JPL551"/>
      <c r="JPM551"/>
      <c r="JPN551"/>
      <c r="JPO551"/>
      <c r="JPP551"/>
      <c r="JPQ551"/>
      <c r="JPR551"/>
      <c r="JPS551"/>
      <c r="JPT551"/>
      <c r="JPU551"/>
      <c r="JPV551"/>
      <c r="JPW551"/>
      <c r="JPX551"/>
      <c r="JPY551"/>
      <c r="JPZ551"/>
      <c r="JQA551"/>
      <c r="JQB551"/>
      <c r="JQC551"/>
      <c r="JQD551"/>
      <c r="JQE551"/>
      <c r="JQF551"/>
      <c r="JQG551"/>
      <c r="JQH551"/>
      <c r="JQI551"/>
      <c r="JQJ551"/>
      <c r="JQK551"/>
      <c r="JQL551"/>
      <c r="JQM551"/>
      <c r="JQN551"/>
      <c r="JQO551"/>
      <c r="JQP551"/>
      <c r="JQQ551"/>
      <c r="JQR551"/>
      <c r="JQS551"/>
      <c r="JQT551"/>
      <c r="JQU551"/>
      <c r="JQV551"/>
      <c r="JQW551"/>
      <c r="JQX551"/>
      <c r="JQY551"/>
      <c r="JQZ551"/>
      <c r="JRA551"/>
      <c r="JRB551"/>
      <c r="JRC551"/>
      <c r="JRD551"/>
      <c r="JRE551"/>
      <c r="JRF551"/>
      <c r="JRG551"/>
      <c r="JRH551"/>
      <c r="JRI551"/>
      <c r="JRJ551"/>
      <c r="JRK551"/>
      <c r="JRL551"/>
      <c r="JRM551"/>
      <c r="JRN551"/>
      <c r="JRO551"/>
      <c r="JRP551"/>
      <c r="JRQ551"/>
      <c r="JRR551"/>
      <c r="JRS551"/>
      <c r="JRT551"/>
      <c r="JRU551"/>
      <c r="JRV551"/>
      <c r="JRW551"/>
      <c r="JRX551"/>
      <c r="JRY551"/>
      <c r="JRZ551"/>
      <c r="JSA551"/>
      <c r="JSB551"/>
      <c r="JSC551"/>
      <c r="JSD551"/>
      <c r="JSE551"/>
      <c r="JSF551"/>
      <c r="JSG551"/>
      <c r="JSH551"/>
      <c r="JSI551"/>
      <c r="JSJ551"/>
      <c r="JSK551"/>
      <c r="JSL551"/>
      <c r="JSM551"/>
      <c r="JSN551"/>
      <c r="JSO551"/>
      <c r="JSP551"/>
      <c r="JSQ551"/>
      <c r="JSR551"/>
      <c r="JSS551"/>
      <c r="JST551"/>
      <c r="JSU551"/>
      <c r="JSV551"/>
      <c r="JSW551"/>
      <c r="JSX551"/>
      <c r="JSY551"/>
      <c r="JSZ551"/>
      <c r="JTA551"/>
      <c r="JTB551"/>
      <c r="JTC551"/>
      <c r="JTD551"/>
      <c r="JTE551"/>
      <c r="JTF551"/>
      <c r="JTG551"/>
      <c r="JTH551"/>
      <c r="JTI551"/>
      <c r="JTJ551"/>
      <c r="JTK551"/>
      <c r="JTL551"/>
      <c r="JTM551"/>
      <c r="JTN551"/>
      <c r="JTO551"/>
      <c r="JTP551"/>
      <c r="JTQ551"/>
      <c r="JTR551"/>
      <c r="JTS551"/>
      <c r="JTT551"/>
      <c r="JTU551"/>
      <c r="JTV551"/>
      <c r="JTW551"/>
      <c r="JTX551"/>
      <c r="JTY551"/>
      <c r="JTZ551"/>
      <c r="JUA551"/>
      <c r="JUB551"/>
      <c r="JUC551"/>
      <c r="JUD551"/>
      <c r="JUE551"/>
      <c r="JUF551"/>
      <c r="JUG551"/>
      <c r="JUH551"/>
      <c r="JUI551"/>
      <c r="JUJ551"/>
      <c r="JUK551"/>
      <c r="JUL551"/>
      <c r="JUM551"/>
      <c r="JUN551"/>
      <c r="JUO551"/>
      <c r="JUP551"/>
      <c r="JUQ551"/>
      <c r="JUR551"/>
      <c r="JUS551"/>
      <c r="JUT551"/>
      <c r="JUU551"/>
      <c r="JUV551"/>
      <c r="JUW551"/>
      <c r="JUX551"/>
      <c r="JUY551"/>
      <c r="JUZ551"/>
      <c r="JVA551"/>
      <c r="JVB551"/>
      <c r="JVC551"/>
      <c r="JVD551"/>
      <c r="JVE551"/>
      <c r="JVF551"/>
      <c r="JVG551"/>
      <c r="JVH551"/>
      <c r="JVI551"/>
      <c r="JVJ551"/>
      <c r="JVK551"/>
      <c r="JVL551"/>
      <c r="JVM551"/>
      <c r="JVN551"/>
      <c r="JVO551"/>
      <c r="JVP551"/>
      <c r="JVQ551"/>
      <c r="JVR551"/>
      <c r="JVS551"/>
      <c r="JVT551"/>
      <c r="JVU551"/>
      <c r="JVV551"/>
      <c r="JVW551"/>
      <c r="JVX551"/>
      <c r="JVY551"/>
      <c r="JVZ551"/>
      <c r="JWA551"/>
      <c r="JWB551"/>
      <c r="JWC551"/>
      <c r="JWD551"/>
      <c r="JWE551"/>
      <c r="JWF551"/>
      <c r="JWG551"/>
      <c r="JWH551"/>
      <c r="JWI551"/>
      <c r="JWJ551"/>
      <c r="JWK551"/>
      <c r="JWL551"/>
      <c r="JWM551"/>
      <c r="JWN551"/>
      <c r="JWO551"/>
      <c r="JWP551"/>
      <c r="JWQ551"/>
      <c r="JWR551"/>
      <c r="JWS551"/>
      <c r="JWT551"/>
      <c r="JWU551"/>
      <c r="JWV551"/>
      <c r="JWW551"/>
      <c r="JWX551"/>
      <c r="JWY551"/>
      <c r="JWZ551"/>
      <c r="JXA551"/>
      <c r="JXB551"/>
      <c r="JXC551"/>
      <c r="JXD551"/>
      <c r="JXE551"/>
      <c r="JXF551"/>
      <c r="JXG551"/>
      <c r="JXH551"/>
      <c r="JXI551"/>
      <c r="JXJ551"/>
      <c r="JXK551"/>
      <c r="JXL551"/>
      <c r="JXM551"/>
      <c r="JXN551"/>
      <c r="JXO551"/>
      <c r="JXP551"/>
      <c r="JXQ551"/>
      <c r="JXR551"/>
      <c r="JXS551"/>
      <c r="JXT551"/>
      <c r="JXU551"/>
      <c r="JXV551"/>
      <c r="JXW551"/>
      <c r="JXX551"/>
      <c r="JXY551"/>
      <c r="JXZ551"/>
      <c r="JYA551"/>
      <c r="JYB551"/>
      <c r="JYC551"/>
      <c r="JYD551"/>
      <c r="JYE551"/>
      <c r="JYF551"/>
      <c r="JYG551"/>
      <c r="JYH551"/>
      <c r="JYI551"/>
      <c r="JYJ551"/>
      <c r="JYK551"/>
      <c r="JYL551"/>
      <c r="JYM551"/>
      <c r="JYN551"/>
      <c r="JYO551"/>
      <c r="JYP551"/>
      <c r="JYQ551"/>
      <c r="JYR551"/>
      <c r="JYS551"/>
      <c r="JYT551"/>
      <c r="JYU551"/>
      <c r="JYV551"/>
      <c r="JYW551"/>
      <c r="JYX551"/>
      <c r="JYY551"/>
      <c r="JYZ551"/>
      <c r="JZA551"/>
      <c r="JZB551"/>
      <c r="JZC551"/>
      <c r="JZD551"/>
      <c r="JZE551"/>
      <c r="JZF551"/>
      <c r="JZG551"/>
      <c r="JZH551"/>
      <c r="JZI551"/>
      <c r="JZJ551"/>
      <c r="JZK551"/>
      <c r="JZL551"/>
      <c r="JZM551"/>
      <c r="JZN551"/>
      <c r="JZO551"/>
      <c r="JZP551"/>
      <c r="JZQ551"/>
      <c r="JZR551"/>
      <c r="JZS551"/>
      <c r="JZT551"/>
      <c r="JZU551"/>
      <c r="JZV551"/>
      <c r="JZW551"/>
      <c r="JZX551"/>
      <c r="JZY551"/>
      <c r="JZZ551"/>
      <c r="KAA551"/>
      <c r="KAB551"/>
      <c r="KAC551"/>
      <c r="KAD551"/>
      <c r="KAE551"/>
      <c r="KAF551"/>
      <c r="KAG551"/>
      <c r="KAH551"/>
      <c r="KAI551"/>
      <c r="KAJ551"/>
      <c r="KAK551"/>
      <c r="KAL551"/>
      <c r="KAM551"/>
      <c r="KAN551"/>
      <c r="KAO551"/>
      <c r="KAP551"/>
      <c r="KAQ551"/>
      <c r="KAR551"/>
      <c r="KAS551"/>
      <c r="KAT551"/>
      <c r="KAU551"/>
      <c r="KAV551"/>
      <c r="KAW551"/>
      <c r="KAX551"/>
      <c r="KAY551"/>
      <c r="KAZ551"/>
      <c r="KBA551"/>
      <c r="KBB551"/>
      <c r="KBC551"/>
      <c r="KBD551"/>
      <c r="KBE551"/>
      <c r="KBF551"/>
      <c r="KBG551"/>
      <c r="KBH551"/>
      <c r="KBI551"/>
      <c r="KBJ551"/>
      <c r="KBK551"/>
      <c r="KBL551"/>
      <c r="KBM551"/>
      <c r="KBN551"/>
      <c r="KBO551"/>
      <c r="KBP551"/>
      <c r="KBQ551"/>
      <c r="KBR551"/>
      <c r="KBS551"/>
      <c r="KBT551"/>
      <c r="KBU551"/>
      <c r="KBV551"/>
      <c r="KBW551"/>
      <c r="KBX551"/>
      <c r="KBY551"/>
      <c r="KBZ551"/>
      <c r="KCA551"/>
      <c r="KCB551"/>
      <c r="KCC551"/>
      <c r="KCD551"/>
      <c r="KCE551"/>
      <c r="KCF551"/>
      <c r="KCG551"/>
      <c r="KCH551"/>
      <c r="KCI551"/>
      <c r="KCJ551"/>
      <c r="KCK551"/>
      <c r="KCL551"/>
      <c r="KCM551"/>
      <c r="KCN551"/>
      <c r="KCO551"/>
      <c r="KCP551"/>
      <c r="KCQ551"/>
      <c r="KCR551"/>
      <c r="KCS551"/>
      <c r="KCT551"/>
      <c r="KCU551"/>
      <c r="KCV551"/>
      <c r="KCW551"/>
      <c r="KCX551"/>
      <c r="KCY551"/>
      <c r="KCZ551"/>
      <c r="KDA551"/>
      <c r="KDB551"/>
      <c r="KDC551"/>
      <c r="KDD551"/>
      <c r="KDE551"/>
      <c r="KDF551"/>
      <c r="KDG551"/>
      <c r="KDH551"/>
      <c r="KDI551"/>
      <c r="KDJ551"/>
      <c r="KDK551"/>
      <c r="KDL551"/>
      <c r="KDM551"/>
      <c r="KDN551"/>
      <c r="KDO551"/>
      <c r="KDP551"/>
      <c r="KDQ551"/>
      <c r="KDR551"/>
      <c r="KDS551"/>
      <c r="KDT551"/>
      <c r="KDU551"/>
      <c r="KDV551"/>
      <c r="KDW551"/>
      <c r="KDX551"/>
      <c r="KDY551"/>
      <c r="KDZ551"/>
      <c r="KEA551"/>
      <c r="KEB551"/>
      <c r="KEC551"/>
      <c r="KED551"/>
      <c r="KEE551"/>
      <c r="KEF551"/>
      <c r="KEG551"/>
      <c r="KEH551"/>
      <c r="KEI551"/>
      <c r="KEJ551"/>
      <c r="KEK551"/>
      <c r="KEL551"/>
      <c r="KEM551"/>
      <c r="KEN551"/>
      <c r="KEO551"/>
      <c r="KEP551"/>
      <c r="KEQ551"/>
      <c r="KER551"/>
      <c r="KES551"/>
      <c r="KET551"/>
      <c r="KEU551"/>
      <c r="KEV551"/>
      <c r="KEW551"/>
      <c r="KEX551"/>
      <c r="KEY551"/>
      <c r="KEZ551"/>
      <c r="KFA551"/>
      <c r="KFB551"/>
      <c r="KFC551"/>
      <c r="KFD551"/>
      <c r="KFE551"/>
      <c r="KFF551"/>
      <c r="KFG551"/>
      <c r="KFH551"/>
      <c r="KFI551"/>
      <c r="KFJ551"/>
      <c r="KFK551"/>
      <c r="KFL551"/>
      <c r="KFM551"/>
      <c r="KFN551"/>
      <c r="KFO551"/>
      <c r="KFP551"/>
      <c r="KFQ551"/>
      <c r="KFR551"/>
      <c r="KFS551"/>
      <c r="KFT551"/>
      <c r="KFU551"/>
      <c r="KFV551"/>
      <c r="KFW551"/>
      <c r="KFX551"/>
      <c r="KFY551"/>
      <c r="KFZ551"/>
      <c r="KGA551"/>
      <c r="KGB551"/>
      <c r="KGC551"/>
      <c r="KGD551"/>
      <c r="KGE551"/>
      <c r="KGF551"/>
      <c r="KGG551"/>
      <c r="KGH551"/>
      <c r="KGI551"/>
      <c r="KGJ551"/>
      <c r="KGK551"/>
      <c r="KGL551"/>
      <c r="KGM551"/>
      <c r="KGN551"/>
      <c r="KGO551"/>
      <c r="KGP551"/>
      <c r="KGQ551"/>
      <c r="KGR551"/>
      <c r="KGS551"/>
      <c r="KGT551"/>
      <c r="KGU551"/>
      <c r="KGV551"/>
      <c r="KGW551"/>
      <c r="KGX551"/>
      <c r="KGY551"/>
      <c r="KGZ551"/>
      <c r="KHA551"/>
      <c r="KHB551"/>
      <c r="KHC551"/>
      <c r="KHD551"/>
      <c r="KHE551"/>
      <c r="KHF551"/>
      <c r="KHG551"/>
      <c r="KHH551"/>
      <c r="KHI551"/>
      <c r="KHJ551"/>
      <c r="KHK551"/>
      <c r="KHL551"/>
      <c r="KHM551"/>
      <c r="KHN551"/>
      <c r="KHO551"/>
      <c r="KHP551"/>
      <c r="KHQ551"/>
      <c r="KHR551"/>
      <c r="KHS551"/>
      <c r="KHT551"/>
      <c r="KHU551"/>
      <c r="KHV551"/>
      <c r="KHW551"/>
      <c r="KHX551"/>
      <c r="KHY551"/>
      <c r="KHZ551"/>
      <c r="KIA551"/>
      <c r="KIB551"/>
      <c r="KIC551"/>
      <c r="KID551"/>
      <c r="KIE551"/>
      <c r="KIF551"/>
      <c r="KIG551"/>
      <c r="KIH551"/>
      <c r="KII551"/>
      <c r="KIJ551"/>
      <c r="KIK551"/>
      <c r="KIL551"/>
      <c r="KIM551"/>
      <c r="KIN551"/>
      <c r="KIO551"/>
      <c r="KIP551"/>
      <c r="KIQ551"/>
      <c r="KIR551"/>
      <c r="KIS551"/>
      <c r="KIT551"/>
      <c r="KIU551"/>
      <c r="KIV551"/>
      <c r="KIW551"/>
      <c r="KIX551"/>
      <c r="KIY551"/>
      <c r="KIZ551"/>
      <c r="KJA551"/>
      <c r="KJB551"/>
      <c r="KJC551"/>
      <c r="KJD551"/>
      <c r="KJE551"/>
      <c r="KJF551"/>
      <c r="KJG551"/>
      <c r="KJH551"/>
      <c r="KJI551"/>
      <c r="KJJ551"/>
      <c r="KJK551"/>
      <c r="KJL551"/>
      <c r="KJM551"/>
      <c r="KJN551"/>
      <c r="KJO551"/>
      <c r="KJP551"/>
      <c r="KJQ551"/>
      <c r="KJR551"/>
      <c r="KJS551"/>
      <c r="KJT551"/>
      <c r="KJU551"/>
      <c r="KJV551"/>
      <c r="KJW551"/>
      <c r="KJX551"/>
      <c r="KJY551"/>
      <c r="KJZ551"/>
      <c r="KKA551"/>
      <c r="KKB551"/>
      <c r="KKC551"/>
      <c r="KKD551"/>
      <c r="KKE551"/>
      <c r="KKF551"/>
      <c r="KKG551"/>
      <c r="KKH551"/>
      <c r="KKI551"/>
      <c r="KKJ551"/>
      <c r="KKK551"/>
      <c r="KKL551"/>
      <c r="KKM551"/>
      <c r="KKN551"/>
      <c r="KKO551"/>
      <c r="KKP551"/>
      <c r="KKQ551"/>
      <c r="KKR551"/>
      <c r="KKS551"/>
      <c r="KKT551"/>
      <c r="KKU551"/>
      <c r="KKV551"/>
      <c r="KKW551"/>
      <c r="KKX551"/>
      <c r="KKY551"/>
      <c r="KKZ551"/>
      <c r="KLA551"/>
      <c r="KLB551"/>
      <c r="KLC551"/>
      <c r="KLD551"/>
      <c r="KLE551"/>
      <c r="KLF551"/>
      <c r="KLG551"/>
      <c r="KLH551"/>
      <c r="KLI551"/>
      <c r="KLJ551"/>
      <c r="KLK551"/>
      <c r="KLL551"/>
      <c r="KLM551"/>
      <c r="KLN551"/>
      <c r="KLO551"/>
      <c r="KLP551"/>
      <c r="KLQ551"/>
      <c r="KLR551"/>
      <c r="KLS551"/>
      <c r="KLT551"/>
      <c r="KLU551"/>
      <c r="KLV551"/>
      <c r="KLW551"/>
      <c r="KLX551"/>
      <c r="KLY551"/>
      <c r="KLZ551"/>
      <c r="KMA551"/>
      <c r="KMB551"/>
      <c r="KMC551"/>
      <c r="KMD551"/>
      <c r="KME551"/>
      <c r="KMF551"/>
      <c r="KMG551"/>
      <c r="KMH551"/>
      <c r="KMI551"/>
      <c r="KMJ551"/>
      <c r="KMK551"/>
      <c r="KML551"/>
      <c r="KMM551"/>
      <c r="KMN551"/>
      <c r="KMO551"/>
      <c r="KMP551"/>
      <c r="KMQ551"/>
      <c r="KMR551"/>
      <c r="KMS551"/>
      <c r="KMT551"/>
      <c r="KMU551"/>
      <c r="KMV551"/>
      <c r="KMW551"/>
      <c r="KMX551"/>
      <c r="KMY551"/>
      <c r="KMZ551"/>
      <c r="KNA551"/>
      <c r="KNB551"/>
      <c r="KNC551"/>
      <c r="KND551"/>
      <c r="KNE551"/>
      <c r="KNF551"/>
      <c r="KNG551"/>
      <c r="KNH551"/>
      <c r="KNI551"/>
      <c r="KNJ551"/>
      <c r="KNK551"/>
      <c r="KNL551"/>
      <c r="KNM551"/>
      <c r="KNN551"/>
      <c r="KNO551"/>
      <c r="KNP551"/>
      <c r="KNQ551"/>
      <c r="KNR551"/>
      <c r="KNS551"/>
      <c r="KNT551"/>
      <c r="KNU551"/>
      <c r="KNV551"/>
      <c r="KNW551"/>
      <c r="KNX551"/>
      <c r="KNY551"/>
      <c r="KNZ551"/>
      <c r="KOA551"/>
      <c r="KOB551"/>
      <c r="KOC551"/>
      <c r="KOD551"/>
      <c r="KOE551"/>
      <c r="KOF551"/>
      <c r="KOG551"/>
      <c r="KOH551"/>
      <c r="KOI551"/>
      <c r="KOJ551"/>
      <c r="KOK551"/>
      <c r="KOL551"/>
      <c r="KOM551"/>
      <c r="KON551"/>
      <c r="KOO551"/>
      <c r="KOP551"/>
      <c r="KOQ551"/>
      <c r="KOR551"/>
      <c r="KOS551"/>
      <c r="KOT551"/>
      <c r="KOU551"/>
      <c r="KOV551"/>
      <c r="KOW551"/>
      <c r="KOX551"/>
      <c r="KOY551"/>
      <c r="KOZ551"/>
      <c r="KPA551"/>
      <c r="KPB551"/>
      <c r="KPC551"/>
      <c r="KPD551"/>
      <c r="KPE551"/>
      <c r="KPF551"/>
      <c r="KPG551"/>
      <c r="KPH551"/>
      <c r="KPI551"/>
      <c r="KPJ551"/>
      <c r="KPK551"/>
      <c r="KPL551"/>
      <c r="KPM551"/>
      <c r="KPN551"/>
      <c r="KPO551"/>
      <c r="KPP551"/>
      <c r="KPQ551"/>
      <c r="KPR551"/>
      <c r="KPS551"/>
      <c r="KPT551"/>
      <c r="KPU551"/>
      <c r="KPV551"/>
      <c r="KPW551"/>
      <c r="KPX551"/>
      <c r="KPY551"/>
      <c r="KPZ551"/>
      <c r="KQA551"/>
      <c r="KQB551"/>
      <c r="KQC551"/>
      <c r="KQD551"/>
      <c r="KQE551"/>
      <c r="KQF551"/>
      <c r="KQG551"/>
      <c r="KQH551"/>
      <c r="KQI551"/>
      <c r="KQJ551"/>
      <c r="KQK551"/>
      <c r="KQL551"/>
      <c r="KQM551"/>
      <c r="KQN551"/>
      <c r="KQO551"/>
      <c r="KQP551"/>
      <c r="KQQ551"/>
      <c r="KQR551"/>
      <c r="KQS551"/>
      <c r="KQT551"/>
      <c r="KQU551"/>
      <c r="KQV551"/>
      <c r="KQW551"/>
      <c r="KQX551"/>
      <c r="KQY551"/>
      <c r="KQZ551"/>
      <c r="KRA551"/>
      <c r="KRB551"/>
      <c r="KRC551"/>
      <c r="KRD551"/>
      <c r="KRE551"/>
      <c r="KRF551"/>
      <c r="KRG551"/>
      <c r="KRH551"/>
      <c r="KRI551"/>
      <c r="KRJ551"/>
      <c r="KRK551"/>
      <c r="KRL551"/>
      <c r="KRM551"/>
      <c r="KRN551"/>
      <c r="KRO551"/>
      <c r="KRP551"/>
      <c r="KRQ551"/>
      <c r="KRR551"/>
      <c r="KRS551"/>
      <c r="KRT551"/>
      <c r="KRU551"/>
      <c r="KRV551"/>
      <c r="KRW551"/>
      <c r="KRX551"/>
      <c r="KRY551"/>
      <c r="KRZ551"/>
      <c r="KSA551"/>
      <c r="KSB551"/>
      <c r="KSC551"/>
      <c r="KSD551"/>
      <c r="KSE551"/>
      <c r="KSF551"/>
      <c r="KSG551"/>
      <c r="KSH551"/>
      <c r="KSI551"/>
      <c r="KSJ551"/>
      <c r="KSK551"/>
      <c r="KSL551"/>
      <c r="KSM551"/>
      <c r="KSN551"/>
      <c r="KSO551"/>
      <c r="KSP551"/>
      <c r="KSQ551"/>
      <c r="KSR551"/>
      <c r="KSS551"/>
      <c r="KST551"/>
      <c r="KSU551"/>
      <c r="KSV551"/>
      <c r="KSW551"/>
      <c r="KSX551"/>
      <c r="KSY551"/>
      <c r="KSZ551"/>
      <c r="KTA551"/>
      <c r="KTB551"/>
      <c r="KTC551"/>
      <c r="KTD551"/>
      <c r="KTE551"/>
      <c r="KTF551"/>
      <c r="KTG551"/>
      <c r="KTH551"/>
      <c r="KTI551"/>
      <c r="KTJ551"/>
      <c r="KTK551"/>
      <c r="KTL551"/>
      <c r="KTM551"/>
      <c r="KTN551"/>
      <c r="KTO551"/>
      <c r="KTP551"/>
      <c r="KTQ551"/>
      <c r="KTR551"/>
      <c r="KTS551"/>
      <c r="KTT551"/>
      <c r="KTU551"/>
      <c r="KTV551"/>
      <c r="KTW551"/>
      <c r="KTX551"/>
      <c r="KTY551"/>
      <c r="KTZ551"/>
      <c r="KUA551"/>
      <c r="KUB551"/>
      <c r="KUC551"/>
      <c r="KUD551"/>
      <c r="KUE551"/>
      <c r="KUF551"/>
      <c r="KUG551"/>
      <c r="KUH551"/>
      <c r="KUI551"/>
      <c r="KUJ551"/>
      <c r="KUK551"/>
      <c r="KUL551"/>
      <c r="KUM551"/>
      <c r="KUN551"/>
      <c r="KUO551"/>
      <c r="KUP551"/>
      <c r="KUQ551"/>
      <c r="KUR551"/>
      <c r="KUS551"/>
      <c r="KUT551"/>
      <c r="KUU551"/>
      <c r="KUV551"/>
      <c r="KUW551"/>
      <c r="KUX551"/>
      <c r="KUY551"/>
      <c r="KUZ551"/>
      <c r="KVA551"/>
      <c r="KVB551"/>
      <c r="KVC551"/>
      <c r="KVD551"/>
      <c r="KVE551"/>
      <c r="KVF551"/>
      <c r="KVG551"/>
      <c r="KVH551"/>
      <c r="KVI551"/>
      <c r="KVJ551"/>
      <c r="KVK551"/>
      <c r="KVL551"/>
      <c r="KVM551"/>
      <c r="KVN551"/>
      <c r="KVO551"/>
      <c r="KVP551"/>
      <c r="KVQ551"/>
      <c r="KVR551"/>
      <c r="KVS551"/>
      <c r="KVT551"/>
      <c r="KVU551"/>
      <c r="KVV551"/>
      <c r="KVW551"/>
      <c r="KVX551"/>
      <c r="KVY551"/>
      <c r="KVZ551"/>
      <c r="KWA551"/>
      <c r="KWB551"/>
      <c r="KWC551"/>
      <c r="KWD551"/>
      <c r="KWE551"/>
      <c r="KWF551"/>
      <c r="KWG551"/>
      <c r="KWH551"/>
      <c r="KWI551"/>
      <c r="KWJ551"/>
      <c r="KWK551"/>
      <c r="KWL551"/>
      <c r="KWM551"/>
      <c r="KWN551"/>
      <c r="KWO551"/>
      <c r="KWP551"/>
      <c r="KWQ551"/>
      <c r="KWR551"/>
      <c r="KWS551"/>
      <c r="KWT551"/>
      <c r="KWU551"/>
      <c r="KWV551"/>
      <c r="KWW551"/>
      <c r="KWX551"/>
      <c r="KWY551"/>
      <c r="KWZ551"/>
      <c r="KXA551"/>
      <c r="KXB551"/>
      <c r="KXC551"/>
      <c r="KXD551"/>
      <c r="KXE551"/>
      <c r="KXF551"/>
      <c r="KXG551"/>
      <c r="KXH551"/>
      <c r="KXI551"/>
      <c r="KXJ551"/>
      <c r="KXK551"/>
      <c r="KXL551"/>
      <c r="KXM551"/>
      <c r="KXN551"/>
      <c r="KXO551"/>
      <c r="KXP551"/>
      <c r="KXQ551"/>
      <c r="KXR551"/>
      <c r="KXS551"/>
      <c r="KXT551"/>
      <c r="KXU551"/>
      <c r="KXV551"/>
      <c r="KXW551"/>
      <c r="KXX551"/>
      <c r="KXY551"/>
      <c r="KXZ551"/>
      <c r="KYA551"/>
      <c r="KYB551"/>
      <c r="KYC551"/>
      <c r="KYD551"/>
      <c r="KYE551"/>
      <c r="KYF551"/>
      <c r="KYG551"/>
      <c r="KYH551"/>
      <c r="KYI551"/>
      <c r="KYJ551"/>
      <c r="KYK551"/>
      <c r="KYL551"/>
      <c r="KYM551"/>
      <c r="KYN551"/>
      <c r="KYO551"/>
      <c r="KYP551"/>
      <c r="KYQ551"/>
      <c r="KYR551"/>
      <c r="KYS551"/>
      <c r="KYT551"/>
      <c r="KYU551"/>
      <c r="KYV551"/>
      <c r="KYW551"/>
      <c r="KYX551"/>
      <c r="KYY551"/>
      <c r="KYZ551"/>
      <c r="KZA551"/>
      <c r="KZB551"/>
      <c r="KZC551"/>
      <c r="KZD551"/>
      <c r="KZE551"/>
      <c r="KZF551"/>
      <c r="KZG551"/>
      <c r="KZH551"/>
      <c r="KZI551"/>
      <c r="KZJ551"/>
      <c r="KZK551"/>
      <c r="KZL551"/>
      <c r="KZM551"/>
      <c r="KZN551"/>
      <c r="KZO551"/>
      <c r="KZP551"/>
      <c r="KZQ551"/>
      <c r="KZR551"/>
      <c r="KZS551"/>
      <c r="KZT551"/>
      <c r="KZU551"/>
      <c r="KZV551"/>
      <c r="KZW551"/>
      <c r="KZX551"/>
      <c r="KZY551"/>
      <c r="KZZ551"/>
      <c r="LAA551"/>
      <c r="LAB551"/>
      <c r="LAC551"/>
      <c r="LAD551"/>
      <c r="LAE551"/>
      <c r="LAF551"/>
      <c r="LAG551"/>
      <c r="LAH551"/>
      <c r="LAI551"/>
      <c r="LAJ551"/>
      <c r="LAK551"/>
      <c r="LAL551"/>
      <c r="LAM551"/>
      <c r="LAN551"/>
      <c r="LAO551"/>
      <c r="LAP551"/>
      <c r="LAQ551"/>
      <c r="LAR551"/>
      <c r="LAS551"/>
      <c r="LAT551"/>
      <c r="LAU551"/>
      <c r="LAV551"/>
      <c r="LAW551"/>
      <c r="LAX551"/>
      <c r="LAY551"/>
      <c r="LAZ551"/>
      <c r="LBA551"/>
      <c r="LBB551"/>
      <c r="LBC551"/>
      <c r="LBD551"/>
      <c r="LBE551"/>
      <c r="LBF551"/>
      <c r="LBG551"/>
      <c r="LBH551"/>
      <c r="LBI551"/>
      <c r="LBJ551"/>
      <c r="LBK551"/>
      <c r="LBL551"/>
      <c r="LBM551"/>
      <c r="LBN551"/>
      <c r="LBO551"/>
      <c r="LBP551"/>
      <c r="LBQ551"/>
      <c r="LBR551"/>
      <c r="LBS551"/>
      <c r="LBT551"/>
      <c r="LBU551"/>
      <c r="LBV551"/>
      <c r="LBW551"/>
      <c r="LBX551"/>
      <c r="LBY551"/>
      <c r="LBZ551"/>
      <c r="LCA551"/>
      <c r="LCB551"/>
      <c r="LCC551"/>
      <c r="LCD551"/>
      <c r="LCE551"/>
      <c r="LCF551"/>
      <c r="LCG551"/>
      <c r="LCH551"/>
      <c r="LCI551"/>
      <c r="LCJ551"/>
      <c r="LCK551"/>
      <c r="LCL551"/>
      <c r="LCM551"/>
      <c r="LCN551"/>
      <c r="LCO551"/>
      <c r="LCP551"/>
      <c r="LCQ551"/>
      <c r="LCR551"/>
      <c r="LCS551"/>
      <c r="LCT551"/>
      <c r="LCU551"/>
      <c r="LCV551"/>
      <c r="LCW551"/>
      <c r="LCX551"/>
      <c r="LCY551"/>
      <c r="LCZ551"/>
      <c r="LDA551"/>
      <c r="LDB551"/>
      <c r="LDC551"/>
      <c r="LDD551"/>
      <c r="LDE551"/>
      <c r="LDF551"/>
      <c r="LDG551"/>
      <c r="LDH551"/>
      <c r="LDI551"/>
      <c r="LDJ551"/>
      <c r="LDK551"/>
      <c r="LDL551"/>
      <c r="LDM551"/>
      <c r="LDN551"/>
      <c r="LDO551"/>
      <c r="LDP551"/>
      <c r="LDQ551"/>
      <c r="LDR551"/>
      <c r="LDS551"/>
      <c r="LDT551"/>
      <c r="LDU551"/>
      <c r="LDV551"/>
      <c r="LDW551"/>
      <c r="LDX551"/>
      <c r="LDY551"/>
      <c r="LDZ551"/>
      <c r="LEA551"/>
      <c r="LEB551"/>
      <c r="LEC551"/>
      <c r="LED551"/>
      <c r="LEE551"/>
      <c r="LEF551"/>
      <c r="LEG551"/>
      <c r="LEH551"/>
      <c r="LEI551"/>
      <c r="LEJ551"/>
      <c r="LEK551"/>
      <c r="LEL551"/>
      <c r="LEM551"/>
      <c r="LEN551"/>
      <c r="LEO551"/>
      <c r="LEP551"/>
      <c r="LEQ551"/>
      <c r="LER551"/>
      <c r="LES551"/>
      <c r="LET551"/>
      <c r="LEU551"/>
      <c r="LEV551"/>
      <c r="LEW551"/>
      <c r="LEX551"/>
      <c r="LEY551"/>
      <c r="LEZ551"/>
      <c r="LFA551"/>
      <c r="LFB551"/>
      <c r="LFC551"/>
      <c r="LFD551"/>
      <c r="LFE551"/>
      <c r="LFF551"/>
      <c r="LFG551"/>
      <c r="LFH551"/>
      <c r="LFI551"/>
      <c r="LFJ551"/>
      <c r="LFK551"/>
      <c r="LFL551"/>
      <c r="LFM551"/>
      <c r="LFN551"/>
      <c r="LFO551"/>
      <c r="LFP551"/>
      <c r="LFQ551"/>
      <c r="LFR551"/>
      <c r="LFS551"/>
      <c r="LFT551"/>
      <c r="LFU551"/>
      <c r="LFV551"/>
      <c r="LFW551"/>
      <c r="LFX551"/>
      <c r="LFY551"/>
      <c r="LFZ551"/>
      <c r="LGA551"/>
      <c r="LGB551"/>
      <c r="LGC551"/>
      <c r="LGD551"/>
      <c r="LGE551"/>
      <c r="LGF551"/>
      <c r="LGG551"/>
      <c r="LGH551"/>
      <c r="LGI551"/>
      <c r="LGJ551"/>
      <c r="LGK551"/>
      <c r="LGL551"/>
      <c r="LGM551"/>
      <c r="LGN551"/>
      <c r="LGO551"/>
      <c r="LGP551"/>
      <c r="LGQ551"/>
      <c r="LGR551"/>
      <c r="LGS551"/>
      <c r="LGT551"/>
      <c r="LGU551"/>
      <c r="LGV551"/>
      <c r="LGW551"/>
      <c r="LGX551"/>
      <c r="LGY551"/>
      <c r="LGZ551"/>
      <c r="LHA551"/>
      <c r="LHB551"/>
      <c r="LHC551"/>
      <c r="LHD551"/>
      <c r="LHE551"/>
      <c r="LHF551"/>
      <c r="LHG551"/>
      <c r="LHH551"/>
      <c r="LHI551"/>
      <c r="LHJ551"/>
      <c r="LHK551"/>
      <c r="LHL551"/>
      <c r="LHM551"/>
      <c r="LHN551"/>
      <c r="LHO551"/>
      <c r="LHP551"/>
      <c r="LHQ551"/>
      <c r="LHR551"/>
      <c r="LHS551"/>
      <c r="LHT551"/>
      <c r="LHU551"/>
      <c r="LHV551"/>
      <c r="LHW551"/>
      <c r="LHX551"/>
      <c r="LHY551"/>
      <c r="LHZ551"/>
      <c r="LIA551"/>
      <c r="LIB551"/>
      <c r="LIC551"/>
      <c r="LID551"/>
      <c r="LIE551"/>
      <c r="LIF551"/>
      <c r="LIG551"/>
      <c r="LIH551"/>
      <c r="LII551"/>
      <c r="LIJ551"/>
      <c r="LIK551"/>
      <c r="LIL551"/>
      <c r="LIM551"/>
      <c r="LIN551"/>
      <c r="LIO551"/>
      <c r="LIP551"/>
      <c r="LIQ551"/>
      <c r="LIR551"/>
      <c r="LIS551"/>
      <c r="LIT551"/>
      <c r="LIU551"/>
      <c r="LIV551"/>
      <c r="LIW551"/>
      <c r="LIX551"/>
      <c r="LIY551"/>
      <c r="LIZ551"/>
      <c r="LJA551"/>
      <c r="LJB551"/>
      <c r="LJC551"/>
      <c r="LJD551"/>
      <c r="LJE551"/>
      <c r="LJF551"/>
      <c r="LJG551"/>
      <c r="LJH551"/>
      <c r="LJI551"/>
      <c r="LJJ551"/>
      <c r="LJK551"/>
      <c r="LJL551"/>
      <c r="LJM551"/>
      <c r="LJN551"/>
      <c r="LJO551"/>
      <c r="LJP551"/>
      <c r="LJQ551"/>
      <c r="LJR551"/>
      <c r="LJS551"/>
      <c r="LJT551"/>
      <c r="LJU551"/>
      <c r="LJV551"/>
      <c r="LJW551"/>
      <c r="LJX551"/>
      <c r="LJY551"/>
      <c r="LJZ551"/>
      <c r="LKA551"/>
      <c r="LKB551"/>
      <c r="LKC551"/>
      <c r="LKD551"/>
      <c r="LKE551"/>
      <c r="LKF551"/>
      <c r="LKG551"/>
      <c r="LKH551"/>
      <c r="LKI551"/>
      <c r="LKJ551"/>
      <c r="LKK551"/>
      <c r="LKL551"/>
      <c r="LKM551"/>
      <c r="LKN551"/>
      <c r="LKO551"/>
      <c r="LKP551"/>
      <c r="LKQ551"/>
      <c r="LKR551"/>
      <c r="LKS551"/>
      <c r="LKT551"/>
      <c r="LKU551"/>
      <c r="LKV551"/>
      <c r="LKW551"/>
      <c r="LKX551"/>
      <c r="LKY551"/>
      <c r="LKZ551"/>
      <c r="LLA551"/>
      <c r="LLB551"/>
      <c r="LLC551"/>
      <c r="LLD551"/>
      <c r="LLE551"/>
      <c r="LLF551"/>
      <c r="LLG551"/>
      <c r="LLH551"/>
      <c r="LLI551"/>
      <c r="LLJ551"/>
      <c r="LLK551"/>
      <c r="LLL551"/>
      <c r="LLM551"/>
      <c r="LLN551"/>
      <c r="LLO551"/>
      <c r="LLP551"/>
      <c r="LLQ551"/>
      <c r="LLR551"/>
      <c r="LLS551"/>
      <c r="LLT551"/>
      <c r="LLU551"/>
      <c r="LLV551"/>
      <c r="LLW551"/>
      <c r="LLX551"/>
      <c r="LLY551"/>
      <c r="LLZ551"/>
      <c r="LMA551"/>
      <c r="LMB551"/>
      <c r="LMC551"/>
      <c r="LMD551"/>
      <c r="LME551"/>
      <c r="LMF551"/>
      <c r="LMG551"/>
      <c r="LMH551"/>
      <c r="LMI551"/>
      <c r="LMJ551"/>
      <c r="LMK551"/>
      <c r="LML551"/>
      <c r="LMM551"/>
      <c r="LMN551"/>
      <c r="LMO551"/>
      <c r="LMP551"/>
      <c r="LMQ551"/>
      <c r="LMR551"/>
      <c r="LMS551"/>
      <c r="LMT551"/>
      <c r="LMU551"/>
      <c r="LMV551"/>
      <c r="LMW551"/>
      <c r="LMX551"/>
      <c r="LMY551"/>
      <c r="LMZ551"/>
      <c r="LNA551"/>
      <c r="LNB551"/>
      <c r="LNC551"/>
      <c r="LND551"/>
      <c r="LNE551"/>
      <c r="LNF551"/>
      <c r="LNG551"/>
      <c r="LNH551"/>
      <c r="LNI551"/>
      <c r="LNJ551"/>
      <c r="LNK551"/>
      <c r="LNL551"/>
      <c r="LNM551"/>
      <c r="LNN551"/>
      <c r="LNO551"/>
      <c r="LNP551"/>
      <c r="LNQ551"/>
      <c r="LNR551"/>
      <c r="LNS551"/>
      <c r="LNT551"/>
      <c r="LNU551"/>
      <c r="LNV551"/>
      <c r="LNW551"/>
      <c r="LNX551"/>
      <c r="LNY551"/>
      <c r="LNZ551"/>
      <c r="LOA551"/>
      <c r="LOB551"/>
      <c r="LOC551"/>
      <c r="LOD551"/>
      <c r="LOE551"/>
      <c r="LOF551"/>
      <c r="LOG551"/>
      <c r="LOH551"/>
      <c r="LOI551"/>
      <c r="LOJ551"/>
      <c r="LOK551"/>
      <c r="LOL551"/>
      <c r="LOM551"/>
      <c r="LON551"/>
      <c r="LOO551"/>
      <c r="LOP551"/>
      <c r="LOQ551"/>
      <c r="LOR551"/>
      <c r="LOS551"/>
      <c r="LOT551"/>
      <c r="LOU551"/>
      <c r="LOV551"/>
      <c r="LOW551"/>
      <c r="LOX551"/>
      <c r="LOY551"/>
      <c r="LOZ551"/>
      <c r="LPA551"/>
      <c r="LPB551"/>
      <c r="LPC551"/>
      <c r="LPD551"/>
      <c r="LPE551"/>
      <c r="LPF551"/>
      <c r="LPG551"/>
      <c r="LPH551"/>
      <c r="LPI551"/>
      <c r="LPJ551"/>
      <c r="LPK551"/>
      <c r="LPL551"/>
      <c r="LPM551"/>
      <c r="LPN551"/>
      <c r="LPO551"/>
      <c r="LPP551"/>
      <c r="LPQ551"/>
      <c r="LPR551"/>
      <c r="LPS551"/>
      <c r="LPT551"/>
      <c r="LPU551"/>
      <c r="LPV551"/>
      <c r="LPW551"/>
      <c r="LPX551"/>
      <c r="LPY551"/>
      <c r="LPZ551"/>
      <c r="LQA551"/>
      <c r="LQB551"/>
      <c r="LQC551"/>
      <c r="LQD551"/>
      <c r="LQE551"/>
      <c r="LQF551"/>
      <c r="LQG551"/>
      <c r="LQH551"/>
      <c r="LQI551"/>
      <c r="LQJ551"/>
      <c r="LQK551"/>
      <c r="LQL551"/>
      <c r="LQM551"/>
      <c r="LQN551"/>
      <c r="LQO551"/>
      <c r="LQP551"/>
      <c r="LQQ551"/>
      <c r="LQR551"/>
      <c r="LQS551"/>
      <c r="LQT551"/>
      <c r="LQU551"/>
      <c r="LQV551"/>
      <c r="LQW551"/>
      <c r="LQX551"/>
      <c r="LQY551"/>
      <c r="LQZ551"/>
      <c r="LRA551"/>
      <c r="LRB551"/>
      <c r="LRC551"/>
      <c r="LRD551"/>
      <c r="LRE551"/>
      <c r="LRF551"/>
      <c r="LRG551"/>
      <c r="LRH551"/>
      <c r="LRI551"/>
      <c r="LRJ551"/>
      <c r="LRK551"/>
      <c r="LRL551"/>
      <c r="LRM551"/>
      <c r="LRN551"/>
      <c r="LRO551"/>
      <c r="LRP551"/>
      <c r="LRQ551"/>
      <c r="LRR551"/>
      <c r="LRS551"/>
      <c r="LRT551"/>
      <c r="LRU551"/>
      <c r="LRV551"/>
      <c r="LRW551"/>
      <c r="LRX551"/>
      <c r="LRY551"/>
      <c r="LRZ551"/>
      <c r="LSA551"/>
      <c r="LSB551"/>
      <c r="LSC551"/>
      <c r="LSD551"/>
      <c r="LSE551"/>
      <c r="LSF551"/>
      <c r="LSG551"/>
      <c r="LSH551"/>
      <c r="LSI551"/>
      <c r="LSJ551"/>
      <c r="LSK551"/>
      <c r="LSL551"/>
      <c r="LSM551"/>
      <c r="LSN551"/>
      <c r="LSO551"/>
      <c r="LSP551"/>
      <c r="LSQ551"/>
      <c r="LSR551"/>
      <c r="LSS551"/>
      <c r="LST551"/>
      <c r="LSU551"/>
      <c r="LSV551"/>
      <c r="LSW551"/>
      <c r="LSX551"/>
      <c r="LSY551"/>
      <c r="LSZ551"/>
      <c r="LTA551"/>
      <c r="LTB551"/>
      <c r="LTC551"/>
      <c r="LTD551"/>
      <c r="LTE551"/>
      <c r="LTF551"/>
      <c r="LTG551"/>
      <c r="LTH551"/>
      <c r="LTI551"/>
      <c r="LTJ551"/>
      <c r="LTK551"/>
      <c r="LTL551"/>
      <c r="LTM551"/>
      <c r="LTN551"/>
      <c r="LTO551"/>
      <c r="LTP551"/>
      <c r="LTQ551"/>
      <c r="LTR551"/>
      <c r="LTS551"/>
      <c r="LTT551"/>
      <c r="LTU551"/>
      <c r="LTV551"/>
      <c r="LTW551"/>
      <c r="LTX551"/>
      <c r="LTY551"/>
      <c r="LTZ551"/>
      <c r="LUA551"/>
      <c r="LUB551"/>
      <c r="LUC551"/>
      <c r="LUD551"/>
      <c r="LUE551"/>
      <c r="LUF551"/>
      <c r="LUG551"/>
      <c r="LUH551"/>
      <c r="LUI551"/>
      <c r="LUJ551"/>
      <c r="LUK551"/>
      <c r="LUL551"/>
      <c r="LUM551"/>
      <c r="LUN551"/>
      <c r="LUO551"/>
      <c r="LUP551"/>
      <c r="LUQ551"/>
      <c r="LUR551"/>
      <c r="LUS551"/>
      <c r="LUT551"/>
      <c r="LUU551"/>
      <c r="LUV551"/>
      <c r="LUW551"/>
      <c r="LUX551"/>
      <c r="LUY551"/>
      <c r="LUZ551"/>
      <c r="LVA551"/>
      <c r="LVB551"/>
      <c r="LVC551"/>
      <c r="LVD551"/>
      <c r="LVE551"/>
      <c r="LVF551"/>
      <c r="LVG551"/>
      <c r="LVH551"/>
      <c r="LVI551"/>
      <c r="LVJ551"/>
      <c r="LVK551"/>
      <c r="LVL551"/>
      <c r="LVM551"/>
      <c r="LVN551"/>
      <c r="LVO551"/>
      <c r="LVP551"/>
      <c r="LVQ551"/>
      <c r="LVR551"/>
      <c r="LVS551"/>
      <c r="LVT551"/>
      <c r="LVU551"/>
      <c r="LVV551"/>
      <c r="LVW551"/>
      <c r="LVX551"/>
      <c r="LVY551"/>
      <c r="LVZ551"/>
      <c r="LWA551"/>
      <c r="LWB551"/>
      <c r="LWC551"/>
      <c r="LWD551"/>
      <c r="LWE551"/>
      <c r="LWF551"/>
      <c r="LWG551"/>
      <c r="LWH551"/>
      <c r="LWI551"/>
      <c r="LWJ551"/>
      <c r="LWK551"/>
      <c r="LWL551"/>
      <c r="LWM551"/>
      <c r="LWN551"/>
      <c r="LWO551"/>
      <c r="LWP551"/>
      <c r="LWQ551"/>
      <c r="LWR551"/>
      <c r="LWS551"/>
      <c r="LWT551"/>
      <c r="LWU551"/>
      <c r="LWV551"/>
      <c r="LWW551"/>
      <c r="LWX551"/>
      <c r="LWY551"/>
      <c r="LWZ551"/>
      <c r="LXA551"/>
      <c r="LXB551"/>
      <c r="LXC551"/>
      <c r="LXD551"/>
      <c r="LXE551"/>
      <c r="LXF551"/>
      <c r="LXG551"/>
      <c r="LXH551"/>
      <c r="LXI551"/>
      <c r="LXJ551"/>
      <c r="LXK551"/>
      <c r="LXL551"/>
      <c r="LXM551"/>
      <c r="LXN551"/>
      <c r="LXO551"/>
      <c r="LXP551"/>
      <c r="LXQ551"/>
      <c r="LXR551"/>
      <c r="LXS551"/>
      <c r="LXT551"/>
      <c r="LXU551"/>
      <c r="LXV551"/>
      <c r="LXW551"/>
      <c r="LXX551"/>
      <c r="LXY551"/>
      <c r="LXZ551"/>
      <c r="LYA551"/>
      <c r="LYB551"/>
      <c r="LYC551"/>
      <c r="LYD551"/>
      <c r="LYE551"/>
      <c r="LYF551"/>
      <c r="LYG551"/>
      <c r="LYH551"/>
      <c r="LYI551"/>
      <c r="LYJ551"/>
      <c r="LYK551"/>
      <c r="LYL551"/>
      <c r="LYM551"/>
      <c r="LYN551"/>
      <c r="LYO551"/>
      <c r="LYP551"/>
      <c r="LYQ551"/>
      <c r="LYR551"/>
      <c r="LYS551"/>
      <c r="LYT551"/>
      <c r="LYU551"/>
      <c r="LYV551"/>
      <c r="LYW551"/>
      <c r="LYX551"/>
      <c r="LYY551"/>
      <c r="LYZ551"/>
      <c r="LZA551"/>
      <c r="LZB551"/>
      <c r="LZC551"/>
      <c r="LZD551"/>
      <c r="LZE551"/>
      <c r="LZF551"/>
      <c r="LZG551"/>
      <c r="LZH551"/>
      <c r="LZI551"/>
      <c r="LZJ551"/>
      <c r="LZK551"/>
      <c r="LZL551"/>
      <c r="LZM551"/>
      <c r="LZN551"/>
      <c r="LZO551"/>
      <c r="LZP551"/>
      <c r="LZQ551"/>
      <c r="LZR551"/>
      <c r="LZS551"/>
      <c r="LZT551"/>
      <c r="LZU551"/>
      <c r="LZV551"/>
      <c r="LZW551"/>
      <c r="LZX551"/>
      <c r="LZY551"/>
      <c r="LZZ551"/>
      <c r="MAA551"/>
      <c r="MAB551"/>
      <c r="MAC551"/>
      <c r="MAD551"/>
      <c r="MAE551"/>
      <c r="MAF551"/>
      <c r="MAG551"/>
      <c r="MAH551"/>
      <c r="MAI551"/>
      <c r="MAJ551"/>
      <c r="MAK551"/>
      <c r="MAL551"/>
      <c r="MAM551"/>
      <c r="MAN551"/>
      <c r="MAO551"/>
      <c r="MAP551"/>
      <c r="MAQ551"/>
      <c r="MAR551"/>
      <c r="MAS551"/>
      <c r="MAT551"/>
      <c r="MAU551"/>
      <c r="MAV551"/>
      <c r="MAW551"/>
      <c r="MAX551"/>
      <c r="MAY551"/>
      <c r="MAZ551"/>
      <c r="MBA551"/>
      <c r="MBB551"/>
      <c r="MBC551"/>
      <c r="MBD551"/>
      <c r="MBE551"/>
      <c r="MBF551"/>
      <c r="MBG551"/>
      <c r="MBH551"/>
      <c r="MBI551"/>
      <c r="MBJ551"/>
      <c r="MBK551"/>
      <c r="MBL551"/>
      <c r="MBM551"/>
      <c r="MBN551"/>
      <c r="MBO551"/>
      <c r="MBP551"/>
      <c r="MBQ551"/>
      <c r="MBR551"/>
      <c r="MBS551"/>
      <c r="MBT551"/>
      <c r="MBU551"/>
      <c r="MBV551"/>
      <c r="MBW551"/>
      <c r="MBX551"/>
      <c r="MBY551"/>
      <c r="MBZ551"/>
      <c r="MCA551"/>
      <c r="MCB551"/>
      <c r="MCC551"/>
      <c r="MCD551"/>
      <c r="MCE551"/>
      <c r="MCF551"/>
      <c r="MCG551"/>
      <c r="MCH551"/>
      <c r="MCI551"/>
      <c r="MCJ551"/>
      <c r="MCK551"/>
      <c r="MCL551"/>
      <c r="MCM551"/>
      <c r="MCN551"/>
      <c r="MCO551"/>
      <c r="MCP551"/>
      <c r="MCQ551"/>
      <c r="MCR551"/>
      <c r="MCS551"/>
      <c r="MCT551"/>
      <c r="MCU551"/>
      <c r="MCV551"/>
      <c r="MCW551"/>
      <c r="MCX551"/>
      <c r="MCY551"/>
      <c r="MCZ551"/>
      <c r="MDA551"/>
      <c r="MDB551"/>
      <c r="MDC551"/>
      <c r="MDD551"/>
      <c r="MDE551"/>
      <c r="MDF551"/>
      <c r="MDG551"/>
      <c r="MDH551"/>
      <c r="MDI551"/>
      <c r="MDJ551"/>
      <c r="MDK551"/>
      <c r="MDL551"/>
      <c r="MDM551"/>
      <c r="MDN551"/>
      <c r="MDO551"/>
      <c r="MDP551"/>
      <c r="MDQ551"/>
      <c r="MDR551"/>
      <c r="MDS551"/>
      <c r="MDT551"/>
      <c r="MDU551"/>
      <c r="MDV551"/>
      <c r="MDW551"/>
      <c r="MDX551"/>
      <c r="MDY551"/>
      <c r="MDZ551"/>
      <c r="MEA551"/>
      <c r="MEB551"/>
      <c r="MEC551"/>
      <c r="MED551"/>
      <c r="MEE551"/>
      <c r="MEF551"/>
      <c r="MEG551"/>
      <c r="MEH551"/>
      <c r="MEI551"/>
      <c r="MEJ551"/>
      <c r="MEK551"/>
      <c r="MEL551"/>
      <c r="MEM551"/>
      <c r="MEN551"/>
      <c r="MEO551"/>
      <c r="MEP551"/>
      <c r="MEQ551"/>
      <c r="MER551"/>
      <c r="MES551"/>
      <c r="MET551"/>
      <c r="MEU551"/>
      <c r="MEV551"/>
      <c r="MEW551"/>
      <c r="MEX551"/>
      <c r="MEY551"/>
      <c r="MEZ551"/>
      <c r="MFA551"/>
      <c r="MFB551"/>
      <c r="MFC551"/>
      <c r="MFD551"/>
      <c r="MFE551"/>
      <c r="MFF551"/>
      <c r="MFG551"/>
      <c r="MFH551"/>
      <c r="MFI551"/>
      <c r="MFJ551"/>
      <c r="MFK551"/>
      <c r="MFL551"/>
      <c r="MFM551"/>
      <c r="MFN551"/>
      <c r="MFO551"/>
      <c r="MFP551"/>
      <c r="MFQ551"/>
      <c r="MFR551"/>
      <c r="MFS551"/>
      <c r="MFT551"/>
      <c r="MFU551"/>
      <c r="MFV551"/>
      <c r="MFW551"/>
      <c r="MFX551"/>
      <c r="MFY551"/>
      <c r="MFZ551"/>
      <c r="MGA551"/>
      <c r="MGB551"/>
      <c r="MGC551"/>
      <c r="MGD551"/>
      <c r="MGE551"/>
      <c r="MGF551"/>
      <c r="MGG551"/>
      <c r="MGH551"/>
      <c r="MGI551"/>
      <c r="MGJ551"/>
      <c r="MGK551"/>
      <c r="MGL551"/>
      <c r="MGM551"/>
      <c r="MGN551"/>
      <c r="MGO551"/>
      <c r="MGP551"/>
      <c r="MGQ551"/>
      <c r="MGR551"/>
      <c r="MGS551"/>
      <c r="MGT551"/>
      <c r="MGU551"/>
      <c r="MGV551"/>
      <c r="MGW551"/>
      <c r="MGX551"/>
      <c r="MGY551"/>
      <c r="MGZ551"/>
      <c r="MHA551"/>
      <c r="MHB551"/>
      <c r="MHC551"/>
      <c r="MHD551"/>
      <c r="MHE551"/>
      <c r="MHF551"/>
      <c r="MHG551"/>
      <c r="MHH551"/>
      <c r="MHI551"/>
      <c r="MHJ551"/>
      <c r="MHK551"/>
      <c r="MHL551"/>
      <c r="MHM551"/>
      <c r="MHN551"/>
      <c r="MHO551"/>
      <c r="MHP551"/>
      <c r="MHQ551"/>
      <c r="MHR551"/>
      <c r="MHS551"/>
      <c r="MHT551"/>
      <c r="MHU551"/>
      <c r="MHV551"/>
      <c r="MHW551"/>
      <c r="MHX551"/>
      <c r="MHY551"/>
      <c r="MHZ551"/>
      <c r="MIA551"/>
      <c r="MIB551"/>
      <c r="MIC551"/>
      <c r="MID551"/>
      <c r="MIE551"/>
      <c r="MIF551"/>
      <c r="MIG551"/>
      <c r="MIH551"/>
      <c r="MII551"/>
      <c r="MIJ551"/>
      <c r="MIK551"/>
      <c r="MIL551"/>
      <c r="MIM551"/>
      <c r="MIN551"/>
      <c r="MIO551"/>
      <c r="MIP551"/>
      <c r="MIQ551"/>
      <c r="MIR551"/>
      <c r="MIS551"/>
      <c r="MIT551"/>
      <c r="MIU551"/>
      <c r="MIV551"/>
      <c r="MIW551"/>
      <c r="MIX551"/>
      <c r="MIY551"/>
      <c r="MIZ551"/>
      <c r="MJA551"/>
      <c r="MJB551"/>
      <c r="MJC551"/>
      <c r="MJD551"/>
      <c r="MJE551"/>
      <c r="MJF551"/>
      <c r="MJG551"/>
      <c r="MJH551"/>
      <c r="MJI551"/>
      <c r="MJJ551"/>
      <c r="MJK551"/>
      <c r="MJL551"/>
      <c r="MJM551"/>
      <c r="MJN551"/>
      <c r="MJO551"/>
      <c r="MJP551"/>
      <c r="MJQ551"/>
      <c r="MJR551"/>
      <c r="MJS551"/>
      <c r="MJT551"/>
      <c r="MJU551"/>
      <c r="MJV551"/>
      <c r="MJW551"/>
      <c r="MJX551"/>
      <c r="MJY551"/>
      <c r="MJZ551"/>
      <c r="MKA551"/>
      <c r="MKB551"/>
      <c r="MKC551"/>
      <c r="MKD551"/>
      <c r="MKE551"/>
      <c r="MKF551"/>
      <c r="MKG551"/>
      <c r="MKH551"/>
      <c r="MKI551"/>
      <c r="MKJ551"/>
      <c r="MKK551"/>
      <c r="MKL551"/>
      <c r="MKM551"/>
      <c r="MKN551"/>
      <c r="MKO551"/>
      <c r="MKP551"/>
      <c r="MKQ551"/>
      <c r="MKR551"/>
      <c r="MKS551"/>
      <c r="MKT551"/>
      <c r="MKU551"/>
      <c r="MKV551"/>
      <c r="MKW551"/>
      <c r="MKX551"/>
      <c r="MKY551"/>
      <c r="MKZ551"/>
      <c r="MLA551"/>
      <c r="MLB551"/>
      <c r="MLC551"/>
      <c r="MLD551"/>
      <c r="MLE551"/>
      <c r="MLF551"/>
      <c r="MLG551"/>
      <c r="MLH551"/>
      <c r="MLI551"/>
      <c r="MLJ551"/>
      <c r="MLK551"/>
      <c r="MLL551"/>
      <c r="MLM551"/>
      <c r="MLN551"/>
      <c r="MLO551"/>
      <c r="MLP551"/>
      <c r="MLQ551"/>
      <c r="MLR551"/>
      <c r="MLS551"/>
      <c r="MLT551"/>
      <c r="MLU551"/>
      <c r="MLV551"/>
      <c r="MLW551"/>
      <c r="MLX551"/>
      <c r="MLY551"/>
      <c r="MLZ551"/>
      <c r="MMA551"/>
      <c r="MMB551"/>
      <c r="MMC551"/>
      <c r="MMD551"/>
      <c r="MME551"/>
      <c r="MMF551"/>
      <c r="MMG551"/>
      <c r="MMH551"/>
      <c r="MMI551"/>
      <c r="MMJ551"/>
      <c r="MMK551"/>
      <c r="MML551"/>
      <c r="MMM551"/>
      <c r="MMN551"/>
      <c r="MMO551"/>
      <c r="MMP551"/>
      <c r="MMQ551"/>
      <c r="MMR551"/>
      <c r="MMS551"/>
      <c r="MMT551"/>
      <c r="MMU551"/>
      <c r="MMV551"/>
      <c r="MMW551"/>
      <c r="MMX551"/>
      <c r="MMY551"/>
      <c r="MMZ551"/>
      <c r="MNA551"/>
      <c r="MNB551"/>
      <c r="MNC551"/>
      <c r="MND551"/>
      <c r="MNE551"/>
      <c r="MNF551"/>
      <c r="MNG551"/>
      <c r="MNH551"/>
      <c r="MNI551"/>
      <c r="MNJ551"/>
      <c r="MNK551"/>
      <c r="MNL551"/>
      <c r="MNM551"/>
      <c r="MNN551"/>
      <c r="MNO551"/>
      <c r="MNP551"/>
      <c r="MNQ551"/>
      <c r="MNR551"/>
      <c r="MNS551"/>
      <c r="MNT551"/>
      <c r="MNU551"/>
      <c r="MNV551"/>
      <c r="MNW551"/>
      <c r="MNX551"/>
      <c r="MNY551"/>
      <c r="MNZ551"/>
      <c r="MOA551"/>
      <c r="MOB551"/>
      <c r="MOC551"/>
      <c r="MOD551"/>
      <c r="MOE551"/>
      <c r="MOF551"/>
      <c r="MOG551"/>
      <c r="MOH551"/>
      <c r="MOI551"/>
      <c r="MOJ551"/>
      <c r="MOK551"/>
      <c r="MOL551"/>
      <c r="MOM551"/>
      <c r="MON551"/>
      <c r="MOO551"/>
      <c r="MOP551"/>
      <c r="MOQ551"/>
      <c r="MOR551"/>
      <c r="MOS551"/>
      <c r="MOT551"/>
      <c r="MOU551"/>
      <c r="MOV551"/>
      <c r="MOW551"/>
      <c r="MOX551"/>
      <c r="MOY551"/>
      <c r="MOZ551"/>
      <c r="MPA551"/>
      <c r="MPB551"/>
      <c r="MPC551"/>
      <c r="MPD551"/>
      <c r="MPE551"/>
      <c r="MPF551"/>
      <c r="MPG551"/>
      <c r="MPH551"/>
      <c r="MPI551"/>
      <c r="MPJ551"/>
      <c r="MPK551"/>
      <c r="MPL551"/>
      <c r="MPM551"/>
      <c r="MPN551"/>
      <c r="MPO551"/>
      <c r="MPP551"/>
      <c r="MPQ551"/>
      <c r="MPR551"/>
      <c r="MPS551"/>
      <c r="MPT551"/>
      <c r="MPU551"/>
      <c r="MPV551"/>
      <c r="MPW551"/>
      <c r="MPX551"/>
      <c r="MPY551"/>
      <c r="MPZ551"/>
      <c r="MQA551"/>
      <c r="MQB551"/>
      <c r="MQC551"/>
      <c r="MQD551"/>
      <c r="MQE551"/>
      <c r="MQF551"/>
      <c r="MQG551"/>
      <c r="MQH551"/>
      <c r="MQI551"/>
      <c r="MQJ551"/>
      <c r="MQK551"/>
      <c r="MQL551"/>
      <c r="MQM551"/>
      <c r="MQN551"/>
      <c r="MQO551"/>
      <c r="MQP551"/>
      <c r="MQQ551"/>
      <c r="MQR551"/>
      <c r="MQS551"/>
      <c r="MQT551"/>
      <c r="MQU551"/>
      <c r="MQV551"/>
      <c r="MQW551"/>
      <c r="MQX551"/>
      <c r="MQY551"/>
      <c r="MQZ551"/>
      <c r="MRA551"/>
      <c r="MRB551"/>
      <c r="MRC551"/>
      <c r="MRD551"/>
      <c r="MRE551"/>
      <c r="MRF551"/>
      <c r="MRG551"/>
      <c r="MRH551"/>
      <c r="MRI551"/>
      <c r="MRJ551"/>
      <c r="MRK551"/>
      <c r="MRL551"/>
      <c r="MRM551"/>
      <c r="MRN551"/>
      <c r="MRO551"/>
      <c r="MRP551"/>
      <c r="MRQ551"/>
      <c r="MRR551"/>
      <c r="MRS551"/>
      <c r="MRT551"/>
      <c r="MRU551"/>
      <c r="MRV551"/>
      <c r="MRW551"/>
      <c r="MRX551"/>
      <c r="MRY551"/>
      <c r="MRZ551"/>
      <c r="MSA551"/>
      <c r="MSB551"/>
      <c r="MSC551"/>
      <c r="MSD551"/>
      <c r="MSE551"/>
      <c r="MSF551"/>
      <c r="MSG551"/>
      <c r="MSH551"/>
      <c r="MSI551"/>
      <c r="MSJ551"/>
      <c r="MSK551"/>
      <c r="MSL551"/>
      <c r="MSM551"/>
      <c r="MSN551"/>
      <c r="MSO551"/>
      <c r="MSP551"/>
      <c r="MSQ551"/>
      <c r="MSR551"/>
      <c r="MSS551"/>
      <c r="MST551"/>
      <c r="MSU551"/>
      <c r="MSV551"/>
      <c r="MSW551"/>
      <c r="MSX551"/>
      <c r="MSY551"/>
      <c r="MSZ551"/>
      <c r="MTA551"/>
      <c r="MTB551"/>
      <c r="MTC551"/>
      <c r="MTD551"/>
      <c r="MTE551"/>
      <c r="MTF551"/>
      <c r="MTG551"/>
      <c r="MTH551"/>
      <c r="MTI551"/>
      <c r="MTJ551"/>
      <c r="MTK551"/>
      <c r="MTL551"/>
      <c r="MTM551"/>
      <c r="MTN551"/>
      <c r="MTO551"/>
      <c r="MTP551"/>
      <c r="MTQ551"/>
      <c r="MTR551"/>
      <c r="MTS551"/>
      <c r="MTT551"/>
      <c r="MTU551"/>
      <c r="MTV551"/>
      <c r="MTW551"/>
      <c r="MTX551"/>
      <c r="MTY551"/>
      <c r="MTZ551"/>
      <c r="MUA551"/>
      <c r="MUB551"/>
      <c r="MUC551"/>
      <c r="MUD551"/>
      <c r="MUE551"/>
      <c r="MUF551"/>
      <c r="MUG551"/>
      <c r="MUH551"/>
      <c r="MUI551"/>
      <c r="MUJ551"/>
      <c r="MUK551"/>
      <c r="MUL551"/>
      <c r="MUM551"/>
      <c r="MUN551"/>
      <c r="MUO551"/>
      <c r="MUP551"/>
      <c r="MUQ551"/>
      <c r="MUR551"/>
      <c r="MUS551"/>
      <c r="MUT551"/>
      <c r="MUU551"/>
      <c r="MUV551"/>
      <c r="MUW551"/>
      <c r="MUX551"/>
      <c r="MUY551"/>
      <c r="MUZ551"/>
      <c r="MVA551"/>
      <c r="MVB551"/>
      <c r="MVC551"/>
      <c r="MVD551"/>
      <c r="MVE551"/>
      <c r="MVF551"/>
      <c r="MVG551"/>
      <c r="MVH551"/>
      <c r="MVI551"/>
      <c r="MVJ551"/>
      <c r="MVK551"/>
      <c r="MVL551"/>
      <c r="MVM551"/>
      <c r="MVN551"/>
      <c r="MVO551"/>
      <c r="MVP551"/>
      <c r="MVQ551"/>
      <c r="MVR551"/>
      <c r="MVS551"/>
      <c r="MVT551"/>
      <c r="MVU551"/>
      <c r="MVV551"/>
      <c r="MVW551"/>
      <c r="MVX551"/>
      <c r="MVY551"/>
      <c r="MVZ551"/>
      <c r="MWA551"/>
      <c r="MWB551"/>
      <c r="MWC551"/>
      <c r="MWD551"/>
      <c r="MWE551"/>
      <c r="MWF551"/>
      <c r="MWG551"/>
      <c r="MWH551"/>
      <c r="MWI551"/>
      <c r="MWJ551"/>
      <c r="MWK551"/>
      <c r="MWL551"/>
      <c r="MWM551"/>
      <c r="MWN551"/>
      <c r="MWO551"/>
      <c r="MWP551"/>
      <c r="MWQ551"/>
      <c r="MWR551"/>
      <c r="MWS551"/>
      <c r="MWT551"/>
      <c r="MWU551"/>
      <c r="MWV551"/>
      <c r="MWW551"/>
      <c r="MWX551"/>
      <c r="MWY551"/>
      <c r="MWZ551"/>
      <c r="MXA551"/>
      <c r="MXB551"/>
      <c r="MXC551"/>
      <c r="MXD551"/>
      <c r="MXE551"/>
      <c r="MXF551"/>
      <c r="MXG551"/>
      <c r="MXH551"/>
      <c r="MXI551"/>
      <c r="MXJ551"/>
      <c r="MXK551"/>
      <c r="MXL551"/>
      <c r="MXM551"/>
      <c r="MXN551"/>
      <c r="MXO551"/>
      <c r="MXP551"/>
      <c r="MXQ551"/>
      <c r="MXR551"/>
      <c r="MXS551"/>
      <c r="MXT551"/>
      <c r="MXU551"/>
      <c r="MXV551"/>
      <c r="MXW551"/>
      <c r="MXX551"/>
      <c r="MXY551"/>
      <c r="MXZ551"/>
      <c r="MYA551"/>
      <c r="MYB551"/>
      <c r="MYC551"/>
      <c r="MYD551"/>
      <c r="MYE551"/>
      <c r="MYF551"/>
      <c r="MYG551"/>
      <c r="MYH551"/>
      <c r="MYI551"/>
      <c r="MYJ551"/>
      <c r="MYK551"/>
      <c r="MYL551"/>
      <c r="MYM551"/>
      <c r="MYN551"/>
      <c r="MYO551"/>
      <c r="MYP551"/>
      <c r="MYQ551"/>
      <c r="MYR551"/>
      <c r="MYS551"/>
      <c r="MYT551"/>
      <c r="MYU551"/>
      <c r="MYV551"/>
      <c r="MYW551"/>
      <c r="MYX551"/>
      <c r="MYY551"/>
      <c r="MYZ551"/>
      <c r="MZA551"/>
      <c r="MZB551"/>
      <c r="MZC551"/>
      <c r="MZD551"/>
      <c r="MZE551"/>
      <c r="MZF551"/>
      <c r="MZG551"/>
      <c r="MZH551"/>
      <c r="MZI551"/>
      <c r="MZJ551"/>
      <c r="MZK551"/>
      <c r="MZL551"/>
      <c r="MZM551"/>
      <c r="MZN551"/>
      <c r="MZO551"/>
      <c r="MZP551"/>
      <c r="MZQ551"/>
      <c r="MZR551"/>
      <c r="MZS551"/>
      <c r="MZT551"/>
      <c r="MZU551"/>
      <c r="MZV551"/>
      <c r="MZW551"/>
      <c r="MZX551"/>
      <c r="MZY551"/>
      <c r="MZZ551"/>
      <c r="NAA551"/>
      <c r="NAB551"/>
      <c r="NAC551"/>
      <c r="NAD551"/>
      <c r="NAE551"/>
      <c r="NAF551"/>
      <c r="NAG551"/>
      <c r="NAH551"/>
      <c r="NAI551"/>
      <c r="NAJ551"/>
      <c r="NAK551"/>
      <c r="NAL551"/>
      <c r="NAM551"/>
      <c r="NAN551"/>
      <c r="NAO551"/>
      <c r="NAP551"/>
      <c r="NAQ551"/>
      <c r="NAR551"/>
      <c r="NAS551"/>
      <c r="NAT551"/>
      <c r="NAU551"/>
      <c r="NAV551"/>
      <c r="NAW551"/>
      <c r="NAX551"/>
      <c r="NAY551"/>
      <c r="NAZ551"/>
      <c r="NBA551"/>
      <c r="NBB551"/>
      <c r="NBC551"/>
      <c r="NBD551"/>
      <c r="NBE551"/>
      <c r="NBF551"/>
      <c r="NBG551"/>
      <c r="NBH551"/>
      <c r="NBI551"/>
      <c r="NBJ551"/>
      <c r="NBK551"/>
      <c r="NBL551"/>
      <c r="NBM551"/>
      <c r="NBN551"/>
      <c r="NBO551"/>
      <c r="NBP551"/>
      <c r="NBQ551"/>
      <c r="NBR551"/>
      <c r="NBS551"/>
      <c r="NBT551"/>
      <c r="NBU551"/>
      <c r="NBV551"/>
      <c r="NBW551"/>
      <c r="NBX551"/>
      <c r="NBY551"/>
      <c r="NBZ551"/>
      <c r="NCA551"/>
      <c r="NCB551"/>
      <c r="NCC551"/>
      <c r="NCD551"/>
      <c r="NCE551"/>
      <c r="NCF551"/>
      <c r="NCG551"/>
      <c r="NCH551"/>
      <c r="NCI551"/>
      <c r="NCJ551"/>
      <c r="NCK551"/>
      <c r="NCL551"/>
      <c r="NCM551"/>
      <c r="NCN551"/>
      <c r="NCO551"/>
      <c r="NCP551"/>
      <c r="NCQ551"/>
      <c r="NCR551"/>
      <c r="NCS551"/>
      <c r="NCT551"/>
      <c r="NCU551"/>
      <c r="NCV551"/>
      <c r="NCW551"/>
      <c r="NCX551"/>
      <c r="NCY551"/>
      <c r="NCZ551"/>
      <c r="NDA551"/>
      <c r="NDB551"/>
      <c r="NDC551"/>
      <c r="NDD551"/>
      <c r="NDE551"/>
      <c r="NDF551"/>
      <c r="NDG551"/>
      <c r="NDH551"/>
      <c r="NDI551"/>
      <c r="NDJ551"/>
      <c r="NDK551"/>
      <c r="NDL551"/>
      <c r="NDM551"/>
      <c r="NDN551"/>
      <c r="NDO551"/>
      <c r="NDP551"/>
      <c r="NDQ551"/>
      <c r="NDR551"/>
      <c r="NDS551"/>
      <c r="NDT551"/>
      <c r="NDU551"/>
      <c r="NDV551"/>
      <c r="NDW551"/>
      <c r="NDX551"/>
      <c r="NDY551"/>
      <c r="NDZ551"/>
      <c r="NEA551"/>
      <c r="NEB551"/>
      <c r="NEC551"/>
      <c r="NED551"/>
      <c r="NEE551"/>
      <c r="NEF551"/>
      <c r="NEG551"/>
      <c r="NEH551"/>
      <c r="NEI551"/>
      <c r="NEJ551"/>
      <c r="NEK551"/>
      <c r="NEL551"/>
      <c r="NEM551"/>
      <c r="NEN551"/>
      <c r="NEO551"/>
      <c r="NEP551"/>
      <c r="NEQ551"/>
      <c r="NER551"/>
      <c r="NES551"/>
      <c r="NET551"/>
      <c r="NEU551"/>
      <c r="NEV551"/>
      <c r="NEW551"/>
      <c r="NEX551"/>
      <c r="NEY551"/>
      <c r="NEZ551"/>
      <c r="NFA551"/>
      <c r="NFB551"/>
      <c r="NFC551"/>
      <c r="NFD551"/>
      <c r="NFE551"/>
      <c r="NFF551"/>
      <c r="NFG551"/>
      <c r="NFH551"/>
      <c r="NFI551"/>
      <c r="NFJ551"/>
      <c r="NFK551"/>
      <c r="NFL551"/>
      <c r="NFM551"/>
      <c r="NFN551"/>
      <c r="NFO551"/>
      <c r="NFP551"/>
      <c r="NFQ551"/>
      <c r="NFR551"/>
      <c r="NFS551"/>
      <c r="NFT551"/>
      <c r="NFU551"/>
      <c r="NFV551"/>
      <c r="NFW551"/>
      <c r="NFX551"/>
      <c r="NFY551"/>
      <c r="NFZ551"/>
      <c r="NGA551"/>
      <c r="NGB551"/>
      <c r="NGC551"/>
      <c r="NGD551"/>
      <c r="NGE551"/>
      <c r="NGF551"/>
      <c r="NGG551"/>
      <c r="NGH551"/>
      <c r="NGI551"/>
      <c r="NGJ551"/>
      <c r="NGK551"/>
      <c r="NGL551"/>
      <c r="NGM551"/>
      <c r="NGN551"/>
      <c r="NGO551"/>
      <c r="NGP551"/>
      <c r="NGQ551"/>
      <c r="NGR551"/>
      <c r="NGS551"/>
      <c r="NGT551"/>
      <c r="NGU551"/>
      <c r="NGV551"/>
      <c r="NGW551"/>
      <c r="NGX551"/>
      <c r="NGY551"/>
      <c r="NGZ551"/>
      <c r="NHA551"/>
      <c r="NHB551"/>
      <c r="NHC551"/>
      <c r="NHD551"/>
      <c r="NHE551"/>
      <c r="NHF551"/>
      <c r="NHG551"/>
      <c r="NHH551"/>
      <c r="NHI551"/>
      <c r="NHJ551"/>
      <c r="NHK551"/>
      <c r="NHL551"/>
      <c r="NHM551"/>
      <c r="NHN551"/>
      <c r="NHO551"/>
      <c r="NHP551"/>
      <c r="NHQ551"/>
      <c r="NHR551"/>
      <c r="NHS551"/>
      <c r="NHT551"/>
      <c r="NHU551"/>
      <c r="NHV551"/>
      <c r="NHW551"/>
      <c r="NHX551"/>
      <c r="NHY551"/>
      <c r="NHZ551"/>
      <c r="NIA551"/>
      <c r="NIB551"/>
      <c r="NIC551"/>
      <c r="NID551"/>
      <c r="NIE551"/>
      <c r="NIF551"/>
      <c r="NIG551"/>
      <c r="NIH551"/>
      <c r="NII551"/>
      <c r="NIJ551"/>
      <c r="NIK551"/>
      <c r="NIL551"/>
      <c r="NIM551"/>
      <c r="NIN551"/>
      <c r="NIO551"/>
      <c r="NIP551"/>
      <c r="NIQ551"/>
      <c r="NIR551"/>
      <c r="NIS551"/>
      <c r="NIT551"/>
      <c r="NIU551"/>
      <c r="NIV551"/>
      <c r="NIW551"/>
      <c r="NIX551"/>
      <c r="NIY551"/>
      <c r="NIZ551"/>
      <c r="NJA551"/>
      <c r="NJB551"/>
      <c r="NJC551"/>
      <c r="NJD551"/>
      <c r="NJE551"/>
      <c r="NJF551"/>
      <c r="NJG551"/>
      <c r="NJH551"/>
      <c r="NJI551"/>
      <c r="NJJ551"/>
      <c r="NJK551"/>
      <c r="NJL551"/>
      <c r="NJM551"/>
      <c r="NJN551"/>
      <c r="NJO551"/>
      <c r="NJP551"/>
      <c r="NJQ551"/>
      <c r="NJR551"/>
      <c r="NJS551"/>
      <c r="NJT551"/>
      <c r="NJU551"/>
      <c r="NJV551"/>
      <c r="NJW551"/>
      <c r="NJX551"/>
      <c r="NJY551"/>
      <c r="NJZ551"/>
      <c r="NKA551"/>
      <c r="NKB551"/>
      <c r="NKC551"/>
      <c r="NKD551"/>
      <c r="NKE551"/>
      <c r="NKF551"/>
      <c r="NKG551"/>
      <c r="NKH551"/>
      <c r="NKI551"/>
      <c r="NKJ551"/>
      <c r="NKK551"/>
      <c r="NKL551"/>
      <c r="NKM551"/>
      <c r="NKN551"/>
      <c r="NKO551"/>
      <c r="NKP551"/>
      <c r="NKQ551"/>
      <c r="NKR551"/>
      <c r="NKS551"/>
      <c r="NKT551"/>
      <c r="NKU551"/>
      <c r="NKV551"/>
      <c r="NKW551"/>
      <c r="NKX551"/>
      <c r="NKY551"/>
      <c r="NKZ551"/>
      <c r="NLA551"/>
      <c r="NLB551"/>
      <c r="NLC551"/>
      <c r="NLD551"/>
      <c r="NLE551"/>
      <c r="NLF551"/>
      <c r="NLG551"/>
      <c r="NLH551"/>
      <c r="NLI551"/>
      <c r="NLJ551"/>
      <c r="NLK551"/>
      <c r="NLL551"/>
      <c r="NLM551"/>
      <c r="NLN551"/>
      <c r="NLO551"/>
      <c r="NLP551"/>
      <c r="NLQ551"/>
      <c r="NLR551"/>
      <c r="NLS551"/>
      <c r="NLT551"/>
      <c r="NLU551"/>
      <c r="NLV551"/>
      <c r="NLW551"/>
      <c r="NLX551"/>
      <c r="NLY551"/>
      <c r="NLZ551"/>
      <c r="NMA551"/>
      <c r="NMB551"/>
      <c r="NMC551"/>
      <c r="NMD551"/>
      <c r="NME551"/>
      <c r="NMF551"/>
      <c r="NMG551"/>
      <c r="NMH551"/>
      <c r="NMI551"/>
      <c r="NMJ551"/>
      <c r="NMK551"/>
      <c r="NML551"/>
      <c r="NMM551"/>
      <c r="NMN551"/>
      <c r="NMO551"/>
      <c r="NMP551"/>
      <c r="NMQ551"/>
      <c r="NMR551"/>
      <c r="NMS551"/>
      <c r="NMT551"/>
      <c r="NMU551"/>
      <c r="NMV551"/>
      <c r="NMW551"/>
      <c r="NMX551"/>
      <c r="NMY551"/>
      <c r="NMZ551"/>
      <c r="NNA551"/>
      <c r="NNB551"/>
      <c r="NNC551"/>
      <c r="NND551"/>
      <c r="NNE551"/>
      <c r="NNF551"/>
      <c r="NNG551"/>
      <c r="NNH551"/>
      <c r="NNI551"/>
      <c r="NNJ551"/>
      <c r="NNK551"/>
      <c r="NNL551"/>
      <c r="NNM551"/>
      <c r="NNN551"/>
      <c r="NNO551"/>
      <c r="NNP551"/>
      <c r="NNQ551"/>
      <c r="NNR551"/>
      <c r="NNS551"/>
      <c r="NNT551"/>
      <c r="NNU551"/>
      <c r="NNV551"/>
      <c r="NNW551"/>
      <c r="NNX551"/>
      <c r="NNY551"/>
      <c r="NNZ551"/>
      <c r="NOA551"/>
      <c r="NOB551"/>
      <c r="NOC551"/>
      <c r="NOD551"/>
      <c r="NOE551"/>
      <c r="NOF551"/>
      <c r="NOG551"/>
      <c r="NOH551"/>
      <c r="NOI551"/>
      <c r="NOJ551"/>
      <c r="NOK551"/>
      <c r="NOL551"/>
      <c r="NOM551"/>
      <c r="NON551"/>
      <c r="NOO551"/>
      <c r="NOP551"/>
      <c r="NOQ551"/>
      <c r="NOR551"/>
      <c r="NOS551"/>
      <c r="NOT551"/>
      <c r="NOU551"/>
      <c r="NOV551"/>
      <c r="NOW551"/>
      <c r="NOX551"/>
      <c r="NOY551"/>
      <c r="NOZ551"/>
      <c r="NPA551"/>
      <c r="NPB551"/>
      <c r="NPC551"/>
      <c r="NPD551"/>
      <c r="NPE551"/>
      <c r="NPF551"/>
      <c r="NPG551"/>
      <c r="NPH551"/>
      <c r="NPI551"/>
      <c r="NPJ551"/>
      <c r="NPK551"/>
      <c r="NPL551"/>
      <c r="NPM551"/>
      <c r="NPN551"/>
      <c r="NPO551"/>
      <c r="NPP551"/>
      <c r="NPQ551"/>
      <c r="NPR551"/>
      <c r="NPS551"/>
      <c r="NPT551"/>
      <c r="NPU551"/>
      <c r="NPV551"/>
      <c r="NPW551"/>
      <c r="NPX551"/>
      <c r="NPY551"/>
      <c r="NPZ551"/>
      <c r="NQA551"/>
      <c r="NQB551"/>
      <c r="NQC551"/>
      <c r="NQD551"/>
      <c r="NQE551"/>
      <c r="NQF551"/>
      <c r="NQG551"/>
      <c r="NQH551"/>
      <c r="NQI551"/>
      <c r="NQJ551"/>
      <c r="NQK551"/>
      <c r="NQL551"/>
      <c r="NQM551"/>
      <c r="NQN551"/>
      <c r="NQO551"/>
      <c r="NQP551"/>
      <c r="NQQ551"/>
      <c r="NQR551"/>
      <c r="NQS551"/>
      <c r="NQT551"/>
      <c r="NQU551"/>
      <c r="NQV551"/>
      <c r="NQW551"/>
      <c r="NQX551"/>
      <c r="NQY551"/>
      <c r="NQZ551"/>
      <c r="NRA551"/>
      <c r="NRB551"/>
      <c r="NRC551"/>
      <c r="NRD551"/>
      <c r="NRE551"/>
      <c r="NRF551"/>
      <c r="NRG551"/>
      <c r="NRH551"/>
      <c r="NRI551"/>
      <c r="NRJ551"/>
      <c r="NRK551"/>
      <c r="NRL551"/>
      <c r="NRM551"/>
      <c r="NRN551"/>
      <c r="NRO551"/>
      <c r="NRP551"/>
      <c r="NRQ551"/>
      <c r="NRR551"/>
      <c r="NRS551"/>
      <c r="NRT551"/>
      <c r="NRU551"/>
      <c r="NRV551"/>
      <c r="NRW551"/>
      <c r="NRX551"/>
      <c r="NRY551"/>
      <c r="NRZ551"/>
      <c r="NSA551"/>
      <c r="NSB551"/>
      <c r="NSC551"/>
      <c r="NSD551"/>
      <c r="NSE551"/>
      <c r="NSF551"/>
      <c r="NSG551"/>
      <c r="NSH551"/>
      <c r="NSI551"/>
      <c r="NSJ551"/>
      <c r="NSK551"/>
      <c r="NSL551"/>
      <c r="NSM551"/>
      <c r="NSN551"/>
      <c r="NSO551"/>
      <c r="NSP551"/>
      <c r="NSQ551"/>
      <c r="NSR551"/>
      <c r="NSS551"/>
      <c r="NST551"/>
      <c r="NSU551"/>
      <c r="NSV551"/>
      <c r="NSW551"/>
      <c r="NSX551"/>
      <c r="NSY551"/>
      <c r="NSZ551"/>
      <c r="NTA551"/>
      <c r="NTB551"/>
      <c r="NTC551"/>
      <c r="NTD551"/>
      <c r="NTE551"/>
      <c r="NTF551"/>
      <c r="NTG551"/>
      <c r="NTH551"/>
      <c r="NTI551"/>
      <c r="NTJ551"/>
      <c r="NTK551"/>
      <c r="NTL551"/>
      <c r="NTM551"/>
      <c r="NTN551"/>
      <c r="NTO551"/>
      <c r="NTP551"/>
      <c r="NTQ551"/>
      <c r="NTR551"/>
      <c r="NTS551"/>
      <c r="NTT551"/>
      <c r="NTU551"/>
      <c r="NTV551"/>
      <c r="NTW551"/>
      <c r="NTX551"/>
      <c r="NTY551"/>
      <c r="NTZ551"/>
      <c r="NUA551"/>
      <c r="NUB551"/>
      <c r="NUC551"/>
      <c r="NUD551"/>
      <c r="NUE551"/>
      <c r="NUF551"/>
      <c r="NUG551"/>
      <c r="NUH551"/>
      <c r="NUI551"/>
      <c r="NUJ551"/>
      <c r="NUK551"/>
      <c r="NUL551"/>
      <c r="NUM551"/>
      <c r="NUN551"/>
      <c r="NUO551"/>
      <c r="NUP551"/>
      <c r="NUQ551"/>
      <c r="NUR551"/>
      <c r="NUS551"/>
      <c r="NUT551"/>
      <c r="NUU551"/>
      <c r="NUV551"/>
      <c r="NUW551"/>
      <c r="NUX551"/>
      <c r="NUY551"/>
      <c r="NUZ551"/>
      <c r="NVA551"/>
      <c r="NVB551"/>
      <c r="NVC551"/>
      <c r="NVD551"/>
      <c r="NVE551"/>
      <c r="NVF551"/>
      <c r="NVG551"/>
      <c r="NVH551"/>
      <c r="NVI551"/>
      <c r="NVJ551"/>
      <c r="NVK551"/>
      <c r="NVL551"/>
      <c r="NVM551"/>
      <c r="NVN551"/>
      <c r="NVO551"/>
      <c r="NVP551"/>
      <c r="NVQ551"/>
      <c r="NVR551"/>
      <c r="NVS551"/>
      <c r="NVT551"/>
      <c r="NVU551"/>
      <c r="NVV551"/>
      <c r="NVW551"/>
      <c r="NVX551"/>
      <c r="NVY551"/>
      <c r="NVZ551"/>
      <c r="NWA551"/>
      <c r="NWB551"/>
      <c r="NWC551"/>
      <c r="NWD551"/>
      <c r="NWE551"/>
      <c r="NWF551"/>
      <c r="NWG551"/>
      <c r="NWH551"/>
      <c r="NWI551"/>
      <c r="NWJ551"/>
      <c r="NWK551"/>
      <c r="NWL551"/>
      <c r="NWM551"/>
      <c r="NWN551"/>
      <c r="NWO551"/>
      <c r="NWP551"/>
      <c r="NWQ551"/>
      <c r="NWR551"/>
      <c r="NWS551"/>
      <c r="NWT551"/>
      <c r="NWU551"/>
      <c r="NWV551"/>
      <c r="NWW551"/>
      <c r="NWX551"/>
      <c r="NWY551"/>
      <c r="NWZ551"/>
      <c r="NXA551"/>
      <c r="NXB551"/>
      <c r="NXC551"/>
      <c r="NXD551"/>
      <c r="NXE551"/>
      <c r="NXF551"/>
      <c r="NXG551"/>
      <c r="NXH551"/>
      <c r="NXI551"/>
      <c r="NXJ551"/>
      <c r="NXK551"/>
      <c r="NXL551"/>
      <c r="NXM551"/>
      <c r="NXN551"/>
      <c r="NXO551"/>
      <c r="NXP551"/>
      <c r="NXQ551"/>
      <c r="NXR551"/>
      <c r="NXS551"/>
      <c r="NXT551"/>
      <c r="NXU551"/>
      <c r="NXV551"/>
      <c r="NXW551"/>
      <c r="NXX551"/>
      <c r="NXY551"/>
      <c r="NXZ551"/>
      <c r="NYA551"/>
      <c r="NYB551"/>
      <c r="NYC551"/>
      <c r="NYD551"/>
      <c r="NYE551"/>
      <c r="NYF551"/>
      <c r="NYG551"/>
      <c r="NYH551"/>
      <c r="NYI551"/>
      <c r="NYJ551"/>
      <c r="NYK551"/>
      <c r="NYL551"/>
      <c r="NYM551"/>
      <c r="NYN551"/>
      <c r="NYO551"/>
      <c r="NYP551"/>
      <c r="NYQ551"/>
      <c r="NYR551"/>
      <c r="NYS551"/>
      <c r="NYT551"/>
      <c r="NYU551"/>
      <c r="NYV551"/>
      <c r="NYW551"/>
      <c r="NYX551"/>
      <c r="NYY551"/>
      <c r="NYZ551"/>
      <c r="NZA551"/>
      <c r="NZB551"/>
      <c r="NZC551"/>
      <c r="NZD551"/>
      <c r="NZE551"/>
      <c r="NZF551"/>
      <c r="NZG551"/>
      <c r="NZH551"/>
      <c r="NZI551"/>
      <c r="NZJ551"/>
      <c r="NZK551"/>
      <c r="NZL551"/>
      <c r="NZM551"/>
      <c r="NZN551"/>
      <c r="NZO551"/>
      <c r="NZP551"/>
      <c r="NZQ551"/>
      <c r="NZR551"/>
      <c r="NZS551"/>
      <c r="NZT551"/>
      <c r="NZU551"/>
      <c r="NZV551"/>
      <c r="NZW551"/>
      <c r="NZX551"/>
      <c r="NZY551"/>
      <c r="NZZ551"/>
      <c r="OAA551"/>
      <c r="OAB551"/>
      <c r="OAC551"/>
      <c r="OAD551"/>
      <c r="OAE551"/>
      <c r="OAF551"/>
      <c r="OAG551"/>
      <c r="OAH551"/>
      <c r="OAI551"/>
      <c r="OAJ551"/>
      <c r="OAK551"/>
      <c r="OAL551"/>
      <c r="OAM551"/>
      <c r="OAN551"/>
      <c r="OAO551"/>
      <c r="OAP551"/>
      <c r="OAQ551"/>
      <c r="OAR551"/>
      <c r="OAS551"/>
      <c r="OAT551"/>
      <c r="OAU551"/>
      <c r="OAV551"/>
      <c r="OAW551"/>
      <c r="OAX551"/>
      <c r="OAY551"/>
      <c r="OAZ551"/>
      <c r="OBA551"/>
      <c r="OBB551"/>
      <c r="OBC551"/>
      <c r="OBD551"/>
      <c r="OBE551"/>
      <c r="OBF551"/>
      <c r="OBG551"/>
      <c r="OBH551"/>
      <c r="OBI551"/>
      <c r="OBJ551"/>
      <c r="OBK551"/>
      <c r="OBL551"/>
      <c r="OBM551"/>
      <c r="OBN551"/>
      <c r="OBO551"/>
      <c r="OBP551"/>
      <c r="OBQ551"/>
      <c r="OBR551"/>
      <c r="OBS551"/>
      <c r="OBT551"/>
      <c r="OBU551"/>
      <c r="OBV551"/>
      <c r="OBW551"/>
      <c r="OBX551"/>
      <c r="OBY551"/>
      <c r="OBZ551"/>
      <c r="OCA551"/>
      <c r="OCB551"/>
      <c r="OCC551"/>
      <c r="OCD551"/>
      <c r="OCE551"/>
      <c r="OCF551"/>
      <c r="OCG551"/>
      <c r="OCH551"/>
      <c r="OCI551"/>
      <c r="OCJ551"/>
      <c r="OCK551"/>
      <c r="OCL551"/>
      <c r="OCM551"/>
      <c r="OCN551"/>
      <c r="OCO551"/>
      <c r="OCP551"/>
      <c r="OCQ551"/>
      <c r="OCR551"/>
      <c r="OCS551"/>
      <c r="OCT551"/>
      <c r="OCU551"/>
      <c r="OCV551"/>
      <c r="OCW551"/>
      <c r="OCX551"/>
      <c r="OCY551"/>
      <c r="OCZ551"/>
      <c r="ODA551"/>
      <c r="ODB551"/>
      <c r="ODC551"/>
      <c r="ODD551"/>
      <c r="ODE551"/>
      <c r="ODF551"/>
      <c r="ODG551"/>
      <c r="ODH551"/>
      <c r="ODI551"/>
      <c r="ODJ551"/>
      <c r="ODK551"/>
      <c r="ODL551"/>
      <c r="ODM551"/>
      <c r="ODN551"/>
      <c r="ODO551"/>
      <c r="ODP551"/>
      <c r="ODQ551"/>
      <c r="ODR551"/>
      <c r="ODS551"/>
      <c r="ODT551"/>
      <c r="ODU551"/>
      <c r="ODV551"/>
      <c r="ODW551"/>
      <c r="ODX551"/>
      <c r="ODY551"/>
      <c r="ODZ551"/>
      <c r="OEA551"/>
      <c r="OEB551"/>
      <c r="OEC551"/>
      <c r="OED551"/>
      <c r="OEE551"/>
      <c r="OEF551"/>
      <c r="OEG551"/>
      <c r="OEH551"/>
      <c r="OEI551"/>
      <c r="OEJ551"/>
      <c r="OEK551"/>
      <c r="OEL551"/>
      <c r="OEM551"/>
      <c r="OEN551"/>
      <c r="OEO551"/>
      <c r="OEP551"/>
      <c r="OEQ551"/>
      <c r="OER551"/>
      <c r="OES551"/>
      <c r="OET551"/>
      <c r="OEU551"/>
      <c r="OEV551"/>
      <c r="OEW551"/>
      <c r="OEX551"/>
      <c r="OEY551"/>
      <c r="OEZ551"/>
      <c r="OFA551"/>
      <c r="OFB551"/>
      <c r="OFC551"/>
      <c r="OFD551"/>
      <c r="OFE551"/>
      <c r="OFF551"/>
      <c r="OFG551"/>
      <c r="OFH551"/>
      <c r="OFI551"/>
      <c r="OFJ551"/>
      <c r="OFK551"/>
      <c r="OFL551"/>
      <c r="OFM551"/>
      <c r="OFN551"/>
      <c r="OFO551"/>
      <c r="OFP551"/>
      <c r="OFQ551"/>
      <c r="OFR551"/>
      <c r="OFS551"/>
      <c r="OFT551"/>
      <c r="OFU551"/>
      <c r="OFV551"/>
      <c r="OFW551"/>
      <c r="OFX551"/>
      <c r="OFY551"/>
      <c r="OFZ551"/>
      <c r="OGA551"/>
      <c r="OGB551"/>
      <c r="OGC551"/>
      <c r="OGD551"/>
      <c r="OGE551"/>
      <c r="OGF551"/>
      <c r="OGG551"/>
      <c r="OGH551"/>
      <c r="OGI551"/>
      <c r="OGJ551"/>
      <c r="OGK551"/>
      <c r="OGL551"/>
      <c r="OGM551"/>
      <c r="OGN551"/>
      <c r="OGO551"/>
      <c r="OGP551"/>
      <c r="OGQ551"/>
      <c r="OGR551"/>
      <c r="OGS551"/>
      <c r="OGT551"/>
      <c r="OGU551"/>
      <c r="OGV551"/>
      <c r="OGW551"/>
      <c r="OGX551"/>
      <c r="OGY551"/>
      <c r="OGZ551"/>
      <c r="OHA551"/>
      <c r="OHB551"/>
      <c r="OHC551"/>
      <c r="OHD551"/>
      <c r="OHE551"/>
      <c r="OHF551"/>
      <c r="OHG551"/>
      <c r="OHH551"/>
      <c r="OHI551"/>
      <c r="OHJ551"/>
      <c r="OHK551"/>
      <c r="OHL551"/>
      <c r="OHM551"/>
      <c r="OHN551"/>
      <c r="OHO551"/>
      <c r="OHP551"/>
      <c r="OHQ551"/>
      <c r="OHR551"/>
      <c r="OHS551"/>
      <c r="OHT551"/>
      <c r="OHU551"/>
      <c r="OHV551"/>
      <c r="OHW551"/>
      <c r="OHX551"/>
      <c r="OHY551"/>
      <c r="OHZ551"/>
      <c r="OIA551"/>
      <c r="OIB551"/>
      <c r="OIC551"/>
      <c r="OID551"/>
      <c r="OIE551"/>
      <c r="OIF551"/>
      <c r="OIG551"/>
      <c r="OIH551"/>
      <c r="OII551"/>
      <c r="OIJ551"/>
      <c r="OIK551"/>
      <c r="OIL551"/>
      <c r="OIM551"/>
      <c r="OIN551"/>
      <c r="OIO551"/>
      <c r="OIP551"/>
      <c r="OIQ551"/>
      <c r="OIR551"/>
      <c r="OIS551"/>
      <c r="OIT551"/>
      <c r="OIU551"/>
      <c r="OIV551"/>
      <c r="OIW551"/>
      <c r="OIX551"/>
      <c r="OIY551"/>
      <c r="OIZ551"/>
      <c r="OJA551"/>
      <c r="OJB551"/>
      <c r="OJC551"/>
      <c r="OJD551"/>
      <c r="OJE551"/>
      <c r="OJF551"/>
      <c r="OJG551"/>
      <c r="OJH551"/>
      <c r="OJI551"/>
      <c r="OJJ551"/>
      <c r="OJK551"/>
      <c r="OJL551"/>
      <c r="OJM551"/>
      <c r="OJN551"/>
      <c r="OJO551"/>
      <c r="OJP551"/>
      <c r="OJQ551"/>
      <c r="OJR551"/>
      <c r="OJS551"/>
      <c r="OJT551"/>
      <c r="OJU551"/>
      <c r="OJV551"/>
      <c r="OJW551"/>
      <c r="OJX551"/>
      <c r="OJY551"/>
      <c r="OJZ551"/>
      <c r="OKA551"/>
      <c r="OKB551"/>
      <c r="OKC551"/>
      <c r="OKD551"/>
      <c r="OKE551"/>
      <c r="OKF551"/>
      <c r="OKG551"/>
      <c r="OKH551"/>
      <c r="OKI551"/>
      <c r="OKJ551"/>
      <c r="OKK551"/>
      <c r="OKL551"/>
      <c r="OKM551"/>
      <c r="OKN551"/>
      <c r="OKO551"/>
      <c r="OKP551"/>
      <c r="OKQ551"/>
      <c r="OKR551"/>
      <c r="OKS551"/>
      <c r="OKT551"/>
      <c r="OKU551"/>
      <c r="OKV551"/>
      <c r="OKW551"/>
      <c r="OKX551"/>
      <c r="OKY551"/>
      <c r="OKZ551"/>
      <c r="OLA551"/>
      <c r="OLB551"/>
      <c r="OLC551"/>
      <c r="OLD551"/>
      <c r="OLE551"/>
      <c r="OLF551"/>
      <c r="OLG551"/>
      <c r="OLH551"/>
      <c r="OLI551"/>
      <c r="OLJ551"/>
      <c r="OLK551"/>
      <c r="OLL551"/>
      <c r="OLM551"/>
      <c r="OLN551"/>
      <c r="OLO551"/>
      <c r="OLP551"/>
      <c r="OLQ551"/>
      <c r="OLR551"/>
      <c r="OLS551"/>
      <c r="OLT551"/>
      <c r="OLU551"/>
      <c r="OLV551"/>
      <c r="OLW551"/>
      <c r="OLX551"/>
      <c r="OLY551"/>
      <c r="OLZ551"/>
      <c r="OMA551"/>
      <c r="OMB551"/>
      <c r="OMC551"/>
      <c r="OMD551"/>
      <c r="OME551"/>
      <c r="OMF551"/>
      <c r="OMG551"/>
      <c r="OMH551"/>
      <c r="OMI551"/>
      <c r="OMJ551"/>
      <c r="OMK551"/>
      <c r="OML551"/>
      <c r="OMM551"/>
      <c r="OMN551"/>
      <c r="OMO551"/>
      <c r="OMP551"/>
      <c r="OMQ551"/>
      <c r="OMR551"/>
      <c r="OMS551"/>
      <c r="OMT551"/>
      <c r="OMU551"/>
      <c r="OMV551"/>
      <c r="OMW551"/>
      <c r="OMX551"/>
      <c r="OMY551"/>
      <c r="OMZ551"/>
      <c r="ONA551"/>
      <c r="ONB551"/>
      <c r="ONC551"/>
      <c r="OND551"/>
      <c r="ONE551"/>
      <c r="ONF551"/>
      <c r="ONG551"/>
      <c r="ONH551"/>
      <c r="ONI551"/>
      <c r="ONJ551"/>
      <c r="ONK551"/>
      <c r="ONL551"/>
      <c r="ONM551"/>
      <c r="ONN551"/>
      <c r="ONO551"/>
      <c r="ONP551"/>
      <c r="ONQ551"/>
      <c r="ONR551"/>
      <c r="ONS551"/>
      <c r="ONT551"/>
      <c r="ONU551"/>
      <c r="ONV551"/>
      <c r="ONW551"/>
      <c r="ONX551"/>
      <c r="ONY551"/>
      <c r="ONZ551"/>
      <c r="OOA551"/>
      <c r="OOB551"/>
      <c r="OOC551"/>
      <c r="OOD551"/>
      <c r="OOE551"/>
      <c r="OOF551"/>
      <c r="OOG551"/>
      <c r="OOH551"/>
      <c r="OOI551"/>
      <c r="OOJ551"/>
      <c r="OOK551"/>
      <c r="OOL551"/>
      <c r="OOM551"/>
      <c r="OON551"/>
      <c r="OOO551"/>
      <c r="OOP551"/>
      <c r="OOQ551"/>
      <c r="OOR551"/>
      <c r="OOS551"/>
      <c r="OOT551"/>
      <c r="OOU551"/>
      <c r="OOV551"/>
      <c r="OOW551"/>
      <c r="OOX551"/>
      <c r="OOY551"/>
      <c r="OOZ551"/>
      <c r="OPA551"/>
      <c r="OPB551"/>
      <c r="OPC551"/>
      <c r="OPD551"/>
      <c r="OPE551"/>
      <c r="OPF551"/>
      <c r="OPG551"/>
      <c r="OPH551"/>
      <c r="OPI551"/>
      <c r="OPJ551"/>
      <c r="OPK551"/>
      <c r="OPL551"/>
      <c r="OPM551"/>
      <c r="OPN551"/>
      <c r="OPO551"/>
      <c r="OPP551"/>
      <c r="OPQ551"/>
      <c r="OPR551"/>
      <c r="OPS551"/>
      <c r="OPT551"/>
      <c r="OPU551"/>
      <c r="OPV551"/>
      <c r="OPW551"/>
      <c r="OPX551"/>
      <c r="OPY551"/>
      <c r="OPZ551"/>
      <c r="OQA551"/>
      <c r="OQB551"/>
      <c r="OQC551"/>
      <c r="OQD551"/>
      <c r="OQE551"/>
      <c r="OQF551"/>
      <c r="OQG551"/>
      <c r="OQH551"/>
      <c r="OQI551"/>
      <c r="OQJ551"/>
      <c r="OQK551"/>
      <c r="OQL551"/>
      <c r="OQM551"/>
      <c r="OQN551"/>
      <c r="OQO551"/>
      <c r="OQP551"/>
      <c r="OQQ551"/>
      <c r="OQR551"/>
      <c r="OQS551"/>
      <c r="OQT551"/>
      <c r="OQU551"/>
      <c r="OQV551"/>
      <c r="OQW551"/>
      <c r="OQX551"/>
      <c r="OQY551"/>
      <c r="OQZ551"/>
      <c r="ORA551"/>
      <c r="ORB551"/>
      <c r="ORC551"/>
      <c r="ORD551"/>
      <c r="ORE551"/>
      <c r="ORF551"/>
      <c r="ORG551"/>
      <c r="ORH551"/>
      <c r="ORI551"/>
      <c r="ORJ551"/>
      <c r="ORK551"/>
      <c r="ORL551"/>
      <c r="ORM551"/>
      <c r="ORN551"/>
      <c r="ORO551"/>
      <c r="ORP551"/>
      <c r="ORQ551"/>
      <c r="ORR551"/>
      <c r="ORS551"/>
      <c r="ORT551"/>
      <c r="ORU551"/>
      <c r="ORV551"/>
      <c r="ORW551"/>
      <c r="ORX551"/>
      <c r="ORY551"/>
      <c r="ORZ551"/>
      <c r="OSA551"/>
      <c r="OSB551"/>
      <c r="OSC551"/>
      <c r="OSD551"/>
      <c r="OSE551"/>
      <c r="OSF551"/>
      <c r="OSG551"/>
      <c r="OSH551"/>
      <c r="OSI551"/>
      <c r="OSJ551"/>
      <c r="OSK551"/>
      <c r="OSL551"/>
      <c r="OSM551"/>
      <c r="OSN551"/>
      <c r="OSO551"/>
      <c r="OSP551"/>
      <c r="OSQ551"/>
      <c r="OSR551"/>
      <c r="OSS551"/>
      <c r="OST551"/>
      <c r="OSU551"/>
      <c r="OSV551"/>
      <c r="OSW551"/>
      <c r="OSX551"/>
      <c r="OSY551"/>
      <c r="OSZ551"/>
      <c r="OTA551"/>
      <c r="OTB551"/>
      <c r="OTC551"/>
      <c r="OTD551"/>
      <c r="OTE551"/>
      <c r="OTF551"/>
      <c r="OTG551"/>
      <c r="OTH551"/>
      <c r="OTI551"/>
      <c r="OTJ551"/>
      <c r="OTK551"/>
      <c r="OTL551"/>
      <c r="OTM551"/>
      <c r="OTN551"/>
      <c r="OTO551"/>
      <c r="OTP551"/>
      <c r="OTQ551"/>
      <c r="OTR551"/>
      <c r="OTS551"/>
      <c r="OTT551"/>
      <c r="OTU551"/>
      <c r="OTV551"/>
      <c r="OTW551"/>
      <c r="OTX551"/>
      <c r="OTY551"/>
      <c r="OTZ551"/>
      <c r="OUA551"/>
      <c r="OUB551"/>
      <c r="OUC551"/>
      <c r="OUD551"/>
      <c r="OUE551"/>
      <c r="OUF551"/>
      <c r="OUG551"/>
      <c r="OUH551"/>
      <c r="OUI551"/>
      <c r="OUJ551"/>
      <c r="OUK551"/>
      <c r="OUL551"/>
      <c r="OUM551"/>
      <c r="OUN551"/>
      <c r="OUO551"/>
      <c r="OUP551"/>
      <c r="OUQ551"/>
      <c r="OUR551"/>
      <c r="OUS551"/>
      <c r="OUT551"/>
      <c r="OUU551"/>
      <c r="OUV551"/>
      <c r="OUW551"/>
      <c r="OUX551"/>
      <c r="OUY551"/>
      <c r="OUZ551"/>
      <c r="OVA551"/>
      <c r="OVB551"/>
      <c r="OVC551"/>
      <c r="OVD551"/>
      <c r="OVE551"/>
      <c r="OVF551"/>
      <c r="OVG551"/>
      <c r="OVH551"/>
      <c r="OVI551"/>
      <c r="OVJ551"/>
      <c r="OVK551"/>
      <c r="OVL551"/>
      <c r="OVM551"/>
      <c r="OVN551"/>
      <c r="OVO551"/>
      <c r="OVP551"/>
      <c r="OVQ551"/>
      <c r="OVR551"/>
      <c r="OVS551"/>
      <c r="OVT551"/>
      <c r="OVU551"/>
      <c r="OVV551"/>
      <c r="OVW551"/>
      <c r="OVX551"/>
      <c r="OVY551"/>
      <c r="OVZ551"/>
      <c r="OWA551"/>
      <c r="OWB551"/>
      <c r="OWC551"/>
      <c r="OWD551"/>
      <c r="OWE551"/>
      <c r="OWF551"/>
      <c r="OWG551"/>
      <c r="OWH551"/>
      <c r="OWI551"/>
      <c r="OWJ551"/>
      <c r="OWK551"/>
      <c r="OWL551"/>
      <c r="OWM551"/>
      <c r="OWN551"/>
      <c r="OWO551"/>
      <c r="OWP551"/>
      <c r="OWQ551"/>
      <c r="OWR551"/>
      <c r="OWS551"/>
      <c r="OWT551"/>
      <c r="OWU551"/>
      <c r="OWV551"/>
      <c r="OWW551"/>
      <c r="OWX551"/>
      <c r="OWY551"/>
      <c r="OWZ551"/>
      <c r="OXA551"/>
      <c r="OXB551"/>
      <c r="OXC551"/>
      <c r="OXD551"/>
      <c r="OXE551"/>
      <c r="OXF551"/>
      <c r="OXG551"/>
      <c r="OXH551"/>
      <c r="OXI551"/>
      <c r="OXJ551"/>
      <c r="OXK551"/>
      <c r="OXL551"/>
      <c r="OXM551"/>
      <c r="OXN551"/>
      <c r="OXO551"/>
      <c r="OXP551"/>
      <c r="OXQ551"/>
      <c r="OXR551"/>
      <c r="OXS551"/>
      <c r="OXT551"/>
      <c r="OXU551"/>
      <c r="OXV551"/>
      <c r="OXW551"/>
      <c r="OXX551"/>
      <c r="OXY551"/>
      <c r="OXZ551"/>
      <c r="OYA551"/>
      <c r="OYB551"/>
      <c r="OYC551"/>
      <c r="OYD551"/>
      <c r="OYE551"/>
      <c r="OYF551"/>
      <c r="OYG551"/>
      <c r="OYH551"/>
      <c r="OYI551"/>
      <c r="OYJ551"/>
      <c r="OYK551"/>
      <c r="OYL551"/>
      <c r="OYM551"/>
      <c r="OYN551"/>
      <c r="OYO551"/>
      <c r="OYP551"/>
      <c r="OYQ551"/>
      <c r="OYR551"/>
      <c r="OYS551"/>
      <c r="OYT551"/>
      <c r="OYU551"/>
      <c r="OYV551"/>
      <c r="OYW551"/>
      <c r="OYX551"/>
      <c r="OYY551"/>
      <c r="OYZ551"/>
      <c r="OZA551"/>
      <c r="OZB551"/>
      <c r="OZC551"/>
      <c r="OZD551"/>
      <c r="OZE551"/>
      <c r="OZF551"/>
      <c r="OZG551"/>
      <c r="OZH551"/>
      <c r="OZI551"/>
      <c r="OZJ551"/>
      <c r="OZK551"/>
      <c r="OZL551"/>
      <c r="OZM551"/>
      <c r="OZN551"/>
      <c r="OZO551"/>
      <c r="OZP551"/>
      <c r="OZQ551"/>
      <c r="OZR551"/>
      <c r="OZS551"/>
      <c r="OZT551"/>
      <c r="OZU551"/>
      <c r="OZV551"/>
      <c r="OZW551"/>
      <c r="OZX551"/>
      <c r="OZY551"/>
      <c r="OZZ551"/>
      <c r="PAA551"/>
      <c r="PAB551"/>
      <c r="PAC551"/>
      <c r="PAD551"/>
      <c r="PAE551"/>
      <c r="PAF551"/>
      <c r="PAG551"/>
      <c r="PAH551"/>
      <c r="PAI551"/>
      <c r="PAJ551"/>
      <c r="PAK551"/>
      <c r="PAL551"/>
      <c r="PAM551"/>
      <c r="PAN551"/>
      <c r="PAO551"/>
      <c r="PAP551"/>
      <c r="PAQ551"/>
      <c r="PAR551"/>
      <c r="PAS551"/>
      <c r="PAT551"/>
      <c r="PAU551"/>
      <c r="PAV551"/>
      <c r="PAW551"/>
      <c r="PAX551"/>
      <c r="PAY551"/>
      <c r="PAZ551"/>
      <c r="PBA551"/>
      <c r="PBB551"/>
      <c r="PBC551"/>
      <c r="PBD551"/>
      <c r="PBE551"/>
      <c r="PBF551"/>
      <c r="PBG551"/>
      <c r="PBH551"/>
      <c r="PBI551"/>
      <c r="PBJ551"/>
      <c r="PBK551"/>
      <c r="PBL551"/>
      <c r="PBM551"/>
      <c r="PBN551"/>
      <c r="PBO551"/>
      <c r="PBP551"/>
      <c r="PBQ551"/>
      <c r="PBR551"/>
      <c r="PBS551"/>
      <c r="PBT551"/>
      <c r="PBU551"/>
      <c r="PBV551"/>
      <c r="PBW551"/>
      <c r="PBX551"/>
      <c r="PBY551"/>
      <c r="PBZ551"/>
      <c r="PCA551"/>
      <c r="PCB551"/>
      <c r="PCC551"/>
      <c r="PCD551"/>
      <c r="PCE551"/>
      <c r="PCF551"/>
      <c r="PCG551"/>
      <c r="PCH551"/>
      <c r="PCI551"/>
      <c r="PCJ551"/>
      <c r="PCK551"/>
      <c r="PCL551"/>
      <c r="PCM551"/>
      <c r="PCN551"/>
      <c r="PCO551"/>
      <c r="PCP551"/>
      <c r="PCQ551"/>
      <c r="PCR551"/>
      <c r="PCS551"/>
      <c r="PCT551"/>
      <c r="PCU551"/>
      <c r="PCV551"/>
      <c r="PCW551"/>
      <c r="PCX551"/>
      <c r="PCY551"/>
      <c r="PCZ551"/>
      <c r="PDA551"/>
      <c r="PDB551"/>
      <c r="PDC551"/>
      <c r="PDD551"/>
      <c r="PDE551"/>
      <c r="PDF551"/>
      <c r="PDG551"/>
      <c r="PDH551"/>
      <c r="PDI551"/>
      <c r="PDJ551"/>
      <c r="PDK551"/>
      <c r="PDL551"/>
      <c r="PDM551"/>
      <c r="PDN551"/>
      <c r="PDO551"/>
      <c r="PDP551"/>
      <c r="PDQ551"/>
      <c r="PDR551"/>
      <c r="PDS551"/>
      <c r="PDT551"/>
      <c r="PDU551"/>
      <c r="PDV551"/>
      <c r="PDW551"/>
      <c r="PDX551"/>
      <c r="PDY551"/>
      <c r="PDZ551"/>
      <c r="PEA551"/>
      <c r="PEB551"/>
      <c r="PEC551"/>
      <c r="PED551"/>
      <c r="PEE551"/>
      <c r="PEF551"/>
      <c r="PEG551"/>
      <c r="PEH551"/>
      <c r="PEI551"/>
      <c r="PEJ551"/>
      <c r="PEK551"/>
      <c r="PEL551"/>
      <c r="PEM551"/>
      <c r="PEN551"/>
      <c r="PEO551"/>
      <c r="PEP551"/>
      <c r="PEQ551"/>
      <c r="PER551"/>
      <c r="PES551"/>
      <c r="PET551"/>
      <c r="PEU551"/>
      <c r="PEV551"/>
      <c r="PEW551"/>
      <c r="PEX551"/>
      <c r="PEY551"/>
      <c r="PEZ551"/>
      <c r="PFA551"/>
      <c r="PFB551"/>
      <c r="PFC551"/>
      <c r="PFD551"/>
      <c r="PFE551"/>
      <c r="PFF551"/>
      <c r="PFG551"/>
      <c r="PFH551"/>
      <c r="PFI551"/>
      <c r="PFJ551"/>
      <c r="PFK551"/>
      <c r="PFL551"/>
      <c r="PFM551"/>
      <c r="PFN551"/>
      <c r="PFO551"/>
      <c r="PFP551"/>
      <c r="PFQ551"/>
      <c r="PFR551"/>
      <c r="PFS551"/>
      <c r="PFT551"/>
      <c r="PFU551"/>
      <c r="PFV551"/>
      <c r="PFW551"/>
      <c r="PFX551"/>
      <c r="PFY551"/>
      <c r="PFZ551"/>
      <c r="PGA551"/>
      <c r="PGB551"/>
      <c r="PGC551"/>
      <c r="PGD551"/>
      <c r="PGE551"/>
      <c r="PGF551"/>
      <c r="PGG551"/>
      <c r="PGH551"/>
      <c r="PGI551"/>
      <c r="PGJ551"/>
      <c r="PGK551"/>
      <c r="PGL551"/>
      <c r="PGM551"/>
      <c r="PGN551"/>
      <c r="PGO551"/>
      <c r="PGP551"/>
      <c r="PGQ551"/>
      <c r="PGR551"/>
      <c r="PGS551"/>
      <c r="PGT551"/>
      <c r="PGU551"/>
      <c r="PGV551"/>
      <c r="PGW551"/>
      <c r="PGX551"/>
      <c r="PGY551"/>
      <c r="PGZ551"/>
      <c r="PHA551"/>
      <c r="PHB551"/>
      <c r="PHC551"/>
      <c r="PHD551"/>
      <c r="PHE551"/>
      <c r="PHF551"/>
      <c r="PHG551"/>
      <c r="PHH551"/>
      <c r="PHI551"/>
      <c r="PHJ551"/>
      <c r="PHK551"/>
      <c r="PHL551"/>
      <c r="PHM551"/>
      <c r="PHN551"/>
      <c r="PHO551"/>
      <c r="PHP551"/>
      <c r="PHQ551"/>
      <c r="PHR551"/>
      <c r="PHS551"/>
      <c r="PHT551"/>
      <c r="PHU551"/>
      <c r="PHV551"/>
      <c r="PHW551"/>
      <c r="PHX551"/>
      <c r="PHY551"/>
      <c r="PHZ551"/>
      <c r="PIA551"/>
      <c r="PIB551"/>
      <c r="PIC551"/>
      <c r="PID551"/>
      <c r="PIE551"/>
      <c r="PIF551"/>
      <c r="PIG551"/>
      <c r="PIH551"/>
      <c r="PII551"/>
      <c r="PIJ551"/>
      <c r="PIK551"/>
      <c r="PIL551"/>
      <c r="PIM551"/>
      <c r="PIN551"/>
      <c r="PIO551"/>
      <c r="PIP551"/>
      <c r="PIQ551"/>
      <c r="PIR551"/>
      <c r="PIS551"/>
      <c r="PIT551"/>
      <c r="PIU551"/>
      <c r="PIV551"/>
      <c r="PIW551"/>
      <c r="PIX551"/>
      <c r="PIY551"/>
      <c r="PIZ551"/>
      <c r="PJA551"/>
      <c r="PJB551"/>
      <c r="PJC551"/>
      <c r="PJD551"/>
      <c r="PJE551"/>
      <c r="PJF551"/>
      <c r="PJG551"/>
      <c r="PJH551"/>
      <c r="PJI551"/>
      <c r="PJJ551"/>
      <c r="PJK551"/>
      <c r="PJL551"/>
      <c r="PJM551"/>
      <c r="PJN551"/>
      <c r="PJO551"/>
      <c r="PJP551"/>
      <c r="PJQ551"/>
      <c r="PJR551"/>
      <c r="PJS551"/>
      <c r="PJT551"/>
      <c r="PJU551"/>
      <c r="PJV551"/>
      <c r="PJW551"/>
      <c r="PJX551"/>
      <c r="PJY551"/>
      <c r="PJZ551"/>
      <c r="PKA551"/>
      <c r="PKB551"/>
      <c r="PKC551"/>
      <c r="PKD551"/>
      <c r="PKE551"/>
      <c r="PKF551"/>
      <c r="PKG551"/>
      <c r="PKH551"/>
      <c r="PKI551"/>
      <c r="PKJ551"/>
      <c r="PKK551"/>
      <c r="PKL551"/>
      <c r="PKM551"/>
      <c r="PKN551"/>
      <c r="PKO551"/>
      <c r="PKP551"/>
      <c r="PKQ551"/>
      <c r="PKR551"/>
      <c r="PKS551"/>
      <c r="PKT551"/>
      <c r="PKU551"/>
      <c r="PKV551"/>
      <c r="PKW551"/>
      <c r="PKX551"/>
      <c r="PKY551"/>
      <c r="PKZ551"/>
      <c r="PLA551"/>
      <c r="PLB551"/>
      <c r="PLC551"/>
      <c r="PLD551"/>
      <c r="PLE551"/>
      <c r="PLF551"/>
      <c r="PLG551"/>
      <c r="PLH551"/>
      <c r="PLI551"/>
      <c r="PLJ551"/>
      <c r="PLK551"/>
      <c r="PLL551"/>
      <c r="PLM551"/>
      <c r="PLN551"/>
      <c r="PLO551"/>
      <c r="PLP551"/>
      <c r="PLQ551"/>
      <c r="PLR551"/>
      <c r="PLS551"/>
      <c r="PLT551"/>
      <c r="PLU551"/>
      <c r="PLV551"/>
      <c r="PLW551"/>
      <c r="PLX551"/>
      <c r="PLY551"/>
      <c r="PLZ551"/>
      <c r="PMA551"/>
      <c r="PMB551"/>
      <c r="PMC551"/>
      <c r="PMD551"/>
      <c r="PME551"/>
      <c r="PMF551"/>
      <c r="PMG551"/>
      <c r="PMH551"/>
      <c r="PMI551"/>
      <c r="PMJ551"/>
      <c r="PMK551"/>
      <c r="PML551"/>
      <c r="PMM551"/>
      <c r="PMN551"/>
      <c r="PMO551"/>
      <c r="PMP551"/>
      <c r="PMQ551"/>
      <c r="PMR551"/>
      <c r="PMS551"/>
      <c r="PMT551"/>
      <c r="PMU551"/>
      <c r="PMV551"/>
      <c r="PMW551"/>
      <c r="PMX551"/>
      <c r="PMY551"/>
      <c r="PMZ551"/>
      <c r="PNA551"/>
      <c r="PNB551"/>
      <c r="PNC551"/>
      <c r="PND551"/>
      <c r="PNE551"/>
      <c r="PNF551"/>
      <c r="PNG551"/>
      <c r="PNH551"/>
      <c r="PNI551"/>
      <c r="PNJ551"/>
      <c r="PNK551"/>
      <c r="PNL551"/>
      <c r="PNM551"/>
      <c r="PNN551"/>
      <c r="PNO551"/>
      <c r="PNP551"/>
      <c r="PNQ551"/>
      <c r="PNR551"/>
      <c r="PNS551"/>
      <c r="PNT551"/>
      <c r="PNU551"/>
      <c r="PNV551"/>
      <c r="PNW551"/>
      <c r="PNX551"/>
      <c r="PNY551"/>
      <c r="PNZ551"/>
      <c r="POA551"/>
      <c r="POB551"/>
      <c r="POC551"/>
      <c r="POD551"/>
      <c r="POE551"/>
      <c r="POF551"/>
      <c r="POG551"/>
      <c r="POH551"/>
      <c r="POI551"/>
      <c r="POJ551"/>
      <c r="POK551"/>
      <c r="POL551"/>
      <c r="POM551"/>
      <c r="PON551"/>
      <c r="POO551"/>
      <c r="POP551"/>
      <c r="POQ551"/>
      <c r="POR551"/>
      <c r="POS551"/>
      <c r="POT551"/>
      <c r="POU551"/>
      <c r="POV551"/>
      <c r="POW551"/>
      <c r="POX551"/>
      <c r="POY551"/>
      <c r="POZ551"/>
      <c r="PPA551"/>
      <c r="PPB551"/>
      <c r="PPC551"/>
      <c r="PPD551"/>
      <c r="PPE551"/>
      <c r="PPF551"/>
      <c r="PPG551"/>
      <c r="PPH551"/>
      <c r="PPI551"/>
      <c r="PPJ551"/>
      <c r="PPK551"/>
      <c r="PPL551"/>
      <c r="PPM551"/>
      <c r="PPN551"/>
      <c r="PPO551"/>
      <c r="PPP551"/>
      <c r="PPQ551"/>
      <c r="PPR551"/>
      <c r="PPS551"/>
      <c r="PPT551"/>
      <c r="PPU551"/>
      <c r="PPV551"/>
      <c r="PPW551"/>
      <c r="PPX551"/>
      <c r="PPY551"/>
      <c r="PPZ551"/>
      <c r="PQA551"/>
      <c r="PQB551"/>
      <c r="PQC551"/>
      <c r="PQD551"/>
      <c r="PQE551"/>
      <c r="PQF551"/>
      <c r="PQG551"/>
      <c r="PQH551"/>
      <c r="PQI551"/>
      <c r="PQJ551"/>
      <c r="PQK551"/>
      <c r="PQL551"/>
      <c r="PQM551"/>
      <c r="PQN551"/>
      <c r="PQO551"/>
      <c r="PQP551"/>
      <c r="PQQ551"/>
      <c r="PQR551"/>
      <c r="PQS551"/>
      <c r="PQT551"/>
      <c r="PQU551"/>
      <c r="PQV551"/>
      <c r="PQW551"/>
      <c r="PQX551"/>
      <c r="PQY551"/>
      <c r="PQZ551"/>
      <c r="PRA551"/>
      <c r="PRB551"/>
      <c r="PRC551"/>
      <c r="PRD551"/>
      <c r="PRE551"/>
      <c r="PRF551"/>
      <c r="PRG551"/>
      <c r="PRH551"/>
      <c r="PRI551"/>
      <c r="PRJ551"/>
      <c r="PRK551"/>
      <c r="PRL551"/>
      <c r="PRM551"/>
      <c r="PRN551"/>
      <c r="PRO551"/>
      <c r="PRP551"/>
      <c r="PRQ551"/>
      <c r="PRR551"/>
      <c r="PRS551"/>
      <c r="PRT551"/>
      <c r="PRU551"/>
      <c r="PRV551"/>
      <c r="PRW551"/>
      <c r="PRX551"/>
      <c r="PRY551"/>
      <c r="PRZ551"/>
      <c r="PSA551"/>
      <c r="PSB551"/>
      <c r="PSC551"/>
      <c r="PSD551"/>
      <c r="PSE551"/>
      <c r="PSF551"/>
      <c r="PSG551"/>
      <c r="PSH551"/>
      <c r="PSI551"/>
      <c r="PSJ551"/>
      <c r="PSK551"/>
      <c r="PSL551"/>
      <c r="PSM551"/>
      <c r="PSN551"/>
      <c r="PSO551"/>
      <c r="PSP551"/>
      <c r="PSQ551"/>
      <c r="PSR551"/>
      <c r="PSS551"/>
      <c r="PST551"/>
      <c r="PSU551"/>
      <c r="PSV551"/>
      <c r="PSW551"/>
      <c r="PSX551"/>
      <c r="PSY551"/>
      <c r="PSZ551"/>
      <c r="PTA551"/>
      <c r="PTB551"/>
      <c r="PTC551"/>
      <c r="PTD551"/>
      <c r="PTE551"/>
      <c r="PTF551"/>
      <c r="PTG551"/>
      <c r="PTH551"/>
      <c r="PTI551"/>
      <c r="PTJ551"/>
      <c r="PTK551"/>
      <c r="PTL551"/>
      <c r="PTM551"/>
      <c r="PTN551"/>
      <c r="PTO551"/>
      <c r="PTP551"/>
      <c r="PTQ551"/>
      <c r="PTR551"/>
      <c r="PTS551"/>
      <c r="PTT551"/>
      <c r="PTU551"/>
      <c r="PTV551"/>
      <c r="PTW551"/>
      <c r="PTX551"/>
      <c r="PTY551"/>
      <c r="PTZ551"/>
      <c r="PUA551"/>
      <c r="PUB551"/>
      <c r="PUC551"/>
      <c r="PUD551"/>
      <c r="PUE551"/>
      <c r="PUF551"/>
      <c r="PUG551"/>
      <c r="PUH551"/>
      <c r="PUI551"/>
      <c r="PUJ551"/>
      <c r="PUK551"/>
      <c r="PUL551"/>
      <c r="PUM551"/>
      <c r="PUN551"/>
      <c r="PUO551"/>
      <c r="PUP551"/>
      <c r="PUQ551"/>
      <c r="PUR551"/>
      <c r="PUS551"/>
      <c r="PUT551"/>
      <c r="PUU551"/>
      <c r="PUV551"/>
      <c r="PUW551"/>
      <c r="PUX551"/>
      <c r="PUY551"/>
      <c r="PUZ551"/>
      <c r="PVA551"/>
      <c r="PVB551"/>
      <c r="PVC551"/>
      <c r="PVD551"/>
      <c r="PVE551"/>
      <c r="PVF551"/>
      <c r="PVG551"/>
      <c r="PVH551"/>
      <c r="PVI551"/>
      <c r="PVJ551"/>
      <c r="PVK551"/>
      <c r="PVL551"/>
      <c r="PVM551"/>
      <c r="PVN551"/>
      <c r="PVO551"/>
      <c r="PVP551"/>
      <c r="PVQ551"/>
      <c r="PVR551"/>
      <c r="PVS551"/>
      <c r="PVT551"/>
      <c r="PVU551"/>
      <c r="PVV551"/>
      <c r="PVW551"/>
      <c r="PVX551"/>
      <c r="PVY551"/>
      <c r="PVZ551"/>
      <c r="PWA551"/>
      <c r="PWB551"/>
      <c r="PWC551"/>
      <c r="PWD551"/>
      <c r="PWE551"/>
      <c r="PWF551"/>
      <c r="PWG551"/>
      <c r="PWH551"/>
      <c r="PWI551"/>
      <c r="PWJ551"/>
      <c r="PWK551"/>
      <c r="PWL551"/>
      <c r="PWM551"/>
      <c r="PWN551"/>
      <c r="PWO551"/>
      <c r="PWP551"/>
      <c r="PWQ551"/>
      <c r="PWR551"/>
      <c r="PWS551"/>
      <c r="PWT551"/>
      <c r="PWU551"/>
      <c r="PWV551"/>
      <c r="PWW551"/>
      <c r="PWX551"/>
      <c r="PWY551"/>
      <c r="PWZ551"/>
      <c r="PXA551"/>
      <c r="PXB551"/>
      <c r="PXC551"/>
      <c r="PXD551"/>
      <c r="PXE551"/>
      <c r="PXF551"/>
      <c r="PXG551"/>
      <c r="PXH551"/>
      <c r="PXI551"/>
      <c r="PXJ551"/>
      <c r="PXK551"/>
      <c r="PXL551"/>
      <c r="PXM551"/>
      <c r="PXN551"/>
      <c r="PXO551"/>
      <c r="PXP551"/>
      <c r="PXQ551"/>
      <c r="PXR551"/>
      <c r="PXS551"/>
      <c r="PXT551"/>
      <c r="PXU551"/>
      <c r="PXV551"/>
      <c r="PXW551"/>
      <c r="PXX551"/>
      <c r="PXY551"/>
      <c r="PXZ551"/>
      <c r="PYA551"/>
      <c r="PYB551"/>
      <c r="PYC551"/>
      <c r="PYD551"/>
      <c r="PYE551"/>
      <c r="PYF551"/>
      <c r="PYG551"/>
      <c r="PYH551"/>
      <c r="PYI551"/>
      <c r="PYJ551"/>
      <c r="PYK551"/>
      <c r="PYL551"/>
      <c r="PYM551"/>
      <c r="PYN551"/>
      <c r="PYO551"/>
      <c r="PYP551"/>
      <c r="PYQ551"/>
      <c r="PYR551"/>
      <c r="PYS551"/>
      <c r="PYT551"/>
      <c r="PYU551"/>
      <c r="PYV551"/>
      <c r="PYW551"/>
      <c r="PYX551"/>
      <c r="PYY551"/>
      <c r="PYZ551"/>
      <c r="PZA551"/>
      <c r="PZB551"/>
      <c r="PZC551"/>
      <c r="PZD551"/>
      <c r="PZE551"/>
      <c r="PZF551"/>
      <c r="PZG551"/>
      <c r="PZH551"/>
      <c r="PZI551"/>
      <c r="PZJ551"/>
      <c r="PZK551"/>
      <c r="PZL551"/>
      <c r="PZM551"/>
      <c r="PZN551"/>
      <c r="PZO551"/>
      <c r="PZP551"/>
      <c r="PZQ551"/>
      <c r="PZR551"/>
      <c r="PZS551"/>
      <c r="PZT551"/>
      <c r="PZU551"/>
      <c r="PZV551"/>
      <c r="PZW551"/>
      <c r="PZX551"/>
      <c r="PZY551"/>
      <c r="PZZ551"/>
      <c r="QAA551"/>
      <c r="QAB551"/>
      <c r="QAC551"/>
      <c r="QAD551"/>
      <c r="QAE551"/>
      <c r="QAF551"/>
      <c r="QAG551"/>
      <c r="QAH551"/>
      <c r="QAI551"/>
      <c r="QAJ551"/>
      <c r="QAK551"/>
      <c r="QAL551"/>
      <c r="QAM551"/>
      <c r="QAN551"/>
      <c r="QAO551"/>
      <c r="QAP551"/>
      <c r="QAQ551"/>
      <c r="QAR551"/>
      <c r="QAS551"/>
      <c r="QAT551"/>
      <c r="QAU551"/>
      <c r="QAV551"/>
      <c r="QAW551"/>
      <c r="QAX551"/>
      <c r="QAY551"/>
      <c r="QAZ551"/>
      <c r="QBA551"/>
      <c r="QBB551"/>
      <c r="QBC551"/>
      <c r="QBD551"/>
      <c r="QBE551"/>
      <c r="QBF551"/>
      <c r="QBG551"/>
      <c r="QBH551"/>
      <c r="QBI551"/>
      <c r="QBJ551"/>
      <c r="QBK551"/>
      <c r="QBL551"/>
      <c r="QBM551"/>
      <c r="QBN551"/>
      <c r="QBO551"/>
      <c r="QBP551"/>
      <c r="QBQ551"/>
      <c r="QBR551"/>
      <c r="QBS551"/>
      <c r="QBT551"/>
      <c r="QBU551"/>
      <c r="QBV551"/>
      <c r="QBW551"/>
      <c r="QBX551"/>
      <c r="QBY551"/>
      <c r="QBZ551"/>
      <c r="QCA551"/>
      <c r="QCB551"/>
      <c r="QCC551"/>
      <c r="QCD551"/>
      <c r="QCE551"/>
      <c r="QCF551"/>
      <c r="QCG551"/>
      <c r="QCH551"/>
      <c r="QCI551"/>
      <c r="QCJ551"/>
      <c r="QCK551"/>
      <c r="QCL551"/>
      <c r="QCM551"/>
      <c r="QCN551"/>
      <c r="QCO551"/>
      <c r="QCP551"/>
      <c r="QCQ551"/>
      <c r="QCR551"/>
      <c r="QCS551"/>
      <c r="QCT551"/>
      <c r="QCU551"/>
      <c r="QCV551"/>
      <c r="QCW551"/>
      <c r="QCX551"/>
      <c r="QCY551"/>
      <c r="QCZ551"/>
      <c r="QDA551"/>
      <c r="QDB551"/>
      <c r="QDC551"/>
      <c r="QDD551"/>
      <c r="QDE551"/>
      <c r="QDF551"/>
      <c r="QDG551"/>
      <c r="QDH551"/>
      <c r="QDI551"/>
      <c r="QDJ551"/>
      <c r="QDK551"/>
      <c r="QDL551"/>
      <c r="QDM551"/>
      <c r="QDN551"/>
      <c r="QDO551"/>
      <c r="QDP551"/>
      <c r="QDQ551"/>
      <c r="QDR551"/>
      <c r="QDS551"/>
      <c r="QDT551"/>
      <c r="QDU551"/>
      <c r="QDV551"/>
      <c r="QDW551"/>
      <c r="QDX551"/>
      <c r="QDY551"/>
      <c r="QDZ551"/>
      <c r="QEA551"/>
      <c r="QEB551"/>
      <c r="QEC551"/>
      <c r="QED551"/>
      <c r="QEE551"/>
      <c r="QEF551"/>
      <c r="QEG551"/>
      <c r="QEH551"/>
      <c r="QEI551"/>
      <c r="QEJ551"/>
      <c r="QEK551"/>
      <c r="QEL551"/>
      <c r="QEM551"/>
      <c r="QEN551"/>
      <c r="QEO551"/>
      <c r="QEP551"/>
      <c r="QEQ551"/>
      <c r="QER551"/>
      <c r="QES551"/>
      <c r="QET551"/>
      <c r="QEU551"/>
      <c r="QEV551"/>
      <c r="QEW551"/>
      <c r="QEX551"/>
      <c r="QEY551"/>
      <c r="QEZ551"/>
      <c r="QFA551"/>
      <c r="QFB551"/>
      <c r="QFC551"/>
      <c r="QFD551"/>
      <c r="QFE551"/>
      <c r="QFF551"/>
      <c r="QFG551"/>
      <c r="QFH551"/>
      <c r="QFI551"/>
      <c r="QFJ551"/>
      <c r="QFK551"/>
      <c r="QFL551"/>
      <c r="QFM551"/>
      <c r="QFN551"/>
      <c r="QFO551"/>
      <c r="QFP551"/>
      <c r="QFQ551"/>
      <c r="QFR551"/>
      <c r="QFS551"/>
      <c r="QFT551"/>
      <c r="QFU551"/>
      <c r="QFV551"/>
      <c r="QFW551"/>
      <c r="QFX551"/>
      <c r="QFY551"/>
      <c r="QFZ551"/>
      <c r="QGA551"/>
      <c r="QGB551"/>
      <c r="QGC551"/>
      <c r="QGD551"/>
      <c r="QGE551"/>
      <c r="QGF551"/>
      <c r="QGG551"/>
      <c r="QGH551"/>
      <c r="QGI551"/>
      <c r="QGJ551"/>
      <c r="QGK551"/>
      <c r="QGL551"/>
      <c r="QGM551"/>
      <c r="QGN551"/>
      <c r="QGO551"/>
      <c r="QGP551"/>
      <c r="QGQ551"/>
      <c r="QGR551"/>
      <c r="QGS551"/>
      <c r="QGT551"/>
      <c r="QGU551"/>
      <c r="QGV551"/>
      <c r="QGW551"/>
      <c r="QGX551"/>
      <c r="QGY551"/>
      <c r="QGZ551"/>
      <c r="QHA551"/>
      <c r="QHB551"/>
      <c r="QHC551"/>
      <c r="QHD551"/>
      <c r="QHE551"/>
      <c r="QHF551"/>
      <c r="QHG551"/>
      <c r="QHH551"/>
      <c r="QHI551"/>
      <c r="QHJ551"/>
      <c r="QHK551"/>
      <c r="QHL551"/>
      <c r="QHM551"/>
      <c r="QHN551"/>
      <c r="QHO551"/>
      <c r="QHP551"/>
      <c r="QHQ551"/>
      <c r="QHR551"/>
      <c r="QHS551"/>
      <c r="QHT551"/>
      <c r="QHU551"/>
      <c r="QHV551"/>
      <c r="QHW551"/>
      <c r="QHX551"/>
      <c r="QHY551"/>
      <c r="QHZ551"/>
      <c r="QIA551"/>
      <c r="QIB551"/>
      <c r="QIC551"/>
      <c r="QID551"/>
      <c r="QIE551"/>
      <c r="QIF551"/>
      <c r="QIG551"/>
      <c r="QIH551"/>
      <c r="QII551"/>
      <c r="QIJ551"/>
      <c r="QIK551"/>
      <c r="QIL551"/>
      <c r="QIM551"/>
      <c r="QIN551"/>
      <c r="QIO551"/>
      <c r="QIP551"/>
      <c r="QIQ551"/>
      <c r="QIR551"/>
      <c r="QIS551"/>
      <c r="QIT551"/>
      <c r="QIU551"/>
      <c r="QIV551"/>
      <c r="QIW551"/>
      <c r="QIX551"/>
      <c r="QIY551"/>
      <c r="QIZ551"/>
      <c r="QJA551"/>
      <c r="QJB551"/>
      <c r="QJC551"/>
      <c r="QJD551"/>
      <c r="QJE551"/>
      <c r="QJF551"/>
      <c r="QJG551"/>
      <c r="QJH551"/>
      <c r="QJI551"/>
      <c r="QJJ551"/>
      <c r="QJK551"/>
      <c r="QJL551"/>
      <c r="QJM551"/>
      <c r="QJN551"/>
      <c r="QJO551"/>
      <c r="QJP551"/>
      <c r="QJQ551"/>
      <c r="QJR551"/>
      <c r="QJS551"/>
      <c r="QJT551"/>
      <c r="QJU551"/>
      <c r="QJV551"/>
      <c r="QJW551"/>
      <c r="QJX551"/>
      <c r="QJY551"/>
      <c r="QJZ551"/>
      <c r="QKA551"/>
      <c r="QKB551"/>
      <c r="QKC551"/>
      <c r="QKD551"/>
      <c r="QKE551"/>
      <c r="QKF551"/>
      <c r="QKG551"/>
      <c r="QKH551"/>
      <c r="QKI551"/>
      <c r="QKJ551"/>
      <c r="QKK551"/>
      <c r="QKL551"/>
      <c r="QKM551"/>
      <c r="QKN551"/>
      <c r="QKO551"/>
      <c r="QKP551"/>
      <c r="QKQ551"/>
      <c r="QKR551"/>
      <c r="QKS551"/>
      <c r="QKT551"/>
      <c r="QKU551"/>
      <c r="QKV551"/>
      <c r="QKW551"/>
      <c r="QKX551"/>
      <c r="QKY551"/>
      <c r="QKZ551"/>
      <c r="QLA551"/>
      <c r="QLB551"/>
      <c r="QLC551"/>
      <c r="QLD551"/>
      <c r="QLE551"/>
      <c r="QLF551"/>
      <c r="QLG551"/>
      <c r="QLH551"/>
      <c r="QLI551"/>
      <c r="QLJ551"/>
      <c r="QLK551"/>
      <c r="QLL551"/>
      <c r="QLM551"/>
      <c r="QLN551"/>
      <c r="QLO551"/>
      <c r="QLP551"/>
      <c r="QLQ551"/>
      <c r="QLR551"/>
      <c r="QLS551"/>
      <c r="QLT551"/>
      <c r="QLU551"/>
      <c r="QLV551"/>
      <c r="QLW551"/>
      <c r="QLX551"/>
      <c r="QLY551"/>
      <c r="QLZ551"/>
      <c r="QMA551"/>
      <c r="QMB551"/>
      <c r="QMC551"/>
      <c r="QMD551"/>
      <c r="QME551"/>
      <c r="QMF551"/>
      <c r="QMG551"/>
      <c r="QMH551"/>
      <c r="QMI551"/>
      <c r="QMJ551"/>
      <c r="QMK551"/>
      <c r="QML551"/>
      <c r="QMM551"/>
      <c r="QMN551"/>
      <c r="QMO551"/>
      <c r="QMP551"/>
      <c r="QMQ551"/>
      <c r="QMR551"/>
      <c r="QMS551"/>
      <c r="QMT551"/>
      <c r="QMU551"/>
      <c r="QMV551"/>
      <c r="QMW551"/>
      <c r="QMX551"/>
      <c r="QMY551"/>
      <c r="QMZ551"/>
      <c r="QNA551"/>
      <c r="QNB551"/>
      <c r="QNC551"/>
      <c r="QND551"/>
      <c r="QNE551"/>
      <c r="QNF551"/>
      <c r="QNG551"/>
      <c r="QNH551"/>
      <c r="QNI551"/>
      <c r="QNJ551"/>
      <c r="QNK551"/>
      <c r="QNL551"/>
      <c r="QNM551"/>
      <c r="QNN551"/>
      <c r="QNO551"/>
      <c r="QNP551"/>
      <c r="QNQ551"/>
      <c r="QNR551"/>
      <c r="QNS551"/>
      <c r="QNT551"/>
      <c r="QNU551"/>
      <c r="QNV551"/>
      <c r="QNW551"/>
      <c r="QNX551"/>
      <c r="QNY551"/>
      <c r="QNZ551"/>
      <c r="QOA551"/>
      <c r="QOB551"/>
      <c r="QOC551"/>
      <c r="QOD551"/>
      <c r="QOE551"/>
      <c r="QOF551"/>
      <c r="QOG551"/>
      <c r="QOH551"/>
      <c r="QOI551"/>
      <c r="QOJ551"/>
      <c r="QOK551"/>
      <c r="QOL551"/>
      <c r="QOM551"/>
      <c r="QON551"/>
      <c r="QOO551"/>
      <c r="QOP551"/>
      <c r="QOQ551"/>
      <c r="QOR551"/>
      <c r="QOS551"/>
      <c r="QOT551"/>
      <c r="QOU551"/>
      <c r="QOV551"/>
      <c r="QOW551"/>
      <c r="QOX551"/>
      <c r="QOY551"/>
      <c r="QOZ551"/>
      <c r="QPA551"/>
      <c r="QPB551"/>
      <c r="QPC551"/>
      <c r="QPD551"/>
      <c r="QPE551"/>
      <c r="QPF551"/>
      <c r="QPG551"/>
      <c r="QPH551"/>
      <c r="QPI551"/>
      <c r="QPJ551"/>
      <c r="QPK551"/>
      <c r="QPL551"/>
      <c r="QPM551"/>
      <c r="QPN551"/>
      <c r="QPO551"/>
      <c r="QPP551"/>
      <c r="QPQ551"/>
      <c r="QPR551"/>
      <c r="QPS551"/>
      <c r="QPT551"/>
      <c r="QPU551"/>
      <c r="QPV551"/>
      <c r="QPW551"/>
      <c r="QPX551"/>
      <c r="QPY551"/>
      <c r="QPZ551"/>
      <c r="QQA551"/>
      <c r="QQB551"/>
      <c r="QQC551"/>
      <c r="QQD551"/>
      <c r="QQE551"/>
      <c r="QQF551"/>
      <c r="QQG551"/>
      <c r="QQH551"/>
      <c r="QQI551"/>
      <c r="QQJ551"/>
      <c r="QQK551"/>
      <c r="QQL551"/>
      <c r="QQM551"/>
      <c r="QQN551"/>
      <c r="QQO551"/>
      <c r="QQP551"/>
      <c r="QQQ551"/>
      <c r="QQR551"/>
      <c r="QQS551"/>
      <c r="QQT551"/>
      <c r="QQU551"/>
      <c r="QQV551"/>
      <c r="QQW551"/>
      <c r="QQX551"/>
      <c r="QQY551"/>
      <c r="QQZ551"/>
      <c r="QRA551"/>
      <c r="QRB551"/>
      <c r="QRC551"/>
      <c r="QRD551"/>
      <c r="QRE551"/>
      <c r="QRF551"/>
      <c r="QRG551"/>
      <c r="QRH551"/>
      <c r="QRI551"/>
      <c r="QRJ551"/>
      <c r="QRK551"/>
      <c r="QRL551"/>
      <c r="QRM551"/>
      <c r="QRN551"/>
      <c r="QRO551"/>
      <c r="QRP551"/>
      <c r="QRQ551"/>
      <c r="QRR551"/>
      <c r="QRS551"/>
      <c r="QRT551"/>
      <c r="QRU551"/>
      <c r="QRV551"/>
      <c r="QRW551"/>
      <c r="QRX551"/>
      <c r="QRY551"/>
      <c r="QRZ551"/>
      <c r="QSA551"/>
      <c r="QSB551"/>
      <c r="QSC551"/>
      <c r="QSD551"/>
      <c r="QSE551"/>
      <c r="QSF551"/>
      <c r="QSG551"/>
      <c r="QSH551"/>
      <c r="QSI551"/>
      <c r="QSJ551"/>
      <c r="QSK551"/>
      <c r="QSL551"/>
      <c r="QSM551"/>
      <c r="QSN551"/>
      <c r="QSO551"/>
      <c r="QSP551"/>
      <c r="QSQ551"/>
      <c r="QSR551"/>
      <c r="QSS551"/>
      <c r="QST551"/>
      <c r="QSU551"/>
      <c r="QSV551"/>
      <c r="QSW551"/>
      <c r="QSX551"/>
      <c r="QSY551"/>
      <c r="QSZ551"/>
      <c r="QTA551"/>
      <c r="QTB551"/>
      <c r="QTC551"/>
      <c r="QTD551"/>
      <c r="QTE551"/>
      <c r="QTF551"/>
      <c r="QTG551"/>
      <c r="QTH551"/>
      <c r="QTI551"/>
      <c r="QTJ551"/>
      <c r="QTK551"/>
      <c r="QTL551"/>
      <c r="QTM551"/>
      <c r="QTN551"/>
      <c r="QTO551"/>
      <c r="QTP551"/>
      <c r="QTQ551"/>
      <c r="QTR551"/>
      <c r="QTS551"/>
      <c r="QTT551"/>
      <c r="QTU551"/>
      <c r="QTV551"/>
      <c r="QTW551"/>
      <c r="QTX551"/>
      <c r="QTY551"/>
      <c r="QTZ551"/>
      <c r="QUA551"/>
      <c r="QUB551"/>
      <c r="QUC551"/>
      <c r="QUD551"/>
      <c r="QUE551"/>
      <c r="QUF551"/>
      <c r="QUG551"/>
      <c r="QUH551"/>
      <c r="QUI551"/>
      <c r="QUJ551"/>
      <c r="QUK551"/>
      <c r="QUL551"/>
      <c r="QUM551"/>
      <c r="QUN551"/>
      <c r="QUO551"/>
      <c r="QUP551"/>
      <c r="QUQ551"/>
      <c r="QUR551"/>
      <c r="QUS551"/>
      <c r="QUT551"/>
      <c r="QUU551"/>
      <c r="QUV551"/>
      <c r="QUW551"/>
      <c r="QUX551"/>
      <c r="QUY551"/>
      <c r="QUZ551"/>
      <c r="QVA551"/>
      <c r="QVB551"/>
      <c r="QVC551"/>
      <c r="QVD551"/>
      <c r="QVE551"/>
      <c r="QVF551"/>
      <c r="QVG551"/>
      <c r="QVH551"/>
      <c r="QVI551"/>
      <c r="QVJ551"/>
      <c r="QVK551"/>
      <c r="QVL551"/>
      <c r="QVM551"/>
      <c r="QVN551"/>
      <c r="QVO551"/>
      <c r="QVP551"/>
      <c r="QVQ551"/>
      <c r="QVR551"/>
      <c r="QVS551"/>
      <c r="QVT551"/>
      <c r="QVU551"/>
      <c r="QVV551"/>
      <c r="QVW551"/>
      <c r="QVX551"/>
      <c r="QVY551"/>
      <c r="QVZ551"/>
      <c r="QWA551"/>
      <c r="QWB551"/>
      <c r="QWC551"/>
      <c r="QWD551"/>
      <c r="QWE551"/>
      <c r="QWF551"/>
      <c r="QWG551"/>
      <c r="QWH551"/>
      <c r="QWI551"/>
      <c r="QWJ551"/>
      <c r="QWK551"/>
      <c r="QWL551"/>
      <c r="QWM551"/>
      <c r="QWN551"/>
      <c r="QWO551"/>
      <c r="QWP551"/>
      <c r="QWQ551"/>
      <c r="QWR551"/>
      <c r="QWS551"/>
      <c r="QWT551"/>
      <c r="QWU551"/>
      <c r="QWV551"/>
      <c r="QWW551"/>
      <c r="QWX551"/>
      <c r="QWY551"/>
      <c r="QWZ551"/>
      <c r="QXA551"/>
      <c r="QXB551"/>
      <c r="QXC551"/>
      <c r="QXD551"/>
      <c r="QXE551"/>
      <c r="QXF551"/>
      <c r="QXG551"/>
      <c r="QXH551"/>
      <c r="QXI551"/>
      <c r="QXJ551"/>
      <c r="QXK551"/>
      <c r="QXL551"/>
      <c r="QXM551"/>
      <c r="QXN551"/>
      <c r="QXO551"/>
      <c r="QXP551"/>
      <c r="QXQ551"/>
      <c r="QXR551"/>
      <c r="QXS551"/>
      <c r="QXT551"/>
      <c r="QXU551"/>
      <c r="QXV551"/>
      <c r="QXW551"/>
      <c r="QXX551"/>
      <c r="QXY551"/>
      <c r="QXZ551"/>
      <c r="QYA551"/>
      <c r="QYB551"/>
      <c r="QYC551"/>
      <c r="QYD551"/>
      <c r="QYE551"/>
      <c r="QYF551"/>
      <c r="QYG551"/>
      <c r="QYH551"/>
      <c r="QYI551"/>
      <c r="QYJ551"/>
      <c r="QYK551"/>
      <c r="QYL551"/>
      <c r="QYM551"/>
      <c r="QYN551"/>
      <c r="QYO551"/>
      <c r="QYP551"/>
      <c r="QYQ551"/>
      <c r="QYR551"/>
      <c r="QYS551"/>
      <c r="QYT551"/>
      <c r="QYU551"/>
      <c r="QYV551"/>
      <c r="QYW551"/>
      <c r="QYX551"/>
      <c r="QYY551"/>
      <c r="QYZ551"/>
      <c r="QZA551"/>
      <c r="QZB551"/>
      <c r="QZC551"/>
      <c r="QZD551"/>
      <c r="QZE551"/>
      <c r="QZF551"/>
      <c r="QZG551"/>
      <c r="QZH551"/>
      <c r="QZI551"/>
      <c r="QZJ551"/>
      <c r="QZK551"/>
      <c r="QZL551"/>
      <c r="QZM551"/>
      <c r="QZN551"/>
      <c r="QZO551"/>
      <c r="QZP551"/>
      <c r="QZQ551"/>
      <c r="QZR551"/>
      <c r="QZS551"/>
      <c r="QZT551"/>
      <c r="QZU551"/>
      <c r="QZV551"/>
      <c r="QZW551"/>
      <c r="QZX551"/>
      <c r="QZY551"/>
      <c r="QZZ551"/>
      <c r="RAA551"/>
      <c r="RAB551"/>
      <c r="RAC551"/>
      <c r="RAD551"/>
      <c r="RAE551"/>
      <c r="RAF551"/>
      <c r="RAG551"/>
      <c r="RAH551"/>
      <c r="RAI551"/>
      <c r="RAJ551"/>
      <c r="RAK551"/>
      <c r="RAL551"/>
      <c r="RAM551"/>
      <c r="RAN551"/>
      <c r="RAO551"/>
      <c r="RAP551"/>
      <c r="RAQ551"/>
      <c r="RAR551"/>
      <c r="RAS551"/>
      <c r="RAT551"/>
      <c r="RAU551"/>
      <c r="RAV551"/>
      <c r="RAW551"/>
      <c r="RAX551"/>
      <c r="RAY551"/>
      <c r="RAZ551"/>
      <c r="RBA551"/>
      <c r="RBB551"/>
      <c r="RBC551"/>
      <c r="RBD551"/>
      <c r="RBE551"/>
      <c r="RBF551"/>
      <c r="RBG551"/>
      <c r="RBH551"/>
      <c r="RBI551"/>
      <c r="RBJ551"/>
      <c r="RBK551"/>
      <c r="RBL551"/>
      <c r="RBM551"/>
      <c r="RBN551"/>
      <c r="RBO551"/>
      <c r="RBP551"/>
      <c r="RBQ551"/>
      <c r="RBR551"/>
      <c r="RBS551"/>
      <c r="RBT551"/>
      <c r="RBU551"/>
      <c r="RBV551"/>
      <c r="RBW551"/>
      <c r="RBX551"/>
      <c r="RBY551"/>
      <c r="RBZ551"/>
      <c r="RCA551"/>
      <c r="RCB551"/>
      <c r="RCC551"/>
      <c r="RCD551"/>
      <c r="RCE551"/>
      <c r="RCF551"/>
      <c r="RCG551"/>
      <c r="RCH551"/>
      <c r="RCI551"/>
      <c r="RCJ551"/>
      <c r="RCK551"/>
      <c r="RCL551"/>
      <c r="RCM551"/>
      <c r="RCN551"/>
      <c r="RCO551"/>
      <c r="RCP551"/>
      <c r="RCQ551"/>
      <c r="RCR551"/>
      <c r="RCS551"/>
      <c r="RCT551"/>
      <c r="RCU551"/>
      <c r="RCV551"/>
      <c r="RCW551"/>
      <c r="RCX551"/>
      <c r="RCY551"/>
      <c r="RCZ551"/>
      <c r="RDA551"/>
      <c r="RDB551"/>
      <c r="RDC551"/>
      <c r="RDD551"/>
      <c r="RDE551"/>
      <c r="RDF551"/>
      <c r="RDG551"/>
      <c r="RDH551"/>
      <c r="RDI551"/>
      <c r="RDJ551"/>
      <c r="RDK551"/>
      <c r="RDL551"/>
      <c r="RDM551"/>
      <c r="RDN551"/>
      <c r="RDO551"/>
      <c r="RDP551"/>
      <c r="RDQ551"/>
      <c r="RDR551"/>
      <c r="RDS551"/>
      <c r="RDT551"/>
      <c r="RDU551"/>
      <c r="RDV551"/>
      <c r="RDW551"/>
      <c r="RDX551"/>
      <c r="RDY551"/>
      <c r="RDZ551"/>
      <c r="REA551"/>
      <c r="REB551"/>
      <c r="REC551"/>
      <c r="RED551"/>
      <c r="REE551"/>
      <c r="REF551"/>
      <c r="REG551"/>
      <c r="REH551"/>
      <c r="REI551"/>
      <c r="REJ551"/>
      <c r="REK551"/>
      <c r="REL551"/>
      <c r="REM551"/>
      <c r="REN551"/>
      <c r="REO551"/>
      <c r="REP551"/>
      <c r="REQ551"/>
      <c r="RER551"/>
      <c r="RES551"/>
      <c r="RET551"/>
      <c r="REU551"/>
      <c r="REV551"/>
      <c r="REW551"/>
      <c r="REX551"/>
      <c r="REY551"/>
      <c r="REZ551"/>
      <c r="RFA551"/>
      <c r="RFB551"/>
      <c r="RFC551"/>
      <c r="RFD551"/>
      <c r="RFE551"/>
      <c r="RFF551"/>
      <c r="RFG551"/>
      <c r="RFH551"/>
      <c r="RFI551"/>
      <c r="RFJ551"/>
      <c r="RFK551"/>
      <c r="RFL551"/>
      <c r="RFM551"/>
      <c r="RFN551"/>
      <c r="RFO551"/>
      <c r="RFP551"/>
      <c r="RFQ551"/>
      <c r="RFR551"/>
      <c r="RFS551"/>
      <c r="RFT551"/>
      <c r="RFU551"/>
      <c r="RFV551"/>
      <c r="RFW551"/>
      <c r="RFX551"/>
      <c r="RFY551"/>
      <c r="RFZ551"/>
      <c r="RGA551"/>
      <c r="RGB551"/>
      <c r="RGC551"/>
      <c r="RGD551"/>
      <c r="RGE551"/>
      <c r="RGF551"/>
      <c r="RGG551"/>
      <c r="RGH551"/>
      <c r="RGI551"/>
      <c r="RGJ551"/>
      <c r="RGK551"/>
      <c r="RGL551"/>
      <c r="RGM551"/>
      <c r="RGN551"/>
      <c r="RGO551"/>
      <c r="RGP551"/>
      <c r="RGQ551"/>
      <c r="RGR551"/>
      <c r="RGS551"/>
      <c r="RGT551"/>
      <c r="RGU551"/>
      <c r="RGV551"/>
      <c r="RGW551"/>
      <c r="RGX551"/>
      <c r="RGY551"/>
      <c r="RGZ551"/>
      <c r="RHA551"/>
      <c r="RHB551"/>
      <c r="RHC551"/>
      <c r="RHD551"/>
      <c r="RHE551"/>
      <c r="RHF551"/>
      <c r="RHG551"/>
      <c r="RHH551"/>
      <c r="RHI551"/>
      <c r="RHJ551"/>
      <c r="RHK551"/>
      <c r="RHL551"/>
      <c r="RHM551"/>
      <c r="RHN551"/>
      <c r="RHO551"/>
      <c r="RHP551"/>
      <c r="RHQ551"/>
      <c r="RHR551"/>
      <c r="RHS551"/>
      <c r="RHT551"/>
      <c r="RHU551"/>
      <c r="RHV551"/>
      <c r="RHW551"/>
      <c r="RHX551"/>
      <c r="RHY551"/>
      <c r="RHZ551"/>
      <c r="RIA551"/>
      <c r="RIB551"/>
      <c r="RIC551"/>
      <c r="RID551"/>
      <c r="RIE551"/>
      <c r="RIF551"/>
      <c r="RIG551"/>
      <c r="RIH551"/>
      <c r="RII551"/>
      <c r="RIJ551"/>
      <c r="RIK551"/>
      <c r="RIL551"/>
      <c r="RIM551"/>
      <c r="RIN551"/>
      <c r="RIO551"/>
      <c r="RIP551"/>
      <c r="RIQ551"/>
      <c r="RIR551"/>
      <c r="RIS551"/>
      <c r="RIT551"/>
      <c r="RIU551"/>
      <c r="RIV551"/>
      <c r="RIW551"/>
      <c r="RIX551"/>
      <c r="RIY551"/>
      <c r="RIZ551"/>
      <c r="RJA551"/>
      <c r="RJB551"/>
      <c r="RJC551"/>
      <c r="RJD551"/>
      <c r="RJE551"/>
      <c r="RJF551"/>
      <c r="RJG551"/>
      <c r="RJH551"/>
      <c r="RJI551"/>
      <c r="RJJ551"/>
      <c r="RJK551"/>
      <c r="RJL551"/>
      <c r="RJM551"/>
      <c r="RJN551"/>
      <c r="RJO551"/>
      <c r="RJP551"/>
      <c r="RJQ551"/>
      <c r="RJR551"/>
      <c r="RJS551"/>
      <c r="RJT551"/>
      <c r="RJU551"/>
      <c r="RJV551"/>
      <c r="RJW551"/>
      <c r="RJX551"/>
      <c r="RJY551"/>
      <c r="RJZ551"/>
      <c r="RKA551"/>
      <c r="RKB551"/>
      <c r="RKC551"/>
      <c r="RKD551"/>
      <c r="RKE551"/>
      <c r="RKF551"/>
      <c r="RKG551"/>
      <c r="RKH551"/>
      <c r="RKI551"/>
      <c r="RKJ551"/>
      <c r="RKK551"/>
      <c r="RKL551"/>
      <c r="RKM551"/>
      <c r="RKN551"/>
      <c r="RKO551"/>
      <c r="RKP551"/>
      <c r="RKQ551"/>
      <c r="RKR551"/>
      <c r="RKS551"/>
      <c r="RKT551"/>
      <c r="RKU551"/>
      <c r="RKV551"/>
      <c r="RKW551"/>
      <c r="RKX551"/>
      <c r="RKY551"/>
      <c r="RKZ551"/>
      <c r="RLA551"/>
      <c r="RLB551"/>
      <c r="RLC551"/>
      <c r="RLD551"/>
      <c r="RLE551"/>
      <c r="RLF551"/>
      <c r="RLG551"/>
      <c r="RLH551"/>
      <c r="RLI551"/>
      <c r="RLJ551"/>
      <c r="RLK551"/>
      <c r="RLL551"/>
      <c r="RLM551"/>
      <c r="RLN551"/>
      <c r="RLO551"/>
      <c r="RLP551"/>
      <c r="RLQ551"/>
      <c r="RLR551"/>
      <c r="RLS551"/>
      <c r="RLT551"/>
      <c r="RLU551"/>
      <c r="RLV551"/>
      <c r="RLW551"/>
      <c r="RLX551"/>
      <c r="RLY551"/>
      <c r="RLZ551"/>
      <c r="RMA551"/>
      <c r="RMB551"/>
      <c r="RMC551"/>
      <c r="RMD551"/>
      <c r="RME551"/>
      <c r="RMF551"/>
      <c r="RMG551"/>
      <c r="RMH551"/>
      <c r="RMI551"/>
      <c r="RMJ551"/>
      <c r="RMK551"/>
      <c r="RML551"/>
      <c r="RMM551"/>
      <c r="RMN551"/>
      <c r="RMO551"/>
      <c r="RMP551"/>
      <c r="RMQ551"/>
      <c r="RMR551"/>
      <c r="RMS551"/>
      <c r="RMT551"/>
      <c r="RMU551"/>
      <c r="RMV551"/>
      <c r="RMW551"/>
      <c r="RMX551"/>
      <c r="RMY551"/>
      <c r="RMZ551"/>
      <c r="RNA551"/>
      <c r="RNB551"/>
      <c r="RNC551"/>
      <c r="RND551"/>
      <c r="RNE551"/>
      <c r="RNF551"/>
      <c r="RNG551"/>
      <c r="RNH551"/>
      <c r="RNI551"/>
      <c r="RNJ551"/>
      <c r="RNK551"/>
      <c r="RNL551"/>
      <c r="RNM551"/>
      <c r="RNN551"/>
      <c r="RNO551"/>
      <c r="RNP551"/>
      <c r="RNQ551"/>
      <c r="RNR551"/>
      <c r="RNS551"/>
      <c r="RNT551"/>
      <c r="RNU551"/>
      <c r="RNV551"/>
      <c r="RNW551"/>
      <c r="RNX551"/>
      <c r="RNY551"/>
      <c r="RNZ551"/>
      <c r="ROA551"/>
      <c r="ROB551"/>
      <c r="ROC551"/>
      <c r="ROD551"/>
      <c r="ROE551"/>
      <c r="ROF551"/>
      <c r="ROG551"/>
      <c r="ROH551"/>
      <c r="ROI551"/>
      <c r="ROJ551"/>
      <c r="ROK551"/>
      <c r="ROL551"/>
      <c r="ROM551"/>
      <c r="RON551"/>
      <c r="ROO551"/>
      <c r="ROP551"/>
      <c r="ROQ551"/>
      <c r="ROR551"/>
      <c r="ROS551"/>
      <c r="ROT551"/>
      <c r="ROU551"/>
      <c r="ROV551"/>
      <c r="ROW551"/>
      <c r="ROX551"/>
      <c r="ROY551"/>
      <c r="ROZ551"/>
      <c r="RPA551"/>
      <c r="RPB551"/>
      <c r="RPC551"/>
      <c r="RPD551"/>
      <c r="RPE551"/>
      <c r="RPF551"/>
      <c r="RPG551"/>
      <c r="RPH551"/>
      <c r="RPI551"/>
      <c r="RPJ551"/>
      <c r="RPK551"/>
      <c r="RPL551"/>
      <c r="RPM551"/>
      <c r="RPN551"/>
      <c r="RPO551"/>
      <c r="RPP551"/>
      <c r="RPQ551"/>
      <c r="RPR551"/>
      <c r="RPS551"/>
      <c r="RPT551"/>
      <c r="RPU551"/>
      <c r="RPV551"/>
      <c r="RPW551"/>
      <c r="RPX551"/>
      <c r="RPY551"/>
      <c r="RPZ551"/>
      <c r="RQA551"/>
      <c r="RQB551"/>
      <c r="RQC551"/>
      <c r="RQD551"/>
      <c r="RQE551"/>
      <c r="RQF551"/>
      <c r="RQG551"/>
      <c r="RQH551"/>
      <c r="RQI551"/>
      <c r="RQJ551"/>
      <c r="RQK551"/>
      <c r="RQL551"/>
      <c r="RQM551"/>
      <c r="RQN551"/>
      <c r="RQO551"/>
      <c r="RQP551"/>
      <c r="RQQ551"/>
      <c r="RQR551"/>
      <c r="RQS551"/>
      <c r="RQT551"/>
      <c r="RQU551"/>
      <c r="RQV551"/>
      <c r="RQW551"/>
      <c r="RQX551"/>
      <c r="RQY551"/>
      <c r="RQZ551"/>
      <c r="RRA551"/>
      <c r="RRB551"/>
      <c r="RRC551"/>
      <c r="RRD551"/>
      <c r="RRE551"/>
      <c r="RRF551"/>
      <c r="RRG551"/>
      <c r="RRH551"/>
      <c r="RRI551"/>
      <c r="RRJ551"/>
      <c r="RRK551"/>
      <c r="RRL551"/>
      <c r="RRM551"/>
      <c r="RRN551"/>
      <c r="RRO551"/>
      <c r="RRP551"/>
      <c r="RRQ551"/>
      <c r="RRR551"/>
      <c r="RRS551"/>
      <c r="RRT551"/>
      <c r="RRU551"/>
      <c r="RRV551"/>
      <c r="RRW551"/>
      <c r="RRX551"/>
      <c r="RRY551"/>
      <c r="RRZ551"/>
      <c r="RSA551"/>
      <c r="RSB551"/>
      <c r="RSC551"/>
      <c r="RSD551"/>
      <c r="RSE551"/>
      <c r="RSF551"/>
      <c r="RSG551"/>
      <c r="RSH551"/>
      <c r="RSI551"/>
      <c r="RSJ551"/>
      <c r="RSK551"/>
      <c r="RSL551"/>
      <c r="RSM551"/>
      <c r="RSN551"/>
      <c r="RSO551"/>
      <c r="RSP551"/>
      <c r="RSQ551"/>
      <c r="RSR551"/>
      <c r="RSS551"/>
      <c r="RST551"/>
      <c r="RSU551"/>
      <c r="RSV551"/>
      <c r="RSW551"/>
      <c r="RSX551"/>
      <c r="RSY551"/>
      <c r="RSZ551"/>
      <c r="RTA551"/>
      <c r="RTB551"/>
      <c r="RTC551"/>
      <c r="RTD551"/>
      <c r="RTE551"/>
      <c r="RTF551"/>
      <c r="RTG551"/>
      <c r="RTH551"/>
      <c r="RTI551"/>
      <c r="RTJ551"/>
      <c r="RTK551"/>
      <c r="RTL551"/>
      <c r="RTM551"/>
      <c r="RTN551"/>
      <c r="RTO551"/>
      <c r="RTP551"/>
      <c r="RTQ551"/>
      <c r="RTR551"/>
      <c r="RTS551"/>
      <c r="RTT551"/>
      <c r="RTU551"/>
      <c r="RTV551"/>
      <c r="RTW551"/>
      <c r="RTX551"/>
      <c r="RTY551"/>
      <c r="RTZ551"/>
      <c r="RUA551"/>
      <c r="RUB551"/>
      <c r="RUC551"/>
      <c r="RUD551"/>
      <c r="RUE551"/>
      <c r="RUF551"/>
      <c r="RUG551"/>
      <c r="RUH551"/>
      <c r="RUI551"/>
      <c r="RUJ551"/>
      <c r="RUK551"/>
      <c r="RUL551"/>
      <c r="RUM551"/>
      <c r="RUN551"/>
      <c r="RUO551"/>
      <c r="RUP551"/>
      <c r="RUQ551"/>
      <c r="RUR551"/>
      <c r="RUS551"/>
      <c r="RUT551"/>
      <c r="RUU551"/>
      <c r="RUV551"/>
      <c r="RUW551"/>
      <c r="RUX551"/>
      <c r="RUY551"/>
      <c r="RUZ551"/>
      <c r="RVA551"/>
      <c r="RVB551"/>
      <c r="RVC551"/>
      <c r="RVD551"/>
      <c r="RVE551"/>
      <c r="RVF551"/>
      <c r="RVG551"/>
      <c r="RVH551"/>
      <c r="RVI551"/>
      <c r="RVJ551"/>
      <c r="RVK551"/>
      <c r="RVL551"/>
      <c r="RVM551"/>
      <c r="RVN551"/>
      <c r="RVO551"/>
      <c r="RVP551"/>
      <c r="RVQ551"/>
      <c r="RVR551"/>
      <c r="RVS551"/>
      <c r="RVT551"/>
      <c r="RVU551"/>
      <c r="RVV551"/>
      <c r="RVW551"/>
      <c r="RVX551"/>
      <c r="RVY551"/>
      <c r="RVZ551"/>
      <c r="RWA551"/>
      <c r="RWB551"/>
      <c r="RWC551"/>
      <c r="RWD551"/>
      <c r="RWE551"/>
      <c r="RWF551"/>
      <c r="RWG551"/>
      <c r="RWH551"/>
      <c r="RWI551"/>
      <c r="RWJ551"/>
      <c r="RWK551"/>
      <c r="RWL551"/>
      <c r="RWM551"/>
      <c r="RWN551"/>
      <c r="RWO551"/>
      <c r="RWP551"/>
      <c r="RWQ551"/>
      <c r="RWR551"/>
      <c r="RWS551"/>
      <c r="RWT551"/>
      <c r="RWU551"/>
      <c r="RWV551"/>
      <c r="RWW551"/>
      <c r="RWX551"/>
      <c r="RWY551"/>
      <c r="RWZ551"/>
      <c r="RXA551"/>
      <c r="RXB551"/>
      <c r="RXC551"/>
      <c r="RXD551"/>
      <c r="RXE551"/>
      <c r="RXF551"/>
      <c r="RXG551"/>
      <c r="RXH551"/>
      <c r="RXI551"/>
      <c r="RXJ551"/>
      <c r="RXK551"/>
      <c r="RXL551"/>
      <c r="RXM551"/>
      <c r="RXN551"/>
      <c r="RXO551"/>
      <c r="RXP551"/>
      <c r="RXQ551"/>
      <c r="RXR551"/>
      <c r="RXS551"/>
      <c r="RXT551"/>
      <c r="RXU551"/>
      <c r="RXV551"/>
      <c r="RXW551"/>
      <c r="RXX551"/>
      <c r="RXY551"/>
      <c r="RXZ551"/>
      <c r="RYA551"/>
      <c r="RYB551"/>
      <c r="RYC551"/>
      <c r="RYD551"/>
      <c r="RYE551"/>
      <c r="RYF551"/>
      <c r="RYG551"/>
      <c r="RYH551"/>
      <c r="RYI551"/>
      <c r="RYJ551"/>
      <c r="RYK551"/>
      <c r="RYL551"/>
      <c r="RYM551"/>
      <c r="RYN551"/>
      <c r="RYO551"/>
      <c r="RYP551"/>
      <c r="RYQ551"/>
      <c r="RYR551"/>
      <c r="RYS551"/>
      <c r="RYT551"/>
      <c r="RYU551"/>
      <c r="RYV551"/>
      <c r="RYW551"/>
      <c r="RYX551"/>
      <c r="RYY551"/>
      <c r="RYZ551"/>
      <c r="RZA551"/>
      <c r="RZB551"/>
      <c r="RZC551"/>
      <c r="RZD551"/>
      <c r="RZE551"/>
      <c r="RZF551"/>
      <c r="RZG551"/>
      <c r="RZH551"/>
      <c r="RZI551"/>
      <c r="RZJ551"/>
      <c r="RZK551"/>
      <c r="RZL551"/>
      <c r="RZM551"/>
      <c r="RZN551"/>
      <c r="RZO551"/>
      <c r="RZP551"/>
      <c r="RZQ551"/>
      <c r="RZR551"/>
      <c r="RZS551"/>
      <c r="RZT551"/>
      <c r="RZU551"/>
      <c r="RZV551"/>
      <c r="RZW551"/>
      <c r="RZX551"/>
      <c r="RZY551"/>
      <c r="RZZ551"/>
      <c r="SAA551"/>
      <c r="SAB551"/>
      <c r="SAC551"/>
      <c r="SAD551"/>
      <c r="SAE551"/>
      <c r="SAF551"/>
      <c r="SAG551"/>
      <c r="SAH551"/>
      <c r="SAI551"/>
      <c r="SAJ551"/>
      <c r="SAK551"/>
      <c r="SAL551"/>
      <c r="SAM551"/>
      <c r="SAN551"/>
      <c r="SAO551"/>
      <c r="SAP551"/>
      <c r="SAQ551"/>
      <c r="SAR551"/>
      <c r="SAS551"/>
      <c r="SAT551"/>
      <c r="SAU551"/>
      <c r="SAV551"/>
      <c r="SAW551"/>
      <c r="SAX551"/>
      <c r="SAY551"/>
      <c r="SAZ551"/>
      <c r="SBA551"/>
      <c r="SBB551"/>
      <c r="SBC551"/>
      <c r="SBD551"/>
      <c r="SBE551"/>
      <c r="SBF551"/>
      <c r="SBG551"/>
      <c r="SBH551"/>
      <c r="SBI551"/>
      <c r="SBJ551"/>
      <c r="SBK551"/>
      <c r="SBL551"/>
      <c r="SBM551"/>
      <c r="SBN551"/>
      <c r="SBO551"/>
      <c r="SBP551"/>
      <c r="SBQ551"/>
      <c r="SBR551"/>
      <c r="SBS551"/>
      <c r="SBT551"/>
      <c r="SBU551"/>
      <c r="SBV551"/>
      <c r="SBW551"/>
      <c r="SBX551"/>
      <c r="SBY551"/>
      <c r="SBZ551"/>
      <c r="SCA551"/>
      <c r="SCB551"/>
      <c r="SCC551"/>
      <c r="SCD551"/>
      <c r="SCE551"/>
      <c r="SCF551"/>
      <c r="SCG551"/>
      <c r="SCH551"/>
      <c r="SCI551"/>
      <c r="SCJ551"/>
      <c r="SCK551"/>
      <c r="SCL551"/>
      <c r="SCM551"/>
      <c r="SCN551"/>
      <c r="SCO551"/>
      <c r="SCP551"/>
      <c r="SCQ551"/>
      <c r="SCR551"/>
      <c r="SCS551"/>
      <c r="SCT551"/>
      <c r="SCU551"/>
      <c r="SCV551"/>
      <c r="SCW551"/>
      <c r="SCX551"/>
      <c r="SCY551"/>
      <c r="SCZ551"/>
      <c r="SDA551"/>
      <c r="SDB551"/>
      <c r="SDC551"/>
      <c r="SDD551"/>
      <c r="SDE551"/>
      <c r="SDF551"/>
      <c r="SDG551"/>
      <c r="SDH551"/>
      <c r="SDI551"/>
      <c r="SDJ551"/>
      <c r="SDK551"/>
      <c r="SDL551"/>
      <c r="SDM551"/>
      <c r="SDN551"/>
      <c r="SDO551"/>
      <c r="SDP551"/>
      <c r="SDQ551"/>
      <c r="SDR551"/>
      <c r="SDS551"/>
      <c r="SDT551"/>
      <c r="SDU551"/>
      <c r="SDV551"/>
      <c r="SDW551"/>
      <c r="SDX551"/>
      <c r="SDY551"/>
      <c r="SDZ551"/>
      <c r="SEA551"/>
      <c r="SEB551"/>
      <c r="SEC551"/>
      <c r="SED551"/>
      <c r="SEE551"/>
      <c r="SEF551"/>
      <c r="SEG551"/>
      <c r="SEH551"/>
      <c r="SEI551"/>
      <c r="SEJ551"/>
      <c r="SEK551"/>
      <c r="SEL551"/>
      <c r="SEM551"/>
      <c r="SEN551"/>
      <c r="SEO551"/>
      <c r="SEP551"/>
      <c r="SEQ551"/>
      <c r="SER551"/>
      <c r="SES551"/>
      <c r="SET551"/>
      <c r="SEU551"/>
      <c r="SEV551"/>
      <c r="SEW551"/>
      <c r="SEX551"/>
      <c r="SEY551"/>
      <c r="SEZ551"/>
      <c r="SFA551"/>
      <c r="SFB551"/>
      <c r="SFC551"/>
      <c r="SFD551"/>
      <c r="SFE551"/>
      <c r="SFF551"/>
      <c r="SFG551"/>
      <c r="SFH551"/>
      <c r="SFI551"/>
      <c r="SFJ551"/>
      <c r="SFK551"/>
      <c r="SFL551"/>
      <c r="SFM551"/>
      <c r="SFN551"/>
      <c r="SFO551"/>
      <c r="SFP551"/>
      <c r="SFQ551"/>
      <c r="SFR551"/>
      <c r="SFS551"/>
      <c r="SFT551"/>
      <c r="SFU551"/>
      <c r="SFV551"/>
      <c r="SFW551"/>
      <c r="SFX551"/>
      <c r="SFY551"/>
      <c r="SFZ551"/>
      <c r="SGA551"/>
      <c r="SGB551"/>
      <c r="SGC551"/>
      <c r="SGD551"/>
      <c r="SGE551"/>
      <c r="SGF551"/>
      <c r="SGG551"/>
      <c r="SGH551"/>
      <c r="SGI551"/>
      <c r="SGJ551"/>
      <c r="SGK551"/>
      <c r="SGL551"/>
      <c r="SGM551"/>
      <c r="SGN551"/>
      <c r="SGO551"/>
      <c r="SGP551"/>
      <c r="SGQ551"/>
      <c r="SGR551"/>
      <c r="SGS551"/>
      <c r="SGT551"/>
      <c r="SGU551"/>
      <c r="SGV551"/>
      <c r="SGW551"/>
      <c r="SGX551"/>
      <c r="SGY551"/>
      <c r="SGZ551"/>
      <c r="SHA551"/>
      <c r="SHB551"/>
      <c r="SHC551"/>
      <c r="SHD551"/>
      <c r="SHE551"/>
      <c r="SHF551"/>
      <c r="SHG551"/>
      <c r="SHH551"/>
      <c r="SHI551"/>
      <c r="SHJ551"/>
      <c r="SHK551"/>
      <c r="SHL551"/>
      <c r="SHM551"/>
      <c r="SHN551"/>
      <c r="SHO551"/>
      <c r="SHP551"/>
      <c r="SHQ551"/>
      <c r="SHR551"/>
      <c r="SHS551"/>
      <c r="SHT551"/>
      <c r="SHU551"/>
      <c r="SHV551"/>
      <c r="SHW551"/>
      <c r="SHX551"/>
      <c r="SHY551"/>
      <c r="SHZ551"/>
      <c r="SIA551"/>
      <c r="SIB551"/>
      <c r="SIC551"/>
      <c r="SID551"/>
      <c r="SIE551"/>
      <c r="SIF551"/>
      <c r="SIG551"/>
      <c r="SIH551"/>
      <c r="SII551"/>
      <c r="SIJ551"/>
      <c r="SIK551"/>
      <c r="SIL551"/>
      <c r="SIM551"/>
      <c r="SIN551"/>
      <c r="SIO551"/>
      <c r="SIP551"/>
      <c r="SIQ551"/>
      <c r="SIR551"/>
      <c r="SIS551"/>
      <c r="SIT551"/>
      <c r="SIU551"/>
      <c r="SIV551"/>
      <c r="SIW551"/>
      <c r="SIX551"/>
      <c r="SIY551"/>
      <c r="SIZ551"/>
      <c r="SJA551"/>
      <c r="SJB551"/>
      <c r="SJC551"/>
      <c r="SJD551"/>
      <c r="SJE551"/>
      <c r="SJF551"/>
      <c r="SJG551"/>
      <c r="SJH551"/>
      <c r="SJI551"/>
      <c r="SJJ551"/>
      <c r="SJK551"/>
      <c r="SJL551"/>
      <c r="SJM551"/>
      <c r="SJN551"/>
      <c r="SJO551"/>
      <c r="SJP551"/>
      <c r="SJQ551"/>
      <c r="SJR551"/>
      <c r="SJS551"/>
      <c r="SJT551"/>
      <c r="SJU551"/>
      <c r="SJV551"/>
      <c r="SJW551"/>
      <c r="SJX551"/>
      <c r="SJY551"/>
      <c r="SJZ551"/>
      <c r="SKA551"/>
      <c r="SKB551"/>
      <c r="SKC551"/>
      <c r="SKD551"/>
      <c r="SKE551"/>
      <c r="SKF551"/>
      <c r="SKG551"/>
      <c r="SKH551"/>
      <c r="SKI551"/>
      <c r="SKJ551"/>
      <c r="SKK551"/>
      <c r="SKL551"/>
      <c r="SKM551"/>
      <c r="SKN551"/>
      <c r="SKO551"/>
      <c r="SKP551"/>
      <c r="SKQ551"/>
      <c r="SKR551"/>
      <c r="SKS551"/>
      <c r="SKT551"/>
      <c r="SKU551"/>
      <c r="SKV551"/>
      <c r="SKW551"/>
      <c r="SKX551"/>
      <c r="SKY551"/>
      <c r="SKZ551"/>
      <c r="SLA551"/>
      <c r="SLB551"/>
      <c r="SLC551"/>
      <c r="SLD551"/>
      <c r="SLE551"/>
      <c r="SLF551"/>
      <c r="SLG551"/>
      <c r="SLH551"/>
      <c r="SLI551"/>
      <c r="SLJ551"/>
      <c r="SLK551"/>
      <c r="SLL551"/>
      <c r="SLM551"/>
      <c r="SLN551"/>
      <c r="SLO551"/>
      <c r="SLP551"/>
      <c r="SLQ551"/>
      <c r="SLR551"/>
      <c r="SLS551"/>
      <c r="SLT551"/>
      <c r="SLU551"/>
      <c r="SLV551"/>
      <c r="SLW551"/>
      <c r="SLX551"/>
      <c r="SLY551"/>
      <c r="SLZ551"/>
      <c r="SMA551"/>
      <c r="SMB551"/>
      <c r="SMC551"/>
      <c r="SMD551"/>
      <c r="SME551"/>
      <c r="SMF551"/>
      <c r="SMG551"/>
      <c r="SMH551"/>
      <c r="SMI551"/>
      <c r="SMJ551"/>
      <c r="SMK551"/>
      <c r="SML551"/>
      <c r="SMM551"/>
      <c r="SMN551"/>
      <c r="SMO551"/>
      <c r="SMP551"/>
      <c r="SMQ551"/>
      <c r="SMR551"/>
      <c r="SMS551"/>
      <c r="SMT551"/>
      <c r="SMU551"/>
      <c r="SMV551"/>
      <c r="SMW551"/>
      <c r="SMX551"/>
      <c r="SMY551"/>
      <c r="SMZ551"/>
      <c r="SNA551"/>
      <c r="SNB551"/>
      <c r="SNC551"/>
      <c r="SND551"/>
      <c r="SNE551"/>
      <c r="SNF551"/>
      <c r="SNG551"/>
      <c r="SNH551"/>
      <c r="SNI551"/>
      <c r="SNJ551"/>
      <c r="SNK551"/>
      <c r="SNL551"/>
      <c r="SNM551"/>
      <c r="SNN551"/>
      <c r="SNO551"/>
      <c r="SNP551"/>
      <c r="SNQ551"/>
      <c r="SNR551"/>
      <c r="SNS551"/>
      <c r="SNT551"/>
      <c r="SNU551"/>
      <c r="SNV551"/>
      <c r="SNW551"/>
      <c r="SNX551"/>
      <c r="SNY551"/>
      <c r="SNZ551"/>
      <c r="SOA551"/>
      <c r="SOB551"/>
      <c r="SOC551"/>
      <c r="SOD551"/>
      <c r="SOE551"/>
      <c r="SOF551"/>
      <c r="SOG551"/>
      <c r="SOH551"/>
      <c r="SOI551"/>
      <c r="SOJ551"/>
      <c r="SOK551"/>
      <c r="SOL551"/>
      <c r="SOM551"/>
      <c r="SON551"/>
      <c r="SOO551"/>
      <c r="SOP551"/>
      <c r="SOQ551"/>
      <c r="SOR551"/>
      <c r="SOS551"/>
      <c r="SOT551"/>
      <c r="SOU551"/>
      <c r="SOV551"/>
      <c r="SOW551"/>
      <c r="SOX551"/>
      <c r="SOY551"/>
      <c r="SOZ551"/>
      <c r="SPA551"/>
      <c r="SPB551"/>
      <c r="SPC551"/>
      <c r="SPD551"/>
      <c r="SPE551"/>
      <c r="SPF551"/>
      <c r="SPG551"/>
      <c r="SPH551"/>
      <c r="SPI551"/>
      <c r="SPJ551"/>
      <c r="SPK551"/>
      <c r="SPL551"/>
      <c r="SPM551"/>
      <c r="SPN551"/>
      <c r="SPO551"/>
      <c r="SPP551"/>
      <c r="SPQ551"/>
      <c r="SPR551"/>
      <c r="SPS551"/>
      <c r="SPT551"/>
      <c r="SPU551"/>
      <c r="SPV551"/>
      <c r="SPW551"/>
      <c r="SPX551"/>
      <c r="SPY551"/>
      <c r="SPZ551"/>
      <c r="SQA551"/>
      <c r="SQB551"/>
      <c r="SQC551"/>
      <c r="SQD551"/>
      <c r="SQE551"/>
      <c r="SQF551"/>
      <c r="SQG551"/>
      <c r="SQH551"/>
      <c r="SQI551"/>
      <c r="SQJ551"/>
      <c r="SQK551"/>
      <c r="SQL551"/>
      <c r="SQM551"/>
      <c r="SQN551"/>
      <c r="SQO551"/>
      <c r="SQP551"/>
      <c r="SQQ551"/>
      <c r="SQR551"/>
      <c r="SQS551"/>
      <c r="SQT551"/>
      <c r="SQU551"/>
      <c r="SQV551"/>
      <c r="SQW551"/>
      <c r="SQX551"/>
      <c r="SQY551"/>
      <c r="SQZ551"/>
      <c r="SRA551"/>
      <c r="SRB551"/>
      <c r="SRC551"/>
      <c r="SRD551"/>
      <c r="SRE551"/>
      <c r="SRF551"/>
      <c r="SRG551"/>
      <c r="SRH551"/>
      <c r="SRI551"/>
      <c r="SRJ551"/>
      <c r="SRK551"/>
      <c r="SRL551"/>
      <c r="SRM551"/>
      <c r="SRN551"/>
      <c r="SRO551"/>
      <c r="SRP551"/>
      <c r="SRQ551"/>
      <c r="SRR551"/>
      <c r="SRS551"/>
      <c r="SRT551"/>
      <c r="SRU551"/>
      <c r="SRV551"/>
      <c r="SRW551"/>
      <c r="SRX551"/>
      <c r="SRY551"/>
      <c r="SRZ551"/>
      <c r="SSA551"/>
      <c r="SSB551"/>
      <c r="SSC551"/>
      <c r="SSD551"/>
      <c r="SSE551"/>
      <c r="SSF551"/>
      <c r="SSG551"/>
      <c r="SSH551"/>
      <c r="SSI551"/>
      <c r="SSJ551"/>
      <c r="SSK551"/>
      <c r="SSL551"/>
      <c r="SSM551"/>
      <c r="SSN551"/>
      <c r="SSO551"/>
      <c r="SSP551"/>
      <c r="SSQ551"/>
      <c r="SSR551"/>
      <c r="SSS551"/>
      <c r="SST551"/>
      <c r="SSU551"/>
      <c r="SSV551"/>
      <c r="SSW551"/>
      <c r="SSX551"/>
      <c r="SSY551"/>
      <c r="SSZ551"/>
      <c r="STA551"/>
      <c r="STB551"/>
      <c r="STC551"/>
      <c r="STD551"/>
      <c r="STE551"/>
      <c r="STF551"/>
      <c r="STG551"/>
      <c r="STH551"/>
      <c r="STI551"/>
      <c r="STJ551"/>
      <c r="STK551"/>
      <c r="STL551"/>
      <c r="STM551"/>
      <c r="STN551"/>
      <c r="STO551"/>
      <c r="STP551"/>
      <c r="STQ551"/>
      <c r="STR551"/>
      <c r="STS551"/>
      <c r="STT551"/>
      <c r="STU551"/>
      <c r="STV551"/>
      <c r="STW551"/>
      <c r="STX551"/>
      <c r="STY551"/>
      <c r="STZ551"/>
      <c r="SUA551"/>
      <c r="SUB551"/>
      <c r="SUC551"/>
      <c r="SUD551"/>
      <c r="SUE551"/>
      <c r="SUF551"/>
      <c r="SUG551"/>
      <c r="SUH551"/>
      <c r="SUI551"/>
      <c r="SUJ551"/>
      <c r="SUK551"/>
      <c r="SUL551"/>
      <c r="SUM551"/>
      <c r="SUN551"/>
      <c r="SUO551"/>
      <c r="SUP551"/>
      <c r="SUQ551"/>
      <c r="SUR551"/>
      <c r="SUS551"/>
      <c r="SUT551"/>
      <c r="SUU551"/>
      <c r="SUV551"/>
      <c r="SUW551"/>
      <c r="SUX551"/>
      <c r="SUY551"/>
      <c r="SUZ551"/>
      <c r="SVA551"/>
      <c r="SVB551"/>
      <c r="SVC551"/>
      <c r="SVD551"/>
      <c r="SVE551"/>
      <c r="SVF551"/>
      <c r="SVG551"/>
      <c r="SVH551"/>
      <c r="SVI551"/>
      <c r="SVJ551"/>
      <c r="SVK551"/>
      <c r="SVL551"/>
      <c r="SVM551"/>
      <c r="SVN551"/>
      <c r="SVO551"/>
      <c r="SVP551"/>
      <c r="SVQ551"/>
      <c r="SVR551"/>
      <c r="SVS551"/>
      <c r="SVT551"/>
      <c r="SVU551"/>
      <c r="SVV551"/>
      <c r="SVW551"/>
      <c r="SVX551"/>
      <c r="SVY551"/>
      <c r="SVZ551"/>
      <c r="SWA551"/>
      <c r="SWB551"/>
      <c r="SWC551"/>
      <c r="SWD551"/>
      <c r="SWE551"/>
      <c r="SWF551"/>
      <c r="SWG551"/>
      <c r="SWH551"/>
      <c r="SWI551"/>
      <c r="SWJ551"/>
      <c r="SWK551"/>
      <c r="SWL551"/>
      <c r="SWM551"/>
      <c r="SWN551"/>
      <c r="SWO551"/>
      <c r="SWP551"/>
      <c r="SWQ551"/>
      <c r="SWR551"/>
      <c r="SWS551"/>
      <c r="SWT551"/>
      <c r="SWU551"/>
      <c r="SWV551"/>
      <c r="SWW551"/>
      <c r="SWX551"/>
      <c r="SWY551"/>
      <c r="SWZ551"/>
      <c r="SXA551"/>
      <c r="SXB551"/>
      <c r="SXC551"/>
      <c r="SXD551"/>
      <c r="SXE551"/>
      <c r="SXF551"/>
      <c r="SXG551"/>
      <c r="SXH551"/>
      <c r="SXI551"/>
      <c r="SXJ551"/>
      <c r="SXK551"/>
      <c r="SXL551"/>
      <c r="SXM551"/>
      <c r="SXN551"/>
      <c r="SXO551"/>
      <c r="SXP551"/>
      <c r="SXQ551"/>
      <c r="SXR551"/>
      <c r="SXS551"/>
      <c r="SXT551"/>
      <c r="SXU551"/>
      <c r="SXV551"/>
      <c r="SXW551"/>
      <c r="SXX551"/>
      <c r="SXY551"/>
      <c r="SXZ551"/>
      <c r="SYA551"/>
      <c r="SYB551"/>
      <c r="SYC551"/>
      <c r="SYD551"/>
      <c r="SYE551"/>
      <c r="SYF551"/>
      <c r="SYG551"/>
      <c r="SYH551"/>
      <c r="SYI551"/>
      <c r="SYJ551"/>
      <c r="SYK551"/>
      <c r="SYL551"/>
      <c r="SYM551"/>
      <c r="SYN551"/>
      <c r="SYO551"/>
      <c r="SYP551"/>
      <c r="SYQ551"/>
      <c r="SYR551"/>
      <c r="SYS551"/>
      <c r="SYT551"/>
      <c r="SYU551"/>
      <c r="SYV551"/>
      <c r="SYW551"/>
      <c r="SYX551"/>
      <c r="SYY551"/>
      <c r="SYZ551"/>
      <c r="SZA551"/>
      <c r="SZB551"/>
      <c r="SZC551"/>
      <c r="SZD551"/>
      <c r="SZE551"/>
      <c r="SZF551"/>
      <c r="SZG551"/>
      <c r="SZH551"/>
      <c r="SZI551"/>
      <c r="SZJ551"/>
      <c r="SZK551"/>
      <c r="SZL551"/>
      <c r="SZM551"/>
      <c r="SZN551"/>
      <c r="SZO551"/>
      <c r="SZP551"/>
      <c r="SZQ551"/>
      <c r="SZR551"/>
      <c r="SZS551"/>
      <c r="SZT551"/>
      <c r="SZU551"/>
      <c r="SZV551"/>
      <c r="SZW551"/>
      <c r="SZX551"/>
      <c r="SZY551"/>
      <c r="SZZ551"/>
      <c r="TAA551"/>
      <c r="TAB551"/>
      <c r="TAC551"/>
      <c r="TAD551"/>
      <c r="TAE551"/>
      <c r="TAF551"/>
      <c r="TAG551"/>
      <c r="TAH551"/>
      <c r="TAI551"/>
      <c r="TAJ551"/>
      <c r="TAK551"/>
      <c r="TAL551"/>
      <c r="TAM551"/>
      <c r="TAN551"/>
      <c r="TAO551"/>
      <c r="TAP551"/>
      <c r="TAQ551"/>
      <c r="TAR551"/>
      <c r="TAS551"/>
      <c r="TAT551"/>
      <c r="TAU551"/>
      <c r="TAV551"/>
      <c r="TAW551"/>
      <c r="TAX551"/>
      <c r="TAY551"/>
      <c r="TAZ551"/>
      <c r="TBA551"/>
      <c r="TBB551"/>
      <c r="TBC551"/>
      <c r="TBD551"/>
      <c r="TBE551"/>
      <c r="TBF551"/>
      <c r="TBG551"/>
      <c r="TBH551"/>
      <c r="TBI551"/>
      <c r="TBJ551"/>
      <c r="TBK551"/>
      <c r="TBL551"/>
      <c r="TBM551"/>
      <c r="TBN551"/>
      <c r="TBO551"/>
      <c r="TBP551"/>
      <c r="TBQ551"/>
      <c r="TBR551"/>
      <c r="TBS551"/>
      <c r="TBT551"/>
      <c r="TBU551"/>
      <c r="TBV551"/>
      <c r="TBW551"/>
      <c r="TBX551"/>
      <c r="TBY551"/>
      <c r="TBZ551"/>
      <c r="TCA551"/>
      <c r="TCB551"/>
      <c r="TCC551"/>
      <c r="TCD551"/>
      <c r="TCE551"/>
      <c r="TCF551"/>
      <c r="TCG551"/>
      <c r="TCH551"/>
      <c r="TCI551"/>
      <c r="TCJ551"/>
      <c r="TCK551"/>
      <c r="TCL551"/>
      <c r="TCM551"/>
      <c r="TCN551"/>
      <c r="TCO551"/>
      <c r="TCP551"/>
      <c r="TCQ551"/>
      <c r="TCR551"/>
      <c r="TCS551"/>
      <c r="TCT551"/>
      <c r="TCU551"/>
      <c r="TCV551"/>
      <c r="TCW551"/>
      <c r="TCX551"/>
      <c r="TCY551"/>
      <c r="TCZ551"/>
      <c r="TDA551"/>
      <c r="TDB551"/>
      <c r="TDC551"/>
      <c r="TDD551"/>
      <c r="TDE551"/>
      <c r="TDF551"/>
      <c r="TDG551"/>
      <c r="TDH551"/>
      <c r="TDI551"/>
      <c r="TDJ551"/>
      <c r="TDK551"/>
      <c r="TDL551"/>
      <c r="TDM551"/>
      <c r="TDN551"/>
      <c r="TDO551"/>
      <c r="TDP551"/>
      <c r="TDQ551"/>
      <c r="TDR551"/>
      <c r="TDS551"/>
      <c r="TDT551"/>
      <c r="TDU551"/>
      <c r="TDV551"/>
      <c r="TDW551"/>
      <c r="TDX551"/>
      <c r="TDY551"/>
      <c r="TDZ551"/>
      <c r="TEA551"/>
      <c r="TEB551"/>
      <c r="TEC551"/>
      <c r="TED551"/>
      <c r="TEE551"/>
      <c r="TEF551"/>
      <c r="TEG551"/>
      <c r="TEH551"/>
      <c r="TEI551"/>
      <c r="TEJ551"/>
      <c r="TEK551"/>
      <c r="TEL551"/>
      <c r="TEM551"/>
      <c r="TEN551"/>
      <c r="TEO551"/>
      <c r="TEP551"/>
      <c r="TEQ551"/>
      <c r="TER551"/>
      <c r="TES551"/>
      <c r="TET551"/>
      <c r="TEU551"/>
      <c r="TEV551"/>
      <c r="TEW551"/>
      <c r="TEX551"/>
      <c r="TEY551"/>
      <c r="TEZ551"/>
      <c r="TFA551"/>
      <c r="TFB551"/>
      <c r="TFC551"/>
      <c r="TFD551"/>
      <c r="TFE551"/>
      <c r="TFF551"/>
      <c r="TFG551"/>
      <c r="TFH551"/>
      <c r="TFI551"/>
      <c r="TFJ551"/>
      <c r="TFK551"/>
      <c r="TFL551"/>
      <c r="TFM551"/>
      <c r="TFN551"/>
      <c r="TFO551"/>
      <c r="TFP551"/>
      <c r="TFQ551"/>
      <c r="TFR551"/>
      <c r="TFS551"/>
      <c r="TFT551"/>
      <c r="TFU551"/>
      <c r="TFV551"/>
      <c r="TFW551"/>
      <c r="TFX551"/>
      <c r="TFY551"/>
      <c r="TFZ551"/>
      <c r="TGA551"/>
      <c r="TGB551"/>
      <c r="TGC551"/>
      <c r="TGD551"/>
      <c r="TGE551"/>
      <c r="TGF551"/>
      <c r="TGG551"/>
      <c r="TGH551"/>
      <c r="TGI551"/>
      <c r="TGJ551"/>
      <c r="TGK551"/>
      <c r="TGL551"/>
      <c r="TGM551"/>
      <c r="TGN551"/>
      <c r="TGO551"/>
      <c r="TGP551"/>
      <c r="TGQ551"/>
      <c r="TGR551"/>
      <c r="TGS551"/>
      <c r="TGT551"/>
      <c r="TGU551"/>
      <c r="TGV551"/>
      <c r="TGW551"/>
      <c r="TGX551"/>
      <c r="TGY551"/>
      <c r="TGZ551"/>
      <c r="THA551"/>
      <c r="THB551"/>
      <c r="THC551"/>
      <c r="THD551"/>
      <c r="THE551"/>
      <c r="THF551"/>
      <c r="THG551"/>
      <c r="THH551"/>
      <c r="THI551"/>
      <c r="THJ551"/>
      <c r="THK551"/>
      <c r="THL551"/>
      <c r="THM551"/>
      <c r="THN551"/>
      <c r="THO551"/>
      <c r="THP551"/>
      <c r="THQ551"/>
      <c r="THR551"/>
      <c r="THS551"/>
      <c r="THT551"/>
      <c r="THU551"/>
      <c r="THV551"/>
      <c r="THW551"/>
      <c r="THX551"/>
      <c r="THY551"/>
      <c r="THZ551"/>
      <c r="TIA551"/>
      <c r="TIB551"/>
      <c r="TIC551"/>
      <c r="TID551"/>
      <c r="TIE551"/>
      <c r="TIF551"/>
      <c r="TIG551"/>
      <c r="TIH551"/>
      <c r="TII551"/>
      <c r="TIJ551"/>
      <c r="TIK551"/>
      <c r="TIL551"/>
      <c r="TIM551"/>
      <c r="TIN551"/>
      <c r="TIO551"/>
      <c r="TIP551"/>
      <c r="TIQ551"/>
      <c r="TIR551"/>
      <c r="TIS551"/>
      <c r="TIT551"/>
      <c r="TIU551"/>
      <c r="TIV551"/>
      <c r="TIW551"/>
      <c r="TIX551"/>
      <c r="TIY551"/>
      <c r="TIZ551"/>
      <c r="TJA551"/>
      <c r="TJB551"/>
      <c r="TJC551"/>
      <c r="TJD551"/>
      <c r="TJE551"/>
      <c r="TJF551"/>
      <c r="TJG551"/>
      <c r="TJH551"/>
      <c r="TJI551"/>
      <c r="TJJ551"/>
      <c r="TJK551"/>
      <c r="TJL551"/>
      <c r="TJM551"/>
      <c r="TJN551"/>
      <c r="TJO551"/>
      <c r="TJP551"/>
      <c r="TJQ551"/>
      <c r="TJR551"/>
      <c r="TJS551"/>
      <c r="TJT551"/>
      <c r="TJU551"/>
      <c r="TJV551"/>
      <c r="TJW551"/>
      <c r="TJX551"/>
      <c r="TJY551"/>
      <c r="TJZ551"/>
      <c r="TKA551"/>
      <c r="TKB551"/>
      <c r="TKC551"/>
      <c r="TKD551"/>
      <c r="TKE551"/>
      <c r="TKF551"/>
      <c r="TKG551"/>
      <c r="TKH551"/>
      <c r="TKI551"/>
      <c r="TKJ551"/>
      <c r="TKK551"/>
      <c r="TKL551"/>
      <c r="TKM551"/>
      <c r="TKN551"/>
      <c r="TKO551"/>
      <c r="TKP551"/>
      <c r="TKQ551"/>
      <c r="TKR551"/>
      <c r="TKS551"/>
      <c r="TKT551"/>
      <c r="TKU551"/>
      <c r="TKV551"/>
      <c r="TKW551"/>
      <c r="TKX551"/>
      <c r="TKY551"/>
      <c r="TKZ551"/>
      <c r="TLA551"/>
      <c r="TLB551"/>
      <c r="TLC551"/>
      <c r="TLD551"/>
      <c r="TLE551"/>
      <c r="TLF551"/>
      <c r="TLG551"/>
      <c r="TLH551"/>
      <c r="TLI551"/>
      <c r="TLJ551"/>
      <c r="TLK551"/>
      <c r="TLL551"/>
      <c r="TLM551"/>
      <c r="TLN551"/>
      <c r="TLO551"/>
      <c r="TLP551"/>
      <c r="TLQ551"/>
      <c r="TLR551"/>
      <c r="TLS551"/>
      <c r="TLT551"/>
      <c r="TLU551"/>
      <c r="TLV551"/>
      <c r="TLW551"/>
      <c r="TLX551"/>
      <c r="TLY551"/>
      <c r="TLZ551"/>
      <c r="TMA551"/>
      <c r="TMB551"/>
      <c r="TMC551"/>
      <c r="TMD551"/>
      <c r="TME551"/>
      <c r="TMF551"/>
      <c r="TMG551"/>
      <c r="TMH551"/>
      <c r="TMI551"/>
      <c r="TMJ551"/>
      <c r="TMK551"/>
      <c r="TML551"/>
      <c r="TMM551"/>
      <c r="TMN551"/>
      <c r="TMO551"/>
      <c r="TMP551"/>
      <c r="TMQ551"/>
      <c r="TMR551"/>
      <c r="TMS551"/>
      <c r="TMT551"/>
      <c r="TMU551"/>
      <c r="TMV551"/>
      <c r="TMW551"/>
      <c r="TMX551"/>
      <c r="TMY551"/>
      <c r="TMZ551"/>
      <c r="TNA551"/>
      <c r="TNB551"/>
      <c r="TNC551"/>
      <c r="TND551"/>
      <c r="TNE551"/>
      <c r="TNF551"/>
      <c r="TNG551"/>
      <c r="TNH551"/>
      <c r="TNI551"/>
      <c r="TNJ551"/>
      <c r="TNK551"/>
      <c r="TNL551"/>
      <c r="TNM551"/>
      <c r="TNN551"/>
      <c r="TNO551"/>
      <c r="TNP551"/>
      <c r="TNQ551"/>
      <c r="TNR551"/>
      <c r="TNS551"/>
      <c r="TNT551"/>
      <c r="TNU551"/>
      <c r="TNV551"/>
      <c r="TNW551"/>
      <c r="TNX551"/>
      <c r="TNY551"/>
      <c r="TNZ551"/>
      <c r="TOA551"/>
      <c r="TOB551"/>
      <c r="TOC551"/>
      <c r="TOD551"/>
      <c r="TOE551"/>
      <c r="TOF551"/>
      <c r="TOG551"/>
      <c r="TOH551"/>
      <c r="TOI551"/>
      <c r="TOJ551"/>
      <c r="TOK551"/>
      <c r="TOL551"/>
      <c r="TOM551"/>
      <c r="TON551"/>
      <c r="TOO551"/>
      <c r="TOP551"/>
      <c r="TOQ551"/>
      <c r="TOR551"/>
      <c r="TOS551"/>
      <c r="TOT551"/>
      <c r="TOU551"/>
      <c r="TOV551"/>
      <c r="TOW551"/>
      <c r="TOX551"/>
      <c r="TOY551"/>
      <c r="TOZ551"/>
      <c r="TPA551"/>
      <c r="TPB551"/>
      <c r="TPC551"/>
      <c r="TPD551"/>
      <c r="TPE551"/>
      <c r="TPF551"/>
      <c r="TPG551"/>
      <c r="TPH551"/>
      <c r="TPI551"/>
      <c r="TPJ551"/>
      <c r="TPK551"/>
      <c r="TPL551"/>
      <c r="TPM551"/>
      <c r="TPN551"/>
      <c r="TPO551"/>
      <c r="TPP551"/>
      <c r="TPQ551"/>
      <c r="TPR551"/>
      <c r="TPS551"/>
      <c r="TPT551"/>
      <c r="TPU551"/>
      <c r="TPV551"/>
      <c r="TPW551"/>
      <c r="TPX551"/>
      <c r="TPY551"/>
      <c r="TPZ551"/>
      <c r="TQA551"/>
      <c r="TQB551"/>
      <c r="TQC551"/>
      <c r="TQD551"/>
      <c r="TQE551"/>
      <c r="TQF551"/>
      <c r="TQG551"/>
      <c r="TQH551"/>
      <c r="TQI551"/>
      <c r="TQJ551"/>
      <c r="TQK551"/>
      <c r="TQL551"/>
      <c r="TQM551"/>
      <c r="TQN551"/>
      <c r="TQO551"/>
      <c r="TQP551"/>
      <c r="TQQ551"/>
      <c r="TQR551"/>
      <c r="TQS551"/>
      <c r="TQT551"/>
      <c r="TQU551"/>
      <c r="TQV551"/>
      <c r="TQW551"/>
      <c r="TQX551"/>
      <c r="TQY551"/>
      <c r="TQZ551"/>
      <c r="TRA551"/>
      <c r="TRB551"/>
      <c r="TRC551"/>
      <c r="TRD551"/>
      <c r="TRE551"/>
      <c r="TRF551"/>
      <c r="TRG551"/>
      <c r="TRH551"/>
      <c r="TRI551"/>
      <c r="TRJ551"/>
      <c r="TRK551"/>
      <c r="TRL551"/>
      <c r="TRM551"/>
      <c r="TRN551"/>
      <c r="TRO551"/>
      <c r="TRP551"/>
      <c r="TRQ551"/>
      <c r="TRR551"/>
      <c r="TRS551"/>
      <c r="TRT551"/>
      <c r="TRU551"/>
      <c r="TRV551"/>
      <c r="TRW551"/>
      <c r="TRX551"/>
      <c r="TRY551"/>
      <c r="TRZ551"/>
      <c r="TSA551"/>
      <c r="TSB551"/>
      <c r="TSC551"/>
      <c r="TSD551"/>
      <c r="TSE551"/>
      <c r="TSF551"/>
      <c r="TSG551"/>
      <c r="TSH551"/>
      <c r="TSI551"/>
      <c r="TSJ551"/>
      <c r="TSK551"/>
      <c r="TSL551"/>
      <c r="TSM551"/>
      <c r="TSN551"/>
      <c r="TSO551"/>
      <c r="TSP551"/>
      <c r="TSQ551"/>
      <c r="TSR551"/>
      <c r="TSS551"/>
      <c r="TST551"/>
      <c r="TSU551"/>
      <c r="TSV551"/>
      <c r="TSW551"/>
      <c r="TSX551"/>
      <c r="TSY551"/>
      <c r="TSZ551"/>
      <c r="TTA551"/>
      <c r="TTB551"/>
      <c r="TTC551"/>
      <c r="TTD551"/>
      <c r="TTE551"/>
      <c r="TTF551"/>
      <c r="TTG551"/>
      <c r="TTH551"/>
      <c r="TTI551"/>
      <c r="TTJ551"/>
      <c r="TTK551"/>
      <c r="TTL551"/>
      <c r="TTM551"/>
      <c r="TTN551"/>
      <c r="TTO551"/>
      <c r="TTP551"/>
      <c r="TTQ551"/>
      <c r="TTR551"/>
      <c r="TTS551"/>
      <c r="TTT551"/>
      <c r="TTU551"/>
      <c r="TTV551"/>
      <c r="TTW551"/>
      <c r="TTX551"/>
      <c r="TTY551"/>
      <c r="TTZ551"/>
      <c r="TUA551"/>
      <c r="TUB551"/>
      <c r="TUC551"/>
      <c r="TUD551"/>
      <c r="TUE551"/>
      <c r="TUF551"/>
      <c r="TUG551"/>
      <c r="TUH551"/>
      <c r="TUI551"/>
      <c r="TUJ551"/>
      <c r="TUK551"/>
      <c r="TUL551"/>
      <c r="TUM551"/>
      <c r="TUN551"/>
      <c r="TUO551"/>
      <c r="TUP551"/>
      <c r="TUQ551"/>
      <c r="TUR551"/>
      <c r="TUS551"/>
      <c r="TUT551"/>
      <c r="TUU551"/>
      <c r="TUV551"/>
      <c r="TUW551"/>
      <c r="TUX551"/>
      <c r="TUY551"/>
      <c r="TUZ551"/>
      <c r="TVA551"/>
      <c r="TVB551"/>
      <c r="TVC551"/>
      <c r="TVD551"/>
      <c r="TVE551"/>
      <c r="TVF551"/>
      <c r="TVG551"/>
      <c r="TVH551"/>
      <c r="TVI551"/>
      <c r="TVJ551"/>
      <c r="TVK551"/>
      <c r="TVL551"/>
      <c r="TVM551"/>
      <c r="TVN551"/>
      <c r="TVO551"/>
      <c r="TVP551"/>
      <c r="TVQ551"/>
      <c r="TVR551"/>
      <c r="TVS551"/>
      <c r="TVT551"/>
      <c r="TVU551"/>
      <c r="TVV551"/>
      <c r="TVW551"/>
      <c r="TVX551"/>
      <c r="TVY551"/>
      <c r="TVZ551"/>
      <c r="TWA551"/>
      <c r="TWB551"/>
      <c r="TWC551"/>
      <c r="TWD551"/>
      <c r="TWE551"/>
      <c r="TWF551"/>
      <c r="TWG551"/>
      <c r="TWH551"/>
      <c r="TWI551"/>
      <c r="TWJ551"/>
      <c r="TWK551"/>
      <c r="TWL551"/>
      <c r="TWM551"/>
      <c r="TWN551"/>
      <c r="TWO551"/>
      <c r="TWP551"/>
      <c r="TWQ551"/>
      <c r="TWR551"/>
      <c r="TWS551"/>
      <c r="TWT551"/>
      <c r="TWU551"/>
      <c r="TWV551"/>
      <c r="TWW551"/>
      <c r="TWX551"/>
      <c r="TWY551"/>
      <c r="TWZ551"/>
      <c r="TXA551"/>
      <c r="TXB551"/>
      <c r="TXC551"/>
      <c r="TXD551"/>
      <c r="TXE551"/>
      <c r="TXF551"/>
      <c r="TXG551"/>
      <c r="TXH551"/>
      <c r="TXI551"/>
      <c r="TXJ551"/>
      <c r="TXK551"/>
      <c r="TXL551"/>
      <c r="TXM551"/>
      <c r="TXN551"/>
      <c r="TXO551"/>
      <c r="TXP551"/>
      <c r="TXQ551"/>
      <c r="TXR551"/>
      <c r="TXS551"/>
      <c r="TXT551"/>
      <c r="TXU551"/>
      <c r="TXV551"/>
      <c r="TXW551"/>
      <c r="TXX551"/>
      <c r="TXY551"/>
      <c r="TXZ551"/>
      <c r="TYA551"/>
      <c r="TYB551"/>
      <c r="TYC551"/>
      <c r="TYD551"/>
      <c r="TYE551"/>
      <c r="TYF551"/>
      <c r="TYG551"/>
      <c r="TYH551"/>
      <c r="TYI551"/>
      <c r="TYJ551"/>
      <c r="TYK551"/>
      <c r="TYL551"/>
      <c r="TYM551"/>
      <c r="TYN551"/>
      <c r="TYO551"/>
      <c r="TYP551"/>
      <c r="TYQ551"/>
      <c r="TYR551"/>
      <c r="TYS551"/>
      <c r="TYT551"/>
      <c r="TYU551"/>
      <c r="TYV551"/>
      <c r="TYW551"/>
      <c r="TYX551"/>
      <c r="TYY551"/>
      <c r="TYZ551"/>
      <c r="TZA551"/>
      <c r="TZB551"/>
      <c r="TZC551"/>
      <c r="TZD551"/>
      <c r="TZE551"/>
      <c r="TZF551"/>
      <c r="TZG551"/>
      <c r="TZH551"/>
      <c r="TZI551"/>
      <c r="TZJ551"/>
      <c r="TZK551"/>
      <c r="TZL551"/>
      <c r="TZM551"/>
      <c r="TZN551"/>
      <c r="TZO551"/>
      <c r="TZP551"/>
      <c r="TZQ551"/>
      <c r="TZR551"/>
      <c r="TZS551"/>
      <c r="TZT551"/>
      <c r="TZU551"/>
      <c r="TZV551"/>
      <c r="TZW551"/>
      <c r="TZX551"/>
      <c r="TZY551"/>
      <c r="TZZ551"/>
      <c r="UAA551"/>
      <c r="UAB551"/>
      <c r="UAC551"/>
      <c r="UAD551"/>
      <c r="UAE551"/>
      <c r="UAF551"/>
      <c r="UAG551"/>
      <c r="UAH551"/>
      <c r="UAI551"/>
      <c r="UAJ551"/>
      <c r="UAK551"/>
      <c r="UAL551"/>
      <c r="UAM551"/>
      <c r="UAN551"/>
      <c r="UAO551"/>
      <c r="UAP551"/>
      <c r="UAQ551"/>
      <c r="UAR551"/>
      <c r="UAS551"/>
      <c r="UAT551"/>
      <c r="UAU551"/>
      <c r="UAV551"/>
      <c r="UAW551"/>
      <c r="UAX551"/>
      <c r="UAY551"/>
      <c r="UAZ551"/>
      <c r="UBA551"/>
      <c r="UBB551"/>
      <c r="UBC551"/>
      <c r="UBD551"/>
      <c r="UBE551"/>
      <c r="UBF551"/>
      <c r="UBG551"/>
      <c r="UBH551"/>
      <c r="UBI551"/>
      <c r="UBJ551"/>
      <c r="UBK551"/>
      <c r="UBL551"/>
      <c r="UBM551"/>
      <c r="UBN551"/>
      <c r="UBO551"/>
      <c r="UBP551"/>
      <c r="UBQ551"/>
      <c r="UBR551"/>
      <c r="UBS551"/>
      <c r="UBT551"/>
      <c r="UBU551"/>
      <c r="UBV551"/>
      <c r="UBW551"/>
      <c r="UBX551"/>
      <c r="UBY551"/>
      <c r="UBZ551"/>
      <c r="UCA551"/>
      <c r="UCB551"/>
      <c r="UCC551"/>
      <c r="UCD551"/>
      <c r="UCE551"/>
      <c r="UCF551"/>
      <c r="UCG551"/>
      <c r="UCH551"/>
      <c r="UCI551"/>
      <c r="UCJ551"/>
      <c r="UCK551"/>
      <c r="UCL551"/>
      <c r="UCM551"/>
      <c r="UCN551"/>
      <c r="UCO551"/>
      <c r="UCP551"/>
      <c r="UCQ551"/>
      <c r="UCR551"/>
      <c r="UCS551"/>
      <c r="UCT551"/>
      <c r="UCU551"/>
      <c r="UCV551"/>
      <c r="UCW551"/>
      <c r="UCX551"/>
      <c r="UCY551"/>
      <c r="UCZ551"/>
      <c r="UDA551"/>
      <c r="UDB551"/>
      <c r="UDC551"/>
      <c r="UDD551"/>
      <c r="UDE551"/>
      <c r="UDF551"/>
      <c r="UDG551"/>
      <c r="UDH551"/>
      <c r="UDI551"/>
      <c r="UDJ551"/>
      <c r="UDK551"/>
      <c r="UDL551"/>
      <c r="UDM551"/>
      <c r="UDN551"/>
      <c r="UDO551"/>
      <c r="UDP551"/>
      <c r="UDQ551"/>
      <c r="UDR551"/>
      <c r="UDS551"/>
      <c r="UDT551"/>
      <c r="UDU551"/>
      <c r="UDV551"/>
      <c r="UDW551"/>
      <c r="UDX551"/>
      <c r="UDY551"/>
      <c r="UDZ551"/>
      <c r="UEA551"/>
      <c r="UEB551"/>
      <c r="UEC551"/>
      <c r="UED551"/>
      <c r="UEE551"/>
      <c r="UEF551"/>
      <c r="UEG551"/>
      <c r="UEH551"/>
      <c r="UEI551"/>
      <c r="UEJ551"/>
      <c r="UEK551"/>
      <c r="UEL551"/>
      <c r="UEM551"/>
      <c r="UEN551"/>
      <c r="UEO551"/>
      <c r="UEP551"/>
      <c r="UEQ551"/>
      <c r="UER551"/>
      <c r="UES551"/>
      <c r="UET551"/>
      <c r="UEU551"/>
      <c r="UEV551"/>
      <c r="UEW551"/>
      <c r="UEX551"/>
      <c r="UEY551"/>
      <c r="UEZ551"/>
      <c r="UFA551"/>
      <c r="UFB551"/>
      <c r="UFC551"/>
      <c r="UFD551"/>
      <c r="UFE551"/>
      <c r="UFF551"/>
      <c r="UFG551"/>
      <c r="UFH551"/>
      <c r="UFI551"/>
      <c r="UFJ551"/>
      <c r="UFK551"/>
      <c r="UFL551"/>
      <c r="UFM551"/>
      <c r="UFN551"/>
      <c r="UFO551"/>
      <c r="UFP551"/>
      <c r="UFQ551"/>
      <c r="UFR551"/>
      <c r="UFS551"/>
      <c r="UFT551"/>
      <c r="UFU551"/>
      <c r="UFV551"/>
      <c r="UFW551"/>
      <c r="UFX551"/>
      <c r="UFY551"/>
      <c r="UFZ551"/>
      <c r="UGA551"/>
      <c r="UGB551"/>
      <c r="UGC551"/>
      <c r="UGD551"/>
      <c r="UGE551"/>
      <c r="UGF551"/>
      <c r="UGG551"/>
      <c r="UGH551"/>
      <c r="UGI551"/>
      <c r="UGJ551"/>
      <c r="UGK551"/>
      <c r="UGL551"/>
      <c r="UGM551"/>
      <c r="UGN551"/>
      <c r="UGO551"/>
      <c r="UGP551"/>
      <c r="UGQ551"/>
      <c r="UGR551"/>
      <c r="UGS551"/>
      <c r="UGT551"/>
      <c r="UGU551"/>
      <c r="UGV551"/>
      <c r="UGW551"/>
      <c r="UGX551"/>
      <c r="UGY551"/>
      <c r="UGZ551"/>
      <c r="UHA551"/>
      <c r="UHB551"/>
      <c r="UHC551"/>
      <c r="UHD551"/>
      <c r="UHE551"/>
      <c r="UHF551"/>
      <c r="UHG551"/>
      <c r="UHH551"/>
      <c r="UHI551"/>
      <c r="UHJ551"/>
      <c r="UHK551"/>
      <c r="UHL551"/>
      <c r="UHM551"/>
      <c r="UHN551"/>
      <c r="UHO551"/>
      <c r="UHP551"/>
      <c r="UHQ551"/>
      <c r="UHR551"/>
      <c r="UHS551"/>
      <c r="UHT551"/>
      <c r="UHU551"/>
      <c r="UHV551"/>
      <c r="UHW551"/>
      <c r="UHX551"/>
      <c r="UHY551"/>
      <c r="UHZ551"/>
      <c r="UIA551"/>
      <c r="UIB551"/>
      <c r="UIC551"/>
      <c r="UID551"/>
      <c r="UIE551"/>
      <c r="UIF551"/>
      <c r="UIG551"/>
      <c r="UIH551"/>
      <c r="UII551"/>
      <c r="UIJ551"/>
      <c r="UIK551"/>
      <c r="UIL551"/>
      <c r="UIM551"/>
      <c r="UIN551"/>
      <c r="UIO551"/>
      <c r="UIP551"/>
      <c r="UIQ551"/>
      <c r="UIR551"/>
      <c r="UIS551"/>
      <c r="UIT551"/>
      <c r="UIU551"/>
      <c r="UIV551"/>
      <c r="UIW551"/>
      <c r="UIX551"/>
      <c r="UIY551"/>
      <c r="UIZ551"/>
      <c r="UJA551"/>
      <c r="UJB551"/>
      <c r="UJC551"/>
      <c r="UJD551"/>
      <c r="UJE551"/>
      <c r="UJF551"/>
      <c r="UJG551"/>
      <c r="UJH551"/>
      <c r="UJI551"/>
      <c r="UJJ551"/>
      <c r="UJK551"/>
      <c r="UJL551"/>
      <c r="UJM551"/>
      <c r="UJN551"/>
      <c r="UJO551"/>
      <c r="UJP551"/>
      <c r="UJQ551"/>
      <c r="UJR551"/>
      <c r="UJS551"/>
      <c r="UJT551"/>
      <c r="UJU551"/>
      <c r="UJV551"/>
      <c r="UJW551"/>
      <c r="UJX551"/>
      <c r="UJY551"/>
      <c r="UJZ551"/>
      <c r="UKA551"/>
      <c r="UKB551"/>
      <c r="UKC551"/>
      <c r="UKD551"/>
      <c r="UKE551"/>
      <c r="UKF551"/>
      <c r="UKG551"/>
      <c r="UKH551"/>
      <c r="UKI551"/>
      <c r="UKJ551"/>
      <c r="UKK551"/>
      <c r="UKL551"/>
      <c r="UKM551"/>
      <c r="UKN551"/>
      <c r="UKO551"/>
      <c r="UKP551"/>
      <c r="UKQ551"/>
      <c r="UKR551"/>
      <c r="UKS551"/>
      <c r="UKT551"/>
      <c r="UKU551"/>
      <c r="UKV551"/>
      <c r="UKW551"/>
      <c r="UKX551"/>
      <c r="UKY551"/>
      <c r="UKZ551"/>
      <c r="ULA551"/>
      <c r="ULB551"/>
      <c r="ULC551"/>
      <c r="ULD551"/>
      <c r="ULE551"/>
      <c r="ULF551"/>
      <c r="ULG551"/>
      <c r="ULH551"/>
      <c r="ULI551"/>
      <c r="ULJ551"/>
      <c r="ULK551"/>
      <c r="ULL551"/>
      <c r="ULM551"/>
      <c r="ULN551"/>
      <c r="ULO551"/>
      <c r="ULP551"/>
      <c r="ULQ551"/>
      <c r="ULR551"/>
      <c r="ULS551"/>
      <c r="ULT551"/>
      <c r="ULU551"/>
      <c r="ULV551"/>
      <c r="ULW551"/>
      <c r="ULX551"/>
      <c r="ULY551"/>
      <c r="ULZ551"/>
      <c r="UMA551"/>
      <c r="UMB551"/>
      <c r="UMC551"/>
      <c r="UMD551"/>
      <c r="UME551"/>
      <c r="UMF551"/>
      <c r="UMG551"/>
      <c r="UMH551"/>
      <c r="UMI551"/>
      <c r="UMJ551"/>
      <c r="UMK551"/>
      <c r="UML551"/>
      <c r="UMM551"/>
      <c r="UMN551"/>
      <c r="UMO551"/>
      <c r="UMP551"/>
      <c r="UMQ551"/>
      <c r="UMR551"/>
      <c r="UMS551"/>
      <c r="UMT551"/>
      <c r="UMU551"/>
      <c r="UMV551"/>
      <c r="UMW551"/>
      <c r="UMX551"/>
      <c r="UMY551"/>
      <c r="UMZ551"/>
      <c r="UNA551"/>
      <c r="UNB551"/>
      <c r="UNC551"/>
      <c r="UND551"/>
      <c r="UNE551"/>
      <c r="UNF551"/>
      <c r="UNG551"/>
      <c r="UNH551"/>
      <c r="UNI551"/>
      <c r="UNJ551"/>
      <c r="UNK551"/>
      <c r="UNL551"/>
      <c r="UNM551"/>
      <c r="UNN551"/>
      <c r="UNO551"/>
      <c r="UNP551"/>
      <c r="UNQ551"/>
      <c r="UNR551"/>
      <c r="UNS551"/>
      <c r="UNT551"/>
      <c r="UNU551"/>
      <c r="UNV551"/>
      <c r="UNW551"/>
      <c r="UNX551"/>
      <c r="UNY551"/>
      <c r="UNZ551"/>
      <c r="UOA551"/>
      <c r="UOB551"/>
      <c r="UOC551"/>
      <c r="UOD551"/>
      <c r="UOE551"/>
      <c r="UOF551"/>
      <c r="UOG551"/>
      <c r="UOH551"/>
      <c r="UOI551"/>
      <c r="UOJ551"/>
      <c r="UOK551"/>
      <c r="UOL551"/>
      <c r="UOM551"/>
      <c r="UON551"/>
      <c r="UOO551"/>
      <c r="UOP551"/>
      <c r="UOQ551"/>
      <c r="UOR551"/>
      <c r="UOS551"/>
      <c r="UOT551"/>
      <c r="UOU551"/>
      <c r="UOV551"/>
      <c r="UOW551"/>
      <c r="UOX551"/>
      <c r="UOY551"/>
      <c r="UOZ551"/>
      <c r="UPA551"/>
      <c r="UPB551"/>
      <c r="UPC551"/>
      <c r="UPD551"/>
      <c r="UPE551"/>
      <c r="UPF551"/>
      <c r="UPG551"/>
      <c r="UPH551"/>
      <c r="UPI551"/>
      <c r="UPJ551"/>
      <c r="UPK551"/>
      <c r="UPL551"/>
      <c r="UPM551"/>
      <c r="UPN551"/>
      <c r="UPO551"/>
      <c r="UPP551"/>
      <c r="UPQ551"/>
      <c r="UPR551"/>
      <c r="UPS551"/>
      <c r="UPT551"/>
      <c r="UPU551"/>
      <c r="UPV551"/>
      <c r="UPW551"/>
      <c r="UPX551"/>
      <c r="UPY551"/>
      <c r="UPZ551"/>
      <c r="UQA551"/>
      <c r="UQB551"/>
      <c r="UQC551"/>
      <c r="UQD551"/>
      <c r="UQE551"/>
      <c r="UQF551"/>
      <c r="UQG551"/>
      <c r="UQH551"/>
      <c r="UQI551"/>
      <c r="UQJ551"/>
      <c r="UQK551"/>
      <c r="UQL551"/>
      <c r="UQM551"/>
      <c r="UQN551"/>
      <c r="UQO551"/>
      <c r="UQP551"/>
      <c r="UQQ551"/>
      <c r="UQR551"/>
      <c r="UQS551"/>
      <c r="UQT551"/>
      <c r="UQU551"/>
      <c r="UQV551"/>
      <c r="UQW551"/>
      <c r="UQX551"/>
      <c r="UQY551"/>
      <c r="UQZ551"/>
      <c r="URA551"/>
      <c r="URB551"/>
      <c r="URC551"/>
      <c r="URD551"/>
      <c r="URE551"/>
      <c r="URF551"/>
      <c r="URG551"/>
      <c r="URH551"/>
      <c r="URI551"/>
      <c r="URJ551"/>
      <c r="URK551"/>
      <c r="URL551"/>
      <c r="URM551"/>
      <c r="URN551"/>
      <c r="URO551"/>
      <c r="URP551"/>
      <c r="URQ551"/>
      <c r="URR551"/>
      <c r="URS551"/>
      <c r="URT551"/>
      <c r="URU551"/>
      <c r="URV551"/>
      <c r="URW551"/>
      <c r="URX551"/>
      <c r="URY551"/>
      <c r="URZ551"/>
      <c r="USA551"/>
      <c r="USB551"/>
      <c r="USC551"/>
      <c r="USD551"/>
      <c r="USE551"/>
      <c r="USF551"/>
      <c r="USG551"/>
      <c r="USH551"/>
      <c r="USI551"/>
      <c r="USJ551"/>
      <c r="USK551"/>
      <c r="USL551"/>
      <c r="USM551"/>
      <c r="USN551"/>
      <c r="USO551"/>
      <c r="USP551"/>
      <c r="USQ551"/>
      <c r="USR551"/>
      <c r="USS551"/>
      <c r="UST551"/>
      <c r="USU551"/>
      <c r="USV551"/>
      <c r="USW551"/>
      <c r="USX551"/>
      <c r="USY551"/>
      <c r="USZ551"/>
      <c r="UTA551"/>
      <c r="UTB551"/>
      <c r="UTC551"/>
      <c r="UTD551"/>
      <c r="UTE551"/>
      <c r="UTF551"/>
      <c r="UTG551"/>
      <c r="UTH551"/>
      <c r="UTI551"/>
      <c r="UTJ551"/>
      <c r="UTK551"/>
      <c r="UTL551"/>
      <c r="UTM551"/>
      <c r="UTN551"/>
      <c r="UTO551"/>
      <c r="UTP551"/>
      <c r="UTQ551"/>
      <c r="UTR551"/>
      <c r="UTS551"/>
      <c r="UTT551"/>
      <c r="UTU551"/>
      <c r="UTV551"/>
      <c r="UTW551"/>
      <c r="UTX551"/>
      <c r="UTY551"/>
      <c r="UTZ551"/>
      <c r="UUA551"/>
      <c r="UUB551"/>
      <c r="UUC551"/>
      <c r="UUD551"/>
      <c r="UUE551"/>
      <c r="UUF551"/>
      <c r="UUG551"/>
      <c r="UUH551"/>
      <c r="UUI551"/>
      <c r="UUJ551"/>
      <c r="UUK551"/>
      <c r="UUL551"/>
      <c r="UUM551"/>
      <c r="UUN551"/>
      <c r="UUO551"/>
      <c r="UUP551"/>
      <c r="UUQ551"/>
      <c r="UUR551"/>
      <c r="UUS551"/>
      <c r="UUT551"/>
      <c r="UUU551"/>
      <c r="UUV551"/>
      <c r="UUW551"/>
      <c r="UUX551"/>
      <c r="UUY551"/>
      <c r="UUZ551"/>
      <c r="UVA551"/>
      <c r="UVB551"/>
      <c r="UVC551"/>
      <c r="UVD551"/>
      <c r="UVE551"/>
      <c r="UVF551"/>
      <c r="UVG551"/>
      <c r="UVH551"/>
      <c r="UVI551"/>
      <c r="UVJ551"/>
      <c r="UVK551"/>
      <c r="UVL551"/>
      <c r="UVM551"/>
      <c r="UVN551"/>
      <c r="UVO551"/>
      <c r="UVP551"/>
      <c r="UVQ551"/>
      <c r="UVR551"/>
      <c r="UVS551"/>
      <c r="UVT551"/>
      <c r="UVU551"/>
      <c r="UVV551"/>
      <c r="UVW551"/>
      <c r="UVX551"/>
      <c r="UVY551"/>
      <c r="UVZ551"/>
      <c r="UWA551"/>
      <c r="UWB551"/>
      <c r="UWC551"/>
      <c r="UWD551"/>
      <c r="UWE551"/>
      <c r="UWF551"/>
      <c r="UWG551"/>
      <c r="UWH551"/>
      <c r="UWI551"/>
      <c r="UWJ551"/>
      <c r="UWK551"/>
      <c r="UWL551"/>
      <c r="UWM551"/>
      <c r="UWN551"/>
      <c r="UWO551"/>
      <c r="UWP551"/>
      <c r="UWQ551"/>
      <c r="UWR551"/>
      <c r="UWS551"/>
      <c r="UWT551"/>
      <c r="UWU551"/>
      <c r="UWV551"/>
      <c r="UWW551"/>
      <c r="UWX551"/>
      <c r="UWY551"/>
      <c r="UWZ551"/>
      <c r="UXA551"/>
      <c r="UXB551"/>
      <c r="UXC551"/>
      <c r="UXD551"/>
      <c r="UXE551"/>
      <c r="UXF551"/>
      <c r="UXG551"/>
      <c r="UXH551"/>
      <c r="UXI551"/>
      <c r="UXJ551"/>
      <c r="UXK551"/>
      <c r="UXL551"/>
      <c r="UXM551"/>
      <c r="UXN551"/>
      <c r="UXO551"/>
      <c r="UXP551"/>
      <c r="UXQ551"/>
      <c r="UXR551"/>
      <c r="UXS551"/>
      <c r="UXT551"/>
      <c r="UXU551"/>
      <c r="UXV551"/>
      <c r="UXW551"/>
      <c r="UXX551"/>
      <c r="UXY551"/>
      <c r="UXZ551"/>
      <c r="UYA551"/>
      <c r="UYB551"/>
      <c r="UYC551"/>
      <c r="UYD551"/>
      <c r="UYE551"/>
      <c r="UYF551"/>
      <c r="UYG551"/>
      <c r="UYH551"/>
      <c r="UYI551"/>
      <c r="UYJ551"/>
      <c r="UYK551"/>
      <c r="UYL551"/>
      <c r="UYM551"/>
      <c r="UYN551"/>
      <c r="UYO551"/>
      <c r="UYP551"/>
      <c r="UYQ551"/>
      <c r="UYR551"/>
      <c r="UYS551"/>
      <c r="UYT551"/>
      <c r="UYU551"/>
      <c r="UYV551"/>
      <c r="UYW551"/>
      <c r="UYX551"/>
      <c r="UYY551"/>
      <c r="UYZ551"/>
      <c r="UZA551"/>
      <c r="UZB551"/>
      <c r="UZC551"/>
      <c r="UZD551"/>
      <c r="UZE551"/>
      <c r="UZF551"/>
      <c r="UZG551"/>
      <c r="UZH551"/>
      <c r="UZI551"/>
      <c r="UZJ551"/>
      <c r="UZK551"/>
      <c r="UZL551"/>
      <c r="UZM551"/>
      <c r="UZN551"/>
      <c r="UZO551"/>
      <c r="UZP551"/>
      <c r="UZQ551"/>
      <c r="UZR551"/>
      <c r="UZS551"/>
      <c r="UZT551"/>
      <c r="UZU551"/>
      <c r="UZV551"/>
      <c r="UZW551"/>
      <c r="UZX551"/>
      <c r="UZY551"/>
      <c r="UZZ551"/>
      <c r="VAA551"/>
      <c r="VAB551"/>
      <c r="VAC551"/>
      <c r="VAD551"/>
      <c r="VAE551"/>
      <c r="VAF551"/>
      <c r="VAG551"/>
      <c r="VAH551"/>
      <c r="VAI551"/>
      <c r="VAJ551"/>
      <c r="VAK551"/>
      <c r="VAL551"/>
      <c r="VAM551"/>
      <c r="VAN551"/>
      <c r="VAO551"/>
      <c r="VAP551"/>
      <c r="VAQ551"/>
      <c r="VAR551"/>
      <c r="VAS551"/>
      <c r="VAT551"/>
      <c r="VAU551"/>
      <c r="VAV551"/>
      <c r="VAW551"/>
      <c r="VAX551"/>
      <c r="VAY551"/>
      <c r="VAZ551"/>
      <c r="VBA551"/>
      <c r="VBB551"/>
      <c r="VBC551"/>
      <c r="VBD551"/>
      <c r="VBE551"/>
      <c r="VBF551"/>
      <c r="VBG551"/>
      <c r="VBH551"/>
      <c r="VBI551"/>
      <c r="VBJ551"/>
      <c r="VBK551"/>
      <c r="VBL551"/>
      <c r="VBM551"/>
      <c r="VBN551"/>
      <c r="VBO551"/>
      <c r="VBP551"/>
      <c r="VBQ551"/>
      <c r="VBR551"/>
      <c r="VBS551"/>
      <c r="VBT551"/>
      <c r="VBU551"/>
      <c r="VBV551"/>
      <c r="VBW551"/>
      <c r="VBX551"/>
      <c r="VBY551"/>
      <c r="VBZ551"/>
      <c r="VCA551"/>
      <c r="VCB551"/>
      <c r="VCC551"/>
      <c r="VCD551"/>
      <c r="VCE551"/>
      <c r="VCF551"/>
      <c r="VCG551"/>
      <c r="VCH551"/>
      <c r="VCI551"/>
      <c r="VCJ551"/>
      <c r="VCK551"/>
      <c r="VCL551"/>
      <c r="VCM551"/>
      <c r="VCN551"/>
      <c r="VCO551"/>
      <c r="VCP551"/>
      <c r="VCQ551"/>
      <c r="VCR551"/>
      <c r="VCS551"/>
      <c r="VCT551"/>
      <c r="VCU551"/>
      <c r="VCV551"/>
      <c r="VCW551"/>
      <c r="VCX551"/>
      <c r="VCY551"/>
      <c r="VCZ551"/>
      <c r="VDA551"/>
      <c r="VDB551"/>
      <c r="VDC551"/>
      <c r="VDD551"/>
      <c r="VDE551"/>
      <c r="VDF551"/>
      <c r="VDG551"/>
      <c r="VDH551"/>
      <c r="VDI551"/>
      <c r="VDJ551"/>
      <c r="VDK551"/>
      <c r="VDL551"/>
      <c r="VDM551"/>
      <c r="VDN551"/>
      <c r="VDO551"/>
      <c r="VDP551"/>
      <c r="VDQ551"/>
      <c r="VDR551"/>
      <c r="VDS551"/>
      <c r="VDT551"/>
      <c r="VDU551"/>
      <c r="VDV551"/>
      <c r="VDW551"/>
      <c r="VDX551"/>
      <c r="VDY551"/>
      <c r="VDZ551"/>
      <c r="VEA551"/>
      <c r="VEB551"/>
      <c r="VEC551"/>
      <c r="VED551"/>
      <c r="VEE551"/>
      <c r="VEF551"/>
      <c r="VEG551"/>
      <c r="VEH551"/>
      <c r="VEI551"/>
      <c r="VEJ551"/>
      <c r="VEK551"/>
      <c r="VEL551"/>
      <c r="VEM551"/>
      <c r="VEN551"/>
      <c r="VEO551"/>
      <c r="VEP551"/>
      <c r="VEQ551"/>
      <c r="VER551"/>
      <c r="VES551"/>
      <c r="VET551"/>
      <c r="VEU551"/>
      <c r="VEV551"/>
      <c r="VEW551"/>
      <c r="VEX551"/>
      <c r="VEY551"/>
      <c r="VEZ551"/>
      <c r="VFA551"/>
      <c r="VFB551"/>
      <c r="VFC551"/>
      <c r="VFD551"/>
      <c r="VFE551"/>
      <c r="VFF551"/>
      <c r="VFG551"/>
      <c r="VFH551"/>
      <c r="VFI551"/>
      <c r="VFJ551"/>
      <c r="VFK551"/>
      <c r="VFL551"/>
      <c r="VFM551"/>
      <c r="VFN551"/>
      <c r="VFO551"/>
      <c r="VFP551"/>
      <c r="VFQ551"/>
      <c r="VFR551"/>
      <c r="VFS551"/>
      <c r="VFT551"/>
      <c r="VFU551"/>
      <c r="VFV551"/>
      <c r="VFW551"/>
      <c r="VFX551"/>
      <c r="VFY551"/>
      <c r="VFZ551"/>
      <c r="VGA551"/>
      <c r="VGB551"/>
      <c r="VGC551"/>
      <c r="VGD551"/>
      <c r="VGE551"/>
      <c r="VGF551"/>
      <c r="VGG551"/>
      <c r="VGH551"/>
      <c r="VGI551"/>
      <c r="VGJ551"/>
      <c r="VGK551"/>
      <c r="VGL551"/>
      <c r="VGM551"/>
      <c r="VGN551"/>
      <c r="VGO551"/>
      <c r="VGP551"/>
      <c r="VGQ551"/>
      <c r="VGR551"/>
      <c r="VGS551"/>
      <c r="VGT551"/>
      <c r="VGU551"/>
      <c r="VGV551"/>
      <c r="VGW551"/>
      <c r="VGX551"/>
      <c r="VGY551"/>
      <c r="VGZ551"/>
      <c r="VHA551"/>
      <c r="VHB551"/>
      <c r="VHC551"/>
      <c r="VHD551"/>
      <c r="VHE551"/>
      <c r="VHF551"/>
      <c r="VHG551"/>
      <c r="VHH551"/>
      <c r="VHI551"/>
      <c r="VHJ551"/>
      <c r="VHK551"/>
      <c r="VHL551"/>
      <c r="VHM551"/>
      <c r="VHN551"/>
      <c r="VHO551"/>
      <c r="VHP551"/>
      <c r="VHQ551"/>
      <c r="VHR551"/>
      <c r="VHS551"/>
      <c r="VHT551"/>
      <c r="VHU551"/>
      <c r="VHV551"/>
      <c r="VHW551"/>
      <c r="VHX551"/>
      <c r="VHY551"/>
      <c r="VHZ551"/>
      <c r="VIA551"/>
      <c r="VIB551"/>
      <c r="VIC551"/>
      <c r="VID551"/>
      <c r="VIE551"/>
      <c r="VIF551"/>
      <c r="VIG551"/>
      <c r="VIH551"/>
      <c r="VII551"/>
      <c r="VIJ551"/>
      <c r="VIK551"/>
      <c r="VIL551"/>
      <c r="VIM551"/>
      <c r="VIN551"/>
      <c r="VIO551"/>
      <c r="VIP551"/>
      <c r="VIQ551"/>
      <c r="VIR551"/>
      <c r="VIS551"/>
      <c r="VIT551"/>
      <c r="VIU551"/>
      <c r="VIV551"/>
      <c r="VIW551"/>
      <c r="VIX551"/>
      <c r="VIY551"/>
      <c r="VIZ551"/>
      <c r="VJA551"/>
      <c r="VJB551"/>
      <c r="VJC551"/>
      <c r="VJD551"/>
      <c r="VJE551"/>
      <c r="VJF551"/>
      <c r="VJG551"/>
      <c r="VJH551"/>
      <c r="VJI551"/>
      <c r="VJJ551"/>
      <c r="VJK551"/>
      <c r="VJL551"/>
      <c r="VJM551"/>
      <c r="VJN551"/>
      <c r="VJO551"/>
      <c r="VJP551"/>
      <c r="VJQ551"/>
      <c r="VJR551"/>
      <c r="VJS551"/>
      <c r="VJT551"/>
      <c r="VJU551"/>
      <c r="VJV551"/>
      <c r="VJW551"/>
      <c r="VJX551"/>
      <c r="VJY551"/>
      <c r="VJZ551"/>
      <c r="VKA551"/>
      <c r="VKB551"/>
      <c r="VKC551"/>
      <c r="VKD551"/>
      <c r="VKE551"/>
      <c r="VKF551"/>
      <c r="VKG551"/>
      <c r="VKH551"/>
      <c r="VKI551"/>
      <c r="VKJ551"/>
      <c r="VKK551"/>
      <c r="VKL551"/>
      <c r="VKM551"/>
      <c r="VKN551"/>
      <c r="VKO551"/>
      <c r="VKP551"/>
      <c r="VKQ551"/>
      <c r="VKR551"/>
      <c r="VKS551"/>
      <c r="VKT551"/>
      <c r="VKU551"/>
      <c r="VKV551"/>
      <c r="VKW551"/>
      <c r="VKX551"/>
      <c r="VKY551"/>
      <c r="VKZ551"/>
      <c r="VLA551"/>
      <c r="VLB551"/>
      <c r="VLC551"/>
      <c r="VLD551"/>
      <c r="VLE551"/>
      <c r="VLF551"/>
      <c r="VLG551"/>
      <c r="VLH551"/>
      <c r="VLI551"/>
      <c r="VLJ551"/>
      <c r="VLK551"/>
      <c r="VLL551"/>
      <c r="VLM551"/>
      <c r="VLN551"/>
      <c r="VLO551"/>
      <c r="VLP551"/>
      <c r="VLQ551"/>
      <c r="VLR551"/>
      <c r="VLS551"/>
      <c r="VLT551"/>
      <c r="VLU551"/>
      <c r="VLV551"/>
      <c r="VLW551"/>
      <c r="VLX551"/>
      <c r="VLY551"/>
      <c r="VLZ551"/>
      <c r="VMA551"/>
      <c r="VMB551"/>
      <c r="VMC551"/>
      <c r="VMD551"/>
      <c r="VME551"/>
      <c r="VMF551"/>
      <c r="VMG551"/>
      <c r="VMH551"/>
      <c r="VMI551"/>
      <c r="VMJ551"/>
      <c r="VMK551"/>
      <c r="VML551"/>
      <c r="VMM551"/>
      <c r="VMN551"/>
      <c r="VMO551"/>
      <c r="VMP551"/>
      <c r="VMQ551"/>
      <c r="VMR551"/>
      <c r="VMS551"/>
      <c r="VMT551"/>
      <c r="VMU551"/>
      <c r="VMV551"/>
      <c r="VMW551"/>
      <c r="VMX551"/>
      <c r="VMY551"/>
      <c r="VMZ551"/>
      <c r="VNA551"/>
      <c r="VNB551"/>
      <c r="VNC551"/>
      <c r="VND551"/>
      <c r="VNE551"/>
      <c r="VNF551"/>
      <c r="VNG551"/>
      <c r="VNH551"/>
      <c r="VNI551"/>
      <c r="VNJ551"/>
      <c r="VNK551"/>
      <c r="VNL551"/>
      <c r="VNM551"/>
      <c r="VNN551"/>
      <c r="VNO551"/>
      <c r="VNP551"/>
      <c r="VNQ551"/>
      <c r="VNR551"/>
      <c r="VNS551"/>
      <c r="VNT551"/>
      <c r="VNU551"/>
      <c r="VNV551"/>
      <c r="VNW551"/>
      <c r="VNX551"/>
      <c r="VNY551"/>
      <c r="VNZ551"/>
      <c r="VOA551"/>
      <c r="VOB551"/>
      <c r="VOC551"/>
      <c r="VOD551"/>
      <c r="VOE551"/>
      <c r="VOF551"/>
      <c r="VOG551"/>
      <c r="VOH551"/>
      <c r="VOI551"/>
      <c r="VOJ551"/>
      <c r="VOK551"/>
      <c r="VOL551"/>
      <c r="VOM551"/>
      <c r="VON551"/>
      <c r="VOO551"/>
      <c r="VOP551"/>
      <c r="VOQ551"/>
      <c r="VOR551"/>
      <c r="VOS551"/>
      <c r="VOT551"/>
      <c r="VOU551"/>
      <c r="VOV551"/>
      <c r="VOW551"/>
      <c r="VOX551"/>
      <c r="VOY551"/>
      <c r="VOZ551"/>
      <c r="VPA551"/>
      <c r="VPB551"/>
      <c r="VPC551"/>
      <c r="VPD551"/>
      <c r="VPE551"/>
      <c r="VPF551"/>
      <c r="VPG551"/>
      <c r="VPH551"/>
      <c r="VPI551"/>
      <c r="VPJ551"/>
      <c r="VPK551"/>
      <c r="VPL551"/>
      <c r="VPM551"/>
      <c r="VPN551"/>
      <c r="VPO551"/>
      <c r="VPP551"/>
      <c r="VPQ551"/>
      <c r="VPR551"/>
      <c r="VPS551"/>
      <c r="VPT551"/>
      <c r="VPU551"/>
      <c r="VPV551"/>
      <c r="VPW551"/>
      <c r="VPX551"/>
      <c r="VPY551"/>
      <c r="VPZ551"/>
      <c r="VQA551"/>
      <c r="VQB551"/>
      <c r="VQC551"/>
      <c r="VQD551"/>
      <c r="VQE551"/>
      <c r="VQF551"/>
      <c r="VQG551"/>
      <c r="VQH551"/>
      <c r="VQI551"/>
      <c r="VQJ551"/>
      <c r="VQK551"/>
      <c r="VQL551"/>
      <c r="VQM551"/>
      <c r="VQN551"/>
      <c r="VQO551"/>
      <c r="VQP551"/>
      <c r="VQQ551"/>
      <c r="VQR551"/>
      <c r="VQS551"/>
      <c r="VQT551"/>
      <c r="VQU551"/>
      <c r="VQV551"/>
      <c r="VQW551"/>
      <c r="VQX551"/>
      <c r="VQY551"/>
      <c r="VQZ551"/>
      <c r="VRA551"/>
      <c r="VRB551"/>
      <c r="VRC551"/>
      <c r="VRD551"/>
      <c r="VRE551"/>
      <c r="VRF551"/>
      <c r="VRG551"/>
      <c r="VRH551"/>
      <c r="VRI551"/>
      <c r="VRJ551"/>
      <c r="VRK551"/>
      <c r="VRL551"/>
      <c r="VRM551"/>
      <c r="VRN551"/>
      <c r="VRO551"/>
      <c r="VRP551"/>
      <c r="VRQ551"/>
      <c r="VRR551"/>
      <c r="VRS551"/>
      <c r="VRT551"/>
      <c r="VRU551"/>
      <c r="VRV551"/>
      <c r="VRW551"/>
      <c r="VRX551"/>
      <c r="VRY551"/>
      <c r="VRZ551"/>
      <c r="VSA551"/>
      <c r="VSB551"/>
      <c r="VSC551"/>
      <c r="VSD551"/>
      <c r="VSE551"/>
      <c r="VSF551"/>
      <c r="VSG551"/>
      <c r="VSH551"/>
      <c r="VSI551"/>
      <c r="VSJ551"/>
      <c r="VSK551"/>
      <c r="VSL551"/>
      <c r="VSM551"/>
      <c r="VSN551"/>
      <c r="VSO551"/>
      <c r="VSP551"/>
      <c r="VSQ551"/>
      <c r="VSR551"/>
      <c r="VSS551"/>
      <c r="VST551"/>
      <c r="VSU551"/>
      <c r="VSV551"/>
      <c r="VSW551"/>
      <c r="VSX551"/>
      <c r="VSY551"/>
      <c r="VSZ551"/>
      <c r="VTA551"/>
      <c r="VTB551"/>
      <c r="VTC551"/>
      <c r="VTD551"/>
      <c r="VTE551"/>
      <c r="VTF551"/>
      <c r="VTG551"/>
      <c r="VTH551"/>
      <c r="VTI551"/>
      <c r="VTJ551"/>
      <c r="VTK551"/>
      <c r="VTL551"/>
      <c r="VTM551"/>
      <c r="VTN551"/>
      <c r="VTO551"/>
      <c r="VTP551"/>
      <c r="VTQ551"/>
      <c r="VTR551"/>
      <c r="VTS551"/>
      <c r="VTT551"/>
      <c r="VTU551"/>
      <c r="VTV551"/>
      <c r="VTW551"/>
      <c r="VTX551"/>
      <c r="VTY551"/>
      <c r="VTZ551"/>
      <c r="VUA551"/>
      <c r="VUB551"/>
      <c r="VUC551"/>
      <c r="VUD551"/>
      <c r="VUE551"/>
      <c r="VUF551"/>
      <c r="VUG551"/>
      <c r="VUH551"/>
      <c r="VUI551"/>
      <c r="VUJ551"/>
      <c r="VUK551"/>
      <c r="VUL551"/>
      <c r="VUM551"/>
      <c r="VUN551"/>
      <c r="VUO551"/>
      <c r="VUP551"/>
      <c r="VUQ551"/>
      <c r="VUR551"/>
      <c r="VUS551"/>
      <c r="VUT551"/>
      <c r="VUU551"/>
      <c r="VUV551"/>
      <c r="VUW551"/>
      <c r="VUX551"/>
      <c r="VUY551"/>
      <c r="VUZ551"/>
      <c r="VVA551"/>
      <c r="VVB551"/>
      <c r="VVC551"/>
      <c r="VVD551"/>
      <c r="VVE551"/>
      <c r="VVF551"/>
      <c r="VVG551"/>
      <c r="VVH551"/>
      <c r="VVI551"/>
      <c r="VVJ551"/>
      <c r="VVK551"/>
      <c r="VVL551"/>
      <c r="VVM551"/>
      <c r="VVN551"/>
      <c r="VVO551"/>
      <c r="VVP551"/>
      <c r="VVQ551"/>
      <c r="VVR551"/>
      <c r="VVS551"/>
      <c r="VVT551"/>
      <c r="VVU551"/>
      <c r="VVV551"/>
      <c r="VVW551"/>
      <c r="VVX551"/>
      <c r="VVY551"/>
      <c r="VVZ551"/>
      <c r="VWA551"/>
      <c r="VWB551"/>
      <c r="VWC551"/>
      <c r="VWD551"/>
      <c r="VWE551"/>
      <c r="VWF551"/>
      <c r="VWG551"/>
      <c r="VWH551"/>
      <c r="VWI551"/>
      <c r="VWJ551"/>
      <c r="VWK551"/>
      <c r="VWL551"/>
      <c r="VWM551"/>
      <c r="VWN551"/>
      <c r="VWO551"/>
      <c r="VWP551"/>
      <c r="VWQ551"/>
      <c r="VWR551"/>
      <c r="VWS551"/>
      <c r="VWT551"/>
      <c r="VWU551"/>
      <c r="VWV551"/>
      <c r="VWW551"/>
      <c r="VWX551"/>
      <c r="VWY551"/>
      <c r="VWZ551"/>
      <c r="VXA551"/>
      <c r="VXB551"/>
      <c r="VXC551"/>
      <c r="VXD551"/>
      <c r="VXE551"/>
      <c r="VXF551"/>
      <c r="VXG551"/>
      <c r="VXH551"/>
      <c r="VXI551"/>
      <c r="VXJ551"/>
      <c r="VXK551"/>
      <c r="VXL551"/>
      <c r="VXM551"/>
      <c r="VXN551"/>
      <c r="VXO551"/>
      <c r="VXP551"/>
      <c r="VXQ551"/>
      <c r="VXR551"/>
      <c r="VXS551"/>
      <c r="VXT551"/>
      <c r="VXU551"/>
      <c r="VXV551"/>
      <c r="VXW551"/>
      <c r="VXX551"/>
      <c r="VXY551"/>
      <c r="VXZ551"/>
      <c r="VYA551"/>
      <c r="VYB551"/>
      <c r="VYC551"/>
      <c r="VYD551"/>
      <c r="VYE551"/>
      <c r="VYF551"/>
      <c r="VYG551"/>
      <c r="VYH551"/>
      <c r="VYI551"/>
      <c r="VYJ551"/>
      <c r="VYK551"/>
      <c r="VYL551"/>
      <c r="VYM551"/>
      <c r="VYN551"/>
      <c r="VYO551"/>
      <c r="VYP551"/>
      <c r="VYQ551"/>
      <c r="VYR551"/>
      <c r="VYS551"/>
      <c r="VYT551"/>
      <c r="VYU551"/>
      <c r="VYV551"/>
      <c r="VYW551"/>
      <c r="VYX551"/>
      <c r="VYY551"/>
      <c r="VYZ551"/>
      <c r="VZA551"/>
      <c r="VZB551"/>
      <c r="VZC551"/>
      <c r="VZD551"/>
      <c r="VZE551"/>
      <c r="VZF551"/>
      <c r="VZG551"/>
      <c r="VZH551"/>
      <c r="VZI551"/>
      <c r="VZJ551"/>
      <c r="VZK551"/>
      <c r="VZL551"/>
      <c r="VZM551"/>
      <c r="VZN551"/>
      <c r="VZO551"/>
      <c r="VZP551"/>
      <c r="VZQ551"/>
      <c r="VZR551"/>
      <c r="VZS551"/>
      <c r="VZT551"/>
      <c r="VZU551"/>
      <c r="VZV551"/>
      <c r="VZW551"/>
      <c r="VZX551"/>
      <c r="VZY551"/>
      <c r="VZZ551"/>
      <c r="WAA551"/>
      <c r="WAB551"/>
      <c r="WAC551"/>
      <c r="WAD551"/>
      <c r="WAE551"/>
      <c r="WAF551"/>
      <c r="WAG551"/>
      <c r="WAH551"/>
      <c r="WAI551"/>
      <c r="WAJ551"/>
      <c r="WAK551"/>
      <c r="WAL551"/>
      <c r="WAM551"/>
      <c r="WAN551"/>
      <c r="WAO551"/>
      <c r="WAP551"/>
      <c r="WAQ551"/>
      <c r="WAR551"/>
      <c r="WAS551"/>
      <c r="WAT551"/>
      <c r="WAU551"/>
      <c r="WAV551"/>
      <c r="WAW551"/>
      <c r="WAX551"/>
      <c r="WAY551"/>
      <c r="WAZ551"/>
      <c r="WBA551"/>
      <c r="WBB551"/>
      <c r="WBC551"/>
      <c r="WBD551"/>
      <c r="WBE551"/>
      <c r="WBF551"/>
      <c r="WBG551"/>
      <c r="WBH551"/>
      <c r="WBI551"/>
      <c r="WBJ551"/>
      <c r="WBK551"/>
      <c r="WBL551"/>
      <c r="WBM551"/>
      <c r="WBN551"/>
      <c r="WBO551"/>
      <c r="WBP551"/>
      <c r="WBQ551"/>
      <c r="WBR551"/>
      <c r="WBS551"/>
      <c r="WBT551"/>
      <c r="WBU551"/>
      <c r="WBV551"/>
      <c r="WBW551"/>
      <c r="WBX551"/>
      <c r="WBY551"/>
      <c r="WBZ551"/>
      <c r="WCA551"/>
      <c r="WCB551"/>
      <c r="WCC551"/>
      <c r="WCD551"/>
      <c r="WCE551"/>
      <c r="WCF551"/>
      <c r="WCG551"/>
      <c r="WCH551"/>
      <c r="WCI551"/>
      <c r="WCJ551"/>
      <c r="WCK551"/>
      <c r="WCL551"/>
      <c r="WCM551"/>
      <c r="WCN551"/>
      <c r="WCO551"/>
      <c r="WCP551"/>
      <c r="WCQ551"/>
      <c r="WCR551"/>
      <c r="WCS551"/>
      <c r="WCT551"/>
      <c r="WCU551"/>
      <c r="WCV551"/>
      <c r="WCW551"/>
      <c r="WCX551"/>
      <c r="WCY551"/>
      <c r="WCZ551"/>
      <c r="WDA551"/>
      <c r="WDB551"/>
      <c r="WDC551"/>
      <c r="WDD551"/>
      <c r="WDE551"/>
      <c r="WDF551"/>
      <c r="WDG551"/>
      <c r="WDH551"/>
      <c r="WDI551"/>
      <c r="WDJ551"/>
      <c r="WDK551"/>
      <c r="WDL551"/>
      <c r="WDM551"/>
      <c r="WDN551"/>
      <c r="WDO551"/>
      <c r="WDP551"/>
      <c r="WDQ551"/>
      <c r="WDR551"/>
      <c r="WDS551"/>
      <c r="WDT551"/>
      <c r="WDU551"/>
      <c r="WDV551"/>
      <c r="WDW551"/>
      <c r="WDX551"/>
      <c r="WDY551"/>
      <c r="WDZ551"/>
      <c r="WEA551"/>
      <c r="WEB551"/>
      <c r="WEC551"/>
      <c r="WED551"/>
      <c r="WEE551"/>
      <c r="WEF551"/>
      <c r="WEG551"/>
      <c r="WEH551"/>
      <c r="WEI551"/>
      <c r="WEJ551"/>
      <c r="WEK551"/>
      <c r="WEL551"/>
      <c r="WEM551"/>
      <c r="WEN551"/>
      <c r="WEO551"/>
      <c r="WEP551"/>
      <c r="WEQ551"/>
      <c r="WER551"/>
      <c r="WES551"/>
      <c r="WET551"/>
      <c r="WEU551"/>
      <c r="WEV551"/>
      <c r="WEW551"/>
      <c r="WEX551"/>
      <c r="WEY551"/>
      <c r="WEZ551"/>
      <c r="WFA551"/>
      <c r="WFB551"/>
      <c r="WFC551"/>
      <c r="WFD551"/>
      <c r="WFE551"/>
      <c r="WFF551"/>
      <c r="WFG551"/>
      <c r="WFH551"/>
      <c r="WFI551"/>
      <c r="WFJ551"/>
      <c r="WFK551"/>
      <c r="WFL551"/>
      <c r="WFM551"/>
      <c r="WFN551"/>
      <c r="WFO551"/>
      <c r="WFP551"/>
      <c r="WFQ551"/>
      <c r="WFR551"/>
      <c r="WFS551"/>
      <c r="WFT551"/>
      <c r="WFU551"/>
      <c r="WFV551"/>
      <c r="WFW551"/>
      <c r="WFX551"/>
      <c r="WFY551"/>
      <c r="WFZ551"/>
      <c r="WGA551"/>
      <c r="WGB551"/>
      <c r="WGC551"/>
      <c r="WGD551"/>
      <c r="WGE551"/>
      <c r="WGF551"/>
      <c r="WGG551"/>
      <c r="WGH551"/>
      <c r="WGI551"/>
      <c r="WGJ551"/>
      <c r="WGK551"/>
      <c r="WGL551"/>
      <c r="WGM551"/>
      <c r="WGN551"/>
      <c r="WGO551"/>
      <c r="WGP551"/>
      <c r="WGQ551"/>
      <c r="WGR551"/>
      <c r="WGS551"/>
      <c r="WGT551"/>
      <c r="WGU551"/>
      <c r="WGV551"/>
      <c r="WGW551"/>
      <c r="WGX551"/>
      <c r="WGY551"/>
      <c r="WGZ551"/>
      <c r="WHA551"/>
      <c r="WHB551"/>
      <c r="WHC551"/>
      <c r="WHD551"/>
      <c r="WHE551"/>
      <c r="WHF551"/>
      <c r="WHG551"/>
      <c r="WHH551"/>
      <c r="WHI551"/>
      <c r="WHJ551"/>
      <c r="WHK551"/>
      <c r="WHL551"/>
      <c r="WHM551"/>
      <c r="WHN551"/>
      <c r="WHO551"/>
      <c r="WHP551"/>
      <c r="WHQ551"/>
      <c r="WHR551"/>
      <c r="WHS551"/>
      <c r="WHT551"/>
      <c r="WHU551"/>
      <c r="WHV551"/>
      <c r="WHW551"/>
      <c r="WHX551"/>
      <c r="WHY551"/>
      <c r="WHZ551"/>
      <c r="WIA551"/>
      <c r="WIB551"/>
      <c r="WIC551"/>
      <c r="WID551"/>
      <c r="WIE551"/>
      <c r="WIF551"/>
      <c r="WIG551"/>
      <c r="WIH551"/>
      <c r="WII551"/>
      <c r="WIJ551"/>
      <c r="WIK551"/>
      <c r="WIL551"/>
      <c r="WIM551"/>
      <c r="WIN551"/>
      <c r="WIO551"/>
      <c r="WIP551"/>
      <c r="WIQ551"/>
      <c r="WIR551"/>
      <c r="WIS551"/>
      <c r="WIT551"/>
      <c r="WIU551"/>
      <c r="WIV551"/>
      <c r="WIW551"/>
      <c r="WIX551"/>
      <c r="WIY551"/>
      <c r="WIZ551"/>
      <c r="WJA551"/>
      <c r="WJB551"/>
      <c r="WJC551"/>
      <c r="WJD551"/>
      <c r="WJE551"/>
      <c r="WJF551"/>
      <c r="WJG551"/>
      <c r="WJH551"/>
      <c r="WJI551"/>
      <c r="WJJ551"/>
      <c r="WJK551"/>
      <c r="WJL551"/>
      <c r="WJM551"/>
      <c r="WJN551"/>
      <c r="WJO551"/>
      <c r="WJP551"/>
      <c r="WJQ551"/>
      <c r="WJR551"/>
      <c r="WJS551"/>
      <c r="WJT551"/>
      <c r="WJU551"/>
      <c r="WJV551"/>
      <c r="WJW551"/>
      <c r="WJX551"/>
      <c r="WJY551"/>
      <c r="WJZ551"/>
      <c r="WKA551"/>
      <c r="WKB551"/>
      <c r="WKC551"/>
      <c r="WKD551"/>
      <c r="WKE551"/>
      <c r="WKF551"/>
      <c r="WKG551"/>
      <c r="WKH551"/>
      <c r="WKI551"/>
      <c r="WKJ551"/>
      <c r="WKK551"/>
      <c r="WKL551"/>
      <c r="WKM551"/>
      <c r="WKN551"/>
      <c r="WKO551"/>
      <c r="WKP551"/>
      <c r="WKQ551"/>
      <c r="WKR551"/>
      <c r="WKS551"/>
      <c r="WKT551"/>
      <c r="WKU551"/>
      <c r="WKV551"/>
      <c r="WKW551"/>
      <c r="WKX551"/>
      <c r="WKY551"/>
      <c r="WKZ551"/>
      <c r="WLA551"/>
      <c r="WLB551"/>
      <c r="WLC551"/>
      <c r="WLD551"/>
      <c r="WLE551"/>
      <c r="WLF551"/>
      <c r="WLG551"/>
      <c r="WLH551"/>
      <c r="WLI551"/>
      <c r="WLJ551"/>
      <c r="WLK551"/>
      <c r="WLL551"/>
      <c r="WLM551"/>
      <c r="WLN551"/>
      <c r="WLO551"/>
      <c r="WLP551"/>
      <c r="WLQ551"/>
      <c r="WLR551"/>
      <c r="WLS551"/>
      <c r="WLT551"/>
      <c r="WLU551"/>
      <c r="WLV551"/>
      <c r="WLW551"/>
      <c r="WLX551"/>
      <c r="WLY551"/>
      <c r="WLZ551"/>
      <c r="WMA551"/>
      <c r="WMB551"/>
      <c r="WMC551"/>
      <c r="WMD551"/>
      <c r="WME551"/>
      <c r="WMF551"/>
      <c r="WMG551"/>
      <c r="WMH551"/>
      <c r="WMI551"/>
      <c r="WMJ551"/>
      <c r="WMK551"/>
      <c r="WML551"/>
      <c r="WMM551"/>
      <c r="WMN551"/>
      <c r="WMO551"/>
      <c r="WMP551"/>
      <c r="WMQ551"/>
      <c r="WMR551"/>
      <c r="WMS551"/>
      <c r="WMT551"/>
      <c r="WMU551"/>
      <c r="WMV551"/>
      <c r="WMW551"/>
      <c r="WMX551"/>
      <c r="WMY551"/>
      <c r="WMZ551"/>
      <c r="WNA551"/>
      <c r="WNB551"/>
      <c r="WNC551"/>
      <c r="WND551"/>
      <c r="WNE551"/>
      <c r="WNF551"/>
      <c r="WNG551"/>
      <c r="WNH551"/>
      <c r="WNI551"/>
      <c r="WNJ551"/>
      <c r="WNK551"/>
      <c r="WNL551"/>
      <c r="WNM551"/>
      <c r="WNN551"/>
      <c r="WNO551"/>
      <c r="WNP551"/>
      <c r="WNQ551"/>
      <c r="WNR551"/>
      <c r="WNS551"/>
      <c r="WNT551"/>
      <c r="WNU551"/>
      <c r="WNV551"/>
      <c r="WNW551"/>
      <c r="WNX551"/>
      <c r="WNY551"/>
      <c r="WNZ551"/>
      <c r="WOA551"/>
      <c r="WOB551"/>
      <c r="WOC551"/>
      <c r="WOD551"/>
      <c r="WOE551"/>
      <c r="WOF551"/>
      <c r="WOG551"/>
      <c r="WOH551"/>
      <c r="WOI551"/>
      <c r="WOJ551"/>
      <c r="WOK551"/>
      <c r="WOL551"/>
      <c r="WOM551"/>
      <c r="WON551"/>
      <c r="WOO551"/>
      <c r="WOP551"/>
      <c r="WOQ551"/>
      <c r="WOR551"/>
      <c r="WOS551"/>
      <c r="WOT551"/>
      <c r="WOU551"/>
      <c r="WOV551"/>
      <c r="WOW551"/>
      <c r="WOX551"/>
      <c r="WOY551"/>
      <c r="WOZ551"/>
      <c r="WPA551"/>
      <c r="WPB551"/>
      <c r="WPC551"/>
      <c r="WPD551"/>
      <c r="WPE551"/>
      <c r="WPF551"/>
      <c r="WPG551"/>
      <c r="WPH551"/>
      <c r="WPI551"/>
      <c r="WPJ551"/>
      <c r="WPK551"/>
      <c r="WPL551"/>
      <c r="WPM551"/>
      <c r="WPN551"/>
      <c r="WPO551"/>
      <c r="WPP551"/>
      <c r="WPQ551"/>
      <c r="WPR551"/>
      <c r="WPS551"/>
      <c r="WPT551"/>
      <c r="WPU551"/>
      <c r="WPV551"/>
      <c r="WPW551"/>
      <c r="WPX551"/>
      <c r="WPY551"/>
      <c r="WPZ551"/>
      <c r="WQA551"/>
      <c r="WQB551"/>
      <c r="WQC551"/>
      <c r="WQD551"/>
      <c r="WQE551"/>
      <c r="WQF551"/>
      <c r="WQG551"/>
      <c r="WQH551"/>
      <c r="WQI551"/>
      <c r="WQJ551"/>
      <c r="WQK551"/>
      <c r="WQL551"/>
      <c r="WQM551"/>
      <c r="WQN551"/>
      <c r="WQO551"/>
      <c r="WQP551"/>
      <c r="WQQ551"/>
      <c r="WQR551"/>
      <c r="WQS551"/>
      <c r="WQT551"/>
      <c r="WQU551"/>
      <c r="WQV551"/>
      <c r="WQW551"/>
      <c r="WQX551"/>
      <c r="WQY551"/>
      <c r="WQZ551"/>
      <c r="WRA551"/>
      <c r="WRB551"/>
      <c r="WRC551"/>
      <c r="WRD551"/>
      <c r="WRE551"/>
      <c r="WRF551"/>
      <c r="WRG551"/>
      <c r="WRH551"/>
      <c r="WRI551"/>
      <c r="WRJ551"/>
      <c r="WRK551"/>
      <c r="WRL551"/>
      <c r="WRM551"/>
      <c r="WRN551"/>
      <c r="WRO551"/>
      <c r="WRP551"/>
      <c r="WRQ551"/>
      <c r="WRR551"/>
      <c r="WRS551"/>
      <c r="WRT551"/>
      <c r="WRU551"/>
      <c r="WRV551"/>
      <c r="WRW551"/>
      <c r="WRX551"/>
      <c r="WRY551"/>
      <c r="WRZ551"/>
      <c r="WSA551"/>
      <c r="WSB551"/>
      <c r="WSC551"/>
      <c r="WSD551"/>
      <c r="WSE551"/>
      <c r="WSF551"/>
      <c r="WSG551"/>
      <c r="WSH551"/>
      <c r="WSI551"/>
      <c r="WSJ551"/>
      <c r="WSK551"/>
      <c r="WSL551"/>
      <c r="WSM551"/>
      <c r="WSN551"/>
      <c r="WSO551"/>
      <c r="WSP551"/>
      <c r="WSQ551"/>
      <c r="WSR551"/>
      <c r="WSS551"/>
      <c r="WST551"/>
      <c r="WSU551"/>
      <c r="WSV551"/>
      <c r="WSW551"/>
      <c r="WSX551"/>
      <c r="WSY551"/>
      <c r="WSZ551"/>
      <c r="WTA551"/>
      <c r="WTB551"/>
      <c r="WTC551"/>
      <c r="WTD551"/>
      <c r="WTE551"/>
      <c r="WTF551"/>
      <c r="WTG551"/>
      <c r="WTH551"/>
      <c r="WTI551"/>
      <c r="WTJ551"/>
      <c r="WTK551"/>
      <c r="WTL551"/>
      <c r="WTM551"/>
      <c r="WTN551"/>
      <c r="WTO551"/>
      <c r="WTP551"/>
      <c r="WTQ551"/>
      <c r="WTR551"/>
      <c r="WTS551"/>
      <c r="WTT551"/>
      <c r="WTU551"/>
      <c r="WTV551"/>
      <c r="WTW551"/>
      <c r="WTX551"/>
      <c r="WTY551"/>
      <c r="WTZ551"/>
      <c r="WUA551"/>
      <c r="WUB551"/>
      <c r="WUC551"/>
      <c r="WUD551"/>
      <c r="WUE551"/>
      <c r="WUF551"/>
      <c r="WUG551"/>
      <c r="WUH551"/>
      <c r="WUI551"/>
      <c r="WUJ551"/>
      <c r="WUK551"/>
      <c r="WUL551"/>
      <c r="WUM551"/>
      <c r="WUN551"/>
      <c r="WUO551"/>
      <c r="WUP551"/>
      <c r="WUQ551"/>
      <c r="WUR551"/>
      <c r="WUS551"/>
      <c r="WUT551"/>
      <c r="WUU551"/>
      <c r="WUV551"/>
      <c r="WUW551"/>
      <c r="WUX551"/>
      <c r="WUY551"/>
      <c r="WUZ551"/>
      <c r="WVA551"/>
      <c r="WVB551"/>
      <c r="WVC551"/>
      <c r="WVD551"/>
      <c r="WVE551"/>
      <c r="WVF551"/>
      <c r="WVG551"/>
      <c r="WVH551"/>
      <c r="WVI551"/>
      <c r="WVJ551"/>
      <c r="WVK551"/>
      <c r="WVL551"/>
      <c r="WVM551"/>
      <c r="WVN551"/>
      <c r="WVO551"/>
      <c r="WVP551"/>
      <c r="WVQ551"/>
      <c r="WVR551"/>
      <c r="WVS551"/>
      <c r="WVT551"/>
      <c r="WVU551"/>
      <c r="WVV551"/>
      <c r="WVW551"/>
      <c r="WVX551"/>
      <c r="WVY551"/>
      <c r="WVZ551"/>
      <c r="WWA551"/>
      <c r="WWB551"/>
      <c r="WWC551"/>
      <c r="WWD551"/>
      <c r="WWE551"/>
      <c r="WWF551"/>
      <c r="WWG551"/>
      <c r="WWH551"/>
      <c r="WWI551"/>
      <c r="WWJ551"/>
      <c r="WWK551"/>
      <c r="WWL551"/>
      <c r="WWM551"/>
      <c r="WWN551"/>
      <c r="WWO551"/>
      <c r="WWP551"/>
      <c r="WWQ551"/>
      <c r="WWR551"/>
      <c r="WWS551"/>
      <c r="WWT551"/>
      <c r="WWU551"/>
      <c r="WWV551"/>
      <c r="WWW551"/>
      <c r="WWX551"/>
      <c r="WWY551"/>
      <c r="WWZ551"/>
      <c r="WXA551"/>
      <c r="WXB551"/>
      <c r="WXC551"/>
      <c r="WXD551"/>
      <c r="WXE551"/>
      <c r="WXF551"/>
      <c r="WXG551"/>
      <c r="WXH551"/>
      <c r="WXI551"/>
      <c r="WXJ551"/>
      <c r="WXK551"/>
      <c r="WXL551"/>
      <c r="WXM551"/>
      <c r="WXN551"/>
      <c r="WXO551"/>
      <c r="WXP551"/>
      <c r="WXQ551"/>
      <c r="WXR551"/>
      <c r="WXS551"/>
      <c r="WXT551"/>
      <c r="WXU551"/>
      <c r="WXV551"/>
      <c r="WXW551"/>
      <c r="WXX551"/>
      <c r="WXY551"/>
      <c r="WXZ551"/>
      <c r="WYA551"/>
      <c r="WYB551"/>
      <c r="WYC551"/>
      <c r="WYD551"/>
      <c r="WYE551"/>
      <c r="WYF551"/>
      <c r="WYG551"/>
      <c r="WYH551"/>
      <c r="WYI551"/>
      <c r="WYJ551"/>
      <c r="WYK551"/>
      <c r="WYL551"/>
      <c r="WYM551"/>
      <c r="WYN551"/>
      <c r="WYO551"/>
      <c r="WYP551"/>
      <c r="WYQ551"/>
      <c r="WYR551"/>
      <c r="WYS551"/>
      <c r="WYT551"/>
      <c r="WYU551"/>
      <c r="WYV551"/>
      <c r="WYW551"/>
      <c r="WYX551"/>
      <c r="WYY551"/>
      <c r="WYZ551"/>
      <c r="WZA551"/>
      <c r="WZB551"/>
      <c r="WZC551"/>
      <c r="WZD551"/>
      <c r="WZE551"/>
      <c r="WZF551"/>
      <c r="WZG551"/>
      <c r="WZH551"/>
      <c r="WZI551"/>
      <c r="WZJ551"/>
      <c r="WZK551"/>
      <c r="WZL551"/>
      <c r="WZM551"/>
      <c r="WZN551"/>
      <c r="WZO551"/>
      <c r="WZP551"/>
      <c r="WZQ551"/>
      <c r="WZR551"/>
      <c r="WZS551"/>
      <c r="WZT551"/>
      <c r="WZU551"/>
      <c r="WZV551"/>
      <c r="WZW551"/>
      <c r="WZX551"/>
      <c r="WZY551"/>
      <c r="WZZ551"/>
      <c r="XAA551"/>
      <c r="XAB551"/>
      <c r="XAC551"/>
      <c r="XAD551"/>
      <c r="XAE551"/>
      <c r="XAF551"/>
      <c r="XAG551"/>
      <c r="XAH551"/>
      <c r="XAI551"/>
      <c r="XAJ551"/>
      <c r="XAK551"/>
      <c r="XAL551"/>
      <c r="XAM551"/>
      <c r="XAN551"/>
      <c r="XAO551"/>
      <c r="XAP551"/>
      <c r="XAQ551"/>
      <c r="XAR551"/>
      <c r="XAS551"/>
      <c r="XAT551"/>
      <c r="XAU551"/>
      <c r="XAV551"/>
      <c r="XAW551"/>
      <c r="XAX551"/>
      <c r="XAY551"/>
      <c r="XAZ551"/>
      <c r="XBA551"/>
      <c r="XBB551"/>
      <c r="XBC551"/>
      <c r="XBD551"/>
      <c r="XBE551"/>
      <c r="XBF551"/>
      <c r="XBG551"/>
      <c r="XBH551"/>
      <c r="XBI551"/>
      <c r="XBJ551"/>
      <c r="XBK551"/>
      <c r="XBL551"/>
      <c r="XBM551"/>
      <c r="XBN551"/>
      <c r="XBO551"/>
      <c r="XBP551"/>
      <c r="XBQ551"/>
      <c r="XBR551"/>
      <c r="XBS551"/>
      <c r="XBT551"/>
      <c r="XBU551"/>
      <c r="XBV551"/>
      <c r="XBW551"/>
      <c r="XBX551"/>
      <c r="XBY551"/>
      <c r="XBZ551"/>
      <c r="XCA551"/>
      <c r="XCB551"/>
      <c r="XCC551"/>
      <c r="XCD551"/>
      <c r="XCE551"/>
      <c r="XCF551"/>
      <c r="XCG551"/>
      <c r="XCH551"/>
      <c r="XCI551"/>
      <c r="XCJ551"/>
      <c r="XCK551"/>
      <c r="XCL551"/>
      <c r="XCM551"/>
      <c r="XCN551"/>
      <c r="XCO551"/>
      <c r="XCP551"/>
      <c r="XCQ551"/>
      <c r="XCR551"/>
      <c r="XCS551"/>
      <c r="XCT551"/>
      <c r="XCU551"/>
      <c r="XCV551"/>
      <c r="XCW551"/>
      <c r="XCX551"/>
      <c r="XCY551"/>
      <c r="XCZ551"/>
      <c r="XDA551"/>
      <c r="XDB551"/>
      <c r="XDC551"/>
      <c r="XDD551"/>
      <c r="XDE551"/>
      <c r="XDF551"/>
      <c r="XDG551"/>
      <c r="XDH551"/>
      <c r="XDI551"/>
      <c r="XDJ551"/>
      <c r="XDK551"/>
      <c r="XDL551"/>
      <c r="XDM551"/>
      <c r="XDN551"/>
      <c r="XDO551"/>
      <c r="XDP551"/>
      <c r="XDQ551"/>
      <c r="XDR551"/>
      <c r="XDS551"/>
      <c r="XDT551"/>
      <c r="XDU551"/>
      <c r="XDV551"/>
      <c r="XDW551"/>
      <c r="XDX551"/>
      <c r="XDY551"/>
      <c r="XDZ551"/>
      <c r="XEA551"/>
      <c r="XEB551"/>
      <c r="XEC551"/>
      <c r="XED551"/>
      <c r="XEE551"/>
      <c r="XEF551"/>
      <c r="XEG551"/>
      <c r="XEH551"/>
      <c r="XEI551"/>
      <c r="XEJ551"/>
      <c r="XEK551"/>
      <c r="XEL551"/>
      <c r="XEM551"/>
      <c r="XEN551"/>
      <c r="XEO551"/>
      <c r="XEP551"/>
      <c r="XEQ551"/>
      <c r="XER551"/>
      <c r="XES551"/>
      <c r="XET551"/>
      <c r="XEU551"/>
      <c r="XEV551"/>
      <c r="XEW551"/>
      <c r="XEX551"/>
      <c r="XEY551"/>
      <c r="XEZ551"/>
    </row>
    <row r="552" spans="1:16380">
      <c r="A552" s="68" t="s">
        <v>1512</v>
      </c>
      <c r="B552" s="363" t="s">
        <v>2181</v>
      </c>
      <c r="C552" s="373">
        <v>152.4</v>
      </c>
      <c r="D552" s="373">
        <v>152.4</v>
      </c>
      <c r="E552" s="373">
        <v>76.2</v>
      </c>
      <c r="F552" s="373">
        <v>63.5</v>
      </c>
      <c r="G552" s="17">
        <f t="shared" ref="G552:G559" si="57">((E552+F552)/2)*D552*C552/10^6</f>
        <v>1.6223193359999999</v>
      </c>
      <c r="K552" s="59"/>
      <c r="L552"/>
      <c r="M552"/>
      <c r="N552" s="366"/>
      <c r="O552"/>
      <c r="P552"/>
      <c r="Q552"/>
      <c r="R552"/>
      <c r="S552" s="366"/>
      <c r="T552" s="366"/>
      <c r="U552"/>
      <c r="V552"/>
      <c r="W552"/>
      <c r="X552" s="366"/>
      <c r="Y552"/>
      <c r="Z552"/>
      <c r="AA552"/>
      <c r="AB552"/>
      <c r="AC552"/>
      <c r="AD552"/>
      <c r="AE552"/>
      <c r="AF552"/>
      <c r="AG552"/>
      <c r="AH552"/>
      <c r="AI552"/>
      <c r="AJ552" s="366"/>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c r="LQ552"/>
      <c r="LR552"/>
      <c r="LS552"/>
      <c r="LT552"/>
      <c r="LU552"/>
      <c r="LV552"/>
      <c r="LW552"/>
      <c r="LX552"/>
      <c r="LY552"/>
      <c r="LZ552"/>
      <c r="MA552"/>
      <c r="MB552"/>
      <c r="MC552"/>
      <c r="MD552"/>
      <c r="ME552"/>
      <c r="MF552"/>
      <c r="MG552"/>
      <c r="MH552"/>
      <c r="MI552"/>
      <c r="MJ552"/>
      <c r="MK552"/>
      <c r="ML552"/>
      <c r="MM552"/>
      <c r="MN552"/>
      <c r="MO552"/>
      <c r="MP552"/>
      <c r="MQ552"/>
      <c r="MR552"/>
      <c r="MS552"/>
      <c r="MT552"/>
      <c r="MU552"/>
      <c r="MV552"/>
      <c r="MW552"/>
      <c r="MX552"/>
      <c r="MY552"/>
      <c r="MZ552"/>
      <c r="NA552"/>
      <c r="NB552"/>
      <c r="NC552"/>
      <c r="ND552"/>
      <c r="NE552"/>
      <c r="NF552"/>
      <c r="NG552"/>
      <c r="NH552"/>
      <c r="NI552"/>
      <c r="NJ552"/>
      <c r="NK552"/>
      <c r="NL552"/>
      <c r="NM552"/>
      <c r="NN552"/>
      <c r="NO552"/>
      <c r="NP552"/>
      <c r="NQ552"/>
      <c r="NR552"/>
      <c r="NS552"/>
      <c r="NT552"/>
      <c r="NU552"/>
      <c r="NV552"/>
      <c r="NW552"/>
      <c r="NX552"/>
      <c r="NY552"/>
      <c r="NZ552"/>
      <c r="OA552"/>
      <c r="OB552"/>
      <c r="OC552"/>
      <c r="OD552"/>
      <c r="OE552"/>
      <c r="OF552"/>
      <c r="OG552"/>
      <c r="OH552"/>
      <c r="OI552"/>
      <c r="OJ552"/>
      <c r="OK552"/>
      <c r="OL552"/>
      <c r="OM552"/>
      <c r="ON552"/>
      <c r="OO552"/>
      <c r="OP552"/>
      <c r="OQ552"/>
      <c r="OR552"/>
      <c r="OS552"/>
      <c r="OT552"/>
      <c r="OU552"/>
      <c r="OV552"/>
      <c r="OW552"/>
      <c r="OX552"/>
      <c r="OY552"/>
      <c r="OZ552"/>
      <c r="PA552"/>
      <c r="PB552"/>
      <c r="PC552"/>
      <c r="PD552"/>
      <c r="PE552"/>
      <c r="PF552"/>
      <c r="PG552"/>
      <c r="PH552"/>
      <c r="PI552"/>
      <c r="PJ552"/>
      <c r="PK552"/>
      <c r="PL552"/>
      <c r="PM552"/>
      <c r="PN552"/>
      <c r="PO552"/>
      <c r="PP552"/>
      <c r="PQ552"/>
      <c r="PR552"/>
      <c r="PS552"/>
      <c r="PT552"/>
      <c r="PU552"/>
      <c r="PV552"/>
      <c r="PW552"/>
      <c r="PX552"/>
      <c r="PY552"/>
      <c r="PZ552"/>
      <c r="QA552"/>
      <c r="QB552"/>
      <c r="QC552"/>
      <c r="QD552"/>
      <c r="QE552"/>
      <c r="QF552"/>
      <c r="QG552"/>
      <c r="QH552"/>
      <c r="QI552"/>
      <c r="QJ552"/>
      <c r="QK552"/>
      <c r="QL552"/>
      <c r="QM552"/>
      <c r="QN552"/>
      <c r="QO552"/>
      <c r="QP552"/>
      <c r="QQ552"/>
      <c r="QR552"/>
      <c r="QS552"/>
      <c r="QT552"/>
      <c r="QU552"/>
      <c r="QV552"/>
      <c r="QW552"/>
      <c r="QX552"/>
      <c r="QY552"/>
      <c r="QZ552"/>
      <c r="RA552"/>
      <c r="RB552"/>
      <c r="RC552"/>
      <c r="RD552"/>
      <c r="RE552"/>
      <c r="RF552"/>
      <c r="RG552"/>
      <c r="RH552"/>
      <c r="RI552"/>
      <c r="RJ552"/>
      <c r="RK552"/>
      <c r="RL552"/>
      <c r="RM552"/>
      <c r="RN552"/>
      <c r="RO552"/>
      <c r="RP552"/>
      <c r="RQ552"/>
      <c r="RR552"/>
      <c r="RS552"/>
      <c r="RT552"/>
      <c r="RU552"/>
      <c r="RV552"/>
      <c r="RW552"/>
      <c r="RX552"/>
      <c r="RY552"/>
      <c r="RZ552"/>
      <c r="SA552"/>
      <c r="SB552"/>
      <c r="SC552"/>
      <c r="SD552"/>
      <c r="SE552"/>
      <c r="SF552"/>
      <c r="SG552"/>
      <c r="SH552"/>
      <c r="SI552"/>
      <c r="SJ552"/>
      <c r="SK552"/>
      <c r="SL552"/>
      <c r="SM552"/>
      <c r="SN552"/>
      <c r="SO552"/>
      <c r="SP552"/>
      <c r="SQ552"/>
      <c r="SR552"/>
      <c r="SS552"/>
      <c r="ST552"/>
      <c r="SU552"/>
      <c r="SV552"/>
      <c r="SW552"/>
      <c r="SX552"/>
      <c r="SY552"/>
      <c r="SZ552"/>
      <c r="TA552"/>
      <c r="TB552"/>
      <c r="TC552"/>
      <c r="TD552"/>
      <c r="TE552"/>
      <c r="TF552"/>
      <c r="TG552"/>
      <c r="TH552"/>
      <c r="TI552"/>
      <c r="TJ552"/>
      <c r="TK552"/>
      <c r="TL552"/>
      <c r="TM552"/>
      <c r="TN552"/>
      <c r="TO552"/>
      <c r="TP552"/>
      <c r="TQ552"/>
      <c r="TR552"/>
      <c r="TS552"/>
      <c r="TT552"/>
      <c r="TU552"/>
      <c r="TV552"/>
      <c r="TW552"/>
      <c r="TX552"/>
      <c r="TY552"/>
      <c r="TZ552"/>
      <c r="UA552"/>
      <c r="UB552"/>
      <c r="UC552"/>
      <c r="UD552"/>
      <c r="UE552"/>
      <c r="UF552"/>
      <c r="UG552"/>
      <c r="UH552"/>
      <c r="UI552"/>
      <c r="UJ552"/>
      <c r="UK552"/>
      <c r="UL552"/>
      <c r="UM552"/>
      <c r="UN552"/>
      <c r="UO552"/>
      <c r="UP552"/>
      <c r="UQ552"/>
      <c r="UR552"/>
      <c r="US552"/>
      <c r="UT552"/>
      <c r="UU552"/>
      <c r="UV552"/>
      <c r="UW552"/>
      <c r="UX552"/>
      <c r="UY552"/>
      <c r="UZ552"/>
      <c r="VA552"/>
      <c r="VB552"/>
      <c r="VC552"/>
      <c r="VD552"/>
      <c r="VE552"/>
      <c r="VF552"/>
      <c r="VG552"/>
      <c r="VH552"/>
      <c r="VI552"/>
      <c r="VJ552"/>
      <c r="VK552"/>
      <c r="VL552"/>
      <c r="VM552"/>
      <c r="VN552"/>
      <c r="VO552"/>
      <c r="VP552"/>
      <c r="VQ552"/>
      <c r="VR552"/>
      <c r="VS552"/>
      <c r="VT552"/>
      <c r="VU552"/>
      <c r="VV552"/>
      <c r="VW552"/>
      <c r="VX552"/>
      <c r="VY552"/>
      <c r="VZ552"/>
      <c r="WA552"/>
      <c r="WB552"/>
      <c r="WC552"/>
      <c r="WD552"/>
      <c r="WE552"/>
      <c r="WF552"/>
      <c r="WG552"/>
      <c r="WH552"/>
      <c r="WI552"/>
      <c r="WJ552"/>
      <c r="WK552"/>
      <c r="WL552"/>
      <c r="WM552"/>
      <c r="WN552"/>
      <c r="WO552"/>
      <c r="WP552"/>
      <c r="WQ552"/>
      <c r="WR552"/>
      <c r="WS552"/>
      <c r="WT552"/>
      <c r="WU552"/>
      <c r="WV552"/>
      <c r="WW552"/>
      <c r="WX552"/>
      <c r="WY552"/>
      <c r="WZ552"/>
      <c r="XA552"/>
      <c r="XB552"/>
      <c r="XC552"/>
      <c r="XD552"/>
      <c r="XE552"/>
      <c r="XF552"/>
      <c r="XG552"/>
      <c r="XH552"/>
      <c r="XI552"/>
      <c r="XJ552"/>
      <c r="XK552"/>
      <c r="XL552"/>
      <c r="XM552"/>
      <c r="XN552"/>
      <c r="XO552"/>
      <c r="XP552"/>
      <c r="XQ552"/>
      <c r="XR552"/>
      <c r="XS552"/>
      <c r="XT552"/>
      <c r="XU552"/>
      <c r="XV552"/>
      <c r="XW552"/>
      <c r="XX552"/>
      <c r="XY552"/>
      <c r="XZ552"/>
      <c r="YA552"/>
      <c r="YB552"/>
      <c r="YC552"/>
      <c r="YD552"/>
      <c r="YE552"/>
      <c r="YF552"/>
      <c r="YG552"/>
      <c r="YH552"/>
      <c r="YI552"/>
      <c r="YJ552"/>
      <c r="YK552"/>
      <c r="YL552"/>
      <c r="YM552"/>
      <c r="YN552"/>
      <c r="YO552"/>
      <c r="YP552"/>
      <c r="YQ552"/>
      <c r="YR552"/>
      <c r="YS552"/>
      <c r="YT552"/>
      <c r="YU552"/>
      <c r="YV552"/>
      <c r="YW552"/>
      <c r="YX552"/>
      <c r="YY552"/>
      <c r="YZ552"/>
      <c r="ZA552"/>
      <c r="ZB552"/>
      <c r="ZC552"/>
      <c r="ZD552"/>
      <c r="ZE552"/>
      <c r="ZF552"/>
      <c r="ZG552"/>
      <c r="ZH552"/>
      <c r="ZI552"/>
      <c r="ZJ552"/>
      <c r="ZK552"/>
      <c r="ZL552"/>
      <c r="ZM552"/>
      <c r="ZN552"/>
      <c r="ZO552"/>
      <c r="ZP552"/>
      <c r="ZQ552"/>
      <c r="ZR552"/>
      <c r="ZS552"/>
      <c r="ZT552"/>
      <c r="ZU552"/>
      <c r="ZV552"/>
      <c r="ZW552"/>
      <c r="ZX552"/>
      <c r="ZY552"/>
      <c r="ZZ552"/>
      <c r="AAA552"/>
      <c r="AAB552"/>
      <c r="AAC552"/>
      <c r="AAD552"/>
      <c r="AAE552"/>
      <c r="AAF552"/>
      <c r="AAG552"/>
      <c r="AAH552"/>
      <c r="AAI552"/>
      <c r="AAJ552"/>
      <c r="AAK552"/>
      <c r="AAL552"/>
      <c r="AAM552"/>
      <c r="AAN552"/>
      <c r="AAO552"/>
      <c r="AAP552"/>
      <c r="AAQ552"/>
      <c r="AAR552"/>
      <c r="AAS552"/>
      <c r="AAT552"/>
      <c r="AAU552"/>
      <c r="AAV552"/>
      <c r="AAW552"/>
      <c r="AAX552"/>
      <c r="AAY552"/>
      <c r="AAZ552"/>
      <c r="ABA552"/>
      <c r="ABB552"/>
      <c r="ABC552"/>
      <c r="ABD552"/>
      <c r="ABE552"/>
      <c r="ABF552"/>
      <c r="ABG552"/>
      <c r="ABH552"/>
      <c r="ABI552"/>
      <c r="ABJ552"/>
      <c r="ABK552"/>
      <c r="ABL552"/>
      <c r="ABM552"/>
      <c r="ABN552"/>
      <c r="ABO552"/>
      <c r="ABP552"/>
      <c r="ABQ552"/>
      <c r="ABR552"/>
      <c r="ABS552"/>
      <c r="ABT552"/>
      <c r="ABU552"/>
      <c r="ABV552"/>
      <c r="ABW552"/>
      <c r="ABX552"/>
      <c r="ABY552"/>
      <c r="ABZ552"/>
      <c r="ACA552"/>
      <c r="ACB552"/>
      <c r="ACC552"/>
      <c r="ACD552"/>
      <c r="ACE552"/>
      <c r="ACF552"/>
      <c r="ACG552"/>
      <c r="ACH552"/>
      <c r="ACI552"/>
      <c r="ACJ552"/>
      <c r="ACK552"/>
      <c r="ACL552"/>
      <c r="ACM552"/>
      <c r="ACN552"/>
      <c r="ACO552"/>
      <c r="ACP552"/>
      <c r="ACQ552"/>
      <c r="ACR552"/>
      <c r="ACS552"/>
      <c r="ACT552"/>
      <c r="ACU552"/>
      <c r="ACV552"/>
      <c r="ACW552"/>
      <c r="ACX552"/>
      <c r="ACY552"/>
      <c r="ACZ552"/>
      <c r="ADA552"/>
      <c r="ADB552"/>
      <c r="ADC552"/>
      <c r="ADD552"/>
      <c r="ADE552"/>
      <c r="ADF552"/>
      <c r="ADG552"/>
      <c r="ADH552"/>
      <c r="ADI552"/>
      <c r="ADJ552"/>
      <c r="ADK552"/>
      <c r="ADL552"/>
      <c r="ADM552"/>
      <c r="ADN552"/>
      <c r="ADO552"/>
      <c r="ADP552"/>
      <c r="ADQ552"/>
      <c r="ADR552"/>
      <c r="ADS552"/>
      <c r="ADT552"/>
      <c r="ADU552"/>
      <c r="ADV552"/>
      <c r="ADW552"/>
      <c r="ADX552"/>
      <c r="ADY552"/>
      <c r="ADZ552"/>
      <c r="AEA552"/>
      <c r="AEB552"/>
      <c r="AEC552"/>
      <c r="AED552"/>
      <c r="AEE552"/>
      <c r="AEF552"/>
      <c r="AEG552"/>
      <c r="AEH552"/>
      <c r="AEI552"/>
      <c r="AEJ552"/>
      <c r="AEK552"/>
      <c r="AEL552"/>
      <c r="AEM552"/>
      <c r="AEN552"/>
      <c r="AEO552"/>
      <c r="AEP552"/>
      <c r="AEQ552"/>
      <c r="AER552"/>
      <c r="AES552"/>
      <c r="AET552"/>
      <c r="AEU552"/>
      <c r="AEV552"/>
      <c r="AEW552"/>
      <c r="AEX552"/>
      <c r="AEY552"/>
      <c r="AEZ552"/>
      <c r="AFA552"/>
      <c r="AFB552"/>
      <c r="AFC552"/>
      <c r="AFD552"/>
      <c r="AFE552"/>
      <c r="AFF552"/>
      <c r="AFG552"/>
      <c r="AFH552"/>
      <c r="AFI552"/>
      <c r="AFJ552"/>
      <c r="AFK552"/>
      <c r="AFL552"/>
      <c r="AFM552"/>
      <c r="AFN552"/>
      <c r="AFO552"/>
      <c r="AFP552"/>
      <c r="AFQ552"/>
      <c r="AFR552"/>
      <c r="AFS552"/>
      <c r="AFT552"/>
      <c r="AFU552"/>
      <c r="AFV552"/>
      <c r="AFW552"/>
      <c r="AFX552"/>
      <c r="AFY552"/>
      <c r="AFZ552"/>
      <c r="AGA552"/>
      <c r="AGB552"/>
      <c r="AGC552"/>
      <c r="AGD552"/>
      <c r="AGE552"/>
      <c r="AGF552"/>
      <c r="AGG552"/>
      <c r="AGH552"/>
      <c r="AGI552"/>
      <c r="AGJ552"/>
      <c r="AGK552"/>
      <c r="AGL552"/>
      <c r="AGM552"/>
      <c r="AGN552"/>
      <c r="AGO552"/>
      <c r="AGP552"/>
      <c r="AGQ552"/>
      <c r="AGR552"/>
      <c r="AGS552"/>
      <c r="AGT552"/>
      <c r="AGU552"/>
      <c r="AGV552"/>
      <c r="AGW552"/>
      <c r="AGX552"/>
      <c r="AGY552"/>
      <c r="AGZ552"/>
      <c r="AHA552"/>
      <c r="AHB552"/>
      <c r="AHC552"/>
      <c r="AHD552"/>
      <c r="AHE552"/>
      <c r="AHF552"/>
      <c r="AHG552"/>
      <c r="AHH552"/>
      <c r="AHI552"/>
      <c r="AHJ552"/>
      <c r="AHK552"/>
      <c r="AHL552"/>
      <c r="AHM552"/>
      <c r="AHN552"/>
      <c r="AHO552"/>
      <c r="AHP552"/>
      <c r="AHQ552"/>
      <c r="AHR552"/>
      <c r="AHS552"/>
      <c r="AHT552"/>
      <c r="AHU552"/>
      <c r="AHV552"/>
      <c r="AHW552"/>
      <c r="AHX552"/>
      <c r="AHY552"/>
      <c r="AHZ552"/>
      <c r="AIA552"/>
      <c r="AIB552"/>
      <c r="AIC552"/>
      <c r="AID552"/>
      <c r="AIE552"/>
      <c r="AIF552"/>
      <c r="AIG552"/>
      <c r="AIH552"/>
      <c r="AII552"/>
      <c r="AIJ552"/>
      <c r="AIK552"/>
      <c r="AIL552"/>
      <c r="AIM552"/>
      <c r="AIN552"/>
      <c r="AIO552"/>
      <c r="AIP552"/>
      <c r="AIQ552"/>
      <c r="AIR552"/>
      <c r="AIS552"/>
      <c r="AIT552"/>
      <c r="AIU552"/>
      <c r="AIV552"/>
      <c r="AIW552"/>
      <c r="AIX552"/>
      <c r="AIY552"/>
      <c r="AIZ552"/>
      <c r="AJA552"/>
      <c r="AJB552"/>
      <c r="AJC552"/>
      <c r="AJD552"/>
      <c r="AJE552"/>
      <c r="AJF552"/>
      <c r="AJG552"/>
      <c r="AJH552"/>
      <c r="AJI552"/>
      <c r="AJJ552"/>
      <c r="AJK552"/>
      <c r="AJL552"/>
      <c r="AJM552"/>
      <c r="AJN552"/>
      <c r="AJO552"/>
      <c r="AJP552"/>
      <c r="AJQ552"/>
      <c r="AJR552"/>
      <c r="AJS552"/>
      <c r="AJT552"/>
      <c r="AJU552"/>
      <c r="AJV552"/>
      <c r="AJW552"/>
      <c r="AJX552"/>
      <c r="AJY552"/>
      <c r="AJZ552"/>
      <c r="AKA552"/>
      <c r="AKB552"/>
      <c r="AKC552"/>
      <c r="AKD552"/>
      <c r="AKE552"/>
      <c r="AKF552"/>
      <c r="AKG552"/>
      <c r="AKH552"/>
      <c r="AKI552"/>
      <c r="AKJ552"/>
      <c r="AKK552"/>
      <c r="AKL552"/>
      <c r="AKM552"/>
      <c r="AKN552"/>
      <c r="AKO552"/>
      <c r="AKP552"/>
      <c r="AKQ552"/>
      <c r="AKR552"/>
      <c r="AKS552"/>
      <c r="AKT552"/>
      <c r="AKU552"/>
      <c r="AKV552"/>
      <c r="AKW552"/>
      <c r="AKX552"/>
      <c r="AKY552"/>
      <c r="AKZ552"/>
      <c r="ALA552"/>
      <c r="ALB552"/>
      <c r="ALC552"/>
      <c r="ALD552"/>
      <c r="ALE552"/>
      <c r="ALF552"/>
      <c r="ALG552"/>
      <c r="ALH552"/>
      <c r="ALI552"/>
      <c r="ALJ552"/>
      <c r="ALK552"/>
      <c r="ALL552"/>
      <c r="ALM552"/>
      <c r="ALN552"/>
      <c r="ALO552"/>
      <c r="ALP552"/>
      <c r="ALQ552"/>
      <c r="ALR552"/>
      <c r="ALS552"/>
      <c r="ALT552"/>
      <c r="ALU552"/>
      <c r="ALV552"/>
      <c r="ALW552"/>
      <c r="ALX552"/>
      <c r="ALY552"/>
      <c r="ALZ552"/>
      <c r="AMA552"/>
      <c r="AMB552"/>
      <c r="AMC552"/>
      <c r="AMD552"/>
      <c r="AME552"/>
      <c r="AMF552"/>
      <c r="AMG552"/>
      <c r="AMH552"/>
      <c r="AMI552"/>
      <c r="AMJ552"/>
      <c r="AMK552"/>
      <c r="AML552"/>
      <c r="AMM552"/>
      <c r="AMN552"/>
      <c r="AMO552"/>
      <c r="AMP552"/>
      <c r="AMQ552"/>
      <c r="AMR552"/>
      <c r="AMS552"/>
      <c r="AMT552"/>
      <c r="AMU552"/>
      <c r="AMV552"/>
      <c r="AMW552"/>
      <c r="AMX552"/>
      <c r="AMY552"/>
      <c r="AMZ552"/>
      <c r="ANA552"/>
      <c r="ANB552"/>
      <c r="ANC552"/>
      <c r="AND552"/>
      <c r="ANE552"/>
      <c r="ANF552"/>
      <c r="ANG552"/>
      <c r="ANH552"/>
      <c r="ANI552"/>
      <c r="ANJ552"/>
      <c r="ANK552"/>
      <c r="ANL552"/>
      <c r="ANM552"/>
      <c r="ANN552"/>
      <c r="ANO552"/>
      <c r="ANP552"/>
      <c r="ANQ552"/>
      <c r="ANR552"/>
      <c r="ANS552"/>
      <c r="ANT552"/>
      <c r="ANU552"/>
      <c r="ANV552"/>
      <c r="ANW552"/>
      <c r="ANX552"/>
      <c r="ANY552"/>
      <c r="ANZ552"/>
      <c r="AOA552"/>
      <c r="AOB552"/>
      <c r="AOC552"/>
      <c r="AOD552"/>
      <c r="AOE552"/>
      <c r="AOF552"/>
      <c r="AOG552"/>
      <c r="AOH552"/>
      <c r="AOI552"/>
      <c r="AOJ552"/>
      <c r="AOK552"/>
      <c r="AOL552"/>
      <c r="AOM552"/>
      <c r="AON552"/>
      <c r="AOO552"/>
      <c r="AOP552"/>
      <c r="AOQ552"/>
      <c r="AOR552"/>
      <c r="AOS552"/>
      <c r="AOT552"/>
      <c r="AOU552"/>
      <c r="AOV552"/>
      <c r="AOW552"/>
      <c r="AOX552"/>
      <c r="AOY552"/>
      <c r="AOZ552"/>
      <c r="APA552"/>
      <c r="APB552"/>
      <c r="APC552"/>
      <c r="APD552"/>
      <c r="APE552"/>
      <c r="APF552"/>
      <c r="APG552"/>
      <c r="APH552"/>
      <c r="API552"/>
      <c r="APJ552"/>
      <c r="APK552"/>
      <c r="APL552"/>
      <c r="APM552"/>
      <c r="APN552"/>
      <c r="APO552"/>
      <c r="APP552"/>
      <c r="APQ552"/>
      <c r="APR552"/>
      <c r="APS552"/>
      <c r="APT552"/>
      <c r="APU552"/>
      <c r="APV552"/>
      <c r="APW552"/>
      <c r="APX552"/>
      <c r="APY552"/>
      <c r="APZ552"/>
      <c r="AQA552"/>
      <c r="AQB552"/>
      <c r="AQC552"/>
      <c r="AQD552"/>
      <c r="AQE552"/>
      <c r="AQF552"/>
      <c r="AQG552"/>
      <c r="AQH552"/>
      <c r="AQI552"/>
      <c r="AQJ552"/>
      <c r="AQK552"/>
      <c r="AQL552"/>
      <c r="AQM552"/>
      <c r="AQN552"/>
      <c r="AQO552"/>
      <c r="AQP552"/>
      <c r="AQQ552"/>
      <c r="AQR552"/>
      <c r="AQS552"/>
      <c r="AQT552"/>
      <c r="AQU552"/>
      <c r="AQV552"/>
      <c r="AQW552"/>
      <c r="AQX552"/>
      <c r="AQY552"/>
      <c r="AQZ552"/>
      <c r="ARA552"/>
      <c r="ARB552"/>
      <c r="ARC552"/>
      <c r="ARD552"/>
      <c r="ARE552"/>
      <c r="ARF552"/>
      <c r="ARG552"/>
      <c r="ARH552"/>
      <c r="ARI552"/>
      <c r="ARJ552"/>
      <c r="ARK552"/>
      <c r="ARL552"/>
      <c r="ARM552"/>
      <c r="ARN552"/>
      <c r="ARO552"/>
      <c r="ARP552"/>
      <c r="ARQ552"/>
      <c r="ARR552"/>
      <c r="ARS552"/>
      <c r="ART552"/>
      <c r="ARU552"/>
      <c r="ARV552"/>
      <c r="ARW552"/>
      <c r="ARX552"/>
      <c r="ARY552"/>
      <c r="ARZ552"/>
      <c r="ASA552"/>
      <c r="ASB552"/>
      <c r="ASC552"/>
      <c r="ASD552"/>
      <c r="ASE552"/>
      <c r="ASF552"/>
      <c r="ASG552"/>
      <c r="ASH552"/>
      <c r="ASI552"/>
      <c r="ASJ552"/>
      <c r="ASK552"/>
      <c r="ASL552"/>
      <c r="ASM552"/>
      <c r="ASN552"/>
      <c r="ASO552"/>
      <c r="ASP552"/>
      <c r="ASQ552"/>
      <c r="ASR552"/>
      <c r="ASS552"/>
      <c r="AST552"/>
      <c r="ASU552"/>
      <c r="ASV552"/>
      <c r="ASW552"/>
      <c r="ASX552"/>
      <c r="ASY552"/>
      <c r="ASZ552"/>
      <c r="ATA552"/>
      <c r="ATB552"/>
      <c r="ATC552"/>
      <c r="ATD552"/>
      <c r="ATE552"/>
      <c r="ATF552"/>
      <c r="ATG552"/>
      <c r="ATH552"/>
      <c r="ATI552"/>
      <c r="ATJ552"/>
      <c r="ATK552"/>
      <c r="ATL552"/>
      <c r="ATM552"/>
      <c r="ATN552"/>
      <c r="ATO552"/>
      <c r="ATP552"/>
      <c r="ATQ552"/>
      <c r="ATR552"/>
      <c r="ATS552"/>
      <c r="ATT552"/>
      <c r="ATU552"/>
      <c r="ATV552"/>
      <c r="ATW552"/>
      <c r="ATX552"/>
      <c r="ATY552"/>
      <c r="ATZ552"/>
      <c r="AUA552"/>
      <c r="AUB552"/>
      <c r="AUC552"/>
      <c r="AUD552"/>
      <c r="AUE552"/>
      <c r="AUF552"/>
      <c r="AUG552"/>
      <c r="AUH552"/>
      <c r="AUI552"/>
      <c r="AUJ552"/>
      <c r="AUK552"/>
      <c r="AUL552"/>
      <c r="AUM552"/>
      <c r="AUN552"/>
      <c r="AUO552"/>
      <c r="AUP552"/>
      <c r="AUQ552"/>
      <c r="AUR552"/>
      <c r="AUS552"/>
      <c r="AUT552"/>
      <c r="AUU552"/>
      <c r="AUV552"/>
      <c r="AUW552"/>
      <c r="AUX552"/>
      <c r="AUY552"/>
      <c r="AUZ552"/>
      <c r="AVA552"/>
      <c r="AVB552"/>
      <c r="AVC552"/>
      <c r="AVD552"/>
      <c r="AVE552"/>
      <c r="AVF552"/>
      <c r="AVG552"/>
      <c r="AVH552"/>
      <c r="AVI552"/>
      <c r="AVJ552"/>
      <c r="AVK552"/>
      <c r="AVL552"/>
      <c r="AVM552"/>
      <c r="AVN552"/>
      <c r="AVO552"/>
      <c r="AVP552"/>
      <c r="AVQ552"/>
      <c r="AVR552"/>
      <c r="AVS552"/>
      <c r="AVT552"/>
      <c r="AVU552"/>
      <c r="AVV552"/>
      <c r="AVW552"/>
      <c r="AVX552"/>
      <c r="AVY552"/>
      <c r="AVZ552"/>
      <c r="AWA552"/>
      <c r="AWB552"/>
      <c r="AWC552"/>
      <c r="AWD552"/>
      <c r="AWE552"/>
      <c r="AWF552"/>
      <c r="AWG552"/>
      <c r="AWH552"/>
      <c r="AWI552"/>
      <c r="AWJ552"/>
      <c r="AWK552"/>
      <c r="AWL552"/>
      <c r="AWM552"/>
      <c r="AWN552"/>
      <c r="AWO552"/>
      <c r="AWP552"/>
      <c r="AWQ552"/>
      <c r="AWR552"/>
      <c r="AWS552"/>
      <c r="AWT552"/>
      <c r="AWU552"/>
      <c r="AWV552"/>
      <c r="AWW552"/>
      <c r="AWX552"/>
      <c r="AWY552"/>
      <c r="AWZ552"/>
      <c r="AXA552"/>
      <c r="AXB552"/>
      <c r="AXC552"/>
      <c r="AXD552"/>
      <c r="AXE552"/>
      <c r="AXF552"/>
      <c r="AXG552"/>
      <c r="AXH552"/>
      <c r="AXI552"/>
      <c r="AXJ552"/>
      <c r="AXK552"/>
      <c r="AXL552"/>
      <c r="AXM552"/>
      <c r="AXN552"/>
      <c r="AXO552"/>
      <c r="AXP552"/>
      <c r="AXQ552"/>
      <c r="AXR552"/>
      <c r="AXS552"/>
      <c r="AXT552"/>
      <c r="AXU552"/>
      <c r="AXV552"/>
      <c r="AXW552"/>
      <c r="AXX552"/>
      <c r="AXY552"/>
      <c r="AXZ552"/>
      <c r="AYA552"/>
      <c r="AYB552"/>
      <c r="AYC552"/>
      <c r="AYD552"/>
      <c r="AYE552"/>
      <c r="AYF552"/>
      <c r="AYG552"/>
      <c r="AYH552"/>
      <c r="AYI552"/>
      <c r="AYJ552"/>
      <c r="AYK552"/>
      <c r="AYL552"/>
      <c r="AYM552"/>
      <c r="AYN552"/>
      <c r="AYO552"/>
      <c r="AYP552"/>
      <c r="AYQ552"/>
      <c r="AYR552"/>
      <c r="AYS552"/>
      <c r="AYT552"/>
      <c r="AYU552"/>
      <c r="AYV552"/>
      <c r="AYW552"/>
      <c r="AYX552"/>
      <c r="AYY552"/>
      <c r="AYZ552"/>
      <c r="AZA552"/>
      <c r="AZB552"/>
      <c r="AZC552"/>
      <c r="AZD552"/>
      <c r="AZE552"/>
      <c r="AZF552"/>
      <c r="AZG552"/>
      <c r="AZH552"/>
      <c r="AZI552"/>
      <c r="AZJ552"/>
      <c r="AZK552"/>
      <c r="AZL552"/>
      <c r="AZM552"/>
      <c r="AZN552"/>
      <c r="AZO552"/>
      <c r="AZP552"/>
      <c r="AZQ552"/>
      <c r="AZR552"/>
      <c r="AZS552"/>
      <c r="AZT552"/>
      <c r="AZU552"/>
      <c r="AZV552"/>
      <c r="AZW552"/>
      <c r="AZX552"/>
      <c r="AZY552"/>
      <c r="AZZ552"/>
      <c r="BAA552"/>
      <c r="BAB552"/>
      <c r="BAC552"/>
      <c r="BAD552"/>
      <c r="BAE552"/>
      <c r="BAF552"/>
      <c r="BAG552"/>
      <c r="BAH552"/>
      <c r="BAI552"/>
      <c r="BAJ552"/>
      <c r="BAK552"/>
      <c r="BAL552"/>
      <c r="BAM552"/>
      <c r="BAN552"/>
      <c r="BAO552"/>
      <c r="BAP552"/>
      <c r="BAQ552"/>
      <c r="BAR552"/>
      <c r="BAS552"/>
      <c r="BAT552"/>
      <c r="BAU552"/>
      <c r="BAV552"/>
      <c r="BAW552"/>
      <c r="BAX552"/>
      <c r="BAY552"/>
      <c r="BAZ552"/>
      <c r="BBA552"/>
      <c r="BBB552"/>
      <c r="BBC552"/>
      <c r="BBD552"/>
      <c r="BBE552"/>
      <c r="BBF552"/>
      <c r="BBG552"/>
      <c r="BBH552"/>
      <c r="BBI552"/>
      <c r="BBJ552"/>
      <c r="BBK552"/>
      <c r="BBL552"/>
      <c r="BBM552"/>
      <c r="BBN552"/>
      <c r="BBO552"/>
      <c r="BBP552"/>
      <c r="BBQ552"/>
      <c r="BBR552"/>
      <c r="BBS552"/>
      <c r="BBT552"/>
      <c r="BBU552"/>
      <c r="BBV552"/>
      <c r="BBW552"/>
      <c r="BBX552"/>
      <c r="BBY552"/>
      <c r="BBZ552"/>
      <c r="BCA552"/>
      <c r="BCB552"/>
      <c r="BCC552"/>
      <c r="BCD552"/>
      <c r="BCE552"/>
      <c r="BCF552"/>
      <c r="BCG552"/>
      <c r="BCH552"/>
      <c r="BCI552"/>
      <c r="BCJ552"/>
      <c r="BCK552"/>
      <c r="BCL552"/>
      <c r="BCM552"/>
      <c r="BCN552"/>
      <c r="BCO552"/>
      <c r="BCP552"/>
      <c r="BCQ552"/>
      <c r="BCR552"/>
      <c r="BCS552"/>
      <c r="BCT552"/>
      <c r="BCU552"/>
      <c r="BCV552"/>
      <c r="BCW552"/>
      <c r="BCX552"/>
      <c r="BCY552"/>
      <c r="BCZ552"/>
      <c r="BDA552"/>
      <c r="BDB552"/>
      <c r="BDC552"/>
      <c r="BDD552"/>
      <c r="BDE552"/>
      <c r="BDF552"/>
      <c r="BDG552"/>
      <c r="BDH552"/>
      <c r="BDI552"/>
      <c r="BDJ552"/>
      <c r="BDK552"/>
      <c r="BDL552"/>
      <c r="BDM552"/>
      <c r="BDN552"/>
      <c r="BDO552"/>
      <c r="BDP552"/>
      <c r="BDQ552"/>
      <c r="BDR552"/>
      <c r="BDS552"/>
      <c r="BDT552"/>
      <c r="BDU552"/>
      <c r="BDV552"/>
      <c r="BDW552"/>
      <c r="BDX552"/>
      <c r="BDY552"/>
      <c r="BDZ552"/>
      <c r="BEA552"/>
      <c r="BEB552"/>
      <c r="BEC552"/>
      <c r="BED552"/>
      <c r="BEE552"/>
      <c r="BEF552"/>
      <c r="BEG552"/>
      <c r="BEH552"/>
      <c r="BEI552"/>
      <c r="BEJ552"/>
      <c r="BEK552"/>
      <c r="BEL552"/>
      <c r="BEM552"/>
      <c r="BEN552"/>
      <c r="BEO552"/>
      <c r="BEP552"/>
      <c r="BEQ552"/>
      <c r="BER552"/>
      <c r="BES552"/>
      <c r="BET552"/>
      <c r="BEU552"/>
      <c r="BEV552"/>
      <c r="BEW552"/>
      <c r="BEX552"/>
      <c r="BEY552"/>
      <c r="BEZ552"/>
      <c r="BFA552"/>
      <c r="BFB552"/>
      <c r="BFC552"/>
      <c r="BFD552"/>
      <c r="BFE552"/>
      <c r="BFF552"/>
      <c r="BFG552"/>
      <c r="BFH552"/>
      <c r="BFI552"/>
      <c r="BFJ552"/>
      <c r="BFK552"/>
      <c r="BFL552"/>
      <c r="BFM552"/>
      <c r="BFN552"/>
      <c r="BFO552"/>
      <c r="BFP552"/>
      <c r="BFQ552"/>
      <c r="BFR552"/>
      <c r="BFS552"/>
      <c r="BFT552"/>
      <c r="BFU552"/>
      <c r="BFV552"/>
      <c r="BFW552"/>
      <c r="BFX552"/>
      <c r="BFY552"/>
      <c r="BFZ552"/>
      <c r="BGA552"/>
      <c r="BGB552"/>
      <c r="BGC552"/>
      <c r="BGD552"/>
      <c r="BGE552"/>
      <c r="BGF552"/>
      <c r="BGG552"/>
      <c r="BGH552"/>
      <c r="BGI552"/>
      <c r="BGJ552"/>
      <c r="BGK552"/>
      <c r="BGL552"/>
      <c r="BGM552"/>
      <c r="BGN552"/>
      <c r="BGO552"/>
      <c r="BGP552"/>
      <c r="BGQ552"/>
      <c r="BGR552"/>
      <c r="BGS552"/>
      <c r="BGT552"/>
      <c r="BGU552"/>
      <c r="BGV552"/>
      <c r="BGW552"/>
      <c r="BGX552"/>
      <c r="BGY552"/>
      <c r="BGZ552"/>
      <c r="BHA552"/>
      <c r="BHB552"/>
      <c r="BHC552"/>
      <c r="BHD552"/>
      <c r="BHE552"/>
      <c r="BHF552"/>
      <c r="BHG552"/>
      <c r="BHH552"/>
      <c r="BHI552"/>
      <c r="BHJ552"/>
      <c r="BHK552"/>
      <c r="BHL552"/>
      <c r="BHM552"/>
      <c r="BHN552"/>
      <c r="BHO552"/>
      <c r="BHP552"/>
      <c r="BHQ552"/>
      <c r="BHR552"/>
      <c r="BHS552"/>
      <c r="BHT552"/>
      <c r="BHU552"/>
      <c r="BHV552"/>
      <c r="BHW552"/>
      <c r="BHX552"/>
      <c r="BHY552"/>
      <c r="BHZ552"/>
      <c r="BIA552"/>
      <c r="BIB552"/>
      <c r="BIC552"/>
      <c r="BID552"/>
      <c r="BIE552"/>
      <c r="BIF552"/>
      <c r="BIG552"/>
      <c r="BIH552"/>
      <c r="BII552"/>
      <c r="BIJ552"/>
      <c r="BIK552"/>
      <c r="BIL552"/>
      <c r="BIM552"/>
      <c r="BIN552"/>
      <c r="BIO552"/>
      <c r="BIP552"/>
      <c r="BIQ552"/>
      <c r="BIR552"/>
      <c r="BIS552"/>
      <c r="BIT552"/>
      <c r="BIU552"/>
      <c r="BIV552"/>
      <c r="BIW552"/>
      <c r="BIX552"/>
      <c r="BIY552"/>
      <c r="BIZ552"/>
      <c r="BJA552"/>
      <c r="BJB552"/>
      <c r="BJC552"/>
      <c r="BJD552"/>
      <c r="BJE552"/>
      <c r="BJF552"/>
      <c r="BJG552"/>
      <c r="BJH552"/>
      <c r="BJI552"/>
      <c r="BJJ552"/>
      <c r="BJK552"/>
      <c r="BJL552"/>
      <c r="BJM552"/>
      <c r="BJN552"/>
      <c r="BJO552"/>
      <c r="BJP552"/>
      <c r="BJQ552"/>
      <c r="BJR552"/>
      <c r="BJS552"/>
      <c r="BJT552"/>
      <c r="BJU552"/>
      <c r="BJV552"/>
      <c r="BJW552"/>
      <c r="BJX552"/>
      <c r="BJY552"/>
      <c r="BJZ552"/>
      <c r="BKA552"/>
      <c r="BKB552"/>
      <c r="BKC552"/>
      <c r="BKD552"/>
      <c r="BKE552"/>
      <c r="BKF552"/>
      <c r="BKG552"/>
      <c r="BKH552"/>
      <c r="BKI552"/>
      <c r="BKJ552"/>
      <c r="BKK552"/>
      <c r="BKL552"/>
      <c r="BKM552"/>
      <c r="BKN552"/>
      <c r="BKO552"/>
      <c r="BKP552"/>
      <c r="BKQ552"/>
      <c r="BKR552"/>
      <c r="BKS552"/>
      <c r="BKT552"/>
      <c r="BKU552"/>
      <c r="BKV552"/>
      <c r="BKW552"/>
      <c r="BKX552"/>
      <c r="BKY552"/>
      <c r="BKZ552"/>
      <c r="BLA552"/>
      <c r="BLB552"/>
      <c r="BLC552"/>
      <c r="BLD552"/>
      <c r="BLE552"/>
      <c r="BLF552"/>
      <c r="BLG552"/>
      <c r="BLH552"/>
      <c r="BLI552"/>
      <c r="BLJ552"/>
      <c r="BLK552"/>
      <c r="BLL552"/>
      <c r="BLM552"/>
      <c r="BLN552"/>
      <c r="BLO552"/>
      <c r="BLP552"/>
      <c r="BLQ552"/>
      <c r="BLR552"/>
      <c r="BLS552"/>
      <c r="BLT552"/>
      <c r="BLU552"/>
      <c r="BLV552"/>
      <c r="BLW552"/>
      <c r="BLX552"/>
      <c r="BLY552"/>
      <c r="BLZ552"/>
      <c r="BMA552"/>
      <c r="BMB552"/>
      <c r="BMC552"/>
      <c r="BMD552"/>
      <c r="BME552"/>
      <c r="BMF552"/>
      <c r="BMG552"/>
      <c r="BMH552"/>
      <c r="BMI552"/>
      <c r="BMJ552"/>
      <c r="BMK552"/>
      <c r="BML552"/>
      <c r="BMM552"/>
      <c r="BMN552"/>
      <c r="BMO552"/>
      <c r="BMP552"/>
      <c r="BMQ552"/>
      <c r="BMR552"/>
      <c r="BMS552"/>
      <c r="BMT552"/>
      <c r="BMU552"/>
      <c r="BMV552"/>
      <c r="BMW552"/>
      <c r="BMX552"/>
      <c r="BMY552"/>
      <c r="BMZ552"/>
      <c r="BNA552"/>
      <c r="BNB552"/>
      <c r="BNC552"/>
      <c r="BND552"/>
      <c r="BNE552"/>
      <c r="BNF552"/>
      <c r="BNG552"/>
      <c r="BNH552"/>
      <c r="BNI552"/>
      <c r="BNJ552"/>
      <c r="BNK552"/>
      <c r="BNL552"/>
      <c r="BNM552"/>
      <c r="BNN552"/>
      <c r="BNO552"/>
      <c r="BNP552"/>
      <c r="BNQ552"/>
      <c r="BNR552"/>
      <c r="BNS552"/>
      <c r="BNT552"/>
      <c r="BNU552"/>
      <c r="BNV552"/>
      <c r="BNW552"/>
      <c r="BNX552"/>
      <c r="BNY552"/>
      <c r="BNZ552"/>
      <c r="BOA552"/>
      <c r="BOB552"/>
      <c r="BOC552"/>
      <c r="BOD552"/>
      <c r="BOE552"/>
      <c r="BOF552"/>
      <c r="BOG552"/>
      <c r="BOH552"/>
      <c r="BOI552"/>
      <c r="BOJ552"/>
      <c r="BOK552"/>
      <c r="BOL552"/>
      <c r="BOM552"/>
      <c r="BON552"/>
      <c r="BOO552"/>
      <c r="BOP552"/>
      <c r="BOQ552"/>
      <c r="BOR552"/>
      <c r="BOS552"/>
      <c r="BOT552"/>
      <c r="BOU552"/>
      <c r="BOV552"/>
      <c r="BOW552"/>
      <c r="BOX552"/>
      <c r="BOY552"/>
      <c r="BOZ552"/>
      <c r="BPA552"/>
      <c r="BPB552"/>
      <c r="BPC552"/>
      <c r="BPD552"/>
      <c r="BPE552"/>
      <c r="BPF552"/>
      <c r="BPG552"/>
      <c r="BPH552"/>
      <c r="BPI552"/>
      <c r="BPJ552"/>
      <c r="BPK552"/>
      <c r="BPL552"/>
      <c r="BPM552"/>
      <c r="BPN552"/>
      <c r="BPO552"/>
      <c r="BPP552"/>
      <c r="BPQ552"/>
      <c r="BPR552"/>
      <c r="BPS552"/>
      <c r="BPT552"/>
      <c r="BPU552"/>
      <c r="BPV552"/>
      <c r="BPW552"/>
      <c r="BPX552"/>
      <c r="BPY552"/>
      <c r="BPZ552"/>
      <c r="BQA552"/>
      <c r="BQB552"/>
      <c r="BQC552"/>
      <c r="BQD552"/>
      <c r="BQE552"/>
      <c r="BQF552"/>
      <c r="BQG552"/>
      <c r="BQH552"/>
      <c r="BQI552"/>
      <c r="BQJ552"/>
      <c r="BQK552"/>
      <c r="BQL552"/>
      <c r="BQM552"/>
      <c r="BQN552"/>
      <c r="BQO552"/>
      <c r="BQP552"/>
      <c r="BQQ552"/>
      <c r="BQR552"/>
      <c r="BQS552"/>
      <c r="BQT552"/>
      <c r="BQU552"/>
      <c r="BQV552"/>
      <c r="BQW552"/>
      <c r="BQX552"/>
      <c r="BQY552"/>
      <c r="BQZ552"/>
      <c r="BRA552"/>
      <c r="BRB552"/>
      <c r="BRC552"/>
      <c r="BRD552"/>
      <c r="BRE552"/>
      <c r="BRF552"/>
      <c r="BRG552"/>
      <c r="BRH552"/>
      <c r="BRI552"/>
      <c r="BRJ552"/>
      <c r="BRK552"/>
      <c r="BRL552"/>
      <c r="BRM552"/>
      <c r="BRN552"/>
      <c r="BRO552"/>
      <c r="BRP552"/>
      <c r="BRQ552"/>
      <c r="BRR552"/>
      <c r="BRS552"/>
      <c r="BRT552"/>
      <c r="BRU552"/>
      <c r="BRV552"/>
      <c r="BRW552"/>
      <c r="BRX552"/>
      <c r="BRY552"/>
      <c r="BRZ552"/>
      <c r="BSA552"/>
      <c r="BSB552"/>
      <c r="BSC552"/>
      <c r="BSD552"/>
      <c r="BSE552"/>
      <c r="BSF552"/>
      <c r="BSG552"/>
      <c r="BSH552"/>
      <c r="BSI552"/>
      <c r="BSJ552"/>
      <c r="BSK552"/>
      <c r="BSL552"/>
      <c r="BSM552"/>
      <c r="BSN552"/>
      <c r="BSO552"/>
      <c r="BSP552"/>
      <c r="BSQ552"/>
      <c r="BSR552"/>
      <c r="BSS552"/>
      <c r="BST552"/>
      <c r="BSU552"/>
      <c r="BSV552"/>
      <c r="BSW552"/>
      <c r="BSX552"/>
      <c r="BSY552"/>
      <c r="BSZ552"/>
      <c r="BTA552"/>
      <c r="BTB552"/>
      <c r="BTC552"/>
      <c r="BTD552"/>
      <c r="BTE552"/>
      <c r="BTF552"/>
      <c r="BTG552"/>
      <c r="BTH552"/>
      <c r="BTI552"/>
      <c r="BTJ552"/>
      <c r="BTK552"/>
      <c r="BTL552"/>
      <c r="BTM552"/>
      <c r="BTN552"/>
      <c r="BTO552"/>
      <c r="BTP552"/>
      <c r="BTQ552"/>
      <c r="BTR552"/>
      <c r="BTS552"/>
      <c r="BTT552"/>
      <c r="BTU552"/>
      <c r="BTV552"/>
      <c r="BTW552"/>
      <c r="BTX552"/>
      <c r="BTY552"/>
      <c r="BTZ552"/>
      <c r="BUA552"/>
      <c r="BUB552"/>
      <c r="BUC552"/>
      <c r="BUD552"/>
      <c r="BUE552"/>
      <c r="BUF552"/>
      <c r="BUG552"/>
      <c r="BUH552"/>
      <c r="BUI552"/>
      <c r="BUJ552"/>
      <c r="BUK552"/>
      <c r="BUL552"/>
      <c r="BUM552"/>
      <c r="BUN552"/>
      <c r="BUO552"/>
      <c r="BUP552"/>
      <c r="BUQ552"/>
      <c r="BUR552"/>
      <c r="BUS552"/>
      <c r="BUT552"/>
      <c r="BUU552"/>
      <c r="BUV552"/>
      <c r="BUW552"/>
      <c r="BUX552"/>
      <c r="BUY552"/>
      <c r="BUZ552"/>
      <c r="BVA552"/>
      <c r="BVB552"/>
      <c r="BVC552"/>
      <c r="BVD552"/>
      <c r="BVE552"/>
      <c r="BVF552"/>
      <c r="BVG552"/>
      <c r="BVH552"/>
      <c r="BVI552"/>
      <c r="BVJ552"/>
      <c r="BVK552"/>
      <c r="BVL552"/>
      <c r="BVM552"/>
      <c r="BVN552"/>
      <c r="BVO552"/>
      <c r="BVP552"/>
      <c r="BVQ552"/>
      <c r="BVR552"/>
      <c r="BVS552"/>
      <c r="BVT552"/>
      <c r="BVU552"/>
      <c r="BVV552"/>
      <c r="BVW552"/>
      <c r="BVX552"/>
      <c r="BVY552"/>
      <c r="BVZ552"/>
      <c r="BWA552"/>
      <c r="BWB552"/>
      <c r="BWC552"/>
      <c r="BWD552"/>
      <c r="BWE552"/>
      <c r="BWF552"/>
      <c r="BWG552"/>
      <c r="BWH552"/>
      <c r="BWI552"/>
      <c r="BWJ552"/>
      <c r="BWK552"/>
      <c r="BWL552"/>
      <c r="BWM552"/>
      <c r="BWN552"/>
      <c r="BWO552"/>
      <c r="BWP552"/>
      <c r="BWQ552"/>
      <c r="BWR552"/>
      <c r="BWS552"/>
      <c r="BWT552"/>
      <c r="BWU552"/>
      <c r="BWV552"/>
      <c r="BWW552"/>
      <c r="BWX552"/>
      <c r="BWY552"/>
      <c r="BWZ552"/>
      <c r="BXA552"/>
      <c r="BXB552"/>
      <c r="BXC552"/>
      <c r="BXD552"/>
      <c r="BXE552"/>
      <c r="BXF552"/>
      <c r="BXG552"/>
      <c r="BXH552"/>
      <c r="BXI552"/>
      <c r="BXJ552"/>
      <c r="BXK552"/>
      <c r="BXL552"/>
      <c r="BXM552"/>
      <c r="BXN552"/>
      <c r="BXO552"/>
      <c r="BXP552"/>
      <c r="BXQ552"/>
      <c r="BXR552"/>
      <c r="BXS552"/>
      <c r="BXT552"/>
      <c r="BXU552"/>
      <c r="BXV552"/>
      <c r="BXW552"/>
      <c r="BXX552"/>
      <c r="BXY552"/>
      <c r="BXZ552"/>
      <c r="BYA552"/>
      <c r="BYB552"/>
      <c r="BYC552"/>
      <c r="BYD552"/>
      <c r="BYE552"/>
      <c r="BYF552"/>
      <c r="BYG552"/>
      <c r="BYH552"/>
      <c r="BYI552"/>
      <c r="BYJ552"/>
      <c r="BYK552"/>
      <c r="BYL552"/>
      <c r="BYM552"/>
      <c r="BYN552"/>
      <c r="BYO552"/>
      <c r="BYP552"/>
      <c r="BYQ552"/>
      <c r="BYR552"/>
      <c r="BYS552"/>
      <c r="BYT552"/>
      <c r="BYU552"/>
      <c r="BYV552"/>
      <c r="BYW552"/>
      <c r="BYX552"/>
      <c r="BYY552"/>
      <c r="BYZ552"/>
      <c r="BZA552"/>
      <c r="BZB552"/>
      <c r="BZC552"/>
      <c r="BZD552"/>
      <c r="BZE552"/>
      <c r="BZF552"/>
      <c r="BZG552"/>
      <c r="BZH552"/>
      <c r="BZI552"/>
      <c r="BZJ552"/>
      <c r="BZK552"/>
      <c r="BZL552"/>
      <c r="BZM552"/>
      <c r="BZN552"/>
      <c r="BZO552"/>
      <c r="BZP552"/>
      <c r="BZQ552"/>
      <c r="BZR552"/>
      <c r="BZS552"/>
      <c r="BZT552"/>
      <c r="BZU552"/>
      <c r="BZV552"/>
      <c r="BZW552"/>
      <c r="BZX552"/>
      <c r="BZY552"/>
      <c r="BZZ552"/>
      <c r="CAA552"/>
      <c r="CAB552"/>
      <c r="CAC552"/>
      <c r="CAD552"/>
      <c r="CAE552"/>
      <c r="CAF552"/>
      <c r="CAG552"/>
      <c r="CAH552"/>
      <c r="CAI552"/>
      <c r="CAJ552"/>
      <c r="CAK552"/>
      <c r="CAL552"/>
      <c r="CAM552"/>
      <c r="CAN552"/>
      <c r="CAO552"/>
      <c r="CAP552"/>
      <c r="CAQ552"/>
      <c r="CAR552"/>
      <c r="CAS552"/>
      <c r="CAT552"/>
      <c r="CAU552"/>
      <c r="CAV552"/>
      <c r="CAW552"/>
      <c r="CAX552"/>
      <c r="CAY552"/>
      <c r="CAZ552"/>
      <c r="CBA552"/>
      <c r="CBB552"/>
      <c r="CBC552"/>
      <c r="CBD552"/>
      <c r="CBE552"/>
      <c r="CBF552"/>
      <c r="CBG552"/>
      <c r="CBH552"/>
      <c r="CBI552"/>
      <c r="CBJ552"/>
      <c r="CBK552"/>
      <c r="CBL552"/>
      <c r="CBM552"/>
      <c r="CBN552"/>
      <c r="CBO552"/>
      <c r="CBP552"/>
      <c r="CBQ552"/>
      <c r="CBR552"/>
      <c r="CBS552"/>
      <c r="CBT552"/>
      <c r="CBU552"/>
      <c r="CBV552"/>
      <c r="CBW552"/>
      <c r="CBX552"/>
      <c r="CBY552"/>
      <c r="CBZ552"/>
      <c r="CCA552"/>
      <c r="CCB552"/>
      <c r="CCC552"/>
      <c r="CCD552"/>
      <c r="CCE552"/>
      <c r="CCF552"/>
      <c r="CCG552"/>
      <c r="CCH552"/>
      <c r="CCI552"/>
      <c r="CCJ552"/>
      <c r="CCK552"/>
      <c r="CCL552"/>
      <c r="CCM552"/>
      <c r="CCN552"/>
      <c r="CCO552"/>
      <c r="CCP552"/>
      <c r="CCQ552"/>
      <c r="CCR552"/>
      <c r="CCS552"/>
      <c r="CCT552"/>
      <c r="CCU552"/>
      <c r="CCV552"/>
      <c r="CCW552"/>
      <c r="CCX552"/>
      <c r="CCY552"/>
      <c r="CCZ552"/>
      <c r="CDA552"/>
      <c r="CDB552"/>
      <c r="CDC552"/>
      <c r="CDD552"/>
      <c r="CDE552"/>
      <c r="CDF552"/>
      <c r="CDG552"/>
      <c r="CDH552"/>
      <c r="CDI552"/>
      <c r="CDJ552"/>
      <c r="CDK552"/>
      <c r="CDL552"/>
      <c r="CDM552"/>
      <c r="CDN552"/>
      <c r="CDO552"/>
      <c r="CDP552"/>
      <c r="CDQ552"/>
      <c r="CDR552"/>
      <c r="CDS552"/>
      <c r="CDT552"/>
      <c r="CDU552"/>
      <c r="CDV552"/>
      <c r="CDW552"/>
      <c r="CDX552"/>
      <c r="CDY552"/>
      <c r="CDZ552"/>
      <c r="CEA552"/>
      <c r="CEB552"/>
      <c r="CEC552"/>
      <c r="CED552"/>
      <c r="CEE552"/>
      <c r="CEF552"/>
      <c r="CEG552"/>
      <c r="CEH552"/>
      <c r="CEI552"/>
      <c r="CEJ552"/>
      <c r="CEK552"/>
      <c r="CEL552"/>
      <c r="CEM552"/>
      <c r="CEN552"/>
      <c r="CEO552"/>
      <c r="CEP552"/>
      <c r="CEQ552"/>
      <c r="CER552"/>
      <c r="CES552"/>
      <c r="CET552"/>
      <c r="CEU552"/>
      <c r="CEV552"/>
      <c r="CEW552"/>
      <c r="CEX552"/>
      <c r="CEY552"/>
      <c r="CEZ552"/>
      <c r="CFA552"/>
      <c r="CFB552"/>
      <c r="CFC552"/>
      <c r="CFD552"/>
      <c r="CFE552"/>
      <c r="CFF552"/>
      <c r="CFG552"/>
      <c r="CFH552"/>
      <c r="CFI552"/>
      <c r="CFJ552"/>
      <c r="CFK552"/>
      <c r="CFL552"/>
      <c r="CFM552"/>
      <c r="CFN552"/>
      <c r="CFO552"/>
      <c r="CFP552"/>
      <c r="CFQ552"/>
      <c r="CFR552"/>
      <c r="CFS552"/>
      <c r="CFT552"/>
      <c r="CFU552"/>
      <c r="CFV552"/>
      <c r="CFW552"/>
      <c r="CFX552"/>
      <c r="CFY552"/>
      <c r="CFZ552"/>
      <c r="CGA552"/>
      <c r="CGB552"/>
      <c r="CGC552"/>
      <c r="CGD552"/>
      <c r="CGE552"/>
      <c r="CGF552"/>
      <c r="CGG552"/>
      <c r="CGH552"/>
      <c r="CGI552"/>
      <c r="CGJ552"/>
      <c r="CGK552"/>
      <c r="CGL552"/>
      <c r="CGM552"/>
      <c r="CGN552"/>
      <c r="CGO552"/>
      <c r="CGP552"/>
      <c r="CGQ552"/>
      <c r="CGR552"/>
      <c r="CGS552"/>
      <c r="CGT552"/>
      <c r="CGU552"/>
      <c r="CGV552"/>
      <c r="CGW552"/>
      <c r="CGX552"/>
      <c r="CGY552"/>
      <c r="CGZ552"/>
      <c r="CHA552"/>
      <c r="CHB552"/>
      <c r="CHC552"/>
      <c r="CHD552"/>
      <c r="CHE552"/>
      <c r="CHF552"/>
      <c r="CHG552"/>
      <c r="CHH552"/>
      <c r="CHI552"/>
      <c r="CHJ552"/>
      <c r="CHK552"/>
      <c r="CHL552"/>
      <c r="CHM552"/>
      <c r="CHN552"/>
      <c r="CHO552"/>
      <c r="CHP552"/>
      <c r="CHQ552"/>
      <c r="CHR552"/>
      <c r="CHS552"/>
      <c r="CHT552"/>
      <c r="CHU552"/>
      <c r="CHV552"/>
      <c r="CHW552"/>
      <c r="CHX552"/>
      <c r="CHY552"/>
      <c r="CHZ552"/>
      <c r="CIA552"/>
      <c r="CIB552"/>
      <c r="CIC552"/>
      <c r="CID552"/>
      <c r="CIE552"/>
      <c r="CIF552"/>
      <c r="CIG552"/>
      <c r="CIH552"/>
      <c r="CII552"/>
      <c r="CIJ552"/>
      <c r="CIK552"/>
      <c r="CIL552"/>
      <c r="CIM552"/>
      <c r="CIN552"/>
      <c r="CIO552"/>
      <c r="CIP552"/>
      <c r="CIQ552"/>
      <c r="CIR552"/>
      <c r="CIS552"/>
      <c r="CIT552"/>
      <c r="CIU552"/>
      <c r="CIV552"/>
      <c r="CIW552"/>
      <c r="CIX552"/>
      <c r="CIY552"/>
      <c r="CIZ552"/>
      <c r="CJA552"/>
      <c r="CJB552"/>
      <c r="CJC552"/>
      <c r="CJD552"/>
      <c r="CJE552"/>
      <c r="CJF552"/>
      <c r="CJG552"/>
      <c r="CJH552"/>
      <c r="CJI552"/>
      <c r="CJJ552"/>
      <c r="CJK552"/>
      <c r="CJL552"/>
      <c r="CJM552"/>
      <c r="CJN552"/>
      <c r="CJO552"/>
      <c r="CJP552"/>
      <c r="CJQ552"/>
      <c r="CJR552"/>
      <c r="CJS552"/>
      <c r="CJT552"/>
      <c r="CJU552"/>
      <c r="CJV552"/>
      <c r="CJW552"/>
      <c r="CJX552"/>
      <c r="CJY552"/>
      <c r="CJZ552"/>
      <c r="CKA552"/>
      <c r="CKB552"/>
      <c r="CKC552"/>
      <c r="CKD552"/>
      <c r="CKE552"/>
      <c r="CKF552"/>
      <c r="CKG552"/>
      <c r="CKH552"/>
      <c r="CKI552"/>
      <c r="CKJ552"/>
      <c r="CKK552"/>
      <c r="CKL552"/>
      <c r="CKM552"/>
      <c r="CKN552"/>
      <c r="CKO552"/>
      <c r="CKP552"/>
      <c r="CKQ552"/>
      <c r="CKR552"/>
      <c r="CKS552"/>
      <c r="CKT552"/>
      <c r="CKU552"/>
      <c r="CKV552"/>
      <c r="CKW552"/>
      <c r="CKX552"/>
      <c r="CKY552"/>
      <c r="CKZ552"/>
      <c r="CLA552"/>
      <c r="CLB552"/>
      <c r="CLC552"/>
      <c r="CLD552"/>
      <c r="CLE552"/>
      <c r="CLF552"/>
      <c r="CLG552"/>
      <c r="CLH552"/>
      <c r="CLI552"/>
      <c r="CLJ552"/>
      <c r="CLK552"/>
      <c r="CLL552"/>
      <c r="CLM552"/>
      <c r="CLN552"/>
      <c r="CLO552"/>
      <c r="CLP552"/>
      <c r="CLQ552"/>
      <c r="CLR552"/>
      <c r="CLS552"/>
      <c r="CLT552"/>
      <c r="CLU552"/>
      <c r="CLV552"/>
      <c r="CLW552"/>
      <c r="CLX552"/>
      <c r="CLY552"/>
      <c r="CLZ552"/>
      <c r="CMA552"/>
      <c r="CMB552"/>
      <c r="CMC552"/>
      <c r="CMD552"/>
      <c r="CME552"/>
      <c r="CMF552"/>
      <c r="CMG552"/>
      <c r="CMH552"/>
      <c r="CMI552"/>
      <c r="CMJ552"/>
      <c r="CMK552"/>
      <c r="CML552"/>
      <c r="CMM552"/>
      <c r="CMN552"/>
      <c r="CMO552"/>
      <c r="CMP552"/>
      <c r="CMQ552"/>
      <c r="CMR552"/>
      <c r="CMS552"/>
      <c r="CMT552"/>
      <c r="CMU552"/>
      <c r="CMV552"/>
      <c r="CMW552"/>
      <c r="CMX552"/>
      <c r="CMY552"/>
      <c r="CMZ552"/>
      <c r="CNA552"/>
      <c r="CNB552"/>
      <c r="CNC552"/>
      <c r="CND552"/>
      <c r="CNE552"/>
      <c r="CNF552"/>
      <c r="CNG552"/>
      <c r="CNH552"/>
      <c r="CNI552"/>
      <c r="CNJ552"/>
      <c r="CNK552"/>
      <c r="CNL552"/>
      <c r="CNM552"/>
      <c r="CNN552"/>
      <c r="CNO552"/>
      <c r="CNP552"/>
      <c r="CNQ552"/>
      <c r="CNR552"/>
      <c r="CNS552"/>
      <c r="CNT552"/>
      <c r="CNU552"/>
      <c r="CNV552"/>
      <c r="CNW552"/>
      <c r="CNX552"/>
      <c r="CNY552"/>
      <c r="CNZ552"/>
      <c r="COA552"/>
      <c r="COB552"/>
      <c r="COC552"/>
      <c r="COD552"/>
      <c r="COE552"/>
      <c r="COF552"/>
      <c r="COG552"/>
      <c r="COH552"/>
      <c r="COI552"/>
      <c r="COJ552"/>
      <c r="COK552"/>
      <c r="COL552"/>
      <c r="COM552"/>
      <c r="CON552"/>
      <c r="COO552"/>
      <c r="COP552"/>
      <c r="COQ552"/>
      <c r="COR552"/>
      <c r="COS552"/>
      <c r="COT552"/>
      <c r="COU552"/>
      <c r="COV552"/>
      <c r="COW552"/>
      <c r="COX552"/>
      <c r="COY552"/>
      <c r="COZ552"/>
      <c r="CPA552"/>
      <c r="CPB552"/>
      <c r="CPC552"/>
      <c r="CPD552"/>
      <c r="CPE552"/>
      <c r="CPF552"/>
      <c r="CPG552"/>
      <c r="CPH552"/>
      <c r="CPI552"/>
      <c r="CPJ552"/>
      <c r="CPK552"/>
      <c r="CPL552"/>
      <c r="CPM552"/>
      <c r="CPN552"/>
      <c r="CPO552"/>
      <c r="CPP552"/>
      <c r="CPQ552"/>
      <c r="CPR552"/>
      <c r="CPS552"/>
      <c r="CPT552"/>
      <c r="CPU552"/>
      <c r="CPV552"/>
      <c r="CPW552"/>
      <c r="CPX552"/>
      <c r="CPY552"/>
      <c r="CPZ552"/>
      <c r="CQA552"/>
      <c r="CQB552"/>
      <c r="CQC552"/>
      <c r="CQD552"/>
      <c r="CQE552"/>
      <c r="CQF552"/>
      <c r="CQG552"/>
      <c r="CQH552"/>
      <c r="CQI552"/>
      <c r="CQJ552"/>
      <c r="CQK552"/>
      <c r="CQL552"/>
      <c r="CQM552"/>
      <c r="CQN552"/>
      <c r="CQO552"/>
      <c r="CQP552"/>
      <c r="CQQ552"/>
      <c r="CQR552"/>
      <c r="CQS552"/>
      <c r="CQT552"/>
      <c r="CQU552"/>
      <c r="CQV552"/>
      <c r="CQW552"/>
      <c r="CQX552"/>
      <c r="CQY552"/>
      <c r="CQZ552"/>
      <c r="CRA552"/>
      <c r="CRB552"/>
      <c r="CRC552"/>
      <c r="CRD552"/>
      <c r="CRE552"/>
      <c r="CRF552"/>
      <c r="CRG552"/>
      <c r="CRH552"/>
      <c r="CRI552"/>
      <c r="CRJ552"/>
      <c r="CRK552"/>
      <c r="CRL552"/>
      <c r="CRM552"/>
      <c r="CRN552"/>
      <c r="CRO552"/>
      <c r="CRP552"/>
      <c r="CRQ552"/>
      <c r="CRR552"/>
      <c r="CRS552"/>
      <c r="CRT552"/>
      <c r="CRU552"/>
      <c r="CRV552"/>
      <c r="CRW552"/>
      <c r="CRX552"/>
      <c r="CRY552"/>
      <c r="CRZ552"/>
      <c r="CSA552"/>
      <c r="CSB552"/>
      <c r="CSC552"/>
      <c r="CSD552"/>
      <c r="CSE552"/>
      <c r="CSF552"/>
      <c r="CSG552"/>
      <c r="CSH552"/>
      <c r="CSI552"/>
      <c r="CSJ552"/>
      <c r="CSK552"/>
      <c r="CSL552"/>
      <c r="CSM552"/>
      <c r="CSN552"/>
      <c r="CSO552"/>
      <c r="CSP552"/>
      <c r="CSQ552"/>
      <c r="CSR552"/>
      <c r="CSS552"/>
      <c r="CST552"/>
      <c r="CSU552"/>
      <c r="CSV552"/>
      <c r="CSW552"/>
      <c r="CSX552"/>
      <c r="CSY552"/>
      <c r="CSZ552"/>
      <c r="CTA552"/>
      <c r="CTB552"/>
      <c r="CTC552"/>
      <c r="CTD552"/>
      <c r="CTE552"/>
      <c r="CTF552"/>
      <c r="CTG552"/>
      <c r="CTH552"/>
      <c r="CTI552"/>
      <c r="CTJ552"/>
      <c r="CTK552"/>
      <c r="CTL552"/>
      <c r="CTM552"/>
      <c r="CTN552"/>
      <c r="CTO552"/>
      <c r="CTP552"/>
      <c r="CTQ552"/>
      <c r="CTR552"/>
      <c r="CTS552"/>
      <c r="CTT552"/>
      <c r="CTU552"/>
      <c r="CTV552"/>
      <c r="CTW552"/>
      <c r="CTX552"/>
      <c r="CTY552"/>
      <c r="CTZ552"/>
      <c r="CUA552"/>
      <c r="CUB552"/>
      <c r="CUC552"/>
      <c r="CUD552"/>
      <c r="CUE552"/>
      <c r="CUF552"/>
      <c r="CUG552"/>
      <c r="CUH552"/>
      <c r="CUI552"/>
      <c r="CUJ552"/>
      <c r="CUK552"/>
      <c r="CUL552"/>
      <c r="CUM552"/>
      <c r="CUN552"/>
      <c r="CUO552"/>
      <c r="CUP552"/>
      <c r="CUQ552"/>
      <c r="CUR552"/>
      <c r="CUS552"/>
      <c r="CUT552"/>
      <c r="CUU552"/>
      <c r="CUV552"/>
      <c r="CUW552"/>
      <c r="CUX552"/>
      <c r="CUY552"/>
      <c r="CUZ552"/>
      <c r="CVA552"/>
      <c r="CVB552"/>
      <c r="CVC552"/>
      <c r="CVD552"/>
      <c r="CVE552"/>
      <c r="CVF552"/>
      <c r="CVG552"/>
      <c r="CVH552"/>
      <c r="CVI552"/>
      <c r="CVJ552"/>
      <c r="CVK552"/>
      <c r="CVL552"/>
      <c r="CVM552"/>
      <c r="CVN552"/>
      <c r="CVO552"/>
      <c r="CVP552"/>
      <c r="CVQ552"/>
      <c r="CVR552"/>
      <c r="CVS552"/>
      <c r="CVT552"/>
      <c r="CVU552"/>
      <c r="CVV552"/>
      <c r="CVW552"/>
      <c r="CVX552"/>
      <c r="CVY552"/>
      <c r="CVZ552"/>
      <c r="CWA552"/>
      <c r="CWB552"/>
      <c r="CWC552"/>
      <c r="CWD552"/>
      <c r="CWE552"/>
      <c r="CWF552"/>
      <c r="CWG552"/>
      <c r="CWH552"/>
      <c r="CWI552"/>
      <c r="CWJ552"/>
      <c r="CWK552"/>
      <c r="CWL552"/>
      <c r="CWM552"/>
      <c r="CWN552"/>
      <c r="CWO552"/>
      <c r="CWP552"/>
      <c r="CWQ552"/>
      <c r="CWR552"/>
      <c r="CWS552"/>
      <c r="CWT552"/>
      <c r="CWU552"/>
      <c r="CWV552"/>
      <c r="CWW552"/>
      <c r="CWX552"/>
      <c r="CWY552"/>
      <c r="CWZ552"/>
      <c r="CXA552"/>
      <c r="CXB552"/>
      <c r="CXC552"/>
      <c r="CXD552"/>
      <c r="CXE552"/>
      <c r="CXF552"/>
      <c r="CXG552"/>
      <c r="CXH552"/>
      <c r="CXI552"/>
      <c r="CXJ552"/>
      <c r="CXK552"/>
      <c r="CXL552"/>
      <c r="CXM552"/>
      <c r="CXN552"/>
      <c r="CXO552"/>
      <c r="CXP552"/>
      <c r="CXQ552"/>
      <c r="CXR552"/>
      <c r="CXS552"/>
      <c r="CXT552"/>
      <c r="CXU552"/>
      <c r="CXV552"/>
      <c r="CXW552"/>
      <c r="CXX552"/>
      <c r="CXY552"/>
      <c r="CXZ552"/>
      <c r="CYA552"/>
      <c r="CYB552"/>
      <c r="CYC552"/>
      <c r="CYD552"/>
      <c r="CYE552"/>
      <c r="CYF552"/>
      <c r="CYG552"/>
      <c r="CYH552"/>
      <c r="CYI552"/>
      <c r="CYJ552"/>
      <c r="CYK552"/>
      <c r="CYL552"/>
      <c r="CYM552"/>
      <c r="CYN552"/>
      <c r="CYO552"/>
      <c r="CYP552"/>
      <c r="CYQ552"/>
      <c r="CYR552"/>
      <c r="CYS552"/>
      <c r="CYT552"/>
      <c r="CYU552"/>
      <c r="CYV552"/>
      <c r="CYW552"/>
      <c r="CYX552"/>
      <c r="CYY552"/>
      <c r="CYZ552"/>
      <c r="CZA552"/>
      <c r="CZB552"/>
      <c r="CZC552"/>
      <c r="CZD552"/>
      <c r="CZE552"/>
      <c r="CZF552"/>
      <c r="CZG552"/>
      <c r="CZH552"/>
      <c r="CZI552"/>
      <c r="CZJ552"/>
      <c r="CZK552"/>
      <c r="CZL552"/>
      <c r="CZM552"/>
      <c r="CZN552"/>
      <c r="CZO552"/>
      <c r="CZP552"/>
      <c r="CZQ552"/>
      <c r="CZR552"/>
      <c r="CZS552"/>
      <c r="CZT552"/>
      <c r="CZU552"/>
      <c r="CZV552"/>
      <c r="CZW552"/>
      <c r="CZX552"/>
      <c r="CZY552"/>
      <c r="CZZ552"/>
      <c r="DAA552"/>
      <c r="DAB552"/>
      <c r="DAC552"/>
      <c r="DAD552"/>
      <c r="DAE552"/>
      <c r="DAF552"/>
      <c r="DAG552"/>
      <c r="DAH552"/>
      <c r="DAI552"/>
      <c r="DAJ552"/>
      <c r="DAK552"/>
      <c r="DAL552"/>
      <c r="DAM552"/>
      <c r="DAN552"/>
      <c r="DAO552"/>
      <c r="DAP552"/>
      <c r="DAQ552"/>
      <c r="DAR552"/>
      <c r="DAS552"/>
      <c r="DAT552"/>
      <c r="DAU552"/>
      <c r="DAV552"/>
      <c r="DAW552"/>
      <c r="DAX552"/>
      <c r="DAY552"/>
      <c r="DAZ552"/>
      <c r="DBA552"/>
      <c r="DBB552"/>
      <c r="DBC552"/>
      <c r="DBD552"/>
      <c r="DBE552"/>
      <c r="DBF552"/>
      <c r="DBG552"/>
      <c r="DBH552"/>
      <c r="DBI552"/>
      <c r="DBJ552"/>
      <c r="DBK552"/>
      <c r="DBL552"/>
      <c r="DBM552"/>
      <c r="DBN552"/>
      <c r="DBO552"/>
      <c r="DBP552"/>
      <c r="DBQ552"/>
      <c r="DBR552"/>
      <c r="DBS552"/>
      <c r="DBT552"/>
      <c r="DBU552"/>
      <c r="DBV552"/>
      <c r="DBW552"/>
      <c r="DBX552"/>
      <c r="DBY552"/>
      <c r="DBZ552"/>
      <c r="DCA552"/>
      <c r="DCB552"/>
      <c r="DCC552"/>
      <c r="DCD552"/>
      <c r="DCE552"/>
      <c r="DCF552"/>
      <c r="DCG552"/>
      <c r="DCH552"/>
      <c r="DCI552"/>
      <c r="DCJ552"/>
      <c r="DCK552"/>
      <c r="DCL552"/>
      <c r="DCM552"/>
      <c r="DCN552"/>
      <c r="DCO552"/>
      <c r="DCP552"/>
      <c r="DCQ552"/>
      <c r="DCR552"/>
      <c r="DCS552"/>
      <c r="DCT552"/>
      <c r="DCU552"/>
      <c r="DCV552"/>
      <c r="DCW552"/>
      <c r="DCX552"/>
      <c r="DCY552"/>
      <c r="DCZ552"/>
      <c r="DDA552"/>
      <c r="DDB552"/>
      <c r="DDC552"/>
      <c r="DDD552"/>
      <c r="DDE552"/>
      <c r="DDF552"/>
      <c r="DDG552"/>
      <c r="DDH552"/>
      <c r="DDI552"/>
      <c r="DDJ552"/>
      <c r="DDK552"/>
      <c r="DDL552"/>
      <c r="DDM552"/>
      <c r="DDN552"/>
      <c r="DDO552"/>
      <c r="DDP552"/>
      <c r="DDQ552"/>
      <c r="DDR552"/>
      <c r="DDS552"/>
      <c r="DDT552"/>
      <c r="DDU552"/>
      <c r="DDV552"/>
      <c r="DDW552"/>
      <c r="DDX552"/>
      <c r="DDY552"/>
      <c r="DDZ552"/>
      <c r="DEA552"/>
      <c r="DEB552"/>
      <c r="DEC552"/>
      <c r="DED552"/>
      <c r="DEE552"/>
      <c r="DEF552"/>
      <c r="DEG552"/>
      <c r="DEH552"/>
      <c r="DEI552"/>
      <c r="DEJ552"/>
      <c r="DEK552"/>
      <c r="DEL552"/>
      <c r="DEM552"/>
      <c r="DEN552"/>
      <c r="DEO552"/>
      <c r="DEP552"/>
      <c r="DEQ552"/>
      <c r="DER552"/>
      <c r="DES552"/>
      <c r="DET552"/>
      <c r="DEU552"/>
      <c r="DEV552"/>
      <c r="DEW552"/>
      <c r="DEX552"/>
      <c r="DEY552"/>
      <c r="DEZ552"/>
      <c r="DFA552"/>
      <c r="DFB552"/>
      <c r="DFC552"/>
      <c r="DFD552"/>
      <c r="DFE552"/>
      <c r="DFF552"/>
      <c r="DFG552"/>
      <c r="DFH552"/>
      <c r="DFI552"/>
      <c r="DFJ552"/>
      <c r="DFK552"/>
      <c r="DFL552"/>
      <c r="DFM552"/>
      <c r="DFN552"/>
      <c r="DFO552"/>
      <c r="DFP552"/>
      <c r="DFQ552"/>
      <c r="DFR552"/>
      <c r="DFS552"/>
      <c r="DFT552"/>
      <c r="DFU552"/>
      <c r="DFV552"/>
      <c r="DFW552"/>
      <c r="DFX552"/>
      <c r="DFY552"/>
      <c r="DFZ552"/>
      <c r="DGA552"/>
      <c r="DGB552"/>
      <c r="DGC552"/>
      <c r="DGD552"/>
      <c r="DGE552"/>
      <c r="DGF552"/>
      <c r="DGG552"/>
      <c r="DGH552"/>
      <c r="DGI552"/>
      <c r="DGJ552"/>
      <c r="DGK552"/>
      <c r="DGL552"/>
      <c r="DGM552"/>
      <c r="DGN552"/>
      <c r="DGO552"/>
      <c r="DGP552"/>
      <c r="DGQ552"/>
      <c r="DGR552"/>
      <c r="DGS552"/>
      <c r="DGT552"/>
      <c r="DGU552"/>
      <c r="DGV552"/>
      <c r="DGW552"/>
      <c r="DGX552"/>
      <c r="DGY552"/>
      <c r="DGZ552"/>
      <c r="DHA552"/>
      <c r="DHB552"/>
      <c r="DHC552"/>
      <c r="DHD552"/>
      <c r="DHE552"/>
      <c r="DHF552"/>
      <c r="DHG552"/>
      <c r="DHH552"/>
      <c r="DHI552"/>
      <c r="DHJ552"/>
      <c r="DHK552"/>
      <c r="DHL552"/>
      <c r="DHM552"/>
      <c r="DHN552"/>
      <c r="DHO552"/>
      <c r="DHP552"/>
      <c r="DHQ552"/>
      <c r="DHR552"/>
      <c r="DHS552"/>
      <c r="DHT552"/>
      <c r="DHU552"/>
      <c r="DHV552"/>
      <c r="DHW552"/>
      <c r="DHX552"/>
      <c r="DHY552"/>
      <c r="DHZ552"/>
      <c r="DIA552"/>
      <c r="DIB552"/>
      <c r="DIC552"/>
      <c r="DID552"/>
      <c r="DIE552"/>
      <c r="DIF552"/>
      <c r="DIG552"/>
      <c r="DIH552"/>
      <c r="DII552"/>
      <c r="DIJ552"/>
      <c r="DIK552"/>
      <c r="DIL552"/>
      <c r="DIM552"/>
      <c r="DIN552"/>
      <c r="DIO552"/>
      <c r="DIP552"/>
      <c r="DIQ552"/>
      <c r="DIR552"/>
      <c r="DIS552"/>
      <c r="DIT552"/>
      <c r="DIU552"/>
      <c r="DIV552"/>
      <c r="DIW552"/>
      <c r="DIX552"/>
      <c r="DIY552"/>
      <c r="DIZ552"/>
      <c r="DJA552"/>
      <c r="DJB552"/>
      <c r="DJC552"/>
      <c r="DJD552"/>
      <c r="DJE552"/>
      <c r="DJF552"/>
      <c r="DJG552"/>
      <c r="DJH552"/>
      <c r="DJI552"/>
      <c r="DJJ552"/>
      <c r="DJK552"/>
      <c r="DJL552"/>
      <c r="DJM552"/>
      <c r="DJN552"/>
      <c r="DJO552"/>
      <c r="DJP552"/>
      <c r="DJQ552"/>
      <c r="DJR552"/>
      <c r="DJS552"/>
      <c r="DJT552"/>
      <c r="DJU552"/>
      <c r="DJV552"/>
      <c r="DJW552"/>
      <c r="DJX552"/>
      <c r="DJY552"/>
      <c r="DJZ552"/>
      <c r="DKA552"/>
      <c r="DKB552"/>
      <c r="DKC552"/>
      <c r="DKD552"/>
      <c r="DKE552"/>
      <c r="DKF552"/>
      <c r="DKG552"/>
      <c r="DKH552"/>
      <c r="DKI552"/>
      <c r="DKJ552"/>
      <c r="DKK552"/>
      <c r="DKL552"/>
      <c r="DKM552"/>
      <c r="DKN552"/>
      <c r="DKO552"/>
      <c r="DKP552"/>
      <c r="DKQ552"/>
      <c r="DKR552"/>
      <c r="DKS552"/>
      <c r="DKT552"/>
      <c r="DKU552"/>
      <c r="DKV552"/>
      <c r="DKW552"/>
      <c r="DKX552"/>
      <c r="DKY552"/>
      <c r="DKZ552"/>
      <c r="DLA552"/>
      <c r="DLB552"/>
      <c r="DLC552"/>
      <c r="DLD552"/>
      <c r="DLE552"/>
      <c r="DLF552"/>
      <c r="DLG552"/>
      <c r="DLH552"/>
      <c r="DLI552"/>
      <c r="DLJ552"/>
      <c r="DLK552"/>
      <c r="DLL552"/>
      <c r="DLM552"/>
      <c r="DLN552"/>
      <c r="DLO552"/>
      <c r="DLP552"/>
      <c r="DLQ552"/>
      <c r="DLR552"/>
      <c r="DLS552"/>
      <c r="DLT552"/>
      <c r="DLU552"/>
      <c r="DLV552"/>
      <c r="DLW552"/>
      <c r="DLX552"/>
      <c r="DLY552"/>
      <c r="DLZ552"/>
      <c r="DMA552"/>
      <c r="DMB552"/>
      <c r="DMC552"/>
      <c r="DMD552"/>
      <c r="DME552"/>
      <c r="DMF552"/>
      <c r="DMG552"/>
      <c r="DMH552"/>
      <c r="DMI552"/>
      <c r="DMJ552"/>
      <c r="DMK552"/>
      <c r="DML552"/>
      <c r="DMM552"/>
      <c r="DMN552"/>
      <c r="DMO552"/>
      <c r="DMP552"/>
      <c r="DMQ552"/>
      <c r="DMR552"/>
      <c r="DMS552"/>
      <c r="DMT552"/>
      <c r="DMU552"/>
      <c r="DMV552"/>
      <c r="DMW552"/>
      <c r="DMX552"/>
      <c r="DMY552"/>
      <c r="DMZ552"/>
      <c r="DNA552"/>
      <c r="DNB552"/>
      <c r="DNC552"/>
      <c r="DND552"/>
      <c r="DNE552"/>
      <c r="DNF552"/>
      <c r="DNG552"/>
      <c r="DNH552"/>
      <c r="DNI552"/>
      <c r="DNJ552"/>
      <c r="DNK552"/>
      <c r="DNL552"/>
      <c r="DNM552"/>
      <c r="DNN552"/>
      <c r="DNO552"/>
      <c r="DNP552"/>
      <c r="DNQ552"/>
      <c r="DNR552"/>
      <c r="DNS552"/>
      <c r="DNT552"/>
      <c r="DNU552"/>
      <c r="DNV552"/>
      <c r="DNW552"/>
      <c r="DNX552"/>
      <c r="DNY552"/>
      <c r="DNZ552"/>
      <c r="DOA552"/>
      <c r="DOB552"/>
      <c r="DOC552"/>
      <c r="DOD552"/>
      <c r="DOE552"/>
      <c r="DOF552"/>
      <c r="DOG552"/>
      <c r="DOH552"/>
      <c r="DOI552"/>
      <c r="DOJ552"/>
      <c r="DOK552"/>
      <c r="DOL552"/>
      <c r="DOM552"/>
      <c r="DON552"/>
      <c r="DOO552"/>
      <c r="DOP552"/>
      <c r="DOQ552"/>
      <c r="DOR552"/>
      <c r="DOS552"/>
      <c r="DOT552"/>
      <c r="DOU552"/>
      <c r="DOV552"/>
      <c r="DOW552"/>
      <c r="DOX552"/>
      <c r="DOY552"/>
      <c r="DOZ552"/>
      <c r="DPA552"/>
      <c r="DPB552"/>
      <c r="DPC552"/>
      <c r="DPD552"/>
      <c r="DPE552"/>
      <c r="DPF552"/>
      <c r="DPG552"/>
      <c r="DPH552"/>
      <c r="DPI552"/>
      <c r="DPJ552"/>
      <c r="DPK552"/>
      <c r="DPL552"/>
      <c r="DPM552"/>
      <c r="DPN552"/>
      <c r="DPO552"/>
      <c r="DPP552"/>
      <c r="DPQ552"/>
      <c r="DPR552"/>
      <c r="DPS552"/>
      <c r="DPT552"/>
      <c r="DPU552"/>
      <c r="DPV552"/>
      <c r="DPW552"/>
      <c r="DPX552"/>
      <c r="DPY552"/>
      <c r="DPZ552"/>
      <c r="DQA552"/>
      <c r="DQB552"/>
      <c r="DQC552"/>
      <c r="DQD552"/>
      <c r="DQE552"/>
      <c r="DQF552"/>
      <c r="DQG552"/>
      <c r="DQH552"/>
      <c r="DQI552"/>
      <c r="DQJ552"/>
      <c r="DQK552"/>
      <c r="DQL552"/>
      <c r="DQM552"/>
      <c r="DQN552"/>
      <c r="DQO552"/>
      <c r="DQP552"/>
      <c r="DQQ552"/>
      <c r="DQR552"/>
      <c r="DQS552"/>
      <c r="DQT552"/>
      <c r="DQU552"/>
      <c r="DQV552"/>
      <c r="DQW552"/>
      <c r="DQX552"/>
      <c r="DQY552"/>
      <c r="DQZ552"/>
      <c r="DRA552"/>
      <c r="DRB552"/>
      <c r="DRC552"/>
      <c r="DRD552"/>
      <c r="DRE552"/>
      <c r="DRF552"/>
      <c r="DRG552"/>
      <c r="DRH552"/>
      <c r="DRI552"/>
      <c r="DRJ552"/>
      <c r="DRK552"/>
      <c r="DRL552"/>
      <c r="DRM552"/>
      <c r="DRN552"/>
      <c r="DRO552"/>
      <c r="DRP552"/>
      <c r="DRQ552"/>
      <c r="DRR552"/>
      <c r="DRS552"/>
      <c r="DRT552"/>
      <c r="DRU552"/>
      <c r="DRV552"/>
      <c r="DRW552"/>
      <c r="DRX552"/>
      <c r="DRY552"/>
      <c r="DRZ552"/>
      <c r="DSA552"/>
      <c r="DSB552"/>
      <c r="DSC552"/>
      <c r="DSD552"/>
      <c r="DSE552"/>
      <c r="DSF552"/>
      <c r="DSG552"/>
      <c r="DSH552"/>
      <c r="DSI552"/>
      <c r="DSJ552"/>
      <c r="DSK552"/>
      <c r="DSL552"/>
      <c r="DSM552"/>
      <c r="DSN552"/>
      <c r="DSO552"/>
      <c r="DSP552"/>
      <c r="DSQ552"/>
      <c r="DSR552"/>
      <c r="DSS552"/>
      <c r="DST552"/>
      <c r="DSU552"/>
      <c r="DSV552"/>
      <c r="DSW552"/>
      <c r="DSX552"/>
      <c r="DSY552"/>
      <c r="DSZ552"/>
      <c r="DTA552"/>
      <c r="DTB552"/>
      <c r="DTC552"/>
      <c r="DTD552"/>
      <c r="DTE552"/>
      <c r="DTF552"/>
      <c r="DTG552"/>
      <c r="DTH552"/>
      <c r="DTI552"/>
      <c r="DTJ552"/>
      <c r="DTK552"/>
      <c r="DTL552"/>
      <c r="DTM552"/>
      <c r="DTN552"/>
      <c r="DTO552"/>
      <c r="DTP552"/>
      <c r="DTQ552"/>
      <c r="DTR552"/>
      <c r="DTS552"/>
      <c r="DTT552"/>
      <c r="DTU552"/>
      <c r="DTV552"/>
      <c r="DTW552"/>
      <c r="DTX552"/>
      <c r="DTY552"/>
      <c r="DTZ552"/>
      <c r="DUA552"/>
      <c r="DUB552"/>
      <c r="DUC552"/>
      <c r="DUD552"/>
      <c r="DUE552"/>
      <c r="DUF552"/>
      <c r="DUG552"/>
      <c r="DUH552"/>
      <c r="DUI552"/>
      <c r="DUJ552"/>
      <c r="DUK552"/>
      <c r="DUL552"/>
      <c r="DUM552"/>
      <c r="DUN552"/>
      <c r="DUO552"/>
      <c r="DUP552"/>
      <c r="DUQ552"/>
      <c r="DUR552"/>
      <c r="DUS552"/>
      <c r="DUT552"/>
      <c r="DUU552"/>
      <c r="DUV552"/>
      <c r="DUW552"/>
      <c r="DUX552"/>
      <c r="DUY552"/>
      <c r="DUZ552"/>
      <c r="DVA552"/>
      <c r="DVB552"/>
      <c r="DVC552"/>
      <c r="DVD552"/>
      <c r="DVE552"/>
      <c r="DVF552"/>
      <c r="DVG552"/>
      <c r="DVH552"/>
      <c r="DVI552"/>
      <c r="DVJ552"/>
      <c r="DVK552"/>
      <c r="DVL552"/>
      <c r="DVM552"/>
      <c r="DVN552"/>
      <c r="DVO552"/>
      <c r="DVP552"/>
      <c r="DVQ552"/>
      <c r="DVR552"/>
      <c r="DVS552"/>
      <c r="DVT552"/>
      <c r="DVU552"/>
      <c r="DVV552"/>
      <c r="DVW552"/>
      <c r="DVX552"/>
      <c r="DVY552"/>
      <c r="DVZ552"/>
      <c r="DWA552"/>
      <c r="DWB552"/>
      <c r="DWC552"/>
      <c r="DWD552"/>
      <c r="DWE552"/>
      <c r="DWF552"/>
      <c r="DWG552"/>
      <c r="DWH552"/>
      <c r="DWI552"/>
      <c r="DWJ552"/>
      <c r="DWK552"/>
      <c r="DWL552"/>
      <c r="DWM552"/>
      <c r="DWN552"/>
      <c r="DWO552"/>
      <c r="DWP552"/>
      <c r="DWQ552"/>
      <c r="DWR552"/>
      <c r="DWS552"/>
      <c r="DWT552"/>
      <c r="DWU552"/>
      <c r="DWV552"/>
      <c r="DWW552"/>
      <c r="DWX552"/>
      <c r="DWY552"/>
      <c r="DWZ552"/>
      <c r="DXA552"/>
      <c r="DXB552"/>
      <c r="DXC552"/>
      <c r="DXD552"/>
      <c r="DXE552"/>
      <c r="DXF552"/>
      <c r="DXG552"/>
      <c r="DXH552"/>
      <c r="DXI552"/>
      <c r="DXJ552"/>
      <c r="DXK552"/>
      <c r="DXL552"/>
      <c r="DXM552"/>
      <c r="DXN552"/>
      <c r="DXO552"/>
      <c r="DXP552"/>
      <c r="DXQ552"/>
      <c r="DXR552"/>
      <c r="DXS552"/>
      <c r="DXT552"/>
      <c r="DXU552"/>
      <c r="DXV552"/>
      <c r="DXW552"/>
      <c r="DXX552"/>
      <c r="DXY552"/>
      <c r="DXZ552"/>
      <c r="DYA552"/>
      <c r="DYB552"/>
      <c r="DYC552"/>
      <c r="DYD552"/>
      <c r="DYE552"/>
      <c r="DYF552"/>
      <c r="DYG552"/>
      <c r="DYH552"/>
      <c r="DYI552"/>
      <c r="DYJ552"/>
      <c r="DYK552"/>
      <c r="DYL552"/>
      <c r="DYM552"/>
      <c r="DYN552"/>
      <c r="DYO552"/>
      <c r="DYP552"/>
      <c r="DYQ552"/>
      <c r="DYR552"/>
      <c r="DYS552"/>
      <c r="DYT552"/>
      <c r="DYU552"/>
      <c r="DYV552"/>
      <c r="DYW552"/>
      <c r="DYX552"/>
      <c r="DYY552"/>
      <c r="DYZ552"/>
      <c r="DZA552"/>
      <c r="DZB552"/>
      <c r="DZC552"/>
      <c r="DZD552"/>
      <c r="DZE552"/>
      <c r="DZF552"/>
      <c r="DZG552"/>
      <c r="DZH552"/>
      <c r="DZI552"/>
      <c r="DZJ552"/>
      <c r="DZK552"/>
      <c r="DZL552"/>
      <c r="DZM552"/>
      <c r="DZN552"/>
      <c r="DZO552"/>
      <c r="DZP552"/>
      <c r="DZQ552"/>
      <c r="DZR552"/>
      <c r="DZS552"/>
      <c r="DZT552"/>
      <c r="DZU552"/>
      <c r="DZV552"/>
      <c r="DZW552"/>
      <c r="DZX552"/>
      <c r="DZY552"/>
      <c r="DZZ552"/>
      <c r="EAA552"/>
      <c r="EAB552"/>
      <c r="EAC552"/>
      <c r="EAD552"/>
      <c r="EAE552"/>
      <c r="EAF552"/>
      <c r="EAG552"/>
      <c r="EAH552"/>
      <c r="EAI552"/>
      <c r="EAJ552"/>
      <c r="EAK552"/>
      <c r="EAL552"/>
      <c r="EAM552"/>
      <c r="EAN552"/>
      <c r="EAO552"/>
      <c r="EAP552"/>
      <c r="EAQ552"/>
      <c r="EAR552"/>
      <c r="EAS552"/>
      <c r="EAT552"/>
      <c r="EAU552"/>
      <c r="EAV552"/>
      <c r="EAW552"/>
      <c r="EAX552"/>
      <c r="EAY552"/>
      <c r="EAZ552"/>
      <c r="EBA552"/>
      <c r="EBB552"/>
      <c r="EBC552"/>
      <c r="EBD552"/>
      <c r="EBE552"/>
      <c r="EBF552"/>
      <c r="EBG552"/>
      <c r="EBH552"/>
      <c r="EBI552"/>
      <c r="EBJ552"/>
      <c r="EBK552"/>
      <c r="EBL552"/>
      <c r="EBM552"/>
      <c r="EBN552"/>
      <c r="EBO552"/>
      <c r="EBP552"/>
      <c r="EBQ552"/>
      <c r="EBR552"/>
      <c r="EBS552"/>
      <c r="EBT552"/>
      <c r="EBU552"/>
      <c r="EBV552"/>
      <c r="EBW552"/>
      <c r="EBX552"/>
      <c r="EBY552"/>
      <c r="EBZ552"/>
      <c r="ECA552"/>
      <c r="ECB552"/>
      <c r="ECC552"/>
      <c r="ECD552"/>
      <c r="ECE552"/>
      <c r="ECF552"/>
      <c r="ECG552"/>
      <c r="ECH552"/>
      <c r="ECI552"/>
      <c r="ECJ552"/>
      <c r="ECK552"/>
      <c r="ECL552"/>
      <c r="ECM552"/>
      <c r="ECN552"/>
      <c r="ECO552"/>
      <c r="ECP552"/>
      <c r="ECQ552"/>
      <c r="ECR552"/>
      <c r="ECS552"/>
      <c r="ECT552"/>
      <c r="ECU552"/>
      <c r="ECV552"/>
      <c r="ECW552"/>
      <c r="ECX552"/>
      <c r="ECY552"/>
      <c r="ECZ552"/>
      <c r="EDA552"/>
      <c r="EDB552"/>
      <c r="EDC552"/>
      <c r="EDD552"/>
      <c r="EDE552"/>
      <c r="EDF552"/>
      <c r="EDG552"/>
      <c r="EDH552"/>
      <c r="EDI552"/>
      <c r="EDJ552"/>
      <c r="EDK552"/>
      <c r="EDL552"/>
      <c r="EDM552"/>
      <c r="EDN552"/>
      <c r="EDO552"/>
      <c r="EDP552"/>
      <c r="EDQ552"/>
      <c r="EDR552"/>
      <c r="EDS552"/>
      <c r="EDT552"/>
      <c r="EDU552"/>
      <c r="EDV552"/>
      <c r="EDW552"/>
      <c r="EDX552"/>
      <c r="EDY552"/>
      <c r="EDZ552"/>
      <c r="EEA552"/>
      <c r="EEB552"/>
      <c r="EEC552"/>
      <c r="EED552"/>
      <c r="EEE552"/>
      <c r="EEF552"/>
      <c r="EEG552"/>
      <c r="EEH552"/>
      <c r="EEI552"/>
      <c r="EEJ552"/>
      <c r="EEK552"/>
      <c r="EEL552"/>
      <c r="EEM552"/>
      <c r="EEN552"/>
      <c r="EEO552"/>
      <c r="EEP552"/>
      <c r="EEQ552"/>
      <c r="EER552"/>
      <c r="EES552"/>
      <c r="EET552"/>
      <c r="EEU552"/>
      <c r="EEV552"/>
      <c r="EEW552"/>
      <c r="EEX552"/>
      <c r="EEY552"/>
      <c r="EEZ552"/>
      <c r="EFA552"/>
      <c r="EFB552"/>
      <c r="EFC552"/>
      <c r="EFD552"/>
      <c r="EFE552"/>
      <c r="EFF552"/>
      <c r="EFG552"/>
      <c r="EFH552"/>
      <c r="EFI552"/>
      <c r="EFJ552"/>
      <c r="EFK552"/>
      <c r="EFL552"/>
      <c r="EFM552"/>
      <c r="EFN552"/>
      <c r="EFO552"/>
      <c r="EFP552"/>
      <c r="EFQ552"/>
      <c r="EFR552"/>
      <c r="EFS552"/>
      <c r="EFT552"/>
      <c r="EFU552"/>
      <c r="EFV552"/>
      <c r="EFW552"/>
      <c r="EFX552"/>
      <c r="EFY552"/>
      <c r="EFZ552"/>
      <c r="EGA552"/>
      <c r="EGB552"/>
      <c r="EGC552"/>
      <c r="EGD552"/>
      <c r="EGE552"/>
      <c r="EGF552"/>
      <c r="EGG552"/>
      <c r="EGH552"/>
      <c r="EGI552"/>
      <c r="EGJ552"/>
      <c r="EGK552"/>
      <c r="EGL552"/>
      <c r="EGM552"/>
      <c r="EGN552"/>
      <c r="EGO552"/>
      <c r="EGP552"/>
      <c r="EGQ552"/>
      <c r="EGR552"/>
      <c r="EGS552"/>
      <c r="EGT552"/>
      <c r="EGU552"/>
      <c r="EGV552"/>
      <c r="EGW552"/>
      <c r="EGX552"/>
      <c r="EGY552"/>
      <c r="EGZ552"/>
      <c r="EHA552"/>
      <c r="EHB552"/>
      <c r="EHC552"/>
      <c r="EHD552"/>
      <c r="EHE552"/>
      <c r="EHF552"/>
      <c r="EHG552"/>
      <c r="EHH552"/>
      <c r="EHI552"/>
      <c r="EHJ552"/>
      <c r="EHK552"/>
      <c r="EHL552"/>
      <c r="EHM552"/>
      <c r="EHN552"/>
      <c r="EHO552"/>
      <c r="EHP552"/>
      <c r="EHQ552"/>
      <c r="EHR552"/>
      <c r="EHS552"/>
      <c r="EHT552"/>
      <c r="EHU552"/>
      <c r="EHV552"/>
      <c r="EHW552"/>
      <c r="EHX552"/>
      <c r="EHY552"/>
      <c r="EHZ552"/>
      <c r="EIA552"/>
      <c r="EIB552"/>
      <c r="EIC552"/>
      <c r="EID552"/>
      <c r="EIE552"/>
      <c r="EIF552"/>
      <c r="EIG552"/>
      <c r="EIH552"/>
      <c r="EII552"/>
      <c r="EIJ552"/>
      <c r="EIK552"/>
      <c r="EIL552"/>
      <c r="EIM552"/>
      <c r="EIN552"/>
      <c r="EIO552"/>
      <c r="EIP552"/>
      <c r="EIQ552"/>
      <c r="EIR552"/>
      <c r="EIS552"/>
      <c r="EIT552"/>
      <c r="EIU552"/>
      <c r="EIV552"/>
      <c r="EIW552"/>
      <c r="EIX552"/>
      <c r="EIY552"/>
      <c r="EIZ552"/>
      <c r="EJA552"/>
      <c r="EJB552"/>
      <c r="EJC552"/>
      <c r="EJD552"/>
      <c r="EJE552"/>
      <c r="EJF552"/>
      <c r="EJG552"/>
      <c r="EJH552"/>
      <c r="EJI552"/>
      <c r="EJJ552"/>
      <c r="EJK552"/>
      <c r="EJL552"/>
      <c r="EJM552"/>
      <c r="EJN552"/>
      <c r="EJO552"/>
      <c r="EJP552"/>
      <c r="EJQ552"/>
      <c r="EJR552"/>
      <c r="EJS552"/>
      <c r="EJT552"/>
      <c r="EJU552"/>
      <c r="EJV552"/>
      <c r="EJW552"/>
      <c r="EJX552"/>
      <c r="EJY552"/>
      <c r="EJZ552"/>
      <c r="EKA552"/>
      <c r="EKB552"/>
      <c r="EKC552"/>
      <c r="EKD552"/>
      <c r="EKE552"/>
      <c r="EKF552"/>
      <c r="EKG552"/>
      <c r="EKH552"/>
      <c r="EKI552"/>
      <c r="EKJ552"/>
      <c r="EKK552"/>
      <c r="EKL552"/>
      <c r="EKM552"/>
      <c r="EKN552"/>
      <c r="EKO552"/>
      <c r="EKP552"/>
      <c r="EKQ552"/>
      <c r="EKR552"/>
      <c r="EKS552"/>
      <c r="EKT552"/>
      <c r="EKU552"/>
      <c r="EKV552"/>
      <c r="EKW552"/>
      <c r="EKX552"/>
      <c r="EKY552"/>
      <c r="EKZ552"/>
      <c r="ELA552"/>
      <c r="ELB552"/>
      <c r="ELC552"/>
      <c r="ELD552"/>
      <c r="ELE552"/>
      <c r="ELF552"/>
      <c r="ELG552"/>
      <c r="ELH552"/>
      <c r="ELI552"/>
      <c r="ELJ552"/>
      <c r="ELK552"/>
      <c r="ELL552"/>
      <c r="ELM552"/>
      <c r="ELN552"/>
      <c r="ELO552"/>
      <c r="ELP552"/>
      <c r="ELQ552"/>
      <c r="ELR552"/>
      <c r="ELS552"/>
      <c r="ELT552"/>
      <c r="ELU552"/>
      <c r="ELV552"/>
      <c r="ELW552"/>
      <c r="ELX552"/>
      <c r="ELY552"/>
      <c r="ELZ552"/>
      <c r="EMA552"/>
      <c r="EMB552"/>
      <c r="EMC552"/>
      <c r="EMD552"/>
      <c r="EME552"/>
      <c r="EMF552"/>
      <c r="EMG552"/>
      <c r="EMH552"/>
      <c r="EMI552"/>
      <c r="EMJ552"/>
      <c r="EMK552"/>
      <c r="EML552"/>
      <c r="EMM552"/>
      <c r="EMN552"/>
      <c r="EMO552"/>
      <c r="EMP552"/>
      <c r="EMQ552"/>
      <c r="EMR552"/>
      <c r="EMS552"/>
      <c r="EMT552"/>
      <c r="EMU552"/>
      <c r="EMV552"/>
      <c r="EMW552"/>
      <c r="EMX552"/>
      <c r="EMY552"/>
      <c r="EMZ552"/>
      <c r="ENA552"/>
      <c r="ENB552"/>
      <c r="ENC552"/>
      <c r="END552"/>
      <c r="ENE552"/>
      <c r="ENF552"/>
      <c r="ENG552"/>
      <c r="ENH552"/>
      <c r="ENI552"/>
      <c r="ENJ552"/>
      <c r="ENK552"/>
      <c r="ENL552"/>
      <c r="ENM552"/>
      <c r="ENN552"/>
      <c r="ENO552"/>
      <c r="ENP552"/>
      <c r="ENQ552"/>
      <c r="ENR552"/>
      <c r="ENS552"/>
      <c r="ENT552"/>
      <c r="ENU552"/>
      <c r="ENV552"/>
      <c r="ENW552"/>
      <c r="ENX552"/>
      <c r="ENY552"/>
      <c r="ENZ552"/>
      <c r="EOA552"/>
      <c r="EOB552"/>
      <c r="EOC552"/>
      <c r="EOD552"/>
      <c r="EOE552"/>
      <c r="EOF552"/>
      <c r="EOG552"/>
      <c r="EOH552"/>
      <c r="EOI552"/>
      <c r="EOJ552"/>
      <c r="EOK552"/>
      <c r="EOL552"/>
      <c r="EOM552"/>
      <c r="EON552"/>
      <c r="EOO552"/>
      <c r="EOP552"/>
      <c r="EOQ552"/>
      <c r="EOR552"/>
      <c r="EOS552"/>
      <c r="EOT552"/>
      <c r="EOU552"/>
      <c r="EOV552"/>
      <c r="EOW552"/>
      <c r="EOX552"/>
      <c r="EOY552"/>
      <c r="EOZ552"/>
      <c r="EPA552"/>
      <c r="EPB552"/>
      <c r="EPC552"/>
      <c r="EPD552"/>
      <c r="EPE552"/>
      <c r="EPF552"/>
      <c r="EPG552"/>
      <c r="EPH552"/>
      <c r="EPI552"/>
      <c r="EPJ552"/>
      <c r="EPK552"/>
      <c r="EPL552"/>
      <c r="EPM552"/>
      <c r="EPN552"/>
      <c r="EPO552"/>
      <c r="EPP552"/>
      <c r="EPQ552"/>
      <c r="EPR552"/>
      <c r="EPS552"/>
      <c r="EPT552"/>
      <c r="EPU552"/>
      <c r="EPV552"/>
      <c r="EPW552"/>
      <c r="EPX552"/>
      <c r="EPY552"/>
      <c r="EPZ552"/>
      <c r="EQA552"/>
      <c r="EQB552"/>
      <c r="EQC552"/>
      <c r="EQD552"/>
      <c r="EQE552"/>
      <c r="EQF552"/>
      <c r="EQG552"/>
      <c r="EQH552"/>
      <c r="EQI552"/>
      <c r="EQJ552"/>
      <c r="EQK552"/>
      <c r="EQL552"/>
      <c r="EQM552"/>
      <c r="EQN552"/>
      <c r="EQO552"/>
      <c r="EQP552"/>
      <c r="EQQ552"/>
      <c r="EQR552"/>
      <c r="EQS552"/>
      <c r="EQT552"/>
      <c r="EQU552"/>
      <c r="EQV552"/>
      <c r="EQW552"/>
      <c r="EQX552"/>
      <c r="EQY552"/>
      <c r="EQZ552"/>
      <c r="ERA552"/>
      <c r="ERB552"/>
      <c r="ERC552"/>
      <c r="ERD552"/>
      <c r="ERE552"/>
      <c r="ERF552"/>
      <c r="ERG552"/>
      <c r="ERH552"/>
      <c r="ERI552"/>
      <c r="ERJ552"/>
      <c r="ERK552"/>
      <c r="ERL552"/>
      <c r="ERM552"/>
      <c r="ERN552"/>
      <c r="ERO552"/>
      <c r="ERP552"/>
      <c r="ERQ552"/>
      <c r="ERR552"/>
      <c r="ERS552"/>
      <c r="ERT552"/>
      <c r="ERU552"/>
      <c r="ERV552"/>
      <c r="ERW552"/>
      <c r="ERX552"/>
      <c r="ERY552"/>
      <c r="ERZ552"/>
      <c r="ESA552"/>
      <c r="ESB552"/>
      <c r="ESC552"/>
      <c r="ESD552"/>
      <c r="ESE552"/>
      <c r="ESF552"/>
      <c r="ESG552"/>
      <c r="ESH552"/>
      <c r="ESI552"/>
      <c r="ESJ552"/>
      <c r="ESK552"/>
      <c r="ESL552"/>
      <c r="ESM552"/>
      <c r="ESN552"/>
      <c r="ESO552"/>
      <c r="ESP552"/>
      <c r="ESQ552"/>
      <c r="ESR552"/>
      <c r="ESS552"/>
      <c r="EST552"/>
      <c r="ESU552"/>
      <c r="ESV552"/>
      <c r="ESW552"/>
      <c r="ESX552"/>
      <c r="ESY552"/>
      <c r="ESZ552"/>
      <c r="ETA552"/>
      <c r="ETB552"/>
      <c r="ETC552"/>
      <c r="ETD552"/>
      <c r="ETE552"/>
      <c r="ETF552"/>
      <c r="ETG552"/>
      <c r="ETH552"/>
      <c r="ETI552"/>
      <c r="ETJ552"/>
      <c r="ETK552"/>
      <c r="ETL552"/>
      <c r="ETM552"/>
      <c r="ETN552"/>
      <c r="ETO552"/>
      <c r="ETP552"/>
      <c r="ETQ552"/>
      <c r="ETR552"/>
      <c r="ETS552"/>
      <c r="ETT552"/>
      <c r="ETU552"/>
      <c r="ETV552"/>
      <c r="ETW552"/>
      <c r="ETX552"/>
      <c r="ETY552"/>
      <c r="ETZ552"/>
      <c r="EUA552"/>
      <c r="EUB552"/>
      <c r="EUC552"/>
      <c r="EUD552"/>
      <c r="EUE552"/>
      <c r="EUF552"/>
      <c r="EUG552"/>
      <c r="EUH552"/>
      <c r="EUI552"/>
      <c r="EUJ552"/>
      <c r="EUK552"/>
      <c r="EUL552"/>
      <c r="EUM552"/>
      <c r="EUN552"/>
      <c r="EUO552"/>
      <c r="EUP552"/>
      <c r="EUQ552"/>
      <c r="EUR552"/>
      <c r="EUS552"/>
      <c r="EUT552"/>
      <c r="EUU552"/>
      <c r="EUV552"/>
      <c r="EUW552"/>
      <c r="EUX552"/>
      <c r="EUY552"/>
      <c r="EUZ552"/>
      <c r="EVA552"/>
      <c r="EVB552"/>
      <c r="EVC552"/>
      <c r="EVD552"/>
      <c r="EVE552"/>
      <c r="EVF552"/>
      <c r="EVG552"/>
      <c r="EVH552"/>
      <c r="EVI552"/>
      <c r="EVJ552"/>
      <c r="EVK552"/>
      <c r="EVL552"/>
      <c r="EVM552"/>
      <c r="EVN552"/>
      <c r="EVO552"/>
      <c r="EVP552"/>
      <c r="EVQ552"/>
      <c r="EVR552"/>
      <c r="EVS552"/>
      <c r="EVT552"/>
      <c r="EVU552"/>
      <c r="EVV552"/>
      <c r="EVW552"/>
      <c r="EVX552"/>
      <c r="EVY552"/>
      <c r="EVZ552"/>
      <c r="EWA552"/>
      <c r="EWB552"/>
      <c r="EWC552"/>
      <c r="EWD552"/>
      <c r="EWE552"/>
      <c r="EWF552"/>
      <c r="EWG552"/>
      <c r="EWH552"/>
      <c r="EWI552"/>
      <c r="EWJ552"/>
      <c r="EWK552"/>
      <c r="EWL552"/>
      <c r="EWM552"/>
      <c r="EWN552"/>
      <c r="EWO552"/>
      <c r="EWP552"/>
      <c r="EWQ552"/>
      <c r="EWR552"/>
      <c r="EWS552"/>
      <c r="EWT552"/>
      <c r="EWU552"/>
      <c r="EWV552"/>
      <c r="EWW552"/>
      <c r="EWX552"/>
      <c r="EWY552"/>
      <c r="EWZ552"/>
      <c r="EXA552"/>
      <c r="EXB552"/>
      <c r="EXC552"/>
      <c r="EXD552"/>
      <c r="EXE552"/>
      <c r="EXF552"/>
      <c r="EXG552"/>
      <c r="EXH552"/>
      <c r="EXI552"/>
      <c r="EXJ552"/>
      <c r="EXK552"/>
      <c r="EXL552"/>
      <c r="EXM552"/>
      <c r="EXN552"/>
      <c r="EXO552"/>
      <c r="EXP552"/>
      <c r="EXQ552"/>
      <c r="EXR552"/>
      <c r="EXS552"/>
      <c r="EXT552"/>
      <c r="EXU552"/>
      <c r="EXV552"/>
      <c r="EXW552"/>
      <c r="EXX552"/>
      <c r="EXY552"/>
      <c r="EXZ552"/>
      <c r="EYA552"/>
      <c r="EYB552"/>
      <c r="EYC552"/>
      <c r="EYD552"/>
      <c r="EYE552"/>
      <c r="EYF552"/>
      <c r="EYG552"/>
      <c r="EYH552"/>
      <c r="EYI552"/>
      <c r="EYJ552"/>
      <c r="EYK552"/>
      <c r="EYL552"/>
      <c r="EYM552"/>
      <c r="EYN552"/>
      <c r="EYO552"/>
      <c r="EYP552"/>
      <c r="EYQ552"/>
      <c r="EYR552"/>
      <c r="EYS552"/>
      <c r="EYT552"/>
      <c r="EYU552"/>
      <c r="EYV552"/>
      <c r="EYW552"/>
      <c r="EYX552"/>
      <c r="EYY552"/>
      <c r="EYZ552"/>
      <c r="EZA552"/>
      <c r="EZB552"/>
      <c r="EZC552"/>
      <c r="EZD552"/>
      <c r="EZE552"/>
      <c r="EZF552"/>
      <c r="EZG552"/>
      <c r="EZH552"/>
      <c r="EZI552"/>
      <c r="EZJ552"/>
      <c r="EZK552"/>
      <c r="EZL552"/>
      <c r="EZM552"/>
      <c r="EZN552"/>
      <c r="EZO552"/>
      <c r="EZP552"/>
      <c r="EZQ552"/>
      <c r="EZR552"/>
      <c r="EZS552"/>
      <c r="EZT552"/>
      <c r="EZU552"/>
      <c r="EZV552"/>
      <c r="EZW552"/>
      <c r="EZX552"/>
      <c r="EZY552"/>
      <c r="EZZ552"/>
      <c r="FAA552"/>
      <c r="FAB552"/>
      <c r="FAC552"/>
      <c r="FAD552"/>
      <c r="FAE552"/>
      <c r="FAF552"/>
      <c r="FAG552"/>
      <c r="FAH552"/>
      <c r="FAI552"/>
      <c r="FAJ552"/>
      <c r="FAK552"/>
      <c r="FAL552"/>
      <c r="FAM552"/>
      <c r="FAN552"/>
      <c r="FAO552"/>
      <c r="FAP552"/>
      <c r="FAQ552"/>
      <c r="FAR552"/>
      <c r="FAS552"/>
      <c r="FAT552"/>
      <c r="FAU552"/>
      <c r="FAV552"/>
      <c r="FAW552"/>
      <c r="FAX552"/>
      <c r="FAY552"/>
      <c r="FAZ552"/>
      <c r="FBA552"/>
      <c r="FBB552"/>
      <c r="FBC552"/>
      <c r="FBD552"/>
      <c r="FBE552"/>
      <c r="FBF552"/>
      <c r="FBG552"/>
      <c r="FBH552"/>
      <c r="FBI552"/>
      <c r="FBJ552"/>
      <c r="FBK552"/>
      <c r="FBL552"/>
      <c r="FBM552"/>
      <c r="FBN552"/>
      <c r="FBO552"/>
      <c r="FBP552"/>
      <c r="FBQ552"/>
      <c r="FBR552"/>
      <c r="FBS552"/>
      <c r="FBT552"/>
      <c r="FBU552"/>
      <c r="FBV552"/>
      <c r="FBW552"/>
      <c r="FBX552"/>
      <c r="FBY552"/>
      <c r="FBZ552"/>
      <c r="FCA552"/>
      <c r="FCB552"/>
      <c r="FCC552"/>
      <c r="FCD552"/>
      <c r="FCE552"/>
      <c r="FCF552"/>
      <c r="FCG552"/>
      <c r="FCH552"/>
      <c r="FCI552"/>
      <c r="FCJ552"/>
      <c r="FCK552"/>
      <c r="FCL552"/>
      <c r="FCM552"/>
      <c r="FCN552"/>
      <c r="FCO552"/>
      <c r="FCP552"/>
      <c r="FCQ552"/>
      <c r="FCR552"/>
      <c r="FCS552"/>
      <c r="FCT552"/>
      <c r="FCU552"/>
      <c r="FCV552"/>
      <c r="FCW552"/>
      <c r="FCX552"/>
      <c r="FCY552"/>
      <c r="FCZ552"/>
      <c r="FDA552"/>
      <c r="FDB552"/>
      <c r="FDC552"/>
      <c r="FDD552"/>
      <c r="FDE552"/>
      <c r="FDF552"/>
      <c r="FDG552"/>
      <c r="FDH552"/>
      <c r="FDI552"/>
      <c r="FDJ552"/>
      <c r="FDK552"/>
      <c r="FDL552"/>
      <c r="FDM552"/>
      <c r="FDN552"/>
      <c r="FDO552"/>
      <c r="FDP552"/>
      <c r="FDQ552"/>
      <c r="FDR552"/>
      <c r="FDS552"/>
      <c r="FDT552"/>
      <c r="FDU552"/>
      <c r="FDV552"/>
      <c r="FDW552"/>
      <c r="FDX552"/>
      <c r="FDY552"/>
      <c r="FDZ552"/>
      <c r="FEA552"/>
      <c r="FEB552"/>
      <c r="FEC552"/>
      <c r="FED552"/>
      <c r="FEE552"/>
      <c r="FEF552"/>
      <c r="FEG552"/>
      <c r="FEH552"/>
      <c r="FEI552"/>
      <c r="FEJ552"/>
      <c r="FEK552"/>
      <c r="FEL552"/>
      <c r="FEM552"/>
      <c r="FEN552"/>
      <c r="FEO552"/>
      <c r="FEP552"/>
      <c r="FEQ552"/>
      <c r="FER552"/>
      <c r="FES552"/>
      <c r="FET552"/>
      <c r="FEU552"/>
      <c r="FEV552"/>
      <c r="FEW552"/>
      <c r="FEX552"/>
      <c r="FEY552"/>
      <c r="FEZ552"/>
      <c r="FFA552"/>
      <c r="FFB552"/>
      <c r="FFC552"/>
      <c r="FFD552"/>
      <c r="FFE552"/>
      <c r="FFF552"/>
      <c r="FFG552"/>
      <c r="FFH552"/>
      <c r="FFI552"/>
      <c r="FFJ552"/>
      <c r="FFK552"/>
      <c r="FFL552"/>
      <c r="FFM552"/>
      <c r="FFN552"/>
      <c r="FFO552"/>
      <c r="FFP552"/>
      <c r="FFQ552"/>
      <c r="FFR552"/>
      <c r="FFS552"/>
      <c r="FFT552"/>
      <c r="FFU552"/>
      <c r="FFV552"/>
      <c r="FFW552"/>
      <c r="FFX552"/>
      <c r="FFY552"/>
      <c r="FFZ552"/>
      <c r="FGA552"/>
      <c r="FGB552"/>
      <c r="FGC552"/>
      <c r="FGD552"/>
      <c r="FGE552"/>
      <c r="FGF552"/>
      <c r="FGG552"/>
      <c r="FGH552"/>
      <c r="FGI552"/>
      <c r="FGJ552"/>
      <c r="FGK552"/>
      <c r="FGL552"/>
      <c r="FGM552"/>
      <c r="FGN552"/>
      <c r="FGO552"/>
      <c r="FGP552"/>
      <c r="FGQ552"/>
      <c r="FGR552"/>
      <c r="FGS552"/>
      <c r="FGT552"/>
      <c r="FGU552"/>
      <c r="FGV552"/>
      <c r="FGW552"/>
      <c r="FGX552"/>
      <c r="FGY552"/>
      <c r="FGZ552"/>
      <c r="FHA552"/>
      <c r="FHB552"/>
      <c r="FHC552"/>
      <c r="FHD552"/>
      <c r="FHE552"/>
      <c r="FHF552"/>
      <c r="FHG552"/>
      <c r="FHH552"/>
      <c r="FHI552"/>
      <c r="FHJ552"/>
      <c r="FHK552"/>
      <c r="FHL552"/>
      <c r="FHM552"/>
      <c r="FHN552"/>
      <c r="FHO552"/>
      <c r="FHP552"/>
      <c r="FHQ552"/>
      <c r="FHR552"/>
      <c r="FHS552"/>
      <c r="FHT552"/>
      <c r="FHU552"/>
      <c r="FHV552"/>
      <c r="FHW552"/>
      <c r="FHX552"/>
      <c r="FHY552"/>
      <c r="FHZ552"/>
      <c r="FIA552"/>
      <c r="FIB552"/>
      <c r="FIC552"/>
      <c r="FID552"/>
      <c r="FIE552"/>
      <c r="FIF552"/>
      <c r="FIG552"/>
      <c r="FIH552"/>
      <c r="FII552"/>
      <c r="FIJ552"/>
      <c r="FIK552"/>
      <c r="FIL552"/>
      <c r="FIM552"/>
      <c r="FIN552"/>
      <c r="FIO552"/>
      <c r="FIP552"/>
      <c r="FIQ552"/>
      <c r="FIR552"/>
      <c r="FIS552"/>
      <c r="FIT552"/>
      <c r="FIU552"/>
      <c r="FIV552"/>
      <c r="FIW552"/>
      <c r="FIX552"/>
      <c r="FIY552"/>
      <c r="FIZ552"/>
      <c r="FJA552"/>
      <c r="FJB552"/>
      <c r="FJC552"/>
      <c r="FJD552"/>
      <c r="FJE552"/>
      <c r="FJF552"/>
      <c r="FJG552"/>
      <c r="FJH552"/>
      <c r="FJI552"/>
      <c r="FJJ552"/>
      <c r="FJK552"/>
      <c r="FJL552"/>
      <c r="FJM552"/>
      <c r="FJN552"/>
      <c r="FJO552"/>
      <c r="FJP552"/>
      <c r="FJQ552"/>
      <c r="FJR552"/>
      <c r="FJS552"/>
      <c r="FJT552"/>
      <c r="FJU552"/>
      <c r="FJV552"/>
      <c r="FJW552"/>
      <c r="FJX552"/>
      <c r="FJY552"/>
      <c r="FJZ552"/>
      <c r="FKA552"/>
      <c r="FKB552"/>
      <c r="FKC552"/>
      <c r="FKD552"/>
      <c r="FKE552"/>
      <c r="FKF552"/>
      <c r="FKG552"/>
      <c r="FKH552"/>
      <c r="FKI552"/>
      <c r="FKJ552"/>
      <c r="FKK552"/>
      <c r="FKL552"/>
      <c r="FKM552"/>
      <c r="FKN552"/>
      <c r="FKO552"/>
      <c r="FKP552"/>
      <c r="FKQ552"/>
      <c r="FKR552"/>
      <c r="FKS552"/>
      <c r="FKT552"/>
      <c r="FKU552"/>
      <c r="FKV552"/>
      <c r="FKW552"/>
      <c r="FKX552"/>
      <c r="FKY552"/>
      <c r="FKZ552"/>
      <c r="FLA552"/>
      <c r="FLB552"/>
      <c r="FLC552"/>
      <c r="FLD552"/>
      <c r="FLE552"/>
      <c r="FLF552"/>
      <c r="FLG552"/>
      <c r="FLH552"/>
      <c r="FLI552"/>
      <c r="FLJ552"/>
      <c r="FLK552"/>
      <c r="FLL552"/>
      <c r="FLM552"/>
      <c r="FLN552"/>
      <c r="FLO552"/>
      <c r="FLP552"/>
      <c r="FLQ552"/>
      <c r="FLR552"/>
      <c r="FLS552"/>
      <c r="FLT552"/>
      <c r="FLU552"/>
      <c r="FLV552"/>
      <c r="FLW552"/>
      <c r="FLX552"/>
      <c r="FLY552"/>
      <c r="FLZ552"/>
      <c r="FMA552"/>
      <c r="FMB552"/>
      <c r="FMC552"/>
      <c r="FMD552"/>
      <c r="FME552"/>
      <c r="FMF552"/>
      <c r="FMG552"/>
      <c r="FMH552"/>
      <c r="FMI552"/>
      <c r="FMJ552"/>
      <c r="FMK552"/>
      <c r="FML552"/>
      <c r="FMM552"/>
      <c r="FMN552"/>
      <c r="FMO552"/>
      <c r="FMP552"/>
      <c r="FMQ552"/>
      <c r="FMR552"/>
      <c r="FMS552"/>
      <c r="FMT552"/>
      <c r="FMU552"/>
      <c r="FMV552"/>
      <c r="FMW552"/>
      <c r="FMX552"/>
      <c r="FMY552"/>
      <c r="FMZ552"/>
      <c r="FNA552"/>
      <c r="FNB552"/>
      <c r="FNC552"/>
      <c r="FND552"/>
      <c r="FNE552"/>
      <c r="FNF552"/>
      <c r="FNG552"/>
      <c r="FNH552"/>
      <c r="FNI552"/>
      <c r="FNJ552"/>
      <c r="FNK552"/>
      <c r="FNL552"/>
      <c r="FNM552"/>
      <c r="FNN552"/>
      <c r="FNO552"/>
      <c r="FNP552"/>
      <c r="FNQ552"/>
      <c r="FNR552"/>
      <c r="FNS552"/>
      <c r="FNT552"/>
      <c r="FNU552"/>
      <c r="FNV552"/>
      <c r="FNW552"/>
      <c r="FNX552"/>
      <c r="FNY552"/>
      <c r="FNZ552"/>
      <c r="FOA552"/>
      <c r="FOB552"/>
      <c r="FOC552"/>
      <c r="FOD552"/>
      <c r="FOE552"/>
      <c r="FOF552"/>
      <c r="FOG552"/>
      <c r="FOH552"/>
      <c r="FOI552"/>
      <c r="FOJ552"/>
      <c r="FOK552"/>
      <c r="FOL552"/>
      <c r="FOM552"/>
      <c r="FON552"/>
      <c r="FOO552"/>
      <c r="FOP552"/>
      <c r="FOQ552"/>
      <c r="FOR552"/>
      <c r="FOS552"/>
      <c r="FOT552"/>
      <c r="FOU552"/>
      <c r="FOV552"/>
      <c r="FOW552"/>
      <c r="FOX552"/>
      <c r="FOY552"/>
      <c r="FOZ552"/>
      <c r="FPA552"/>
      <c r="FPB552"/>
      <c r="FPC552"/>
      <c r="FPD552"/>
      <c r="FPE552"/>
      <c r="FPF552"/>
      <c r="FPG552"/>
      <c r="FPH552"/>
      <c r="FPI552"/>
      <c r="FPJ552"/>
      <c r="FPK552"/>
      <c r="FPL552"/>
      <c r="FPM552"/>
      <c r="FPN552"/>
      <c r="FPO552"/>
      <c r="FPP552"/>
      <c r="FPQ552"/>
      <c r="FPR552"/>
      <c r="FPS552"/>
      <c r="FPT552"/>
      <c r="FPU552"/>
      <c r="FPV552"/>
      <c r="FPW552"/>
      <c r="FPX552"/>
      <c r="FPY552"/>
      <c r="FPZ552"/>
      <c r="FQA552"/>
      <c r="FQB552"/>
      <c r="FQC552"/>
      <c r="FQD552"/>
      <c r="FQE552"/>
      <c r="FQF552"/>
      <c r="FQG552"/>
      <c r="FQH552"/>
      <c r="FQI552"/>
      <c r="FQJ552"/>
      <c r="FQK552"/>
      <c r="FQL552"/>
      <c r="FQM552"/>
      <c r="FQN552"/>
      <c r="FQO552"/>
      <c r="FQP552"/>
      <c r="FQQ552"/>
      <c r="FQR552"/>
      <c r="FQS552"/>
      <c r="FQT552"/>
      <c r="FQU552"/>
      <c r="FQV552"/>
      <c r="FQW552"/>
      <c r="FQX552"/>
      <c r="FQY552"/>
      <c r="FQZ552"/>
      <c r="FRA552"/>
      <c r="FRB552"/>
      <c r="FRC552"/>
      <c r="FRD552"/>
      <c r="FRE552"/>
      <c r="FRF552"/>
      <c r="FRG552"/>
      <c r="FRH552"/>
      <c r="FRI552"/>
      <c r="FRJ552"/>
      <c r="FRK552"/>
      <c r="FRL552"/>
      <c r="FRM552"/>
      <c r="FRN552"/>
      <c r="FRO552"/>
      <c r="FRP552"/>
      <c r="FRQ552"/>
      <c r="FRR552"/>
      <c r="FRS552"/>
      <c r="FRT552"/>
      <c r="FRU552"/>
      <c r="FRV552"/>
      <c r="FRW552"/>
      <c r="FRX552"/>
      <c r="FRY552"/>
      <c r="FRZ552"/>
      <c r="FSA552"/>
      <c r="FSB552"/>
      <c r="FSC552"/>
      <c r="FSD552"/>
      <c r="FSE552"/>
      <c r="FSF552"/>
      <c r="FSG552"/>
      <c r="FSH552"/>
      <c r="FSI552"/>
      <c r="FSJ552"/>
      <c r="FSK552"/>
      <c r="FSL552"/>
      <c r="FSM552"/>
      <c r="FSN552"/>
      <c r="FSO552"/>
      <c r="FSP552"/>
      <c r="FSQ552"/>
      <c r="FSR552"/>
      <c r="FSS552"/>
      <c r="FST552"/>
      <c r="FSU552"/>
      <c r="FSV552"/>
      <c r="FSW552"/>
      <c r="FSX552"/>
      <c r="FSY552"/>
      <c r="FSZ552"/>
      <c r="FTA552"/>
      <c r="FTB552"/>
      <c r="FTC552"/>
      <c r="FTD552"/>
      <c r="FTE552"/>
      <c r="FTF552"/>
      <c r="FTG552"/>
      <c r="FTH552"/>
      <c r="FTI552"/>
      <c r="FTJ552"/>
      <c r="FTK552"/>
      <c r="FTL552"/>
      <c r="FTM552"/>
      <c r="FTN552"/>
      <c r="FTO552"/>
      <c r="FTP552"/>
      <c r="FTQ552"/>
      <c r="FTR552"/>
      <c r="FTS552"/>
      <c r="FTT552"/>
      <c r="FTU552"/>
      <c r="FTV552"/>
      <c r="FTW552"/>
      <c r="FTX552"/>
      <c r="FTY552"/>
      <c r="FTZ552"/>
      <c r="FUA552"/>
      <c r="FUB552"/>
      <c r="FUC552"/>
      <c r="FUD552"/>
      <c r="FUE552"/>
      <c r="FUF552"/>
      <c r="FUG552"/>
      <c r="FUH552"/>
      <c r="FUI552"/>
      <c r="FUJ552"/>
      <c r="FUK552"/>
      <c r="FUL552"/>
      <c r="FUM552"/>
      <c r="FUN552"/>
      <c r="FUO552"/>
      <c r="FUP552"/>
      <c r="FUQ552"/>
      <c r="FUR552"/>
      <c r="FUS552"/>
      <c r="FUT552"/>
      <c r="FUU552"/>
      <c r="FUV552"/>
      <c r="FUW552"/>
      <c r="FUX552"/>
      <c r="FUY552"/>
      <c r="FUZ552"/>
      <c r="FVA552"/>
      <c r="FVB552"/>
      <c r="FVC552"/>
      <c r="FVD552"/>
      <c r="FVE552"/>
      <c r="FVF552"/>
      <c r="FVG552"/>
      <c r="FVH552"/>
      <c r="FVI552"/>
      <c r="FVJ552"/>
      <c r="FVK552"/>
      <c r="FVL552"/>
      <c r="FVM552"/>
      <c r="FVN552"/>
      <c r="FVO552"/>
      <c r="FVP552"/>
      <c r="FVQ552"/>
      <c r="FVR552"/>
      <c r="FVS552"/>
      <c r="FVT552"/>
      <c r="FVU552"/>
      <c r="FVV552"/>
      <c r="FVW552"/>
      <c r="FVX552"/>
      <c r="FVY552"/>
      <c r="FVZ552"/>
      <c r="FWA552"/>
      <c r="FWB552"/>
      <c r="FWC552"/>
      <c r="FWD552"/>
      <c r="FWE552"/>
      <c r="FWF552"/>
      <c r="FWG552"/>
      <c r="FWH552"/>
      <c r="FWI552"/>
      <c r="FWJ552"/>
      <c r="FWK552"/>
      <c r="FWL552"/>
      <c r="FWM552"/>
      <c r="FWN552"/>
      <c r="FWO552"/>
      <c r="FWP552"/>
      <c r="FWQ552"/>
      <c r="FWR552"/>
      <c r="FWS552"/>
      <c r="FWT552"/>
      <c r="FWU552"/>
      <c r="FWV552"/>
      <c r="FWW552"/>
      <c r="FWX552"/>
      <c r="FWY552"/>
      <c r="FWZ552"/>
      <c r="FXA552"/>
      <c r="FXB552"/>
      <c r="FXC552"/>
      <c r="FXD552"/>
      <c r="FXE552"/>
      <c r="FXF552"/>
      <c r="FXG552"/>
      <c r="FXH552"/>
      <c r="FXI552"/>
      <c r="FXJ552"/>
      <c r="FXK552"/>
      <c r="FXL552"/>
      <c r="FXM552"/>
      <c r="FXN552"/>
      <c r="FXO552"/>
      <c r="FXP552"/>
      <c r="FXQ552"/>
      <c r="FXR552"/>
      <c r="FXS552"/>
      <c r="FXT552"/>
      <c r="FXU552"/>
      <c r="FXV552"/>
      <c r="FXW552"/>
      <c r="FXX552"/>
      <c r="FXY552"/>
      <c r="FXZ552"/>
      <c r="FYA552"/>
      <c r="FYB552"/>
      <c r="FYC552"/>
      <c r="FYD552"/>
      <c r="FYE552"/>
      <c r="FYF552"/>
      <c r="FYG552"/>
      <c r="FYH552"/>
      <c r="FYI552"/>
      <c r="FYJ552"/>
      <c r="FYK552"/>
      <c r="FYL552"/>
      <c r="FYM552"/>
      <c r="FYN552"/>
      <c r="FYO552"/>
      <c r="FYP552"/>
      <c r="FYQ552"/>
      <c r="FYR552"/>
      <c r="FYS552"/>
      <c r="FYT552"/>
      <c r="FYU552"/>
      <c r="FYV552"/>
      <c r="FYW552"/>
      <c r="FYX552"/>
      <c r="FYY552"/>
      <c r="FYZ552"/>
      <c r="FZA552"/>
      <c r="FZB552"/>
      <c r="FZC552"/>
      <c r="FZD552"/>
      <c r="FZE552"/>
      <c r="FZF552"/>
      <c r="FZG552"/>
      <c r="FZH552"/>
      <c r="FZI552"/>
      <c r="FZJ552"/>
      <c r="FZK552"/>
      <c r="FZL552"/>
      <c r="FZM552"/>
      <c r="FZN552"/>
      <c r="FZO552"/>
      <c r="FZP552"/>
      <c r="FZQ552"/>
      <c r="FZR552"/>
      <c r="FZS552"/>
      <c r="FZT552"/>
      <c r="FZU552"/>
      <c r="FZV552"/>
      <c r="FZW552"/>
      <c r="FZX552"/>
      <c r="FZY552"/>
      <c r="FZZ552"/>
      <c r="GAA552"/>
      <c r="GAB552"/>
      <c r="GAC552"/>
      <c r="GAD552"/>
      <c r="GAE552"/>
      <c r="GAF552"/>
      <c r="GAG552"/>
      <c r="GAH552"/>
      <c r="GAI552"/>
      <c r="GAJ552"/>
      <c r="GAK552"/>
      <c r="GAL552"/>
      <c r="GAM552"/>
      <c r="GAN552"/>
      <c r="GAO552"/>
      <c r="GAP552"/>
      <c r="GAQ552"/>
      <c r="GAR552"/>
      <c r="GAS552"/>
      <c r="GAT552"/>
      <c r="GAU552"/>
      <c r="GAV552"/>
      <c r="GAW552"/>
      <c r="GAX552"/>
      <c r="GAY552"/>
      <c r="GAZ552"/>
      <c r="GBA552"/>
      <c r="GBB552"/>
      <c r="GBC552"/>
      <c r="GBD552"/>
      <c r="GBE552"/>
      <c r="GBF552"/>
      <c r="GBG552"/>
      <c r="GBH552"/>
      <c r="GBI552"/>
      <c r="GBJ552"/>
      <c r="GBK552"/>
      <c r="GBL552"/>
      <c r="GBM552"/>
      <c r="GBN552"/>
      <c r="GBO552"/>
      <c r="GBP552"/>
      <c r="GBQ552"/>
      <c r="GBR552"/>
      <c r="GBS552"/>
      <c r="GBT552"/>
      <c r="GBU552"/>
      <c r="GBV552"/>
      <c r="GBW552"/>
      <c r="GBX552"/>
      <c r="GBY552"/>
      <c r="GBZ552"/>
      <c r="GCA552"/>
      <c r="GCB552"/>
      <c r="GCC552"/>
      <c r="GCD552"/>
      <c r="GCE552"/>
      <c r="GCF552"/>
      <c r="GCG552"/>
      <c r="GCH552"/>
      <c r="GCI552"/>
      <c r="GCJ552"/>
      <c r="GCK552"/>
      <c r="GCL552"/>
      <c r="GCM552"/>
      <c r="GCN552"/>
      <c r="GCO552"/>
      <c r="GCP552"/>
      <c r="GCQ552"/>
      <c r="GCR552"/>
      <c r="GCS552"/>
      <c r="GCT552"/>
      <c r="GCU552"/>
      <c r="GCV552"/>
      <c r="GCW552"/>
      <c r="GCX552"/>
      <c r="GCY552"/>
      <c r="GCZ552"/>
      <c r="GDA552"/>
      <c r="GDB552"/>
      <c r="GDC552"/>
      <c r="GDD552"/>
      <c r="GDE552"/>
      <c r="GDF552"/>
      <c r="GDG552"/>
      <c r="GDH552"/>
      <c r="GDI552"/>
      <c r="GDJ552"/>
      <c r="GDK552"/>
      <c r="GDL552"/>
      <c r="GDM552"/>
      <c r="GDN552"/>
      <c r="GDO552"/>
      <c r="GDP552"/>
      <c r="GDQ552"/>
      <c r="GDR552"/>
      <c r="GDS552"/>
      <c r="GDT552"/>
      <c r="GDU552"/>
      <c r="GDV552"/>
      <c r="GDW552"/>
      <c r="GDX552"/>
      <c r="GDY552"/>
      <c r="GDZ552"/>
      <c r="GEA552"/>
      <c r="GEB552"/>
      <c r="GEC552"/>
      <c r="GED552"/>
      <c r="GEE552"/>
      <c r="GEF552"/>
      <c r="GEG552"/>
      <c r="GEH552"/>
      <c r="GEI552"/>
      <c r="GEJ552"/>
      <c r="GEK552"/>
      <c r="GEL552"/>
      <c r="GEM552"/>
      <c r="GEN552"/>
      <c r="GEO552"/>
      <c r="GEP552"/>
      <c r="GEQ552"/>
      <c r="GER552"/>
      <c r="GES552"/>
      <c r="GET552"/>
      <c r="GEU552"/>
      <c r="GEV552"/>
      <c r="GEW552"/>
      <c r="GEX552"/>
      <c r="GEY552"/>
      <c r="GEZ552"/>
      <c r="GFA552"/>
      <c r="GFB552"/>
      <c r="GFC552"/>
      <c r="GFD552"/>
      <c r="GFE552"/>
      <c r="GFF552"/>
      <c r="GFG552"/>
      <c r="GFH552"/>
      <c r="GFI552"/>
      <c r="GFJ552"/>
      <c r="GFK552"/>
      <c r="GFL552"/>
      <c r="GFM552"/>
      <c r="GFN552"/>
      <c r="GFO552"/>
      <c r="GFP552"/>
      <c r="GFQ552"/>
      <c r="GFR552"/>
      <c r="GFS552"/>
      <c r="GFT552"/>
      <c r="GFU552"/>
      <c r="GFV552"/>
      <c r="GFW552"/>
      <c r="GFX552"/>
      <c r="GFY552"/>
      <c r="GFZ552"/>
      <c r="GGA552"/>
      <c r="GGB552"/>
      <c r="GGC552"/>
      <c r="GGD552"/>
      <c r="GGE552"/>
      <c r="GGF552"/>
      <c r="GGG552"/>
      <c r="GGH552"/>
      <c r="GGI552"/>
      <c r="GGJ552"/>
      <c r="GGK552"/>
      <c r="GGL552"/>
      <c r="GGM552"/>
      <c r="GGN552"/>
      <c r="GGO552"/>
      <c r="GGP552"/>
      <c r="GGQ552"/>
      <c r="GGR552"/>
      <c r="GGS552"/>
      <c r="GGT552"/>
      <c r="GGU552"/>
      <c r="GGV552"/>
      <c r="GGW552"/>
      <c r="GGX552"/>
      <c r="GGY552"/>
      <c r="GGZ552"/>
      <c r="GHA552"/>
      <c r="GHB552"/>
      <c r="GHC552"/>
      <c r="GHD552"/>
      <c r="GHE552"/>
      <c r="GHF552"/>
      <c r="GHG552"/>
      <c r="GHH552"/>
      <c r="GHI552"/>
      <c r="GHJ552"/>
      <c r="GHK552"/>
      <c r="GHL552"/>
      <c r="GHM552"/>
      <c r="GHN552"/>
      <c r="GHO552"/>
      <c r="GHP552"/>
      <c r="GHQ552"/>
      <c r="GHR552"/>
      <c r="GHS552"/>
      <c r="GHT552"/>
      <c r="GHU552"/>
      <c r="GHV552"/>
      <c r="GHW552"/>
      <c r="GHX552"/>
      <c r="GHY552"/>
      <c r="GHZ552"/>
      <c r="GIA552"/>
      <c r="GIB552"/>
      <c r="GIC552"/>
      <c r="GID552"/>
      <c r="GIE552"/>
      <c r="GIF552"/>
      <c r="GIG552"/>
      <c r="GIH552"/>
      <c r="GII552"/>
      <c r="GIJ552"/>
      <c r="GIK552"/>
      <c r="GIL552"/>
      <c r="GIM552"/>
      <c r="GIN552"/>
      <c r="GIO552"/>
      <c r="GIP552"/>
      <c r="GIQ552"/>
      <c r="GIR552"/>
      <c r="GIS552"/>
      <c r="GIT552"/>
      <c r="GIU552"/>
      <c r="GIV552"/>
      <c r="GIW552"/>
      <c r="GIX552"/>
      <c r="GIY552"/>
      <c r="GIZ552"/>
      <c r="GJA552"/>
      <c r="GJB552"/>
      <c r="GJC552"/>
      <c r="GJD552"/>
      <c r="GJE552"/>
      <c r="GJF552"/>
      <c r="GJG552"/>
      <c r="GJH552"/>
      <c r="GJI552"/>
      <c r="GJJ552"/>
      <c r="GJK552"/>
      <c r="GJL552"/>
      <c r="GJM552"/>
      <c r="GJN552"/>
      <c r="GJO552"/>
      <c r="GJP552"/>
      <c r="GJQ552"/>
      <c r="GJR552"/>
      <c r="GJS552"/>
      <c r="GJT552"/>
      <c r="GJU552"/>
      <c r="GJV552"/>
      <c r="GJW552"/>
      <c r="GJX552"/>
      <c r="GJY552"/>
      <c r="GJZ552"/>
      <c r="GKA552"/>
      <c r="GKB552"/>
      <c r="GKC552"/>
      <c r="GKD552"/>
      <c r="GKE552"/>
      <c r="GKF552"/>
      <c r="GKG552"/>
      <c r="GKH552"/>
      <c r="GKI552"/>
      <c r="GKJ552"/>
      <c r="GKK552"/>
      <c r="GKL552"/>
      <c r="GKM552"/>
      <c r="GKN552"/>
      <c r="GKO552"/>
      <c r="GKP552"/>
      <c r="GKQ552"/>
      <c r="GKR552"/>
      <c r="GKS552"/>
      <c r="GKT552"/>
      <c r="GKU552"/>
      <c r="GKV552"/>
      <c r="GKW552"/>
      <c r="GKX552"/>
      <c r="GKY552"/>
      <c r="GKZ552"/>
      <c r="GLA552"/>
      <c r="GLB552"/>
      <c r="GLC552"/>
      <c r="GLD552"/>
      <c r="GLE552"/>
      <c r="GLF552"/>
      <c r="GLG552"/>
      <c r="GLH552"/>
      <c r="GLI552"/>
      <c r="GLJ552"/>
      <c r="GLK552"/>
      <c r="GLL552"/>
      <c r="GLM552"/>
      <c r="GLN552"/>
      <c r="GLO552"/>
      <c r="GLP552"/>
      <c r="GLQ552"/>
      <c r="GLR552"/>
      <c r="GLS552"/>
      <c r="GLT552"/>
      <c r="GLU552"/>
      <c r="GLV552"/>
      <c r="GLW552"/>
      <c r="GLX552"/>
      <c r="GLY552"/>
      <c r="GLZ552"/>
      <c r="GMA552"/>
      <c r="GMB552"/>
      <c r="GMC552"/>
      <c r="GMD552"/>
      <c r="GME552"/>
      <c r="GMF552"/>
      <c r="GMG552"/>
      <c r="GMH552"/>
      <c r="GMI552"/>
      <c r="GMJ552"/>
      <c r="GMK552"/>
      <c r="GML552"/>
      <c r="GMM552"/>
      <c r="GMN552"/>
      <c r="GMO552"/>
      <c r="GMP552"/>
      <c r="GMQ552"/>
      <c r="GMR552"/>
      <c r="GMS552"/>
      <c r="GMT552"/>
      <c r="GMU552"/>
      <c r="GMV552"/>
      <c r="GMW552"/>
      <c r="GMX552"/>
      <c r="GMY552"/>
      <c r="GMZ552"/>
      <c r="GNA552"/>
      <c r="GNB552"/>
      <c r="GNC552"/>
      <c r="GND552"/>
      <c r="GNE552"/>
      <c r="GNF552"/>
      <c r="GNG552"/>
      <c r="GNH552"/>
      <c r="GNI552"/>
      <c r="GNJ552"/>
      <c r="GNK552"/>
      <c r="GNL552"/>
      <c r="GNM552"/>
      <c r="GNN552"/>
      <c r="GNO552"/>
      <c r="GNP552"/>
      <c r="GNQ552"/>
      <c r="GNR552"/>
      <c r="GNS552"/>
      <c r="GNT552"/>
      <c r="GNU552"/>
      <c r="GNV552"/>
      <c r="GNW552"/>
      <c r="GNX552"/>
      <c r="GNY552"/>
      <c r="GNZ552"/>
      <c r="GOA552"/>
      <c r="GOB552"/>
      <c r="GOC552"/>
      <c r="GOD552"/>
      <c r="GOE552"/>
      <c r="GOF552"/>
      <c r="GOG552"/>
      <c r="GOH552"/>
      <c r="GOI552"/>
      <c r="GOJ552"/>
      <c r="GOK552"/>
      <c r="GOL552"/>
      <c r="GOM552"/>
      <c r="GON552"/>
      <c r="GOO552"/>
      <c r="GOP552"/>
      <c r="GOQ552"/>
      <c r="GOR552"/>
      <c r="GOS552"/>
      <c r="GOT552"/>
      <c r="GOU552"/>
      <c r="GOV552"/>
      <c r="GOW552"/>
      <c r="GOX552"/>
      <c r="GOY552"/>
      <c r="GOZ552"/>
      <c r="GPA552"/>
      <c r="GPB552"/>
      <c r="GPC552"/>
      <c r="GPD552"/>
      <c r="GPE552"/>
      <c r="GPF552"/>
      <c r="GPG552"/>
      <c r="GPH552"/>
      <c r="GPI552"/>
      <c r="GPJ552"/>
      <c r="GPK552"/>
      <c r="GPL552"/>
      <c r="GPM552"/>
      <c r="GPN552"/>
      <c r="GPO552"/>
      <c r="GPP552"/>
      <c r="GPQ552"/>
      <c r="GPR552"/>
      <c r="GPS552"/>
      <c r="GPT552"/>
      <c r="GPU552"/>
      <c r="GPV552"/>
      <c r="GPW552"/>
      <c r="GPX552"/>
      <c r="GPY552"/>
      <c r="GPZ552"/>
      <c r="GQA552"/>
      <c r="GQB552"/>
      <c r="GQC552"/>
      <c r="GQD552"/>
      <c r="GQE552"/>
      <c r="GQF552"/>
      <c r="GQG552"/>
      <c r="GQH552"/>
      <c r="GQI552"/>
      <c r="GQJ552"/>
      <c r="GQK552"/>
      <c r="GQL552"/>
      <c r="GQM552"/>
      <c r="GQN552"/>
      <c r="GQO552"/>
      <c r="GQP552"/>
      <c r="GQQ552"/>
      <c r="GQR552"/>
      <c r="GQS552"/>
      <c r="GQT552"/>
      <c r="GQU552"/>
      <c r="GQV552"/>
      <c r="GQW552"/>
      <c r="GQX552"/>
      <c r="GQY552"/>
      <c r="GQZ552"/>
      <c r="GRA552"/>
      <c r="GRB552"/>
      <c r="GRC552"/>
      <c r="GRD552"/>
      <c r="GRE552"/>
      <c r="GRF552"/>
      <c r="GRG552"/>
      <c r="GRH552"/>
      <c r="GRI552"/>
      <c r="GRJ552"/>
      <c r="GRK552"/>
      <c r="GRL552"/>
      <c r="GRM552"/>
      <c r="GRN552"/>
      <c r="GRO552"/>
      <c r="GRP552"/>
      <c r="GRQ552"/>
      <c r="GRR552"/>
      <c r="GRS552"/>
      <c r="GRT552"/>
      <c r="GRU552"/>
      <c r="GRV552"/>
      <c r="GRW552"/>
      <c r="GRX552"/>
      <c r="GRY552"/>
      <c r="GRZ552"/>
      <c r="GSA552"/>
      <c r="GSB552"/>
      <c r="GSC552"/>
      <c r="GSD552"/>
      <c r="GSE552"/>
      <c r="GSF552"/>
      <c r="GSG552"/>
      <c r="GSH552"/>
      <c r="GSI552"/>
      <c r="GSJ552"/>
      <c r="GSK552"/>
      <c r="GSL552"/>
      <c r="GSM552"/>
      <c r="GSN552"/>
      <c r="GSO552"/>
      <c r="GSP552"/>
      <c r="GSQ552"/>
      <c r="GSR552"/>
      <c r="GSS552"/>
      <c r="GST552"/>
      <c r="GSU552"/>
      <c r="GSV552"/>
      <c r="GSW552"/>
      <c r="GSX552"/>
      <c r="GSY552"/>
      <c r="GSZ552"/>
      <c r="GTA552"/>
      <c r="GTB552"/>
      <c r="GTC552"/>
      <c r="GTD552"/>
      <c r="GTE552"/>
      <c r="GTF552"/>
      <c r="GTG552"/>
      <c r="GTH552"/>
      <c r="GTI552"/>
      <c r="GTJ552"/>
      <c r="GTK552"/>
      <c r="GTL552"/>
      <c r="GTM552"/>
      <c r="GTN552"/>
      <c r="GTO552"/>
      <c r="GTP552"/>
      <c r="GTQ552"/>
      <c r="GTR552"/>
      <c r="GTS552"/>
      <c r="GTT552"/>
      <c r="GTU552"/>
      <c r="GTV552"/>
      <c r="GTW552"/>
      <c r="GTX552"/>
      <c r="GTY552"/>
      <c r="GTZ552"/>
      <c r="GUA552"/>
      <c r="GUB552"/>
      <c r="GUC552"/>
      <c r="GUD552"/>
      <c r="GUE552"/>
      <c r="GUF552"/>
      <c r="GUG552"/>
      <c r="GUH552"/>
      <c r="GUI552"/>
      <c r="GUJ552"/>
      <c r="GUK552"/>
      <c r="GUL552"/>
      <c r="GUM552"/>
      <c r="GUN552"/>
      <c r="GUO552"/>
      <c r="GUP552"/>
      <c r="GUQ552"/>
      <c r="GUR552"/>
      <c r="GUS552"/>
      <c r="GUT552"/>
      <c r="GUU552"/>
      <c r="GUV552"/>
      <c r="GUW552"/>
      <c r="GUX552"/>
      <c r="GUY552"/>
      <c r="GUZ552"/>
      <c r="GVA552"/>
      <c r="GVB552"/>
      <c r="GVC552"/>
      <c r="GVD552"/>
      <c r="GVE552"/>
      <c r="GVF552"/>
      <c r="GVG552"/>
      <c r="GVH552"/>
      <c r="GVI552"/>
      <c r="GVJ552"/>
      <c r="GVK552"/>
      <c r="GVL552"/>
      <c r="GVM552"/>
      <c r="GVN552"/>
      <c r="GVO552"/>
      <c r="GVP552"/>
      <c r="GVQ552"/>
      <c r="GVR552"/>
      <c r="GVS552"/>
      <c r="GVT552"/>
      <c r="GVU552"/>
      <c r="GVV552"/>
      <c r="GVW552"/>
      <c r="GVX552"/>
      <c r="GVY552"/>
      <c r="GVZ552"/>
      <c r="GWA552"/>
      <c r="GWB552"/>
      <c r="GWC552"/>
      <c r="GWD552"/>
      <c r="GWE552"/>
      <c r="GWF552"/>
      <c r="GWG552"/>
      <c r="GWH552"/>
      <c r="GWI552"/>
      <c r="GWJ552"/>
      <c r="GWK552"/>
      <c r="GWL552"/>
      <c r="GWM552"/>
      <c r="GWN552"/>
      <c r="GWO552"/>
      <c r="GWP552"/>
      <c r="GWQ552"/>
      <c r="GWR552"/>
      <c r="GWS552"/>
      <c r="GWT552"/>
      <c r="GWU552"/>
      <c r="GWV552"/>
      <c r="GWW552"/>
      <c r="GWX552"/>
      <c r="GWY552"/>
      <c r="GWZ552"/>
      <c r="GXA552"/>
      <c r="GXB552"/>
      <c r="GXC552"/>
      <c r="GXD552"/>
      <c r="GXE552"/>
      <c r="GXF552"/>
      <c r="GXG552"/>
      <c r="GXH552"/>
      <c r="GXI552"/>
      <c r="GXJ552"/>
      <c r="GXK552"/>
      <c r="GXL552"/>
      <c r="GXM552"/>
      <c r="GXN552"/>
      <c r="GXO552"/>
      <c r="GXP552"/>
      <c r="GXQ552"/>
      <c r="GXR552"/>
      <c r="GXS552"/>
      <c r="GXT552"/>
      <c r="GXU552"/>
      <c r="GXV552"/>
      <c r="GXW552"/>
      <c r="GXX552"/>
      <c r="GXY552"/>
      <c r="GXZ552"/>
      <c r="GYA552"/>
      <c r="GYB552"/>
      <c r="GYC552"/>
      <c r="GYD552"/>
      <c r="GYE552"/>
      <c r="GYF552"/>
      <c r="GYG552"/>
      <c r="GYH552"/>
      <c r="GYI552"/>
      <c r="GYJ552"/>
      <c r="GYK552"/>
      <c r="GYL552"/>
      <c r="GYM552"/>
      <c r="GYN552"/>
      <c r="GYO552"/>
      <c r="GYP552"/>
      <c r="GYQ552"/>
      <c r="GYR552"/>
      <c r="GYS552"/>
      <c r="GYT552"/>
      <c r="GYU552"/>
      <c r="GYV552"/>
      <c r="GYW552"/>
      <c r="GYX552"/>
      <c r="GYY552"/>
      <c r="GYZ552"/>
      <c r="GZA552"/>
      <c r="GZB552"/>
      <c r="GZC552"/>
      <c r="GZD552"/>
      <c r="GZE552"/>
      <c r="GZF552"/>
      <c r="GZG552"/>
      <c r="GZH552"/>
      <c r="GZI552"/>
      <c r="GZJ552"/>
      <c r="GZK552"/>
      <c r="GZL552"/>
      <c r="GZM552"/>
      <c r="GZN552"/>
      <c r="GZO552"/>
      <c r="GZP552"/>
      <c r="GZQ552"/>
      <c r="GZR552"/>
      <c r="GZS552"/>
      <c r="GZT552"/>
      <c r="GZU552"/>
      <c r="GZV552"/>
      <c r="GZW552"/>
      <c r="GZX552"/>
      <c r="GZY552"/>
      <c r="GZZ552"/>
      <c r="HAA552"/>
      <c r="HAB552"/>
      <c r="HAC552"/>
      <c r="HAD552"/>
      <c r="HAE552"/>
      <c r="HAF552"/>
      <c r="HAG552"/>
      <c r="HAH552"/>
      <c r="HAI552"/>
      <c r="HAJ552"/>
      <c r="HAK552"/>
      <c r="HAL552"/>
      <c r="HAM552"/>
      <c r="HAN552"/>
      <c r="HAO552"/>
      <c r="HAP552"/>
      <c r="HAQ552"/>
      <c r="HAR552"/>
      <c r="HAS552"/>
      <c r="HAT552"/>
      <c r="HAU552"/>
      <c r="HAV552"/>
      <c r="HAW552"/>
      <c r="HAX552"/>
      <c r="HAY552"/>
      <c r="HAZ552"/>
      <c r="HBA552"/>
      <c r="HBB552"/>
      <c r="HBC552"/>
      <c r="HBD552"/>
      <c r="HBE552"/>
      <c r="HBF552"/>
      <c r="HBG552"/>
      <c r="HBH552"/>
      <c r="HBI552"/>
      <c r="HBJ552"/>
      <c r="HBK552"/>
      <c r="HBL552"/>
      <c r="HBM552"/>
      <c r="HBN552"/>
      <c r="HBO552"/>
      <c r="HBP552"/>
      <c r="HBQ552"/>
      <c r="HBR552"/>
      <c r="HBS552"/>
      <c r="HBT552"/>
      <c r="HBU552"/>
      <c r="HBV552"/>
      <c r="HBW552"/>
      <c r="HBX552"/>
      <c r="HBY552"/>
      <c r="HBZ552"/>
      <c r="HCA552"/>
      <c r="HCB552"/>
      <c r="HCC552"/>
      <c r="HCD552"/>
      <c r="HCE552"/>
      <c r="HCF552"/>
      <c r="HCG552"/>
      <c r="HCH552"/>
      <c r="HCI552"/>
      <c r="HCJ552"/>
      <c r="HCK552"/>
      <c r="HCL552"/>
      <c r="HCM552"/>
      <c r="HCN552"/>
      <c r="HCO552"/>
      <c r="HCP552"/>
      <c r="HCQ552"/>
      <c r="HCR552"/>
      <c r="HCS552"/>
      <c r="HCT552"/>
      <c r="HCU552"/>
      <c r="HCV552"/>
      <c r="HCW552"/>
      <c r="HCX552"/>
      <c r="HCY552"/>
      <c r="HCZ552"/>
      <c r="HDA552"/>
      <c r="HDB552"/>
      <c r="HDC552"/>
      <c r="HDD552"/>
      <c r="HDE552"/>
      <c r="HDF552"/>
      <c r="HDG552"/>
      <c r="HDH552"/>
      <c r="HDI552"/>
      <c r="HDJ552"/>
      <c r="HDK552"/>
      <c r="HDL552"/>
      <c r="HDM552"/>
      <c r="HDN552"/>
      <c r="HDO552"/>
      <c r="HDP552"/>
      <c r="HDQ552"/>
      <c r="HDR552"/>
      <c r="HDS552"/>
      <c r="HDT552"/>
      <c r="HDU552"/>
      <c r="HDV552"/>
      <c r="HDW552"/>
      <c r="HDX552"/>
      <c r="HDY552"/>
      <c r="HDZ552"/>
      <c r="HEA552"/>
      <c r="HEB552"/>
      <c r="HEC552"/>
      <c r="HED552"/>
      <c r="HEE552"/>
      <c r="HEF552"/>
      <c r="HEG552"/>
      <c r="HEH552"/>
      <c r="HEI552"/>
      <c r="HEJ552"/>
      <c r="HEK552"/>
      <c r="HEL552"/>
      <c r="HEM552"/>
      <c r="HEN552"/>
      <c r="HEO552"/>
      <c r="HEP552"/>
      <c r="HEQ552"/>
      <c r="HER552"/>
      <c r="HES552"/>
      <c r="HET552"/>
      <c r="HEU552"/>
      <c r="HEV552"/>
      <c r="HEW552"/>
      <c r="HEX552"/>
      <c r="HEY552"/>
      <c r="HEZ552"/>
      <c r="HFA552"/>
      <c r="HFB552"/>
      <c r="HFC552"/>
      <c r="HFD552"/>
      <c r="HFE552"/>
      <c r="HFF552"/>
      <c r="HFG552"/>
      <c r="HFH552"/>
      <c r="HFI552"/>
      <c r="HFJ552"/>
      <c r="HFK552"/>
      <c r="HFL552"/>
      <c r="HFM552"/>
      <c r="HFN552"/>
      <c r="HFO552"/>
      <c r="HFP552"/>
      <c r="HFQ552"/>
      <c r="HFR552"/>
      <c r="HFS552"/>
      <c r="HFT552"/>
      <c r="HFU552"/>
      <c r="HFV552"/>
      <c r="HFW552"/>
      <c r="HFX552"/>
      <c r="HFY552"/>
      <c r="HFZ552"/>
      <c r="HGA552"/>
      <c r="HGB552"/>
      <c r="HGC552"/>
      <c r="HGD552"/>
      <c r="HGE552"/>
      <c r="HGF552"/>
      <c r="HGG552"/>
      <c r="HGH552"/>
      <c r="HGI552"/>
      <c r="HGJ552"/>
      <c r="HGK552"/>
      <c r="HGL552"/>
      <c r="HGM552"/>
      <c r="HGN552"/>
      <c r="HGO552"/>
      <c r="HGP552"/>
      <c r="HGQ552"/>
      <c r="HGR552"/>
      <c r="HGS552"/>
      <c r="HGT552"/>
      <c r="HGU552"/>
      <c r="HGV552"/>
      <c r="HGW552"/>
      <c r="HGX552"/>
      <c r="HGY552"/>
      <c r="HGZ552"/>
      <c r="HHA552"/>
      <c r="HHB552"/>
      <c r="HHC552"/>
      <c r="HHD552"/>
      <c r="HHE552"/>
      <c r="HHF552"/>
      <c r="HHG552"/>
      <c r="HHH552"/>
      <c r="HHI552"/>
      <c r="HHJ552"/>
      <c r="HHK552"/>
      <c r="HHL552"/>
      <c r="HHM552"/>
      <c r="HHN552"/>
      <c r="HHO552"/>
      <c r="HHP552"/>
      <c r="HHQ552"/>
      <c r="HHR552"/>
      <c r="HHS552"/>
      <c r="HHT552"/>
      <c r="HHU552"/>
      <c r="HHV552"/>
      <c r="HHW552"/>
      <c r="HHX552"/>
      <c r="HHY552"/>
      <c r="HHZ552"/>
      <c r="HIA552"/>
      <c r="HIB552"/>
      <c r="HIC552"/>
      <c r="HID552"/>
      <c r="HIE552"/>
      <c r="HIF552"/>
      <c r="HIG552"/>
      <c r="HIH552"/>
      <c r="HII552"/>
      <c r="HIJ552"/>
      <c r="HIK552"/>
      <c r="HIL552"/>
      <c r="HIM552"/>
      <c r="HIN552"/>
      <c r="HIO552"/>
      <c r="HIP552"/>
      <c r="HIQ552"/>
      <c r="HIR552"/>
      <c r="HIS552"/>
      <c r="HIT552"/>
      <c r="HIU552"/>
      <c r="HIV552"/>
      <c r="HIW552"/>
      <c r="HIX552"/>
      <c r="HIY552"/>
      <c r="HIZ552"/>
      <c r="HJA552"/>
      <c r="HJB552"/>
      <c r="HJC552"/>
      <c r="HJD552"/>
      <c r="HJE552"/>
      <c r="HJF552"/>
      <c r="HJG552"/>
      <c r="HJH552"/>
      <c r="HJI552"/>
      <c r="HJJ552"/>
      <c r="HJK552"/>
      <c r="HJL552"/>
      <c r="HJM552"/>
      <c r="HJN552"/>
      <c r="HJO552"/>
      <c r="HJP552"/>
      <c r="HJQ552"/>
      <c r="HJR552"/>
      <c r="HJS552"/>
      <c r="HJT552"/>
      <c r="HJU552"/>
      <c r="HJV552"/>
      <c r="HJW552"/>
      <c r="HJX552"/>
      <c r="HJY552"/>
      <c r="HJZ552"/>
      <c r="HKA552"/>
      <c r="HKB552"/>
      <c r="HKC552"/>
      <c r="HKD552"/>
      <c r="HKE552"/>
      <c r="HKF552"/>
      <c r="HKG552"/>
      <c r="HKH552"/>
      <c r="HKI552"/>
      <c r="HKJ552"/>
      <c r="HKK552"/>
      <c r="HKL552"/>
      <c r="HKM552"/>
      <c r="HKN552"/>
      <c r="HKO552"/>
      <c r="HKP552"/>
      <c r="HKQ552"/>
      <c r="HKR552"/>
      <c r="HKS552"/>
      <c r="HKT552"/>
      <c r="HKU552"/>
      <c r="HKV552"/>
      <c r="HKW552"/>
      <c r="HKX552"/>
      <c r="HKY552"/>
      <c r="HKZ552"/>
      <c r="HLA552"/>
      <c r="HLB552"/>
      <c r="HLC552"/>
      <c r="HLD552"/>
      <c r="HLE552"/>
      <c r="HLF552"/>
      <c r="HLG552"/>
      <c r="HLH552"/>
      <c r="HLI552"/>
      <c r="HLJ552"/>
      <c r="HLK552"/>
      <c r="HLL552"/>
      <c r="HLM552"/>
      <c r="HLN552"/>
      <c r="HLO552"/>
      <c r="HLP552"/>
      <c r="HLQ552"/>
      <c r="HLR552"/>
      <c r="HLS552"/>
      <c r="HLT552"/>
      <c r="HLU552"/>
      <c r="HLV552"/>
      <c r="HLW552"/>
      <c r="HLX552"/>
      <c r="HLY552"/>
      <c r="HLZ552"/>
      <c r="HMA552"/>
      <c r="HMB552"/>
      <c r="HMC552"/>
      <c r="HMD552"/>
      <c r="HME552"/>
      <c r="HMF552"/>
      <c r="HMG552"/>
      <c r="HMH552"/>
      <c r="HMI552"/>
      <c r="HMJ552"/>
      <c r="HMK552"/>
      <c r="HML552"/>
      <c r="HMM552"/>
      <c r="HMN552"/>
      <c r="HMO552"/>
      <c r="HMP552"/>
      <c r="HMQ552"/>
      <c r="HMR552"/>
      <c r="HMS552"/>
      <c r="HMT552"/>
      <c r="HMU552"/>
      <c r="HMV552"/>
      <c r="HMW552"/>
      <c r="HMX552"/>
      <c r="HMY552"/>
      <c r="HMZ552"/>
      <c r="HNA552"/>
      <c r="HNB552"/>
      <c r="HNC552"/>
      <c r="HND552"/>
      <c r="HNE552"/>
      <c r="HNF552"/>
      <c r="HNG552"/>
      <c r="HNH552"/>
      <c r="HNI552"/>
      <c r="HNJ552"/>
      <c r="HNK552"/>
      <c r="HNL552"/>
      <c r="HNM552"/>
      <c r="HNN552"/>
      <c r="HNO552"/>
      <c r="HNP552"/>
      <c r="HNQ552"/>
      <c r="HNR552"/>
      <c r="HNS552"/>
      <c r="HNT552"/>
      <c r="HNU552"/>
      <c r="HNV552"/>
      <c r="HNW552"/>
      <c r="HNX552"/>
      <c r="HNY552"/>
      <c r="HNZ552"/>
      <c r="HOA552"/>
      <c r="HOB552"/>
      <c r="HOC552"/>
      <c r="HOD552"/>
      <c r="HOE552"/>
      <c r="HOF552"/>
      <c r="HOG552"/>
      <c r="HOH552"/>
      <c r="HOI552"/>
      <c r="HOJ552"/>
      <c r="HOK552"/>
      <c r="HOL552"/>
      <c r="HOM552"/>
      <c r="HON552"/>
      <c r="HOO552"/>
      <c r="HOP552"/>
      <c r="HOQ552"/>
      <c r="HOR552"/>
      <c r="HOS552"/>
      <c r="HOT552"/>
      <c r="HOU552"/>
      <c r="HOV552"/>
      <c r="HOW552"/>
      <c r="HOX552"/>
      <c r="HOY552"/>
      <c r="HOZ552"/>
      <c r="HPA552"/>
      <c r="HPB552"/>
      <c r="HPC552"/>
      <c r="HPD552"/>
      <c r="HPE552"/>
      <c r="HPF552"/>
      <c r="HPG552"/>
      <c r="HPH552"/>
      <c r="HPI552"/>
      <c r="HPJ552"/>
      <c r="HPK552"/>
      <c r="HPL552"/>
      <c r="HPM552"/>
      <c r="HPN552"/>
      <c r="HPO552"/>
      <c r="HPP552"/>
      <c r="HPQ552"/>
      <c r="HPR552"/>
      <c r="HPS552"/>
      <c r="HPT552"/>
      <c r="HPU552"/>
      <c r="HPV552"/>
      <c r="HPW552"/>
      <c r="HPX552"/>
      <c r="HPY552"/>
      <c r="HPZ552"/>
      <c r="HQA552"/>
      <c r="HQB552"/>
      <c r="HQC552"/>
      <c r="HQD552"/>
      <c r="HQE552"/>
      <c r="HQF552"/>
      <c r="HQG552"/>
      <c r="HQH552"/>
      <c r="HQI552"/>
      <c r="HQJ552"/>
      <c r="HQK552"/>
      <c r="HQL552"/>
      <c r="HQM552"/>
      <c r="HQN552"/>
      <c r="HQO552"/>
      <c r="HQP552"/>
      <c r="HQQ552"/>
      <c r="HQR552"/>
      <c r="HQS552"/>
      <c r="HQT552"/>
      <c r="HQU552"/>
      <c r="HQV552"/>
      <c r="HQW552"/>
      <c r="HQX552"/>
      <c r="HQY552"/>
      <c r="HQZ552"/>
      <c r="HRA552"/>
      <c r="HRB552"/>
      <c r="HRC552"/>
      <c r="HRD552"/>
      <c r="HRE552"/>
      <c r="HRF552"/>
      <c r="HRG552"/>
      <c r="HRH552"/>
      <c r="HRI552"/>
      <c r="HRJ552"/>
      <c r="HRK552"/>
      <c r="HRL552"/>
      <c r="HRM552"/>
      <c r="HRN552"/>
      <c r="HRO552"/>
      <c r="HRP552"/>
      <c r="HRQ552"/>
      <c r="HRR552"/>
      <c r="HRS552"/>
      <c r="HRT552"/>
      <c r="HRU552"/>
      <c r="HRV552"/>
      <c r="HRW552"/>
      <c r="HRX552"/>
      <c r="HRY552"/>
      <c r="HRZ552"/>
      <c r="HSA552"/>
      <c r="HSB552"/>
      <c r="HSC552"/>
      <c r="HSD552"/>
      <c r="HSE552"/>
      <c r="HSF552"/>
      <c r="HSG552"/>
      <c r="HSH552"/>
      <c r="HSI552"/>
      <c r="HSJ552"/>
      <c r="HSK552"/>
      <c r="HSL552"/>
      <c r="HSM552"/>
      <c r="HSN552"/>
      <c r="HSO552"/>
      <c r="HSP552"/>
      <c r="HSQ552"/>
      <c r="HSR552"/>
      <c r="HSS552"/>
      <c r="HST552"/>
      <c r="HSU552"/>
      <c r="HSV552"/>
      <c r="HSW552"/>
      <c r="HSX552"/>
      <c r="HSY552"/>
      <c r="HSZ552"/>
      <c r="HTA552"/>
      <c r="HTB552"/>
      <c r="HTC552"/>
      <c r="HTD552"/>
      <c r="HTE552"/>
      <c r="HTF552"/>
      <c r="HTG552"/>
      <c r="HTH552"/>
      <c r="HTI552"/>
      <c r="HTJ552"/>
      <c r="HTK552"/>
      <c r="HTL552"/>
      <c r="HTM552"/>
      <c r="HTN552"/>
      <c r="HTO552"/>
      <c r="HTP552"/>
      <c r="HTQ552"/>
      <c r="HTR552"/>
      <c r="HTS552"/>
      <c r="HTT552"/>
      <c r="HTU552"/>
      <c r="HTV552"/>
      <c r="HTW552"/>
      <c r="HTX552"/>
      <c r="HTY552"/>
      <c r="HTZ552"/>
      <c r="HUA552"/>
      <c r="HUB552"/>
      <c r="HUC552"/>
      <c r="HUD552"/>
      <c r="HUE552"/>
      <c r="HUF552"/>
      <c r="HUG552"/>
      <c r="HUH552"/>
      <c r="HUI552"/>
      <c r="HUJ552"/>
      <c r="HUK552"/>
      <c r="HUL552"/>
      <c r="HUM552"/>
      <c r="HUN552"/>
      <c r="HUO552"/>
      <c r="HUP552"/>
      <c r="HUQ552"/>
      <c r="HUR552"/>
      <c r="HUS552"/>
      <c r="HUT552"/>
      <c r="HUU552"/>
      <c r="HUV552"/>
      <c r="HUW552"/>
      <c r="HUX552"/>
      <c r="HUY552"/>
      <c r="HUZ552"/>
      <c r="HVA552"/>
      <c r="HVB552"/>
      <c r="HVC552"/>
      <c r="HVD552"/>
      <c r="HVE552"/>
      <c r="HVF552"/>
      <c r="HVG552"/>
      <c r="HVH552"/>
      <c r="HVI552"/>
      <c r="HVJ552"/>
      <c r="HVK552"/>
      <c r="HVL552"/>
      <c r="HVM552"/>
      <c r="HVN552"/>
      <c r="HVO552"/>
      <c r="HVP552"/>
      <c r="HVQ552"/>
      <c r="HVR552"/>
      <c r="HVS552"/>
      <c r="HVT552"/>
      <c r="HVU552"/>
      <c r="HVV552"/>
      <c r="HVW552"/>
      <c r="HVX552"/>
      <c r="HVY552"/>
      <c r="HVZ552"/>
      <c r="HWA552"/>
      <c r="HWB552"/>
      <c r="HWC552"/>
      <c r="HWD552"/>
      <c r="HWE552"/>
      <c r="HWF552"/>
      <c r="HWG552"/>
      <c r="HWH552"/>
      <c r="HWI552"/>
      <c r="HWJ552"/>
      <c r="HWK552"/>
      <c r="HWL552"/>
      <c r="HWM552"/>
      <c r="HWN552"/>
      <c r="HWO552"/>
      <c r="HWP552"/>
      <c r="HWQ552"/>
      <c r="HWR552"/>
      <c r="HWS552"/>
      <c r="HWT552"/>
      <c r="HWU552"/>
      <c r="HWV552"/>
      <c r="HWW552"/>
      <c r="HWX552"/>
      <c r="HWY552"/>
      <c r="HWZ552"/>
      <c r="HXA552"/>
      <c r="HXB552"/>
      <c r="HXC552"/>
      <c r="HXD552"/>
      <c r="HXE552"/>
      <c r="HXF552"/>
      <c r="HXG552"/>
      <c r="HXH552"/>
      <c r="HXI552"/>
      <c r="HXJ552"/>
      <c r="HXK552"/>
      <c r="HXL552"/>
      <c r="HXM552"/>
      <c r="HXN552"/>
      <c r="HXO552"/>
      <c r="HXP552"/>
      <c r="HXQ552"/>
      <c r="HXR552"/>
      <c r="HXS552"/>
      <c r="HXT552"/>
      <c r="HXU552"/>
      <c r="HXV552"/>
      <c r="HXW552"/>
      <c r="HXX552"/>
      <c r="HXY552"/>
      <c r="HXZ552"/>
      <c r="HYA552"/>
      <c r="HYB552"/>
      <c r="HYC552"/>
      <c r="HYD552"/>
      <c r="HYE552"/>
      <c r="HYF552"/>
      <c r="HYG552"/>
      <c r="HYH552"/>
      <c r="HYI552"/>
      <c r="HYJ552"/>
      <c r="HYK552"/>
      <c r="HYL552"/>
      <c r="HYM552"/>
      <c r="HYN552"/>
      <c r="HYO552"/>
      <c r="HYP552"/>
      <c r="HYQ552"/>
      <c r="HYR552"/>
      <c r="HYS552"/>
      <c r="HYT552"/>
      <c r="HYU552"/>
      <c r="HYV552"/>
      <c r="HYW552"/>
      <c r="HYX552"/>
      <c r="HYY552"/>
      <c r="HYZ552"/>
      <c r="HZA552"/>
      <c r="HZB552"/>
      <c r="HZC552"/>
      <c r="HZD552"/>
      <c r="HZE552"/>
      <c r="HZF552"/>
      <c r="HZG552"/>
      <c r="HZH552"/>
      <c r="HZI552"/>
      <c r="HZJ552"/>
      <c r="HZK552"/>
      <c r="HZL552"/>
      <c r="HZM552"/>
      <c r="HZN552"/>
      <c r="HZO552"/>
      <c r="HZP552"/>
      <c r="HZQ552"/>
      <c r="HZR552"/>
      <c r="HZS552"/>
      <c r="HZT552"/>
      <c r="HZU552"/>
      <c r="HZV552"/>
      <c r="HZW552"/>
      <c r="HZX552"/>
      <c r="HZY552"/>
      <c r="HZZ552"/>
      <c r="IAA552"/>
      <c r="IAB552"/>
      <c r="IAC552"/>
      <c r="IAD552"/>
      <c r="IAE552"/>
      <c r="IAF552"/>
      <c r="IAG552"/>
      <c r="IAH552"/>
      <c r="IAI552"/>
      <c r="IAJ552"/>
      <c r="IAK552"/>
      <c r="IAL552"/>
      <c r="IAM552"/>
      <c r="IAN552"/>
      <c r="IAO552"/>
      <c r="IAP552"/>
      <c r="IAQ552"/>
      <c r="IAR552"/>
      <c r="IAS552"/>
      <c r="IAT552"/>
      <c r="IAU552"/>
      <c r="IAV552"/>
      <c r="IAW552"/>
      <c r="IAX552"/>
      <c r="IAY552"/>
      <c r="IAZ552"/>
      <c r="IBA552"/>
      <c r="IBB552"/>
      <c r="IBC552"/>
      <c r="IBD552"/>
      <c r="IBE552"/>
      <c r="IBF552"/>
      <c r="IBG552"/>
      <c r="IBH552"/>
      <c r="IBI552"/>
      <c r="IBJ552"/>
      <c r="IBK552"/>
      <c r="IBL552"/>
      <c r="IBM552"/>
      <c r="IBN552"/>
      <c r="IBO552"/>
      <c r="IBP552"/>
      <c r="IBQ552"/>
      <c r="IBR552"/>
      <c r="IBS552"/>
      <c r="IBT552"/>
      <c r="IBU552"/>
      <c r="IBV552"/>
      <c r="IBW552"/>
      <c r="IBX552"/>
      <c r="IBY552"/>
      <c r="IBZ552"/>
      <c r="ICA552"/>
      <c r="ICB552"/>
      <c r="ICC552"/>
      <c r="ICD552"/>
      <c r="ICE552"/>
      <c r="ICF552"/>
      <c r="ICG552"/>
      <c r="ICH552"/>
      <c r="ICI552"/>
      <c r="ICJ552"/>
      <c r="ICK552"/>
      <c r="ICL552"/>
      <c r="ICM552"/>
      <c r="ICN552"/>
      <c r="ICO552"/>
      <c r="ICP552"/>
      <c r="ICQ552"/>
      <c r="ICR552"/>
      <c r="ICS552"/>
      <c r="ICT552"/>
      <c r="ICU552"/>
      <c r="ICV552"/>
      <c r="ICW552"/>
      <c r="ICX552"/>
      <c r="ICY552"/>
      <c r="ICZ552"/>
      <c r="IDA552"/>
      <c r="IDB552"/>
      <c r="IDC552"/>
      <c r="IDD552"/>
      <c r="IDE552"/>
      <c r="IDF552"/>
      <c r="IDG552"/>
      <c r="IDH552"/>
      <c r="IDI552"/>
      <c r="IDJ552"/>
      <c r="IDK552"/>
      <c r="IDL552"/>
      <c r="IDM552"/>
      <c r="IDN552"/>
      <c r="IDO552"/>
      <c r="IDP552"/>
      <c r="IDQ552"/>
      <c r="IDR552"/>
      <c r="IDS552"/>
      <c r="IDT552"/>
      <c r="IDU552"/>
      <c r="IDV552"/>
      <c r="IDW552"/>
      <c r="IDX552"/>
      <c r="IDY552"/>
      <c r="IDZ552"/>
      <c r="IEA552"/>
      <c r="IEB552"/>
      <c r="IEC552"/>
      <c r="IED552"/>
      <c r="IEE552"/>
      <c r="IEF552"/>
      <c r="IEG552"/>
      <c r="IEH552"/>
      <c r="IEI552"/>
      <c r="IEJ552"/>
      <c r="IEK552"/>
      <c r="IEL552"/>
      <c r="IEM552"/>
      <c r="IEN552"/>
      <c r="IEO552"/>
      <c r="IEP552"/>
      <c r="IEQ552"/>
      <c r="IER552"/>
      <c r="IES552"/>
      <c r="IET552"/>
      <c r="IEU552"/>
      <c r="IEV552"/>
      <c r="IEW552"/>
      <c r="IEX552"/>
      <c r="IEY552"/>
      <c r="IEZ552"/>
      <c r="IFA552"/>
      <c r="IFB552"/>
      <c r="IFC552"/>
      <c r="IFD552"/>
      <c r="IFE552"/>
      <c r="IFF552"/>
      <c r="IFG552"/>
      <c r="IFH552"/>
      <c r="IFI552"/>
      <c r="IFJ552"/>
      <c r="IFK552"/>
      <c r="IFL552"/>
      <c r="IFM552"/>
      <c r="IFN552"/>
      <c r="IFO552"/>
      <c r="IFP552"/>
      <c r="IFQ552"/>
      <c r="IFR552"/>
      <c r="IFS552"/>
      <c r="IFT552"/>
      <c r="IFU552"/>
      <c r="IFV552"/>
      <c r="IFW552"/>
      <c r="IFX552"/>
      <c r="IFY552"/>
      <c r="IFZ552"/>
      <c r="IGA552"/>
      <c r="IGB552"/>
      <c r="IGC552"/>
      <c r="IGD552"/>
      <c r="IGE552"/>
      <c r="IGF552"/>
      <c r="IGG552"/>
      <c r="IGH552"/>
      <c r="IGI552"/>
      <c r="IGJ552"/>
      <c r="IGK552"/>
      <c r="IGL552"/>
      <c r="IGM552"/>
      <c r="IGN552"/>
      <c r="IGO552"/>
      <c r="IGP552"/>
      <c r="IGQ552"/>
      <c r="IGR552"/>
      <c r="IGS552"/>
      <c r="IGT552"/>
      <c r="IGU552"/>
      <c r="IGV552"/>
      <c r="IGW552"/>
      <c r="IGX552"/>
      <c r="IGY552"/>
      <c r="IGZ552"/>
      <c r="IHA552"/>
      <c r="IHB552"/>
      <c r="IHC552"/>
      <c r="IHD552"/>
      <c r="IHE552"/>
      <c r="IHF552"/>
      <c r="IHG552"/>
      <c r="IHH552"/>
      <c r="IHI552"/>
      <c r="IHJ552"/>
      <c r="IHK552"/>
      <c r="IHL552"/>
      <c r="IHM552"/>
      <c r="IHN552"/>
      <c r="IHO552"/>
      <c r="IHP552"/>
      <c r="IHQ552"/>
      <c r="IHR552"/>
      <c r="IHS552"/>
      <c r="IHT552"/>
      <c r="IHU552"/>
      <c r="IHV552"/>
      <c r="IHW552"/>
      <c r="IHX552"/>
      <c r="IHY552"/>
      <c r="IHZ552"/>
      <c r="IIA552"/>
      <c r="IIB552"/>
      <c r="IIC552"/>
      <c r="IID552"/>
      <c r="IIE552"/>
      <c r="IIF552"/>
      <c r="IIG552"/>
      <c r="IIH552"/>
      <c r="III552"/>
      <c r="IIJ552"/>
      <c r="IIK552"/>
      <c r="IIL552"/>
      <c r="IIM552"/>
      <c r="IIN552"/>
      <c r="IIO552"/>
      <c r="IIP552"/>
      <c r="IIQ552"/>
      <c r="IIR552"/>
      <c r="IIS552"/>
      <c r="IIT552"/>
      <c r="IIU552"/>
      <c r="IIV552"/>
      <c r="IIW552"/>
      <c r="IIX552"/>
      <c r="IIY552"/>
      <c r="IIZ552"/>
      <c r="IJA552"/>
      <c r="IJB552"/>
      <c r="IJC552"/>
      <c r="IJD552"/>
      <c r="IJE552"/>
      <c r="IJF552"/>
      <c r="IJG552"/>
      <c r="IJH552"/>
      <c r="IJI552"/>
      <c r="IJJ552"/>
      <c r="IJK552"/>
      <c r="IJL552"/>
      <c r="IJM552"/>
      <c r="IJN552"/>
      <c r="IJO552"/>
      <c r="IJP552"/>
      <c r="IJQ552"/>
      <c r="IJR552"/>
      <c r="IJS552"/>
      <c r="IJT552"/>
      <c r="IJU552"/>
      <c r="IJV552"/>
      <c r="IJW552"/>
      <c r="IJX552"/>
      <c r="IJY552"/>
      <c r="IJZ552"/>
      <c r="IKA552"/>
      <c r="IKB552"/>
      <c r="IKC552"/>
      <c r="IKD552"/>
      <c r="IKE552"/>
      <c r="IKF552"/>
      <c r="IKG552"/>
      <c r="IKH552"/>
      <c r="IKI552"/>
      <c r="IKJ552"/>
      <c r="IKK552"/>
      <c r="IKL552"/>
      <c r="IKM552"/>
      <c r="IKN552"/>
      <c r="IKO552"/>
      <c r="IKP552"/>
      <c r="IKQ552"/>
      <c r="IKR552"/>
      <c r="IKS552"/>
      <c r="IKT552"/>
      <c r="IKU552"/>
      <c r="IKV552"/>
      <c r="IKW552"/>
      <c r="IKX552"/>
      <c r="IKY552"/>
      <c r="IKZ552"/>
      <c r="ILA552"/>
      <c r="ILB552"/>
      <c r="ILC552"/>
      <c r="ILD552"/>
      <c r="ILE552"/>
      <c r="ILF552"/>
      <c r="ILG552"/>
      <c r="ILH552"/>
      <c r="ILI552"/>
      <c r="ILJ552"/>
      <c r="ILK552"/>
      <c r="ILL552"/>
      <c r="ILM552"/>
      <c r="ILN552"/>
      <c r="ILO552"/>
      <c r="ILP552"/>
      <c r="ILQ552"/>
      <c r="ILR552"/>
      <c r="ILS552"/>
      <c r="ILT552"/>
      <c r="ILU552"/>
      <c r="ILV552"/>
      <c r="ILW552"/>
      <c r="ILX552"/>
      <c r="ILY552"/>
      <c r="ILZ552"/>
      <c r="IMA552"/>
      <c r="IMB552"/>
      <c r="IMC552"/>
      <c r="IMD552"/>
      <c r="IME552"/>
      <c r="IMF552"/>
      <c r="IMG552"/>
      <c r="IMH552"/>
      <c r="IMI552"/>
      <c r="IMJ552"/>
      <c r="IMK552"/>
      <c r="IML552"/>
      <c r="IMM552"/>
      <c r="IMN552"/>
      <c r="IMO552"/>
      <c r="IMP552"/>
      <c r="IMQ552"/>
      <c r="IMR552"/>
      <c r="IMS552"/>
      <c r="IMT552"/>
      <c r="IMU552"/>
      <c r="IMV552"/>
      <c r="IMW552"/>
      <c r="IMX552"/>
      <c r="IMY552"/>
      <c r="IMZ552"/>
      <c r="INA552"/>
      <c r="INB552"/>
      <c r="INC552"/>
      <c r="IND552"/>
      <c r="INE552"/>
      <c r="INF552"/>
      <c r="ING552"/>
      <c r="INH552"/>
      <c r="INI552"/>
      <c r="INJ552"/>
      <c r="INK552"/>
      <c r="INL552"/>
      <c r="INM552"/>
      <c r="INN552"/>
      <c r="INO552"/>
      <c r="INP552"/>
      <c r="INQ552"/>
      <c r="INR552"/>
      <c r="INS552"/>
      <c r="INT552"/>
      <c r="INU552"/>
      <c r="INV552"/>
      <c r="INW552"/>
      <c r="INX552"/>
      <c r="INY552"/>
      <c r="INZ552"/>
      <c r="IOA552"/>
      <c r="IOB552"/>
      <c r="IOC552"/>
      <c r="IOD552"/>
      <c r="IOE552"/>
      <c r="IOF552"/>
      <c r="IOG552"/>
      <c r="IOH552"/>
      <c r="IOI552"/>
      <c r="IOJ552"/>
      <c r="IOK552"/>
      <c r="IOL552"/>
      <c r="IOM552"/>
      <c r="ION552"/>
      <c r="IOO552"/>
      <c r="IOP552"/>
      <c r="IOQ552"/>
      <c r="IOR552"/>
      <c r="IOS552"/>
      <c r="IOT552"/>
      <c r="IOU552"/>
      <c r="IOV552"/>
      <c r="IOW552"/>
      <c r="IOX552"/>
      <c r="IOY552"/>
      <c r="IOZ552"/>
      <c r="IPA552"/>
      <c r="IPB552"/>
      <c r="IPC552"/>
      <c r="IPD552"/>
      <c r="IPE552"/>
      <c r="IPF552"/>
      <c r="IPG552"/>
      <c r="IPH552"/>
      <c r="IPI552"/>
      <c r="IPJ552"/>
      <c r="IPK552"/>
      <c r="IPL552"/>
      <c r="IPM552"/>
      <c r="IPN552"/>
      <c r="IPO552"/>
      <c r="IPP552"/>
      <c r="IPQ552"/>
      <c r="IPR552"/>
      <c r="IPS552"/>
      <c r="IPT552"/>
      <c r="IPU552"/>
      <c r="IPV552"/>
      <c r="IPW552"/>
      <c r="IPX552"/>
      <c r="IPY552"/>
      <c r="IPZ552"/>
      <c r="IQA552"/>
      <c r="IQB552"/>
      <c r="IQC552"/>
      <c r="IQD552"/>
      <c r="IQE552"/>
      <c r="IQF552"/>
      <c r="IQG552"/>
      <c r="IQH552"/>
      <c r="IQI552"/>
      <c r="IQJ552"/>
      <c r="IQK552"/>
      <c r="IQL552"/>
      <c r="IQM552"/>
      <c r="IQN552"/>
      <c r="IQO552"/>
      <c r="IQP552"/>
      <c r="IQQ552"/>
      <c r="IQR552"/>
      <c r="IQS552"/>
      <c r="IQT552"/>
      <c r="IQU552"/>
      <c r="IQV552"/>
      <c r="IQW552"/>
      <c r="IQX552"/>
      <c r="IQY552"/>
      <c r="IQZ552"/>
      <c r="IRA552"/>
      <c r="IRB552"/>
      <c r="IRC552"/>
      <c r="IRD552"/>
      <c r="IRE552"/>
      <c r="IRF552"/>
      <c r="IRG552"/>
      <c r="IRH552"/>
      <c r="IRI552"/>
      <c r="IRJ552"/>
      <c r="IRK552"/>
      <c r="IRL552"/>
      <c r="IRM552"/>
      <c r="IRN552"/>
      <c r="IRO552"/>
      <c r="IRP552"/>
      <c r="IRQ552"/>
      <c r="IRR552"/>
      <c r="IRS552"/>
      <c r="IRT552"/>
      <c r="IRU552"/>
      <c r="IRV552"/>
      <c r="IRW552"/>
      <c r="IRX552"/>
      <c r="IRY552"/>
      <c r="IRZ552"/>
      <c r="ISA552"/>
      <c r="ISB552"/>
      <c r="ISC552"/>
      <c r="ISD552"/>
      <c r="ISE552"/>
      <c r="ISF552"/>
      <c r="ISG552"/>
      <c r="ISH552"/>
      <c r="ISI552"/>
      <c r="ISJ552"/>
      <c r="ISK552"/>
      <c r="ISL552"/>
      <c r="ISM552"/>
      <c r="ISN552"/>
      <c r="ISO552"/>
      <c r="ISP552"/>
      <c r="ISQ552"/>
      <c r="ISR552"/>
      <c r="ISS552"/>
      <c r="IST552"/>
      <c r="ISU552"/>
      <c r="ISV552"/>
      <c r="ISW552"/>
      <c r="ISX552"/>
      <c r="ISY552"/>
      <c r="ISZ552"/>
      <c r="ITA552"/>
      <c r="ITB552"/>
      <c r="ITC552"/>
      <c r="ITD552"/>
      <c r="ITE552"/>
      <c r="ITF552"/>
      <c r="ITG552"/>
      <c r="ITH552"/>
      <c r="ITI552"/>
      <c r="ITJ552"/>
      <c r="ITK552"/>
      <c r="ITL552"/>
      <c r="ITM552"/>
      <c r="ITN552"/>
      <c r="ITO552"/>
      <c r="ITP552"/>
      <c r="ITQ552"/>
      <c r="ITR552"/>
      <c r="ITS552"/>
      <c r="ITT552"/>
      <c r="ITU552"/>
      <c r="ITV552"/>
      <c r="ITW552"/>
      <c r="ITX552"/>
      <c r="ITY552"/>
      <c r="ITZ552"/>
      <c r="IUA552"/>
      <c r="IUB552"/>
      <c r="IUC552"/>
      <c r="IUD552"/>
      <c r="IUE552"/>
      <c r="IUF552"/>
      <c r="IUG552"/>
      <c r="IUH552"/>
      <c r="IUI552"/>
      <c r="IUJ552"/>
      <c r="IUK552"/>
      <c r="IUL552"/>
      <c r="IUM552"/>
      <c r="IUN552"/>
      <c r="IUO552"/>
      <c r="IUP552"/>
      <c r="IUQ552"/>
      <c r="IUR552"/>
      <c r="IUS552"/>
      <c r="IUT552"/>
      <c r="IUU552"/>
      <c r="IUV552"/>
      <c r="IUW552"/>
      <c r="IUX552"/>
      <c r="IUY552"/>
      <c r="IUZ552"/>
      <c r="IVA552"/>
      <c r="IVB552"/>
      <c r="IVC552"/>
      <c r="IVD552"/>
      <c r="IVE552"/>
      <c r="IVF552"/>
      <c r="IVG552"/>
      <c r="IVH552"/>
      <c r="IVI552"/>
      <c r="IVJ552"/>
      <c r="IVK552"/>
      <c r="IVL552"/>
      <c r="IVM552"/>
      <c r="IVN552"/>
      <c r="IVO552"/>
      <c r="IVP552"/>
      <c r="IVQ552"/>
      <c r="IVR552"/>
      <c r="IVS552"/>
      <c r="IVT552"/>
      <c r="IVU552"/>
      <c r="IVV552"/>
      <c r="IVW552"/>
      <c r="IVX552"/>
      <c r="IVY552"/>
      <c r="IVZ552"/>
      <c r="IWA552"/>
      <c r="IWB552"/>
      <c r="IWC552"/>
      <c r="IWD552"/>
      <c r="IWE552"/>
      <c r="IWF552"/>
      <c r="IWG552"/>
      <c r="IWH552"/>
      <c r="IWI552"/>
      <c r="IWJ552"/>
      <c r="IWK552"/>
      <c r="IWL552"/>
      <c r="IWM552"/>
      <c r="IWN552"/>
      <c r="IWO552"/>
      <c r="IWP552"/>
      <c r="IWQ552"/>
      <c r="IWR552"/>
      <c r="IWS552"/>
      <c r="IWT552"/>
      <c r="IWU552"/>
      <c r="IWV552"/>
      <c r="IWW552"/>
      <c r="IWX552"/>
      <c r="IWY552"/>
      <c r="IWZ552"/>
      <c r="IXA552"/>
      <c r="IXB552"/>
      <c r="IXC552"/>
      <c r="IXD552"/>
      <c r="IXE552"/>
      <c r="IXF552"/>
      <c r="IXG552"/>
      <c r="IXH552"/>
      <c r="IXI552"/>
      <c r="IXJ552"/>
      <c r="IXK552"/>
      <c r="IXL552"/>
      <c r="IXM552"/>
      <c r="IXN552"/>
      <c r="IXO552"/>
      <c r="IXP552"/>
      <c r="IXQ552"/>
      <c r="IXR552"/>
      <c r="IXS552"/>
      <c r="IXT552"/>
      <c r="IXU552"/>
      <c r="IXV552"/>
      <c r="IXW552"/>
      <c r="IXX552"/>
      <c r="IXY552"/>
      <c r="IXZ552"/>
      <c r="IYA552"/>
      <c r="IYB552"/>
      <c r="IYC552"/>
      <c r="IYD552"/>
      <c r="IYE552"/>
      <c r="IYF552"/>
      <c r="IYG552"/>
      <c r="IYH552"/>
      <c r="IYI552"/>
      <c r="IYJ552"/>
      <c r="IYK552"/>
      <c r="IYL552"/>
      <c r="IYM552"/>
      <c r="IYN552"/>
      <c r="IYO552"/>
      <c r="IYP552"/>
      <c r="IYQ552"/>
      <c r="IYR552"/>
      <c r="IYS552"/>
      <c r="IYT552"/>
      <c r="IYU552"/>
      <c r="IYV552"/>
      <c r="IYW552"/>
      <c r="IYX552"/>
      <c r="IYY552"/>
      <c r="IYZ552"/>
      <c r="IZA552"/>
      <c r="IZB552"/>
      <c r="IZC552"/>
      <c r="IZD552"/>
      <c r="IZE552"/>
      <c r="IZF552"/>
      <c r="IZG552"/>
      <c r="IZH552"/>
      <c r="IZI552"/>
      <c r="IZJ552"/>
      <c r="IZK552"/>
      <c r="IZL552"/>
      <c r="IZM552"/>
      <c r="IZN552"/>
      <c r="IZO552"/>
      <c r="IZP552"/>
      <c r="IZQ552"/>
      <c r="IZR552"/>
      <c r="IZS552"/>
      <c r="IZT552"/>
      <c r="IZU552"/>
      <c r="IZV552"/>
      <c r="IZW552"/>
      <c r="IZX552"/>
      <c r="IZY552"/>
      <c r="IZZ552"/>
      <c r="JAA552"/>
      <c r="JAB552"/>
      <c r="JAC552"/>
      <c r="JAD552"/>
      <c r="JAE552"/>
      <c r="JAF552"/>
      <c r="JAG552"/>
      <c r="JAH552"/>
      <c r="JAI552"/>
      <c r="JAJ552"/>
      <c r="JAK552"/>
      <c r="JAL552"/>
      <c r="JAM552"/>
      <c r="JAN552"/>
      <c r="JAO552"/>
      <c r="JAP552"/>
      <c r="JAQ552"/>
      <c r="JAR552"/>
      <c r="JAS552"/>
      <c r="JAT552"/>
      <c r="JAU552"/>
      <c r="JAV552"/>
      <c r="JAW552"/>
      <c r="JAX552"/>
      <c r="JAY552"/>
      <c r="JAZ552"/>
      <c r="JBA552"/>
      <c r="JBB552"/>
      <c r="JBC552"/>
      <c r="JBD552"/>
      <c r="JBE552"/>
      <c r="JBF552"/>
      <c r="JBG552"/>
      <c r="JBH552"/>
      <c r="JBI552"/>
      <c r="JBJ552"/>
      <c r="JBK552"/>
      <c r="JBL552"/>
      <c r="JBM552"/>
      <c r="JBN552"/>
      <c r="JBO552"/>
      <c r="JBP552"/>
      <c r="JBQ552"/>
      <c r="JBR552"/>
      <c r="JBS552"/>
      <c r="JBT552"/>
      <c r="JBU552"/>
      <c r="JBV552"/>
      <c r="JBW552"/>
      <c r="JBX552"/>
      <c r="JBY552"/>
      <c r="JBZ552"/>
      <c r="JCA552"/>
      <c r="JCB552"/>
      <c r="JCC552"/>
      <c r="JCD552"/>
      <c r="JCE552"/>
      <c r="JCF552"/>
      <c r="JCG552"/>
      <c r="JCH552"/>
      <c r="JCI552"/>
      <c r="JCJ552"/>
      <c r="JCK552"/>
      <c r="JCL552"/>
      <c r="JCM552"/>
      <c r="JCN552"/>
      <c r="JCO552"/>
      <c r="JCP552"/>
      <c r="JCQ552"/>
      <c r="JCR552"/>
      <c r="JCS552"/>
      <c r="JCT552"/>
      <c r="JCU552"/>
      <c r="JCV552"/>
      <c r="JCW552"/>
      <c r="JCX552"/>
      <c r="JCY552"/>
      <c r="JCZ552"/>
      <c r="JDA552"/>
      <c r="JDB552"/>
      <c r="JDC552"/>
      <c r="JDD552"/>
      <c r="JDE552"/>
      <c r="JDF552"/>
      <c r="JDG552"/>
      <c r="JDH552"/>
      <c r="JDI552"/>
      <c r="JDJ552"/>
      <c r="JDK552"/>
      <c r="JDL552"/>
      <c r="JDM552"/>
      <c r="JDN552"/>
      <c r="JDO552"/>
      <c r="JDP552"/>
      <c r="JDQ552"/>
      <c r="JDR552"/>
      <c r="JDS552"/>
      <c r="JDT552"/>
      <c r="JDU552"/>
      <c r="JDV552"/>
      <c r="JDW552"/>
      <c r="JDX552"/>
      <c r="JDY552"/>
      <c r="JDZ552"/>
      <c r="JEA552"/>
      <c r="JEB552"/>
      <c r="JEC552"/>
      <c r="JED552"/>
      <c r="JEE552"/>
      <c r="JEF552"/>
      <c r="JEG552"/>
      <c r="JEH552"/>
      <c r="JEI552"/>
      <c r="JEJ552"/>
      <c r="JEK552"/>
      <c r="JEL552"/>
      <c r="JEM552"/>
      <c r="JEN552"/>
      <c r="JEO552"/>
      <c r="JEP552"/>
      <c r="JEQ552"/>
      <c r="JER552"/>
      <c r="JES552"/>
      <c r="JET552"/>
      <c r="JEU552"/>
      <c r="JEV552"/>
      <c r="JEW552"/>
      <c r="JEX552"/>
      <c r="JEY552"/>
      <c r="JEZ552"/>
      <c r="JFA552"/>
      <c r="JFB552"/>
      <c r="JFC552"/>
      <c r="JFD552"/>
      <c r="JFE552"/>
      <c r="JFF552"/>
      <c r="JFG552"/>
      <c r="JFH552"/>
      <c r="JFI552"/>
      <c r="JFJ552"/>
      <c r="JFK552"/>
      <c r="JFL552"/>
      <c r="JFM552"/>
      <c r="JFN552"/>
      <c r="JFO552"/>
      <c r="JFP552"/>
      <c r="JFQ552"/>
      <c r="JFR552"/>
      <c r="JFS552"/>
      <c r="JFT552"/>
      <c r="JFU552"/>
      <c r="JFV552"/>
      <c r="JFW552"/>
      <c r="JFX552"/>
      <c r="JFY552"/>
      <c r="JFZ552"/>
      <c r="JGA552"/>
      <c r="JGB552"/>
      <c r="JGC552"/>
      <c r="JGD552"/>
      <c r="JGE552"/>
      <c r="JGF552"/>
      <c r="JGG552"/>
      <c r="JGH552"/>
      <c r="JGI552"/>
      <c r="JGJ552"/>
      <c r="JGK552"/>
      <c r="JGL552"/>
      <c r="JGM552"/>
      <c r="JGN552"/>
      <c r="JGO552"/>
      <c r="JGP552"/>
      <c r="JGQ552"/>
      <c r="JGR552"/>
      <c r="JGS552"/>
      <c r="JGT552"/>
      <c r="JGU552"/>
      <c r="JGV552"/>
      <c r="JGW552"/>
      <c r="JGX552"/>
      <c r="JGY552"/>
      <c r="JGZ552"/>
      <c r="JHA552"/>
      <c r="JHB552"/>
      <c r="JHC552"/>
      <c r="JHD552"/>
      <c r="JHE552"/>
      <c r="JHF552"/>
      <c r="JHG552"/>
      <c r="JHH552"/>
      <c r="JHI552"/>
      <c r="JHJ552"/>
      <c r="JHK552"/>
      <c r="JHL552"/>
      <c r="JHM552"/>
      <c r="JHN552"/>
      <c r="JHO552"/>
      <c r="JHP552"/>
      <c r="JHQ552"/>
      <c r="JHR552"/>
      <c r="JHS552"/>
      <c r="JHT552"/>
      <c r="JHU552"/>
      <c r="JHV552"/>
      <c r="JHW552"/>
      <c r="JHX552"/>
      <c r="JHY552"/>
      <c r="JHZ552"/>
      <c r="JIA552"/>
      <c r="JIB552"/>
      <c r="JIC552"/>
      <c r="JID552"/>
      <c r="JIE552"/>
      <c r="JIF552"/>
      <c r="JIG552"/>
      <c r="JIH552"/>
      <c r="JII552"/>
      <c r="JIJ552"/>
      <c r="JIK552"/>
      <c r="JIL552"/>
      <c r="JIM552"/>
      <c r="JIN552"/>
      <c r="JIO552"/>
      <c r="JIP552"/>
      <c r="JIQ552"/>
      <c r="JIR552"/>
      <c r="JIS552"/>
      <c r="JIT552"/>
      <c r="JIU552"/>
      <c r="JIV552"/>
      <c r="JIW552"/>
      <c r="JIX552"/>
      <c r="JIY552"/>
      <c r="JIZ552"/>
      <c r="JJA552"/>
      <c r="JJB552"/>
      <c r="JJC552"/>
      <c r="JJD552"/>
      <c r="JJE552"/>
      <c r="JJF552"/>
      <c r="JJG552"/>
      <c r="JJH552"/>
      <c r="JJI552"/>
      <c r="JJJ552"/>
      <c r="JJK552"/>
      <c r="JJL552"/>
      <c r="JJM552"/>
      <c r="JJN552"/>
      <c r="JJO552"/>
      <c r="JJP552"/>
      <c r="JJQ552"/>
      <c r="JJR552"/>
      <c r="JJS552"/>
      <c r="JJT552"/>
      <c r="JJU552"/>
      <c r="JJV552"/>
      <c r="JJW552"/>
      <c r="JJX552"/>
      <c r="JJY552"/>
      <c r="JJZ552"/>
      <c r="JKA552"/>
      <c r="JKB552"/>
      <c r="JKC552"/>
      <c r="JKD552"/>
      <c r="JKE552"/>
      <c r="JKF552"/>
      <c r="JKG552"/>
      <c r="JKH552"/>
      <c r="JKI552"/>
      <c r="JKJ552"/>
      <c r="JKK552"/>
      <c r="JKL552"/>
      <c r="JKM552"/>
      <c r="JKN552"/>
      <c r="JKO552"/>
      <c r="JKP552"/>
      <c r="JKQ552"/>
      <c r="JKR552"/>
      <c r="JKS552"/>
      <c r="JKT552"/>
      <c r="JKU552"/>
      <c r="JKV552"/>
      <c r="JKW552"/>
      <c r="JKX552"/>
      <c r="JKY552"/>
      <c r="JKZ552"/>
      <c r="JLA552"/>
      <c r="JLB552"/>
      <c r="JLC552"/>
      <c r="JLD552"/>
      <c r="JLE552"/>
      <c r="JLF552"/>
      <c r="JLG552"/>
      <c r="JLH552"/>
      <c r="JLI552"/>
      <c r="JLJ552"/>
      <c r="JLK552"/>
      <c r="JLL552"/>
      <c r="JLM552"/>
      <c r="JLN552"/>
      <c r="JLO552"/>
      <c r="JLP552"/>
      <c r="JLQ552"/>
      <c r="JLR552"/>
      <c r="JLS552"/>
      <c r="JLT552"/>
      <c r="JLU552"/>
      <c r="JLV552"/>
      <c r="JLW552"/>
      <c r="JLX552"/>
      <c r="JLY552"/>
      <c r="JLZ552"/>
      <c r="JMA552"/>
      <c r="JMB552"/>
      <c r="JMC552"/>
      <c r="JMD552"/>
      <c r="JME552"/>
      <c r="JMF552"/>
      <c r="JMG552"/>
      <c r="JMH552"/>
      <c r="JMI552"/>
      <c r="JMJ552"/>
      <c r="JMK552"/>
      <c r="JML552"/>
      <c r="JMM552"/>
      <c r="JMN552"/>
      <c r="JMO552"/>
      <c r="JMP552"/>
      <c r="JMQ552"/>
      <c r="JMR552"/>
      <c r="JMS552"/>
      <c r="JMT552"/>
      <c r="JMU552"/>
      <c r="JMV552"/>
      <c r="JMW552"/>
      <c r="JMX552"/>
      <c r="JMY552"/>
      <c r="JMZ552"/>
      <c r="JNA552"/>
      <c r="JNB552"/>
      <c r="JNC552"/>
      <c r="JND552"/>
      <c r="JNE552"/>
      <c r="JNF552"/>
      <c r="JNG552"/>
      <c r="JNH552"/>
      <c r="JNI552"/>
      <c r="JNJ552"/>
      <c r="JNK552"/>
      <c r="JNL552"/>
      <c r="JNM552"/>
      <c r="JNN552"/>
      <c r="JNO552"/>
      <c r="JNP552"/>
      <c r="JNQ552"/>
      <c r="JNR552"/>
      <c r="JNS552"/>
      <c r="JNT552"/>
      <c r="JNU552"/>
      <c r="JNV552"/>
      <c r="JNW552"/>
      <c r="JNX552"/>
      <c r="JNY552"/>
      <c r="JNZ552"/>
      <c r="JOA552"/>
      <c r="JOB552"/>
      <c r="JOC552"/>
      <c r="JOD552"/>
      <c r="JOE552"/>
      <c r="JOF552"/>
      <c r="JOG552"/>
      <c r="JOH552"/>
      <c r="JOI552"/>
      <c r="JOJ552"/>
      <c r="JOK552"/>
      <c r="JOL552"/>
      <c r="JOM552"/>
      <c r="JON552"/>
      <c r="JOO552"/>
      <c r="JOP552"/>
      <c r="JOQ552"/>
      <c r="JOR552"/>
      <c r="JOS552"/>
      <c r="JOT552"/>
      <c r="JOU552"/>
      <c r="JOV552"/>
      <c r="JOW552"/>
      <c r="JOX552"/>
      <c r="JOY552"/>
      <c r="JOZ552"/>
      <c r="JPA552"/>
      <c r="JPB552"/>
      <c r="JPC552"/>
      <c r="JPD552"/>
      <c r="JPE552"/>
      <c r="JPF552"/>
      <c r="JPG552"/>
      <c r="JPH552"/>
      <c r="JPI552"/>
      <c r="JPJ552"/>
      <c r="JPK552"/>
      <c r="JPL552"/>
      <c r="JPM552"/>
      <c r="JPN552"/>
      <c r="JPO552"/>
      <c r="JPP552"/>
      <c r="JPQ552"/>
      <c r="JPR552"/>
      <c r="JPS552"/>
      <c r="JPT552"/>
      <c r="JPU552"/>
      <c r="JPV552"/>
      <c r="JPW552"/>
      <c r="JPX552"/>
      <c r="JPY552"/>
      <c r="JPZ552"/>
      <c r="JQA552"/>
      <c r="JQB552"/>
      <c r="JQC552"/>
      <c r="JQD552"/>
      <c r="JQE552"/>
      <c r="JQF552"/>
      <c r="JQG552"/>
      <c r="JQH552"/>
      <c r="JQI552"/>
      <c r="JQJ552"/>
      <c r="JQK552"/>
      <c r="JQL552"/>
      <c r="JQM552"/>
      <c r="JQN552"/>
      <c r="JQO552"/>
      <c r="JQP552"/>
      <c r="JQQ552"/>
      <c r="JQR552"/>
      <c r="JQS552"/>
      <c r="JQT552"/>
      <c r="JQU552"/>
      <c r="JQV552"/>
      <c r="JQW552"/>
      <c r="JQX552"/>
      <c r="JQY552"/>
      <c r="JQZ552"/>
      <c r="JRA552"/>
      <c r="JRB552"/>
      <c r="JRC552"/>
      <c r="JRD552"/>
      <c r="JRE552"/>
      <c r="JRF552"/>
      <c r="JRG552"/>
      <c r="JRH552"/>
      <c r="JRI552"/>
      <c r="JRJ552"/>
      <c r="JRK552"/>
      <c r="JRL552"/>
      <c r="JRM552"/>
      <c r="JRN552"/>
      <c r="JRO552"/>
      <c r="JRP552"/>
      <c r="JRQ552"/>
      <c r="JRR552"/>
      <c r="JRS552"/>
      <c r="JRT552"/>
      <c r="JRU552"/>
      <c r="JRV552"/>
      <c r="JRW552"/>
      <c r="JRX552"/>
      <c r="JRY552"/>
      <c r="JRZ552"/>
      <c r="JSA552"/>
      <c r="JSB552"/>
      <c r="JSC552"/>
      <c r="JSD552"/>
      <c r="JSE552"/>
      <c r="JSF552"/>
      <c r="JSG552"/>
      <c r="JSH552"/>
      <c r="JSI552"/>
      <c r="JSJ552"/>
      <c r="JSK552"/>
      <c r="JSL552"/>
      <c r="JSM552"/>
      <c r="JSN552"/>
      <c r="JSO552"/>
      <c r="JSP552"/>
      <c r="JSQ552"/>
      <c r="JSR552"/>
      <c r="JSS552"/>
      <c r="JST552"/>
      <c r="JSU552"/>
      <c r="JSV552"/>
      <c r="JSW552"/>
      <c r="JSX552"/>
      <c r="JSY552"/>
      <c r="JSZ552"/>
      <c r="JTA552"/>
      <c r="JTB552"/>
      <c r="JTC552"/>
      <c r="JTD552"/>
      <c r="JTE552"/>
      <c r="JTF552"/>
      <c r="JTG552"/>
      <c r="JTH552"/>
      <c r="JTI552"/>
      <c r="JTJ552"/>
      <c r="JTK552"/>
      <c r="JTL552"/>
      <c r="JTM552"/>
      <c r="JTN552"/>
      <c r="JTO552"/>
      <c r="JTP552"/>
      <c r="JTQ552"/>
      <c r="JTR552"/>
      <c r="JTS552"/>
      <c r="JTT552"/>
      <c r="JTU552"/>
      <c r="JTV552"/>
      <c r="JTW552"/>
      <c r="JTX552"/>
      <c r="JTY552"/>
      <c r="JTZ552"/>
      <c r="JUA552"/>
      <c r="JUB552"/>
      <c r="JUC552"/>
      <c r="JUD552"/>
      <c r="JUE552"/>
      <c r="JUF552"/>
      <c r="JUG552"/>
      <c r="JUH552"/>
      <c r="JUI552"/>
      <c r="JUJ552"/>
      <c r="JUK552"/>
      <c r="JUL552"/>
      <c r="JUM552"/>
      <c r="JUN552"/>
      <c r="JUO552"/>
      <c r="JUP552"/>
      <c r="JUQ552"/>
      <c r="JUR552"/>
      <c r="JUS552"/>
      <c r="JUT552"/>
      <c r="JUU552"/>
      <c r="JUV552"/>
      <c r="JUW552"/>
      <c r="JUX552"/>
      <c r="JUY552"/>
      <c r="JUZ552"/>
      <c r="JVA552"/>
      <c r="JVB552"/>
      <c r="JVC552"/>
      <c r="JVD552"/>
      <c r="JVE552"/>
      <c r="JVF552"/>
      <c r="JVG552"/>
      <c r="JVH552"/>
      <c r="JVI552"/>
      <c r="JVJ552"/>
      <c r="JVK552"/>
      <c r="JVL552"/>
      <c r="JVM552"/>
      <c r="JVN552"/>
      <c r="JVO552"/>
      <c r="JVP552"/>
      <c r="JVQ552"/>
      <c r="JVR552"/>
      <c r="JVS552"/>
      <c r="JVT552"/>
      <c r="JVU552"/>
      <c r="JVV552"/>
      <c r="JVW552"/>
      <c r="JVX552"/>
      <c r="JVY552"/>
      <c r="JVZ552"/>
      <c r="JWA552"/>
      <c r="JWB552"/>
      <c r="JWC552"/>
      <c r="JWD552"/>
      <c r="JWE552"/>
      <c r="JWF552"/>
      <c r="JWG552"/>
      <c r="JWH552"/>
      <c r="JWI552"/>
      <c r="JWJ552"/>
      <c r="JWK552"/>
      <c r="JWL552"/>
      <c r="JWM552"/>
      <c r="JWN552"/>
      <c r="JWO552"/>
      <c r="JWP552"/>
      <c r="JWQ552"/>
      <c r="JWR552"/>
      <c r="JWS552"/>
      <c r="JWT552"/>
      <c r="JWU552"/>
      <c r="JWV552"/>
      <c r="JWW552"/>
      <c r="JWX552"/>
      <c r="JWY552"/>
      <c r="JWZ552"/>
      <c r="JXA552"/>
      <c r="JXB552"/>
      <c r="JXC552"/>
      <c r="JXD552"/>
      <c r="JXE552"/>
      <c r="JXF552"/>
      <c r="JXG552"/>
      <c r="JXH552"/>
      <c r="JXI552"/>
      <c r="JXJ552"/>
      <c r="JXK552"/>
      <c r="JXL552"/>
      <c r="JXM552"/>
      <c r="JXN552"/>
      <c r="JXO552"/>
      <c r="JXP552"/>
      <c r="JXQ552"/>
      <c r="JXR552"/>
      <c r="JXS552"/>
      <c r="JXT552"/>
      <c r="JXU552"/>
      <c r="JXV552"/>
      <c r="JXW552"/>
      <c r="JXX552"/>
      <c r="JXY552"/>
      <c r="JXZ552"/>
      <c r="JYA552"/>
      <c r="JYB552"/>
      <c r="JYC552"/>
      <c r="JYD552"/>
      <c r="JYE552"/>
      <c r="JYF552"/>
      <c r="JYG552"/>
      <c r="JYH552"/>
      <c r="JYI552"/>
      <c r="JYJ552"/>
      <c r="JYK552"/>
      <c r="JYL552"/>
      <c r="JYM552"/>
      <c r="JYN552"/>
      <c r="JYO552"/>
      <c r="JYP552"/>
      <c r="JYQ552"/>
      <c r="JYR552"/>
      <c r="JYS552"/>
      <c r="JYT552"/>
      <c r="JYU552"/>
      <c r="JYV552"/>
      <c r="JYW552"/>
      <c r="JYX552"/>
      <c r="JYY552"/>
      <c r="JYZ552"/>
      <c r="JZA552"/>
      <c r="JZB552"/>
      <c r="JZC552"/>
      <c r="JZD552"/>
      <c r="JZE552"/>
      <c r="JZF552"/>
      <c r="JZG552"/>
      <c r="JZH552"/>
      <c r="JZI552"/>
      <c r="JZJ552"/>
      <c r="JZK552"/>
      <c r="JZL552"/>
      <c r="JZM552"/>
      <c r="JZN552"/>
      <c r="JZO552"/>
      <c r="JZP552"/>
      <c r="JZQ552"/>
      <c r="JZR552"/>
      <c r="JZS552"/>
      <c r="JZT552"/>
      <c r="JZU552"/>
      <c r="JZV552"/>
      <c r="JZW552"/>
      <c r="JZX552"/>
      <c r="JZY552"/>
      <c r="JZZ552"/>
      <c r="KAA552"/>
      <c r="KAB552"/>
      <c r="KAC552"/>
      <c r="KAD552"/>
      <c r="KAE552"/>
      <c r="KAF552"/>
      <c r="KAG552"/>
      <c r="KAH552"/>
      <c r="KAI552"/>
      <c r="KAJ552"/>
      <c r="KAK552"/>
      <c r="KAL552"/>
      <c r="KAM552"/>
      <c r="KAN552"/>
      <c r="KAO552"/>
      <c r="KAP552"/>
      <c r="KAQ552"/>
      <c r="KAR552"/>
      <c r="KAS552"/>
      <c r="KAT552"/>
      <c r="KAU552"/>
      <c r="KAV552"/>
      <c r="KAW552"/>
      <c r="KAX552"/>
      <c r="KAY552"/>
      <c r="KAZ552"/>
      <c r="KBA552"/>
      <c r="KBB552"/>
      <c r="KBC552"/>
      <c r="KBD552"/>
      <c r="KBE552"/>
      <c r="KBF552"/>
      <c r="KBG552"/>
      <c r="KBH552"/>
      <c r="KBI552"/>
      <c r="KBJ552"/>
      <c r="KBK552"/>
      <c r="KBL552"/>
      <c r="KBM552"/>
      <c r="KBN552"/>
      <c r="KBO552"/>
      <c r="KBP552"/>
      <c r="KBQ552"/>
      <c r="KBR552"/>
      <c r="KBS552"/>
      <c r="KBT552"/>
      <c r="KBU552"/>
      <c r="KBV552"/>
      <c r="KBW552"/>
      <c r="KBX552"/>
      <c r="KBY552"/>
      <c r="KBZ552"/>
      <c r="KCA552"/>
      <c r="KCB552"/>
      <c r="KCC552"/>
      <c r="KCD552"/>
      <c r="KCE552"/>
      <c r="KCF552"/>
      <c r="KCG552"/>
      <c r="KCH552"/>
      <c r="KCI552"/>
      <c r="KCJ552"/>
      <c r="KCK552"/>
      <c r="KCL552"/>
      <c r="KCM552"/>
      <c r="KCN552"/>
      <c r="KCO552"/>
      <c r="KCP552"/>
      <c r="KCQ552"/>
      <c r="KCR552"/>
      <c r="KCS552"/>
      <c r="KCT552"/>
      <c r="KCU552"/>
      <c r="KCV552"/>
      <c r="KCW552"/>
      <c r="KCX552"/>
      <c r="KCY552"/>
      <c r="KCZ552"/>
      <c r="KDA552"/>
      <c r="KDB552"/>
      <c r="KDC552"/>
      <c r="KDD552"/>
      <c r="KDE552"/>
      <c r="KDF552"/>
      <c r="KDG552"/>
      <c r="KDH552"/>
      <c r="KDI552"/>
      <c r="KDJ552"/>
      <c r="KDK552"/>
      <c r="KDL552"/>
      <c r="KDM552"/>
      <c r="KDN552"/>
      <c r="KDO552"/>
      <c r="KDP552"/>
      <c r="KDQ552"/>
      <c r="KDR552"/>
      <c r="KDS552"/>
      <c r="KDT552"/>
      <c r="KDU552"/>
      <c r="KDV552"/>
      <c r="KDW552"/>
      <c r="KDX552"/>
      <c r="KDY552"/>
      <c r="KDZ552"/>
      <c r="KEA552"/>
      <c r="KEB552"/>
      <c r="KEC552"/>
      <c r="KED552"/>
      <c r="KEE552"/>
      <c r="KEF552"/>
      <c r="KEG552"/>
      <c r="KEH552"/>
      <c r="KEI552"/>
      <c r="KEJ552"/>
      <c r="KEK552"/>
      <c r="KEL552"/>
      <c r="KEM552"/>
      <c r="KEN552"/>
      <c r="KEO552"/>
      <c r="KEP552"/>
      <c r="KEQ552"/>
      <c r="KER552"/>
      <c r="KES552"/>
      <c r="KET552"/>
      <c r="KEU552"/>
      <c r="KEV552"/>
      <c r="KEW552"/>
      <c r="KEX552"/>
      <c r="KEY552"/>
      <c r="KEZ552"/>
      <c r="KFA552"/>
      <c r="KFB552"/>
      <c r="KFC552"/>
      <c r="KFD552"/>
      <c r="KFE552"/>
      <c r="KFF552"/>
      <c r="KFG552"/>
      <c r="KFH552"/>
      <c r="KFI552"/>
      <c r="KFJ552"/>
      <c r="KFK552"/>
      <c r="KFL552"/>
      <c r="KFM552"/>
      <c r="KFN552"/>
      <c r="KFO552"/>
      <c r="KFP552"/>
      <c r="KFQ552"/>
      <c r="KFR552"/>
      <c r="KFS552"/>
      <c r="KFT552"/>
      <c r="KFU552"/>
      <c r="KFV552"/>
      <c r="KFW552"/>
      <c r="KFX552"/>
      <c r="KFY552"/>
      <c r="KFZ552"/>
      <c r="KGA552"/>
      <c r="KGB552"/>
      <c r="KGC552"/>
      <c r="KGD552"/>
      <c r="KGE552"/>
      <c r="KGF552"/>
      <c r="KGG552"/>
      <c r="KGH552"/>
      <c r="KGI552"/>
      <c r="KGJ552"/>
      <c r="KGK552"/>
      <c r="KGL552"/>
      <c r="KGM552"/>
      <c r="KGN552"/>
      <c r="KGO552"/>
      <c r="KGP552"/>
      <c r="KGQ552"/>
      <c r="KGR552"/>
      <c r="KGS552"/>
      <c r="KGT552"/>
      <c r="KGU552"/>
      <c r="KGV552"/>
      <c r="KGW552"/>
      <c r="KGX552"/>
      <c r="KGY552"/>
      <c r="KGZ552"/>
      <c r="KHA552"/>
      <c r="KHB552"/>
      <c r="KHC552"/>
      <c r="KHD552"/>
      <c r="KHE552"/>
      <c r="KHF552"/>
      <c r="KHG552"/>
      <c r="KHH552"/>
      <c r="KHI552"/>
      <c r="KHJ552"/>
      <c r="KHK552"/>
      <c r="KHL552"/>
      <c r="KHM552"/>
      <c r="KHN552"/>
      <c r="KHO552"/>
      <c r="KHP552"/>
      <c r="KHQ552"/>
      <c r="KHR552"/>
      <c r="KHS552"/>
      <c r="KHT552"/>
      <c r="KHU552"/>
      <c r="KHV552"/>
      <c r="KHW552"/>
      <c r="KHX552"/>
      <c r="KHY552"/>
      <c r="KHZ552"/>
      <c r="KIA552"/>
      <c r="KIB552"/>
      <c r="KIC552"/>
      <c r="KID552"/>
      <c r="KIE552"/>
      <c r="KIF552"/>
      <c r="KIG552"/>
      <c r="KIH552"/>
      <c r="KII552"/>
      <c r="KIJ552"/>
      <c r="KIK552"/>
      <c r="KIL552"/>
      <c r="KIM552"/>
      <c r="KIN552"/>
      <c r="KIO552"/>
      <c r="KIP552"/>
      <c r="KIQ552"/>
      <c r="KIR552"/>
      <c r="KIS552"/>
      <c r="KIT552"/>
      <c r="KIU552"/>
      <c r="KIV552"/>
      <c r="KIW552"/>
      <c r="KIX552"/>
      <c r="KIY552"/>
      <c r="KIZ552"/>
      <c r="KJA552"/>
      <c r="KJB552"/>
      <c r="KJC552"/>
      <c r="KJD552"/>
      <c r="KJE552"/>
      <c r="KJF552"/>
      <c r="KJG552"/>
      <c r="KJH552"/>
      <c r="KJI552"/>
      <c r="KJJ552"/>
      <c r="KJK552"/>
      <c r="KJL552"/>
      <c r="KJM552"/>
      <c r="KJN552"/>
      <c r="KJO552"/>
      <c r="KJP552"/>
      <c r="KJQ552"/>
      <c r="KJR552"/>
      <c r="KJS552"/>
      <c r="KJT552"/>
      <c r="KJU552"/>
      <c r="KJV552"/>
      <c r="KJW552"/>
      <c r="KJX552"/>
      <c r="KJY552"/>
      <c r="KJZ552"/>
      <c r="KKA552"/>
      <c r="KKB552"/>
      <c r="KKC552"/>
      <c r="KKD552"/>
      <c r="KKE552"/>
      <c r="KKF552"/>
      <c r="KKG552"/>
      <c r="KKH552"/>
      <c r="KKI552"/>
      <c r="KKJ552"/>
      <c r="KKK552"/>
      <c r="KKL552"/>
      <c r="KKM552"/>
      <c r="KKN552"/>
      <c r="KKO552"/>
      <c r="KKP552"/>
      <c r="KKQ552"/>
      <c r="KKR552"/>
      <c r="KKS552"/>
      <c r="KKT552"/>
      <c r="KKU552"/>
      <c r="KKV552"/>
      <c r="KKW552"/>
      <c r="KKX552"/>
      <c r="KKY552"/>
      <c r="KKZ552"/>
      <c r="KLA552"/>
      <c r="KLB552"/>
      <c r="KLC552"/>
      <c r="KLD552"/>
      <c r="KLE552"/>
      <c r="KLF552"/>
      <c r="KLG552"/>
      <c r="KLH552"/>
      <c r="KLI552"/>
      <c r="KLJ552"/>
      <c r="KLK552"/>
      <c r="KLL552"/>
      <c r="KLM552"/>
      <c r="KLN552"/>
      <c r="KLO552"/>
      <c r="KLP552"/>
      <c r="KLQ552"/>
      <c r="KLR552"/>
      <c r="KLS552"/>
      <c r="KLT552"/>
      <c r="KLU552"/>
      <c r="KLV552"/>
      <c r="KLW552"/>
      <c r="KLX552"/>
      <c r="KLY552"/>
      <c r="KLZ552"/>
      <c r="KMA552"/>
      <c r="KMB552"/>
      <c r="KMC552"/>
      <c r="KMD552"/>
      <c r="KME552"/>
      <c r="KMF552"/>
      <c r="KMG552"/>
      <c r="KMH552"/>
      <c r="KMI552"/>
      <c r="KMJ552"/>
      <c r="KMK552"/>
      <c r="KML552"/>
      <c r="KMM552"/>
      <c r="KMN552"/>
      <c r="KMO552"/>
      <c r="KMP552"/>
      <c r="KMQ552"/>
      <c r="KMR552"/>
      <c r="KMS552"/>
      <c r="KMT552"/>
      <c r="KMU552"/>
      <c r="KMV552"/>
      <c r="KMW552"/>
      <c r="KMX552"/>
      <c r="KMY552"/>
      <c r="KMZ552"/>
      <c r="KNA552"/>
      <c r="KNB552"/>
      <c r="KNC552"/>
      <c r="KND552"/>
      <c r="KNE552"/>
      <c r="KNF552"/>
      <c r="KNG552"/>
      <c r="KNH552"/>
      <c r="KNI552"/>
      <c r="KNJ552"/>
      <c r="KNK552"/>
      <c r="KNL552"/>
      <c r="KNM552"/>
      <c r="KNN552"/>
      <c r="KNO552"/>
      <c r="KNP552"/>
      <c r="KNQ552"/>
      <c r="KNR552"/>
      <c r="KNS552"/>
      <c r="KNT552"/>
      <c r="KNU552"/>
      <c r="KNV552"/>
      <c r="KNW552"/>
      <c r="KNX552"/>
      <c r="KNY552"/>
      <c r="KNZ552"/>
      <c r="KOA552"/>
      <c r="KOB552"/>
      <c r="KOC552"/>
      <c r="KOD552"/>
      <c r="KOE552"/>
      <c r="KOF552"/>
      <c r="KOG552"/>
      <c r="KOH552"/>
      <c r="KOI552"/>
      <c r="KOJ552"/>
      <c r="KOK552"/>
      <c r="KOL552"/>
      <c r="KOM552"/>
      <c r="KON552"/>
      <c r="KOO552"/>
      <c r="KOP552"/>
      <c r="KOQ552"/>
      <c r="KOR552"/>
      <c r="KOS552"/>
      <c r="KOT552"/>
      <c r="KOU552"/>
      <c r="KOV552"/>
      <c r="KOW552"/>
      <c r="KOX552"/>
      <c r="KOY552"/>
      <c r="KOZ552"/>
      <c r="KPA552"/>
      <c r="KPB552"/>
      <c r="KPC552"/>
      <c r="KPD552"/>
      <c r="KPE552"/>
      <c r="KPF552"/>
      <c r="KPG552"/>
      <c r="KPH552"/>
      <c r="KPI552"/>
      <c r="KPJ552"/>
      <c r="KPK552"/>
      <c r="KPL552"/>
      <c r="KPM552"/>
      <c r="KPN552"/>
      <c r="KPO552"/>
      <c r="KPP552"/>
      <c r="KPQ552"/>
      <c r="KPR552"/>
      <c r="KPS552"/>
      <c r="KPT552"/>
      <c r="KPU552"/>
      <c r="KPV552"/>
      <c r="KPW552"/>
      <c r="KPX552"/>
      <c r="KPY552"/>
      <c r="KPZ552"/>
      <c r="KQA552"/>
      <c r="KQB552"/>
      <c r="KQC552"/>
      <c r="KQD552"/>
      <c r="KQE552"/>
      <c r="KQF552"/>
      <c r="KQG552"/>
      <c r="KQH552"/>
      <c r="KQI552"/>
      <c r="KQJ552"/>
      <c r="KQK552"/>
      <c r="KQL552"/>
      <c r="KQM552"/>
      <c r="KQN552"/>
      <c r="KQO552"/>
      <c r="KQP552"/>
      <c r="KQQ552"/>
      <c r="KQR552"/>
      <c r="KQS552"/>
      <c r="KQT552"/>
      <c r="KQU552"/>
      <c r="KQV552"/>
      <c r="KQW552"/>
      <c r="KQX552"/>
      <c r="KQY552"/>
      <c r="KQZ552"/>
      <c r="KRA552"/>
      <c r="KRB552"/>
      <c r="KRC552"/>
      <c r="KRD552"/>
      <c r="KRE552"/>
      <c r="KRF552"/>
      <c r="KRG552"/>
      <c r="KRH552"/>
      <c r="KRI552"/>
      <c r="KRJ552"/>
      <c r="KRK552"/>
      <c r="KRL552"/>
      <c r="KRM552"/>
      <c r="KRN552"/>
      <c r="KRO552"/>
      <c r="KRP552"/>
      <c r="KRQ552"/>
      <c r="KRR552"/>
      <c r="KRS552"/>
      <c r="KRT552"/>
      <c r="KRU552"/>
      <c r="KRV552"/>
      <c r="KRW552"/>
      <c r="KRX552"/>
      <c r="KRY552"/>
      <c r="KRZ552"/>
      <c r="KSA552"/>
      <c r="KSB552"/>
      <c r="KSC552"/>
      <c r="KSD552"/>
      <c r="KSE552"/>
      <c r="KSF552"/>
      <c r="KSG552"/>
      <c r="KSH552"/>
      <c r="KSI552"/>
      <c r="KSJ552"/>
      <c r="KSK552"/>
      <c r="KSL552"/>
      <c r="KSM552"/>
      <c r="KSN552"/>
      <c r="KSO552"/>
      <c r="KSP552"/>
      <c r="KSQ552"/>
      <c r="KSR552"/>
      <c r="KSS552"/>
      <c r="KST552"/>
      <c r="KSU552"/>
      <c r="KSV552"/>
      <c r="KSW552"/>
      <c r="KSX552"/>
      <c r="KSY552"/>
      <c r="KSZ552"/>
      <c r="KTA552"/>
      <c r="KTB552"/>
      <c r="KTC552"/>
      <c r="KTD552"/>
      <c r="KTE552"/>
      <c r="KTF552"/>
      <c r="KTG552"/>
      <c r="KTH552"/>
      <c r="KTI552"/>
      <c r="KTJ552"/>
      <c r="KTK552"/>
      <c r="KTL552"/>
      <c r="KTM552"/>
      <c r="KTN552"/>
      <c r="KTO552"/>
      <c r="KTP552"/>
      <c r="KTQ552"/>
      <c r="KTR552"/>
      <c r="KTS552"/>
      <c r="KTT552"/>
      <c r="KTU552"/>
      <c r="KTV552"/>
      <c r="KTW552"/>
      <c r="KTX552"/>
      <c r="KTY552"/>
      <c r="KTZ552"/>
      <c r="KUA552"/>
      <c r="KUB552"/>
      <c r="KUC552"/>
      <c r="KUD552"/>
      <c r="KUE552"/>
      <c r="KUF552"/>
      <c r="KUG552"/>
      <c r="KUH552"/>
      <c r="KUI552"/>
      <c r="KUJ552"/>
      <c r="KUK552"/>
      <c r="KUL552"/>
      <c r="KUM552"/>
      <c r="KUN552"/>
      <c r="KUO552"/>
      <c r="KUP552"/>
      <c r="KUQ552"/>
      <c r="KUR552"/>
      <c r="KUS552"/>
      <c r="KUT552"/>
      <c r="KUU552"/>
      <c r="KUV552"/>
      <c r="KUW552"/>
      <c r="KUX552"/>
      <c r="KUY552"/>
      <c r="KUZ552"/>
      <c r="KVA552"/>
      <c r="KVB552"/>
      <c r="KVC552"/>
      <c r="KVD552"/>
      <c r="KVE552"/>
      <c r="KVF552"/>
      <c r="KVG552"/>
      <c r="KVH552"/>
      <c r="KVI552"/>
      <c r="KVJ552"/>
      <c r="KVK552"/>
      <c r="KVL552"/>
      <c r="KVM552"/>
      <c r="KVN552"/>
      <c r="KVO552"/>
      <c r="KVP552"/>
      <c r="KVQ552"/>
      <c r="KVR552"/>
      <c r="KVS552"/>
      <c r="KVT552"/>
      <c r="KVU552"/>
      <c r="KVV552"/>
      <c r="KVW552"/>
      <c r="KVX552"/>
      <c r="KVY552"/>
      <c r="KVZ552"/>
      <c r="KWA552"/>
      <c r="KWB552"/>
      <c r="KWC552"/>
      <c r="KWD552"/>
      <c r="KWE552"/>
      <c r="KWF552"/>
      <c r="KWG552"/>
      <c r="KWH552"/>
      <c r="KWI552"/>
      <c r="KWJ552"/>
      <c r="KWK552"/>
      <c r="KWL552"/>
      <c r="KWM552"/>
      <c r="KWN552"/>
      <c r="KWO552"/>
      <c r="KWP552"/>
      <c r="KWQ552"/>
      <c r="KWR552"/>
      <c r="KWS552"/>
      <c r="KWT552"/>
      <c r="KWU552"/>
      <c r="KWV552"/>
      <c r="KWW552"/>
      <c r="KWX552"/>
      <c r="KWY552"/>
      <c r="KWZ552"/>
      <c r="KXA552"/>
      <c r="KXB552"/>
      <c r="KXC552"/>
      <c r="KXD552"/>
      <c r="KXE552"/>
      <c r="KXF552"/>
      <c r="KXG552"/>
      <c r="KXH552"/>
      <c r="KXI552"/>
      <c r="KXJ552"/>
      <c r="KXK552"/>
      <c r="KXL552"/>
      <c r="KXM552"/>
      <c r="KXN552"/>
      <c r="KXO552"/>
      <c r="KXP552"/>
      <c r="KXQ552"/>
      <c r="KXR552"/>
      <c r="KXS552"/>
      <c r="KXT552"/>
      <c r="KXU552"/>
      <c r="KXV552"/>
      <c r="KXW552"/>
      <c r="KXX552"/>
      <c r="KXY552"/>
      <c r="KXZ552"/>
      <c r="KYA552"/>
      <c r="KYB552"/>
      <c r="KYC552"/>
      <c r="KYD552"/>
      <c r="KYE552"/>
      <c r="KYF552"/>
      <c r="KYG552"/>
      <c r="KYH552"/>
      <c r="KYI552"/>
      <c r="KYJ552"/>
      <c r="KYK552"/>
      <c r="KYL552"/>
      <c r="KYM552"/>
      <c r="KYN552"/>
      <c r="KYO552"/>
      <c r="KYP552"/>
      <c r="KYQ552"/>
      <c r="KYR552"/>
      <c r="KYS552"/>
      <c r="KYT552"/>
      <c r="KYU552"/>
      <c r="KYV552"/>
      <c r="KYW552"/>
      <c r="KYX552"/>
      <c r="KYY552"/>
      <c r="KYZ552"/>
      <c r="KZA552"/>
      <c r="KZB552"/>
      <c r="KZC552"/>
      <c r="KZD552"/>
      <c r="KZE552"/>
      <c r="KZF552"/>
      <c r="KZG552"/>
      <c r="KZH552"/>
      <c r="KZI552"/>
      <c r="KZJ552"/>
      <c r="KZK552"/>
      <c r="KZL552"/>
      <c r="KZM552"/>
      <c r="KZN552"/>
      <c r="KZO552"/>
      <c r="KZP552"/>
      <c r="KZQ552"/>
      <c r="KZR552"/>
      <c r="KZS552"/>
      <c r="KZT552"/>
      <c r="KZU552"/>
      <c r="KZV552"/>
      <c r="KZW552"/>
      <c r="KZX552"/>
      <c r="KZY552"/>
      <c r="KZZ552"/>
      <c r="LAA552"/>
      <c r="LAB552"/>
      <c r="LAC552"/>
      <c r="LAD552"/>
      <c r="LAE552"/>
      <c r="LAF552"/>
      <c r="LAG552"/>
      <c r="LAH552"/>
      <c r="LAI552"/>
      <c r="LAJ552"/>
      <c r="LAK552"/>
      <c r="LAL552"/>
      <c r="LAM552"/>
      <c r="LAN552"/>
      <c r="LAO552"/>
      <c r="LAP552"/>
      <c r="LAQ552"/>
      <c r="LAR552"/>
      <c r="LAS552"/>
      <c r="LAT552"/>
      <c r="LAU552"/>
      <c r="LAV552"/>
      <c r="LAW552"/>
      <c r="LAX552"/>
      <c r="LAY552"/>
      <c r="LAZ552"/>
      <c r="LBA552"/>
      <c r="LBB552"/>
      <c r="LBC552"/>
      <c r="LBD552"/>
      <c r="LBE552"/>
      <c r="LBF552"/>
      <c r="LBG552"/>
      <c r="LBH552"/>
      <c r="LBI552"/>
      <c r="LBJ552"/>
      <c r="LBK552"/>
      <c r="LBL552"/>
      <c r="LBM552"/>
      <c r="LBN552"/>
      <c r="LBO552"/>
      <c r="LBP552"/>
      <c r="LBQ552"/>
      <c r="LBR552"/>
      <c r="LBS552"/>
      <c r="LBT552"/>
      <c r="LBU552"/>
      <c r="LBV552"/>
      <c r="LBW552"/>
      <c r="LBX552"/>
      <c r="LBY552"/>
      <c r="LBZ552"/>
      <c r="LCA552"/>
      <c r="LCB552"/>
      <c r="LCC552"/>
      <c r="LCD552"/>
      <c r="LCE552"/>
      <c r="LCF552"/>
      <c r="LCG552"/>
      <c r="LCH552"/>
      <c r="LCI552"/>
      <c r="LCJ552"/>
      <c r="LCK552"/>
      <c r="LCL552"/>
      <c r="LCM552"/>
      <c r="LCN552"/>
      <c r="LCO552"/>
      <c r="LCP552"/>
      <c r="LCQ552"/>
      <c r="LCR552"/>
      <c r="LCS552"/>
      <c r="LCT552"/>
      <c r="LCU552"/>
      <c r="LCV552"/>
      <c r="LCW552"/>
      <c r="LCX552"/>
      <c r="LCY552"/>
      <c r="LCZ552"/>
      <c r="LDA552"/>
      <c r="LDB552"/>
      <c r="LDC552"/>
      <c r="LDD552"/>
      <c r="LDE552"/>
      <c r="LDF552"/>
      <c r="LDG552"/>
      <c r="LDH552"/>
      <c r="LDI552"/>
      <c r="LDJ552"/>
      <c r="LDK552"/>
      <c r="LDL552"/>
      <c r="LDM552"/>
      <c r="LDN552"/>
      <c r="LDO552"/>
      <c r="LDP552"/>
      <c r="LDQ552"/>
      <c r="LDR552"/>
      <c r="LDS552"/>
      <c r="LDT552"/>
      <c r="LDU552"/>
      <c r="LDV552"/>
      <c r="LDW552"/>
      <c r="LDX552"/>
      <c r="LDY552"/>
      <c r="LDZ552"/>
      <c r="LEA552"/>
      <c r="LEB552"/>
      <c r="LEC552"/>
      <c r="LED552"/>
      <c r="LEE552"/>
      <c r="LEF552"/>
      <c r="LEG552"/>
      <c r="LEH552"/>
      <c r="LEI552"/>
      <c r="LEJ552"/>
      <c r="LEK552"/>
      <c r="LEL552"/>
      <c r="LEM552"/>
      <c r="LEN552"/>
      <c r="LEO552"/>
      <c r="LEP552"/>
      <c r="LEQ552"/>
      <c r="LER552"/>
      <c r="LES552"/>
      <c r="LET552"/>
      <c r="LEU552"/>
      <c r="LEV552"/>
      <c r="LEW552"/>
      <c r="LEX552"/>
      <c r="LEY552"/>
      <c r="LEZ552"/>
      <c r="LFA552"/>
      <c r="LFB552"/>
      <c r="LFC552"/>
      <c r="LFD552"/>
      <c r="LFE552"/>
      <c r="LFF552"/>
      <c r="LFG552"/>
      <c r="LFH552"/>
      <c r="LFI552"/>
      <c r="LFJ552"/>
      <c r="LFK552"/>
      <c r="LFL552"/>
      <c r="LFM552"/>
      <c r="LFN552"/>
      <c r="LFO552"/>
      <c r="LFP552"/>
      <c r="LFQ552"/>
      <c r="LFR552"/>
      <c r="LFS552"/>
      <c r="LFT552"/>
      <c r="LFU552"/>
      <c r="LFV552"/>
      <c r="LFW552"/>
      <c r="LFX552"/>
      <c r="LFY552"/>
      <c r="LFZ552"/>
      <c r="LGA552"/>
      <c r="LGB552"/>
      <c r="LGC552"/>
      <c r="LGD552"/>
      <c r="LGE552"/>
      <c r="LGF552"/>
      <c r="LGG552"/>
      <c r="LGH552"/>
      <c r="LGI552"/>
      <c r="LGJ552"/>
      <c r="LGK552"/>
      <c r="LGL552"/>
      <c r="LGM552"/>
      <c r="LGN552"/>
      <c r="LGO552"/>
      <c r="LGP552"/>
      <c r="LGQ552"/>
      <c r="LGR552"/>
      <c r="LGS552"/>
      <c r="LGT552"/>
      <c r="LGU552"/>
      <c r="LGV552"/>
      <c r="LGW552"/>
      <c r="LGX552"/>
      <c r="LGY552"/>
      <c r="LGZ552"/>
      <c r="LHA552"/>
      <c r="LHB552"/>
      <c r="LHC552"/>
      <c r="LHD552"/>
      <c r="LHE552"/>
      <c r="LHF552"/>
      <c r="LHG552"/>
      <c r="LHH552"/>
      <c r="LHI552"/>
      <c r="LHJ552"/>
      <c r="LHK552"/>
      <c r="LHL552"/>
      <c r="LHM552"/>
      <c r="LHN552"/>
      <c r="LHO552"/>
      <c r="LHP552"/>
      <c r="LHQ552"/>
      <c r="LHR552"/>
      <c r="LHS552"/>
      <c r="LHT552"/>
      <c r="LHU552"/>
      <c r="LHV552"/>
      <c r="LHW552"/>
      <c r="LHX552"/>
      <c r="LHY552"/>
      <c r="LHZ552"/>
      <c r="LIA552"/>
      <c r="LIB552"/>
      <c r="LIC552"/>
      <c r="LID552"/>
      <c r="LIE552"/>
      <c r="LIF552"/>
      <c r="LIG552"/>
      <c r="LIH552"/>
      <c r="LII552"/>
      <c r="LIJ552"/>
      <c r="LIK552"/>
      <c r="LIL552"/>
      <c r="LIM552"/>
      <c r="LIN552"/>
      <c r="LIO552"/>
      <c r="LIP552"/>
      <c r="LIQ552"/>
      <c r="LIR552"/>
      <c r="LIS552"/>
      <c r="LIT552"/>
      <c r="LIU552"/>
      <c r="LIV552"/>
      <c r="LIW552"/>
      <c r="LIX552"/>
      <c r="LIY552"/>
      <c r="LIZ552"/>
      <c r="LJA552"/>
      <c r="LJB552"/>
      <c r="LJC552"/>
      <c r="LJD552"/>
      <c r="LJE552"/>
      <c r="LJF552"/>
      <c r="LJG552"/>
      <c r="LJH552"/>
      <c r="LJI552"/>
      <c r="LJJ552"/>
      <c r="LJK552"/>
      <c r="LJL552"/>
      <c r="LJM552"/>
      <c r="LJN552"/>
      <c r="LJO552"/>
      <c r="LJP552"/>
      <c r="LJQ552"/>
      <c r="LJR552"/>
      <c r="LJS552"/>
      <c r="LJT552"/>
      <c r="LJU552"/>
      <c r="LJV552"/>
      <c r="LJW552"/>
      <c r="LJX552"/>
      <c r="LJY552"/>
      <c r="LJZ552"/>
      <c r="LKA552"/>
      <c r="LKB552"/>
      <c r="LKC552"/>
      <c r="LKD552"/>
      <c r="LKE552"/>
      <c r="LKF552"/>
      <c r="LKG552"/>
      <c r="LKH552"/>
      <c r="LKI552"/>
      <c r="LKJ552"/>
      <c r="LKK552"/>
      <c r="LKL552"/>
      <c r="LKM552"/>
      <c r="LKN552"/>
      <c r="LKO552"/>
      <c r="LKP552"/>
      <c r="LKQ552"/>
      <c r="LKR552"/>
      <c r="LKS552"/>
      <c r="LKT552"/>
      <c r="LKU552"/>
      <c r="LKV552"/>
      <c r="LKW552"/>
      <c r="LKX552"/>
      <c r="LKY552"/>
      <c r="LKZ552"/>
      <c r="LLA552"/>
      <c r="LLB552"/>
      <c r="LLC552"/>
      <c r="LLD552"/>
      <c r="LLE552"/>
      <c r="LLF552"/>
      <c r="LLG552"/>
      <c r="LLH552"/>
      <c r="LLI552"/>
      <c r="LLJ552"/>
      <c r="LLK552"/>
      <c r="LLL552"/>
      <c r="LLM552"/>
      <c r="LLN552"/>
      <c r="LLO552"/>
      <c r="LLP552"/>
      <c r="LLQ552"/>
      <c r="LLR552"/>
      <c r="LLS552"/>
      <c r="LLT552"/>
      <c r="LLU552"/>
      <c r="LLV552"/>
      <c r="LLW552"/>
      <c r="LLX552"/>
      <c r="LLY552"/>
      <c r="LLZ552"/>
      <c r="LMA552"/>
      <c r="LMB552"/>
      <c r="LMC552"/>
      <c r="LMD552"/>
      <c r="LME552"/>
      <c r="LMF552"/>
      <c r="LMG552"/>
      <c r="LMH552"/>
      <c r="LMI552"/>
      <c r="LMJ552"/>
      <c r="LMK552"/>
      <c r="LML552"/>
      <c r="LMM552"/>
      <c r="LMN552"/>
      <c r="LMO552"/>
      <c r="LMP552"/>
      <c r="LMQ552"/>
      <c r="LMR552"/>
      <c r="LMS552"/>
      <c r="LMT552"/>
      <c r="LMU552"/>
      <c r="LMV552"/>
      <c r="LMW552"/>
      <c r="LMX552"/>
      <c r="LMY552"/>
      <c r="LMZ552"/>
      <c r="LNA552"/>
      <c r="LNB552"/>
      <c r="LNC552"/>
      <c r="LND552"/>
      <c r="LNE552"/>
      <c r="LNF552"/>
      <c r="LNG552"/>
      <c r="LNH552"/>
      <c r="LNI552"/>
      <c r="LNJ552"/>
      <c r="LNK552"/>
      <c r="LNL552"/>
      <c r="LNM552"/>
      <c r="LNN552"/>
      <c r="LNO552"/>
      <c r="LNP552"/>
      <c r="LNQ552"/>
      <c r="LNR552"/>
      <c r="LNS552"/>
      <c r="LNT552"/>
      <c r="LNU552"/>
      <c r="LNV552"/>
      <c r="LNW552"/>
      <c r="LNX552"/>
      <c r="LNY552"/>
      <c r="LNZ552"/>
      <c r="LOA552"/>
      <c r="LOB552"/>
      <c r="LOC552"/>
      <c r="LOD552"/>
      <c r="LOE552"/>
      <c r="LOF552"/>
      <c r="LOG552"/>
      <c r="LOH552"/>
      <c r="LOI552"/>
      <c r="LOJ552"/>
      <c r="LOK552"/>
      <c r="LOL552"/>
      <c r="LOM552"/>
      <c r="LON552"/>
      <c r="LOO552"/>
      <c r="LOP552"/>
      <c r="LOQ552"/>
      <c r="LOR552"/>
      <c r="LOS552"/>
      <c r="LOT552"/>
      <c r="LOU552"/>
      <c r="LOV552"/>
      <c r="LOW552"/>
      <c r="LOX552"/>
      <c r="LOY552"/>
      <c r="LOZ552"/>
      <c r="LPA552"/>
      <c r="LPB552"/>
      <c r="LPC552"/>
      <c r="LPD552"/>
      <c r="LPE552"/>
      <c r="LPF552"/>
      <c r="LPG552"/>
      <c r="LPH552"/>
      <c r="LPI552"/>
      <c r="LPJ552"/>
      <c r="LPK552"/>
      <c r="LPL552"/>
      <c r="LPM552"/>
      <c r="LPN552"/>
      <c r="LPO552"/>
      <c r="LPP552"/>
      <c r="LPQ552"/>
      <c r="LPR552"/>
      <c r="LPS552"/>
      <c r="LPT552"/>
      <c r="LPU552"/>
      <c r="LPV552"/>
      <c r="LPW552"/>
      <c r="LPX552"/>
      <c r="LPY552"/>
      <c r="LPZ552"/>
      <c r="LQA552"/>
      <c r="LQB552"/>
      <c r="LQC552"/>
      <c r="LQD552"/>
      <c r="LQE552"/>
      <c r="LQF552"/>
      <c r="LQG552"/>
      <c r="LQH552"/>
      <c r="LQI552"/>
      <c r="LQJ552"/>
      <c r="LQK552"/>
      <c r="LQL552"/>
      <c r="LQM552"/>
      <c r="LQN552"/>
      <c r="LQO552"/>
      <c r="LQP552"/>
      <c r="LQQ552"/>
      <c r="LQR552"/>
      <c r="LQS552"/>
      <c r="LQT552"/>
      <c r="LQU552"/>
      <c r="LQV552"/>
      <c r="LQW552"/>
      <c r="LQX552"/>
      <c r="LQY552"/>
      <c r="LQZ552"/>
      <c r="LRA552"/>
      <c r="LRB552"/>
      <c r="LRC552"/>
      <c r="LRD552"/>
      <c r="LRE552"/>
      <c r="LRF552"/>
      <c r="LRG552"/>
      <c r="LRH552"/>
      <c r="LRI552"/>
      <c r="LRJ552"/>
      <c r="LRK552"/>
      <c r="LRL552"/>
      <c r="LRM552"/>
      <c r="LRN552"/>
      <c r="LRO552"/>
      <c r="LRP552"/>
      <c r="LRQ552"/>
      <c r="LRR552"/>
      <c r="LRS552"/>
      <c r="LRT552"/>
      <c r="LRU552"/>
      <c r="LRV552"/>
      <c r="LRW552"/>
      <c r="LRX552"/>
      <c r="LRY552"/>
      <c r="LRZ552"/>
      <c r="LSA552"/>
      <c r="LSB552"/>
      <c r="LSC552"/>
      <c r="LSD552"/>
      <c r="LSE552"/>
      <c r="LSF552"/>
      <c r="LSG552"/>
      <c r="LSH552"/>
      <c r="LSI552"/>
      <c r="LSJ552"/>
      <c r="LSK552"/>
      <c r="LSL552"/>
      <c r="LSM552"/>
      <c r="LSN552"/>
      <c r="LSO552"/>
      <c r="LSP552"/>
      <c r="LSQ552"/>
      <c r="LSR552"/>
      <c r="LSS552"/>
      <c r="LST552"/>
      <c r="LSU552"/>
      <c r="LSV552"/>
      <c r="LSW552"/>
      <c r="LSX552"/>
      <c r="LSY552"/>
      <c r="LSZ552"/>
      <c r="LTA552"/>
      <c r="LTB552"/>
      <c r="LTC552"/>
      <c r="LTD552"/>
      <c r="LTE552"/>
      <c r="LTF552"/>
      <c r="LTG552"/>
      <c r="LTH552"/>
      <c r="LTI552"/>
      <c r="LTJ552"/>
      <c r="LTK552"/>
      <c r="LTL552"/>
      <c r="LTM552"/>
      <c r="LTN552"/>
      <c r="LTO552"/>
      <c r="LTP552"/>
      <c r="LTQ552"/>
      <c r="LTR552"/>
      <c r="LTS552"/>
      <c r="LTT552"/>
      <c r="LTU552"/>
      <c r="LTV552"/>
      <c r="LTW552"/>
      <c r="LTX552"/>
      <c r="LTY552"/>
      <c r="LTZ552"/>
      <c r="LUA552"/>
      <c r="LUB552"/>
      <c r="LUC552"/>
      <c r="LUD552"/>
      <c r="LUE552"/>
      <c r="LUF552"/>
      <c r="LUG552"/>
      <c r="LUH552"/>
      <c r="LUI552"/>
      <c r="LUJ552"/>
      <c r="LUK552"/>
      <c r="LUL552"/>
      <c r="LUM552"/>
      <c r="LUN552"/>
      <c r="LUO552"/>
      <c r="LUP552"/>
      <c r="LUQ552"/>
      <c r="LUR552"/>
      <c r="LUS552"/>
      <c r="LUT552"/>
      <c r="LUU552"/>
      <c r="LUV552"/>
      <c r="LUW552"/>
      <c r="LUX552"/>
      <c r="LUY552"/>
      <c r="LUZ552"/>
      <c r="LVA552"/>
      <c r="LVB552"/>
      <c r="LVC552"/>
      <c r="LVD552"/>
      <c r="LVE552"/>
      <c r="LVF552"/>
      <c r="LVG552"/>
      <c r="LVH552"/>
      <c r="LVI552"/>
      <c r="LVJ552"/>
      <c r="LVK552"/>
      <c r="LVL552"/>
      <c r="LVM552"/>
      <c r="LVN552"/>
      <c r="LVO552"/>
      <c r="LVP552"/>
      <c r="LVQ552"/>
      <c r="LVR552"/>
      <c r="LVS552"/>
      <c r="LVT552"/>
      <c r="LVU552"/>
      <c r="LVV552"/>
      <c r="LVW552"/>
      <c r="LVX552"/>
      <c r="LVY552"/>
      <c r="LVZ552"/>
      <c r="LWA552"/>
      <c r="LWB552"/>
      <c r="LWC552"/>
      <c r="LWD552"/>
      <c r="LWE552"/>
      <c r="LWF552"/>
      <c r="LWG552"/>
      <c r="LWH552"/>
      <c r="LWI552"/>
      <c r="LWJ552"/>
      <c r="LWK552"/>
      <c r="LWL552"/>
      <c r="LWM552"/>
      <c r="LWN552"/>
      <c r="LWO552"/>
      <c r="LWP552"/>
      <c r="LWQ552"/>
      <c r="LWR552"/>
      <c r="LWS552"/>
      <c r="LWT552"/>
      <c r="LWU552"/>
      <c r="LWV552"/>
      <c r="LWW552"/>
      <c r="LWX552"/>
      <c r="LWY552"/>
      <c r="LWZ552"/>
      <c r="LXA552"/>
      <c r="LXB552"/>
      <c r="LXC552"/>
      <c r="LXD552"/>
      <c r="LXE552"/>
      <c r="LXF552"/>
      <c r="LXG552"/>
      <c r="LXH552"/>
      <c r="LXI552"/>
      <c r="LXJ552"/>
      <c r="LXK552"/>
      <c r="LXL552"/>
      <c r="LXM552"/>
      <c r="LXN552"/>
      <c r="LXO552"/>
      <c r="LXP552"/>
      <c r="LXQ552"/>
      <c r="LXR552"/>
      <c r="LXS552"/>
      <c r="LXT552"/>
      <c r="LXU552"/>
      <c r="LXV552"/>
      <c r="LXW552"/>
      <c r="LXX552"/>
      <c r="LXY552"/>
      <c r="LXZ552"/>
      <c r="LYA552"/>
      <c r="LYB552"/>
      <c r="LYC552"/>
      <c r="LYD552"/>
      <c r="LYE552"/>
      <c r="LYF552"/>
      <c r="LYG552"/>
      <c r="LYH552"/>
      <c r="LYI552"/>
      <c r="LYJ552"/>
      <c r="LYK552"/>
      <c r="LYL552"/>
      <c r="LYM552"/>
      <c r="LYN552"/>
      <c r="LYO552"/>
      <c r="LYP552"/>
      <c r="LYQ552"/>
      <c r="LYR552"/>
      <c r="LYS552"/>
      <c r="LYT552"/>
      <c r="LYU552"/>
      <c r="LYV552"/>
      <c r="LYW552"/>
      <c r="LYX552"/>
      <c r="LYY552"/>
      <c r="LYZ552"/>
      <c r="LZA552"/>
      <c r="LZB552"/>
      <c r="LZC552"/>
      <c r="LZD552"/>
      <c r="LZE552"/>
      <c r="LZF552"/>
      <c r="LZG552"/>
      <c r="LZH552"/>
      <c r="LZI552"/>
      <c r="LZJ552"/>
      <c r="LZK552"/>
      <c r="LZL552"/>
      <c r="LZM552"/>
      <c r="LZN552"/>
      <c r="LZO552"/>
      <c r="LZP552"/>
      <c r="LZQ552"/>
      <c r="LZR552"/>
      <c r="LZS552"/>
      <c r="LZT552"/>
      <c r="LZU552"/>
      <c r="LZV552"/>
      <c r="LZW552"/>
      <c r="LZX552"/>
      <c r="LZY552"/>
      <c r="LZZ552"/>
      <c r="MAA552"/>
      <c r="MAB552"/>
      <c r="MAC552"/>
      <c r="MAD552"/>
      <c r="MAE552"/>
      <c r="MAF552"/>
      <c r="MAG552"/>
      <c r="MAH552"/>
      <c r="MAI552"/>
      <c r="MAJ552"/>
      <c r="MAK552"/>
      <c r="MAL552"/>
      <c r="MAM552"/>
      <c r="MAN552"/>
      <c r="MAO552"/>
      <c r="MAP552"/>
      <c r="MAQ552"/>
      <c r="MAR552"/>
      <c r="MAS552"/>
      <c r="MAT552"/>
      <c r="MAU552"/>
      <c r="MAV552"/>
      <c r="MAW552"/>
      <c r="MAX552"/>
      <c r="MAY552"/>
      <c r="MAZ552"/>
      <c r="MBA552"/>
      <c r="MBB552"/>
      <c r="MBC552"/>
      <c r="MBD552"/>
      <c r="MBE552"/>
      <c r="MBF552"/>
      <c r="MBG552"/>
      <c r="MBH552"/>
      <c r="MBI552"/>
      <c r="MBJ552"/>
      <c r="MBK552"/>
      <c r="MBL552"/>
      <c r="MBM552"/>
      <c r="MBN552"/>
      <c r="MBO552"/>
      <c r="MBP552"/>
      <c r="MBQ552"/>
      <c r="MBR552"/>
      <c r="MBS552"/>
      <c r="MBT552"/>
      <c r="MBU552"/>
      <c r="MBV552"/>
      <c r="MBW552"/>
      <c r="MBX552"/>
      <c r="MBY552"/>
      <c r="MBZ552"/>
      <c r="MCA552"/>
      <c r="MCB552"/>
      <c r="MCC552"/>
      <c r="MCD552"/>
      <c r="MCE552"/>
      <c r="MCF552"/>
      <c r="MCG552"/>
      <c r="MCH552"/>
      <c r="MCI552"/>
      <c r="MCJ552"/>
      <c r="MCK552"/>
      <c r="MCL552"/>
      <c r="MCM552"/>
      <c r="MCN552"/>
      <c r="MCO552"/>
      <c r="MCP552"/>
      <c r="MCQ552"/>
      <c r="MCR552"/>
      <c r="MCS552"/>
      <c r="MCT552"/>
      <c r="MCU552"/>
      <c r="MCV552"/>
      <c r="MCW552"/>
      <c r="MCX552"/>
      <c r="MCY552"/>
      <c r="MCZ552"/>
      <c r="MDA552"/>
      <c r="MDB552"/>
      <c r="MDC552"/>
      <c r="MDD552"/>
      <c r="MDE552"/>
      <c r="MDF552"/>
      <c r="MDG552"/>
      <c r="MDH552"/>
      <c r="MDI552"/>
      <c r="MDJ552"/>
      <c r="MDK552"/>
      <c r="MDL552"/>
      <c r="MDM552"/>
      <c r="MDN552"/>
      <c r="MDO552"/>
      <c r="MDP552"/>
      <c r="MDQ552"/>
      <c r="MDR552"/>
      <c r="MDS552"/>
      <c r="MDT552"/>
      <c r="MDU552"/>
      <c r="MDV552"/>
      <c r="MDW552"/>
      <c r="MDX552"/>
      <c r="MDY552"/>
      <c r="MDZ552"/>
      <c r="MEA552"/>
      <c r="MEB552"/>
      <c r="MEC552"/>
      <c r="MED552"/>
      <c r="MEE552"/>
      <c r="MEF552"/>
      <c r="MEG552"/>
      <c r="MEH552"/>
      <c r="MEI552"/>
      <c r="MEJ552"/>
      <c r="MEK552"/>
      <c r="MEL552"/>
      <c r="MEM552"/>
      <c r="MEN552"/>
      <c r="MEO552"/>
      <c r="MEP552"/>
      <c r="MEQ552"/>
      <c r="MER552"/>
      <c r="MES552"/>
      <c r="MET552"/>
      <c r="MEU552"/>
      <c r="MEV552"/>
      <c r="MEW552"/>
      <c r="MEX552"/>
      <c r="MEY552"/>
      <c r="MEZ552"/>
      <c r="MFA552"/>
      <c r="MFB552"/>
      <c r="MFC552"/>
      <c r="MFD552"/>
      <c r="MFE552"/>
      <c r="MFF552"/>
      <c r="MFG552"/>
      <c r="MFH552"/>
      <c r="MFI552"/>
      <c r="MFJ552"/>
      <c r="MFK552"/>
      <c r="MFL552"/>
      <c r="MFM552"/>
      <c r="MFN552"/>
      <c r="MFO552"/>
      <c r="MFP552"/>
      <c r="MFQ552"/>
      <c r="MFR552"/>
      <c r="MFS552"/>
      <c r="MFT552"/>
      <c r="MFU552"/>
      <c r="MFV552"/>
      <c r="MFW552"/>
      <c r="MFX552"/>
      <c r="MFY552"/>
      <c r="MFZ552"/>
      <c r="MGA552"/>
      <c r="MGB552"/>
      <c r="MGC552"/>
      <c r="MGD552"/>
      <c r="MGE552"/>
      <c r="MGF552"/>
      <c r="MGG552"/>
      <c r="MGH552"/>
      <c r="MGI552"/>
      <c r="MGJ552"/>
      <c r="MGK552"/>
      <c r="MGL552"/>
      <c r="MGM552"/>
      <c r="MGN552"/>
      <c r="MGO552"/>
      <c r="MGP552"/>
      <c r="MGQ552"/>
      <c r="MGR552"/>
      <c r="MGS552"/>
      <c r="MGT552"/>
      <c r="MGU552"/>
      <c r="MGV552"/>
      <c r="MGW552"/>
      <c r="MGX552"/>
      <c r="MGY552"/>
      <c r="MGZ552"/>
      <c r="MHA552"/>
      <c r="MHB552"/>
      <c r="MHC552"/>
      <c r="MHD552"/>
      <c r="MHE552"/>
      <c r="MHF552"/>
      <c r="MHG552"/>
      <c r="MHH552"/>
      <c r="MHI552"/>
      <c r="MHJ552"/>
      <c r="MHK552"/>
      <c r="MHL552"/>
      <c r="MHM552"/>
      <c r="MHN552"/>
      <c r="MHO552"/>
      <c r="MHP552"/>
      <c r="MHQ552"/>
      <c r="MHR552"/>
      <c r="MHS552"/>
      <c r="MHT552"/>
      <c r="MHU552"/>
      <c r="MHV552"/>
      <c r="MHW552"/>
      <c r="MHX552"/>
      <c r="MHY552"/>
      <c r="MHZ552"/>
      <c r="MIA552"/>
      <c r="MIB552"/>
      <c r="MIC552"/>
      <c r="MID552"/>
      <c r="MIE552"/>
      <c r="MIF552"/>
      <c r="MIG552"/>
      <c r="MIH552"/>
      <c r="MII552"/>
      <c r="MIJ552"/>
      <c r="MIK552"/>
      <c r="MIL552"/>
      <c r="MIM552"/>
      <c r="MIN552"/>
      <c r="MIO552"/>
      <c r="MIP552"/>
      <c r="MIQ552"/>
      <c r="MIR552"/>
      <c r="MIS552"/>
      <c r="MIT552"/>
      <c r="MIU552"/>
      <c r="MIV552"/>
      <c r="MIW552"/>
      <c r="MIX552"/>
      <c r="MIY552"/>
      <c r="MIZ552"/>
      <c r="MJA552"/>
      <c r="MJB552"/>
      <c r="MJC552"/>
      <c r="MJD552"/>
      <c r="MJE552"/>
      <c r="MJF552"/>
      <c r="MJG552"/>
      <c r="MJH552"/>
      <c r="MJI552"/>
      <c r="MJJ552"/>
      <c r="MJK552"/>
      <c r="MJL552"/>
      <c r="MJM552"/>
      <c r="MJN552"/>
      <c r="MJO552"/>
      <c r="MJP552"/>
      <c r="MJQ552"/>
      <c r="MJR552"/>
      <c r="MJS552"/>
      <c r="MJT552"/>
      <c r="MJU552"/>
      <c r="MJV552"/>
      <c r="MJW552"/>
      <c r="MJX552"/>
      <c r="MJY552"/>
      <c r="MJZ552"/>
      <c r="MKA552"/>
      <c r="MKB552"/>
      <c r="MKC552"/>
      <c r="MKD552"/>
      <c r="MKE552"/>
      <c r="MKF552"/>
      <c r="MKG552"/>
      <c r="MKH552"/>
      <c r="MKI552"/>
      <c r="MKJ552"/>
      <c r="MKK552"/>
      <c r="MKL552"/>
      <c r="MKM552"/>
      <c r="MKN552"/>
      <c r="MKO552"/>
      <c r="MKP552"/>
      <c r="MKQ552"/>
      <c r="MKR552"/>
      <c r="MKS552"/>
      <c r="MKT552"/>
      <c r="MKU552"/>
      <c r="MKV552"/>
      <c r="MKW552"/>
      <c r="MKX552"/>
      <c r="MKY552"/>
      <c r="MKZ552"/>
      <c r="MLA552"/>
      <c r="MLB552"/>
      <c r="MLC552"/>
      <c r="MLD552"/>
      <c r="MLE552"/>
      <c r="MLF552"/>
      <c r="MLG552"/>
      <c r="MLH552"/>
      <c r="MLI552"/>
      <c r="MLJ552"/>
      <c r="MLK552"/>
      <c r="MLL552"/>
      <c r="MLM552"/>
      <c r="MLN552"/>
      <c r="MLO552"/>
      <c r="MLP552"/>
      <c r="MLQ552"/>
      <c r="MLR552"/>
      <c r="MLS552"/>
      <c r="MLT552"/>
      <c r="MLU552"/>
      <c r="MLV552"/>
      <c r="MLW552"/>
      <c r="MLX552"/>
      <c r="MLY552"/>
      <c r="MLZ552"/>
      <c r="MMA552"/>
      <c r="MMB552"/>
      <c r="MMC552"/>
      <c r="MMD552"/>
      <c r="MME552"/>
      <c r="MMF552"/>
      <c r="MMG552"/>
      <c r="MMH552"/>
      <c r="MMI552"/>
      <c r="MMJ552"/>
      <c r="MMK552"/>
      <c r="MML552"/>
      <c r="MMM552"/>
      <c r="MMN552"/>
      <c r="MMO552"/>
      <c r="MMP552"/>
      <c r="MMQ552"/>
      <c r="MMR552"/>
      <c r="MMS552"/>
      <c r="MMT552"/>
      <c r="MMU552"/>
      <c r="MMV552"/>
      <c r="MMW552"/>
      <c r="MMX552"/>
      <c r="MMY552"/>
      <c r="MMZ552"/>
      <c r="MNA552"/>
      <c r="MNB552"/>
      <c r="MNC552"/>
      <c r="MND552"/>
      <c r="MNE552"/>
      <c r="MNF552"/>
      <c r="MNG552"/>
      <c r="MNH552"/>
      <c r="MNI552"/>
      <c r="MNJ552"/>
      <c r="MNK552"/>
      <c r="MNL552"/>
      <c r="MNM552"/>
      <c r="MNN552"/>
      <c r="MNO552"/>
      <c r="MNP552"/>
      <c r="MNQ552"/>
      <c r="MNR552"/>
      <c r="MNS552"/>
      <c r="MNT552"/>
      <c r="MNU552"/>
      <c r="MNV552"/>
      <c r="MNW552"/>
      <c r="MNX552"/>
      <c r="MNY552"/>
      <c r="MNZ552"/>
      <c r="MOA552"/>
      <c r="MOB552"/>
      <c r="MOC552"/>
      <c r="MOD552"/>
      <c r="MOE552"/>
      <c r="MOF552"/>
      <c r="MOG552"/>
      <c r="MOH552"/>
      <c r="MOI552"/>
      <c r="MOJ552"/>
      <c r="MOK552"/>
      <c r="MOL552"/>
      <c r="MOM552"/>
      <c r="MON552"/>
      <c r="MOO552"/>
      <c r="MOP552"/>
      <c r="MOQ552"/>
      <c r="MOR552"/>
      <c r="MOS552"/>
      <c r="MOT552"/>
      <c r="MOU552"/>
      <c r="MOV552"/>
      <c r="MOW552"/>
      <c r="MOX552"/>
      <c r="MOY552"/>
      <c r="MOZ552"/>
      <c r="MPA552"/>
      <c r="MPB552"/>
      <c r="MPC552"/>
      <c r="MPD552"/>
      <c r="MPE552"/>
      <c r="MPF552"/>
      <c r="MPG552"/>
      <c r="MPH552"/>
      <c r="MPI552"/>
      <c r="MPJ552"/>
      <c r="MPK552"/>
      <c r="MPL552"/>
      <c r="MPM552"/>
      <c r="MPN552"/>
      <c r="MPO552"/>
      <c r="MPP552"/>
      <c r="MPQ552"/>
      <c r="MPR552"/>
      <c r="MPS552"/>
      <c r="MPT552"/>
      <c r="MPU552"/>
      <c r="MPV552"/>
      <c r="MPW552"/>
      <c r="MPX552"/>
      <c r="MPY552"/>
      <c r="MPZ552"/>
      <c r="MQA552"/>
      <c r="MQB552"/>
      <c r="MQC552"/>
      <c r="MQD552"/>
      <c r="MQE552"/>
      <c r="MQF552"/>
      <c r="MQG552"/>
      <c r="MQH552"/>
      <c r="MQI552"/>
      <c r="MQJ552"/>
      <c r="MQK552"/>
      <c r="MQL552"/>
      <c r="MQM552"/>
      <c r="MQN552"/>
      <c r="MQO552"/>
      <c r="MQP552"/>
      <c r="MQQ552"/>
      <c r="MQR552"/>
      <c r="MQS552"/>
      <c r="MQT552"/>
      <c r="MQU552"/>
      <c r="MQV552"/>
      <c r="MQW552"/>
      <c r="MQX552"/>
      <c r="MQY552"/>
      <c r="MQZ552"/>
      <c r="MRA552"/>
      <c r="MRB552"/>
      <c r="MRC552"/>
      <c r="MRD552"/>
      <c r="MRE552"/>
      <c r="MRF552"/>
      <c r="MRG552"/>
      <c r="MRH552"/>
      <c r="MRI552"/>
      <c r="MRJ552"/>
      <c r="MRK552"/>
      <c r="MRL552"/>
      <c r="MRM552"/>
      <c r="MRN552"/>
      <c r="MRO552"/>
      <c r="MRP552"/>
      <c r="MRQ552"/>
      <c r="MRR552"/>
      <c r="MRS552"/>
      <c r="MRT552"/>
      <c r="MRU552"/>
      <c r="MRV552"/>
      <c r="MRW552"/>
      <c r="MRX552"/>
      <c r="MRY552"/>
      <c r="MRZ552"/>
      <c r="MSA552"/>
      <c r="MSB552"/>
      <c r="MSC552"/>
      <c r="MSD552"/>
      <c r="MSE552"/>
      <c r="MSF552"/>
      <c r="MSG552"/>
      <c r="MSH552"/>
      <c r="MSI552"/>
      <c r="MSJ552"/>
      <c r="MSK552"/>
      <c r="MSL552"/>
      <c r="MSM552"/>
      <c r="MSN552"/>
      <c r="MSO552"/>
      <c r="MSP552"/>
      <c r="MSQ552"/>
      <c r="MSR552"/>
      <c r="MSS552"/>
      <c r="MST552"/>
      <c r="MSU552"/>
      <c r="MSV552"/>
      <c r="MSW552"/>
      <c r="MSX552"/>
      <c r="MSY552"/>
      <c r="MSZ552"/>
      <c r="MTA552"/>
      <c r="MTB552"/>
      <c r="MTC552"/>
      <c r="MTD552"/>
      <c r="MTE552"/>
      <c r="MTF552"/>
      <c r="MTG552"/>
      <c r="MTH552"/>
      <c r="MTI552"/>
      <c r="MTJ552"/>
      <c r="MTK552"/>
      <c r="MTL552"/>
      <c r="MTM552"/>
      <c r="MTN552"/>
      <c r="MTO552"/>
      <c r="MTP552"/>
      <c r="MTQ552"/>
      <c r="MTR552"/>
      <c r="MTS552"/>
      <c r="MTT552"/>
      <c r="MTU552"/>
      <c r="MTV552"/>
      <c r="MTW552"/>
      <c r="MTX552"/>
      <c r="MTY552"/>
      <c r="MTZ552"/>
      <c r="MUA552"/>
      <c r="MUB552"/>
      <c r="MUC552"/>
      <c r="MUD552"/>
      <c r="MUE552"/>
      <c r="MUF552"/>
      <c r="MUG552"/>
      <c r="MUH552"/>
      <c r="MUI552"/>
      <c r="MUJ552"/>
      <c r="MUK552"/>
      <c r="MUL552"/>
      <c r="MUM552"/>
      <c r="MUN552"/>
      <c r="MUO552"/>
      <c r="MUP552"/>
      <c r="MUQ552"/>
      <c r="MUR552"/>
      <c r="MUS552"/>
      <c r="MUT552"/>
      <c r="MUU552"/>
      <c r="MUV552"/>
      <c r="MUW552"/>
      <c r="MUX552"/>
      <c r="MUY552"/>
      <c r="MUZ552"/>
      <c r="MVA552"/>
      <c r="MVB552"/>
      <c r="MVC552"/>
      <c r="MVD552"/>
      <c r="MVE552"/>
      <c r="MVF552"/>
      <c r="MVG552"/>
      <c r="MVH552"/>
      <c r="MVI552"/>
      <c r="MVJ552"/>
      <c r="MVK552"/>
      <c r="MVL552"/>
      <c r="MVM552"/>
      <c r="MVN552"/>
      <c r="MVO552"/>
      <c r="MVP552"/>
      <c r="MVQ552"/>
      <c r="MVR552"/>
      <c r="MVS552"/>
      <c r="MVT552"/>
      <c r="MVU552"/>
      <c r="MVV552"/>
      <c r="MVW552"/>
      <c r="MVX552"/>
      <c r="MVY552"/>
      <c r="MVZ552"/>
      <c r="MWA552"/>
      <c r="MWB552"/>
      <c r="MWC552"/>
      <c r="MWD552"/>
      <c r="MWE552"/>
      <c r="MWF552"/>
      <c r="MWG552"/>
      <c r="MWH552"/>
      <c r="MWI552"/>
      <c r="MWJ552"/>
      <c r="MWK552"/>
      <c r="MWL552"/>
      <c r="MWM552"/>
      <c r="MWN552"/>
      <c r="MWO552"/>
      <c r="MWP552"/>
      <c r="MWQ552"/>
      <c r="MWR552"/>
      <c r="MWS552"/>
      <c r="MWT552"/>
      <c r="MWU552"/>
      <c r="MWV552"/>
      <c r="MWW552"/>
      <c r="MWX552"/>
      <c r="MWY552"/>
      <c r="MWZ552"/>
      <c r="MXA552"/>
      <c r="MXB552"/>
      <c r="MXC552"/>
      <c r="MXD552"/>
      <c r="MXE552"/>
      <c r="MXF552"/>
      <c r="MXG552"/>
      <c r="MXH552"/>
      <c r="MXI552"/>
      <c r="MXJ552"/>
      <c r="MXK552"/>
      <c r="MXL552"/>
      <c r="MXM552"/>
      <c r="MXN552"/>
      <c r="MXO552"/>
      <c r="MXP552"/>
      <c r="MXQ552"/>
      <c r="MXR552"/>
      <c r="MXS552"/>
      <c r="MXT552"/>
      <c r="MXU552"/>
      <c r="MXV552"/>
      <c r="MXW552"/>
      <c r="MXX552"/>
      <c r="MXY552"/>
      <c r="MXZ552"/>
      <c r="MYA552"/>
      <c r="MYB552"/>
      <c r="MYC552"/>
      <c r="MYD552"/>
      <c r="MYE552"/>
      <c r="MYF552"/>
      <c r="MYG552"/>
      <c r="MYH552"/>
      <c r="MYI552"/>
      <c r="MYJ552"/>
      <c r="MYK552"/>
      <c r="MYL552"/>
      <c r="MYM552"/>
      <c r="MYN552"/>
      <c r="MYO552"/>
      <c r="MYP552"/>
      <c r="MYQ552"/>
      <c r="MYR552"/>
      <c r="MYS552"/>
      <c r="MYT552"/>
      <c r="MYU552"/>
      <c r="MYV552"/>
      <c r="MYW552"/>
      <c r="MYX552"/>
      <c r="MYY552"/>
      <c r="MYZ552"/>
      <c r="MZA552"/>
      <c r="MZB552"/>
      <c r="MZC552"/>
      <c r="MZD552"/>
      <c r="MZE552"/>
      <c r="MZF552"/>
      <c r="MZG552"/>
      <c r="MZH552"/>
      <c r="MZI552"/>
      <c r="MZJ552"/>
      <c r="MZK552"/>
      <c r="MZL552"/>
      <c r="MZM552"/>
      <c r="MZN552"/>
      <c r="MZO552"/>
      <c r="MZP552"/>
      <c r="MZQ552"/>
      <c r="MZR552"/>
      <c r="MZS552"/>
      <c r="MZT552"/>
      <c r="MZU552"/>
      <c r="MZV552"/>
      <c r="MZW552"/>
      <c r="MZX552"/>
      <c r="MZY552"/>
      <c r="MZZ552"/>
      <c r="NAA552"/>
      <c r="NAB552"/>
      <c r="NAC552"/>
      <c r="NAD552"/>
      <c r="NAE552"/>
      <c r="NAF552"/>
      <c r="NAG552"/>
      <c r="NAH552"/>
      <c r="NAI552"/>
      <c r="NAJ552"/>
      <c r="NAK552"/>
      <c r="NAL552"/>
      <c r="NAM552"/>
      <c r="NAN552"/>
      <c r="NAO552"/>
      <c r="NAP552"/>
      <c r="NAQ552"/>
      <c r="NAR552"/>
      <c r="NAS552"/>
      <c r="NAT552"/>
      <c r="NAU552"/>
      <c r="NAV552"/>
      <c r="NAW552"/>
      <c r="NAX552"/>
      <c r="NAY552"/>
      <c r="NAZ552"/>
      <c r="NBA552"/>
      <c r="NBB552"/>
      <c r="NBC552"/>
      <c r="NBD552"/>
      <c r="NBE552"/>
      <c r="NBF552"/>
      <c r="NBG552"/>
      <c r="NBH552"/>
      <c r="NBI552"/>
      <c r="NBJ552"/>
      <c r="NBK552"/>
      <c r="NBL552"/>
      <c r="NBM552"/>
      <c r="NBN552"/>
      <c r="NBO552"/>
      <c r="NBP552"/>
      <c r="NBQ552"/>
      <c r="NBR552"/>
      <c r="NBS552"/>
      <c r="NBT552"/>
      <c r="NBU552"/>
      <c r="NBV552"/>
      <c r="NBW552"/>
      <c r="NBX552"/>
      <c r="NBY552"/>
      <c r="NBZ552"/>
      <c r="NCA552"/>
      <c r="NCB552"/>
      <c r="NCC552"/>
      <c r="NCD552"/>
      <c r="NCE552"/>
      <c r="NCF552"/>
      <c r="NCG552"/>
      <c r="NCH552"/>
      <c r="NCI552"/>
      <c r="NCJ552"/>
      <c r="NCK552"/>
      <c r="NCL552"/>
      <c r="NCM552"/>
      <c r="NCN552"/>
      <c r="NCO552"/>
      <c r="NCP552"/>
      <c r="NCQ552"/>
      <c r="NCR552"/>
      <c r="NCS552"/>
      <c r="NCT552"/>
      <c r="NCU552"/>
      <c r="NCV552"/>
      <c r="NCW552"/>
      <c r="NCX552"/>
      <c r="NCY552"/>
      <c r="NCZ552"/>
      <c r="NDA552"/>
      <c r="NDB552"/>
      <c r="NDC552"/>
      <c r="NDD552"/>
      <c r="NDE552"/>
      <c r="NDF552"/>
      <c r="NDG552"/>
      <c r="NDH552"/>
      <c r="NDI552"/>
      <c r="NDJ552"/>
      <c r="NDK552"/>
      <c r="NDL552"/>
      <c r="NDM552"/>
      <c r="NDN552"/>
      <c r="NDO552"/>
      <c r="NDP552"/>
      <c r="NDQ552"/>
      <c r="NDR552"/>
      <c r="NDS552"/>
      <c r="NDT552"/>
      <c r="NDU552"/>
      <c r="NDV552"/>
      <c r="NDW552"/>
      <c r="NDX552"/>
      <c r="NDY552"/>
      <c r="NDZ552"/>
      <c r="NEA552"/>
      <c r="NEB552"/>
      <c r="NEC552"/>
      <c r="NED552"/>
      <c r="NEE552"/>
      <c r="NEF552"/>
      <c r="NEG552"/>
      <c r="NEH552"/>
      <c r="NEI552"/>
      <c r="NEJ552"/>
      <c r="NEK552"/>
      <c r="NEL552"/>
      <c r="NEM552"/>
      <c r="NEN552"/>
      <c r="NEO552"/>
      <c r="NEP552"/>
      <c r="NEQ552"/>
      <c r="NER552"/>
      <c r="NES552"/>
      <c r="NET552"/>
      <c r="NEU552"/>
      <c r="NEV552"/>
      <c r="NEW552"/>
      <c r="NEX552"/>
      <c r="NEY552"/>
      <c r="NEZ552"/>
      <c r="NFA552"/>
      <c r="NFB552"/>
      <c r="NFC552"/>
      <c r="NFD552"/>
      <c r="NFE552"/>
      <c r="NFF552"/>
      <c r="NFG552"/>
      <c r="NFH552"/>
      <c r="NFI552"/>
      <c r="NFJ552"/>
      <c r="NFK552"/>
      <c r="NFL552"/>
      <c r="NFM552"/>
      <c r="NFN552"/>
      <c r="NFO552"/>
      <c r="NFP552"/>
      <c r="NFQ552"/>
      <c r="NFR552"/>
      <c r="NFS552"/>
      <c r="NFT552"/>
      <c r="NFU552"/>
      <c r="NFV552"/>
      <c r="NFW552"/>
      <c r="NFX552"/>
      <c r="NFY552"/>
      <c r="NFZ552"/>
      <c r="NGA552"/>
      <c r="NGB552"/>
      <c r="NGC552"/>
      <c r="NGD552"/>
      <c r="NGE552"/>
      <c r="NGF552"/>
      <c r="NGG552"/>
      <c r="NGH552"/>
      <c r="NGI552"/>
      <c r="NGJ552"/>
      <c r="NGK552"/>
      <c r="NGL552"/>
      <c r="NGM552"/>
      <c r="NGN552"/>
      <c r="NGO552"/>
      <c r="NGP552"/>
      <c r="NGQ552"/>
      <c r="NGR552"/>
      <c r="NGS552"/>
      <c r="NGT552"/>
      <c r="NGU552"/>
      <c r="NGV552"/>
      <c r="NGW552"/>
      <c r="NGX552"/>
      <c r="NGY552"/>
      <c r="NGZ552"/>
      <c r="NHA552"/>
      <c r="NHB552"/>
      <c r="NHC552"/>
      <c r="NHD552"/>
      <c r="NHE552"/>
      <c r="NHF552"/>
      <c r="NHG552"/>
      <c r="NHH552"/>
      <c r="NHI552"/>
      <c r="NHJ552"/>
      <c r="NHK552"/>
      <c r="NHL552"/>
      <c r="NHM552"/>
      <c r="NHN552"/>
      <c r="NHO552"/>
      <c r="NHP552"/>
      <c r="NHQ552"/>
      <c r="NHR552"/>
      <c r="NHS552"/>
      <c r="NHT552"/>
      <c r="NHU552"/>
      <c r="NHV552"/>
      <c r="NHW552"/>
      <c r="NHX552"/>
      <c r="NHY552"/>
      <c r="NHZ552"/>
      <c r="NIA552"/>
      <c r="NIB552"/>
      <c r="NIC552"/>
      <c r="NID552"/>
      <c r="NIE552"/>
      <c r="NIF552"/>
      <c r="NIG552"/>
      <c r="NIH552"/>
      <c r="NII552"/>
      <c r="NIJ552"/>
      <c r="NIK552"/>
      <c r="NIL552"/>
      <c r="NIM552"/>
      <c r="NIN552"/>
      <c r="NIO552"/>
      <c r="NIP552"/>
      <c r="NIQ552"/>
      <c r="NIR552"/>
      <c r="NIS552"/>
      <c r="NIT552"/>
      <c r="NIU552"/>
      <c r="NIV552"/>
      <c r="NIW552"/>
      <c r="NIX552"/>
      <c r="NIY552"/>
      <c r="NIZ552"/>
      <c r="NJA552"/>
      <c r="NJB552"/>
      <c r="NJC552"/>
      <c r="NJD552"/>
      <c r="NJE552"/>
      <c r="NJF552"/>
      <c r="NJG552"/>
      <c r="NJH552"/>
      <c r="NJI552"/>
      <c r="NJJ552"/>
      <c r="NJK552"/>
      <c r="NJL552"/>
      <c r="NJM552"/>
      <c r="NJN552"/>
      <c r="NJO552"/>
      <c r="NJP552"/>
      <c r="NJQ552"/>
      <c r="NJR552"/>
      <c r="NJS552"/>
      <c r="NJT552"/>
      <c r="NJU552"/>
      <c r="NJV552"/>
      <c r="NJW552"/>
      <c r="NJX552"/>
      <c r="NJY552"/>
      <c r="NJZ552"/>
      <c r="NKA552"/>
      <c r="NKB552"/>
      <c r="NKC552"/>
      <c r="NKD552"/>
      <c r="NKE552"/>
      <c r="NKF552"/>
      <c r="NKG552"/>
      <c r="NKH552"/>
      <c r="NKI552"/>
      <c r="NKJ552"/>
      <c r="NKK552"/>
      <c r="NKL552"/>
      <c r="NKM552"/>
      <c r="NKN552"/>
      <c r="NKO552"/>
      <c r="NKP552"/>
      <c r="NKQ552"/>
      <c r="NKR552"/>
      <c r="NKS552"/>
      <c r="NKT552"/>
      <c r="NKU552"/>
      <c r="NKV552"/>
      <c r="NKW552"/>
      <c r="NKX552"/>
      <c r="NKY552"/>
      <c r="NKZ552"/>
      <c r="NLA552"/>
      <c r="NLB552"/>
      <c r="NLC552"/>
      <c r="NLD552"/>
      <c r="NLE552"/>
      <c r="NLF552"/>
      <c r="NLG552"/>
      <c r="NLH552"/>
      <c r="NLI552"/>
      <c r="NLJ552"/>
      <c r="NLK552"/>
      <c r="NLL552"/>
      <c r="NLM552"/>
      <c r="NLN552"/>
      <c r="NLO552"/>
      <c r="NLP552"/>
      <c r="NLQ552"/>
      <c r="NLR552"/>
      <c r="NLS552"/>
      <c r="NLT552"/>
      <c r="NLU552"/>
      <c r="NLV552"/>
      <c r="NLW552"/>
      <c r="NLX552"/>
      <c r="NLY552"/>
      <c r="NLZ552"/>
      <c r="NMA552"/>
      <c r="NMB552"/>
      <c r="NMC552"/>
      <c r="NMD552"/>
      <c r="NME552"/>
      <c r="NMF552"/>
      <c r="NMG552"/>
      <c r="NMH552"/>
      <c r="NMI552"/>
      <c r="NMJ552"/>
      <c r="NMK552"/>
      <c r="NML552"/>
      <c r="NMM552"/>
      <c r="NMN552"/>
      <c r="NMO552"/>
      <c r="NMP552"/>
      <c r="NMQ552"/>
      <c r="NMR552"/>
      <c r="NMS552"/>
      <c r="NMT552"/>
      <c r="NMU552"/>
      <c r="NMV552"/>
      <c r="NMW552"/>
      <c r="NMX552"/>
      <c r="NMY552"/>
      <c r="NMZ552"/>
      <c r="NNA552"/>
      <c r="NNB552"/>
      <c r="NNC552"/>
      <c r="NND552"/>
      <c r="NNE552"/>
      <c r="NNF552"/>
      <c r="NNG552"/>
      <c r="NNH552"/>
      <c r="NNI552"/>
      <c r="NNJ552"/>
      <c r="NNK552"/>
      <c r="NNL552"/>
      <c r="NNM552"/>
      <c r="NNN552"/>
      <c r="NNO552"/>
      <c r="NNP552"/>
      <c r="NNQ552"/>
      <c r="NNR552"/>
      <c r="NNS552"/>
      <c r="NNT552"/>
      <c r="NNU552"/>
      <c r="NNV552"/>
      <c r="NNW552"/>
      <c r="NNX552"/>
      <c r="NNY552"/>
      <c r="NNZ552"/>
      <c r="NOA552"/>
      <c r="NOB552"/>
      <c r="NOC552"/>
      <c r="NOD552"/>
      <c r="NOE552"/>
      <c r="NOF552"/>
      <c r="NOG552"/>
      <c r="NOH552"/>
      <c r="NOI552"/>
      <c r="NOJ552"/>
      <c r="NOK552"/>
      <c r="NOL552"/>
      <c r="NOM552"/>
      <c r="NON552"/>
      <c r="NOO552"/>
      <c r="NOP552"/>
      <c r="NOQ552"/>
      <c r="NOR552"/>
      <c r="NOS552"/>
      <c r="NOT552"/>
      <c r="NOU552"/>
      <c r="NOV552"/>
      <c r="NOW552"/>
      <c r="NOX552"/>
      <c r="NOY552"/>
      <c r="NOZ552"/>
      <c r="NPA552"/>
      <c r="NPB552"/>
      <c r="NPC552"/>
      <c r="NPD552"/>
      <c r="NPE552"/>
      <c r="NPF552"/>
      <c r="NPG552"/>
      <c r="NPH552"/>
      <c r="NPI552"/>
      <c r="NPJ552"/>
      <c r="NPK552"/>
      <c r="NPL552"/>
      <c r="NPM552"/>
      <c r="NPN552"/>
      <c r="NPO552"/>
      <c r="NPP552"/>
      <c r="NPQ552"/>
      <c r="NPR552"/>
      <c r="NPS552"/>
      <c r="NPT552"/>
      <c r="NPU552"/>
      <c r="NPV552"/>
      <c r="NPW552"/>
      <c r="NPX552"/>
      <c r="NPY552"/>
      <c r="NPZ552"/>
      <c r="NQA552"/>
      <c r="NQB552"/>
      <c r="NQC552"/>
      <c r="NQD552"/>
      <c r="NQE552"/>
      <c r="NQF552"/>
      <c r="NQG552"/>
      <c r="NQH552"/>
      <c r="NQI552"/>
      <c r="NQJ552"/>
      <c r="NQK552"/>
      <c r="NQL552"/>
      <c r="NQM552"/>
      <c r="NQN552"/>
      <c r="NQO552"/>
      <c r="NQP552"/>
      <c r="NQQ552"/>
      <c r="NQR552"/>
      <c r="NQS552"/>
      <c r="NQT552"/>
      <c r="NQU552"/>
      <c r="NQV552"/>
      <c r="NQW552"/>
      <c r="NQX552"/>
      <c r="NQY552"/>
      <c r="NQZ552"/>
      <c r="NRA552"/>
      <c r="NRB552"/>
      <c r="NRC552"/>
      <c r="NRD552"/>
      <c r="NRE552"/>
      <c r="NRF552"/>
      <c r="NRG552"/>
      <c r="NRH552"/>
      <c r="NRI552"/>
      <c r="NRJ552"/>
      <c r="NRK552"/>
      <c r="NRL552"/>
      <c r="NRM552"/>
      <c r="NRN552"/>
      <c r="NRO552"/>
      <c r="NRP552"/>
      <c r="NRQ552"/>
      <c r="NRR552"/>
      <c r="NRS552"/>
      <c r="NRT552"/>
      <c r="NRU552"/>
      <c r="NRV552"/>
      <c r="NRW552"/>
      <c r="NRX552"/>
      <c r="NRY552"/>
      <c r="NRZ552"/>
      <c r="NSA552"/>
      <c r="NSB552"/>
      <c r="NSC552"/>
      <c r="NSD552"/>
      <c r="NSE552"/>
      <c r="NSF552"/>
      <c r="NSG552"/>
      <c r="NSH552"/>
      <c r="NSI552"/>
      <c r="NSJ552"/>
      <c r="NSK552"/>
      <c r="NSL552"/>
      <c r="NSM552"/>
      <c r="NSN552"/>
      <c r="NSO552"/>
      <c r="NSP552"/>
      <c r="NSQ552"/>
      <c r="NSR552"/>
      <c r="NSS552"/>
      <c r="NST552"/>
      <c r="NSU552"/>
      <c r="NSV552"/>
      <c r="NSW552"/>
      <c r="NSX552"/>
      <c r="NSY552"/>
      <c r="NSZ552"/>
      <c r="NTA552"/>
      <c r="NTB552"/>
      <c r="NTC552"/>
      <c r="NTD552"/>
      <c r="NTE552"/>
      <c r="NTF552"/>
      <c r="NTG552"/>
      <c r="NTH552"/>
      <c r="NTI552"/>
      <c r="NTJ552"/>
      <c r="NTK552"/>
      <c r="NTL552"/>
      <c r="NTM552"/>
      <c r="NTN552"/>
      <c r="NTO552"/>
      <c r="NTP552"/>
      <c r="NTQ552"/>
      <c r="NTR552"/>
      <c r="NTS552"/>
      <c r="NTT552"/>
      <c r="NTU552"/>
      <c r="NTV552"/>
      <c r="NTW552"/>
      <c r="NTX552"/>
      <c r="NTY552"/>
      <c r="NTZ552"/>
      <c r="NUA552"/>
      <c r="NUB552"/>
      <c r="NUC552"/>
      <c r="NUD552"/>
      <c r="NUE552"/>
      <c r="NUF552"/>
      <c r="NUG552"/>
      <c r="NUH552"/>
      <c r="NUI552"/>
      <c r="NUJ552"/>
      <c r="NUK552"/>
      <c r="NUL552"/>
      <c r="NUM552"/>
      <c r="NUN552"/>
      <c r="NUO552"/>
      <c r="NUP552"/>
      <c r="NUQ552"/>
      <c r="NUR552"/>
      <c r="NUS552"/>
      <c r="NUT552"/>
      <c r="NUU552"/>
      <c r="NUV552"/>
      <c r="NUW552"/>
      <c r="NUX552"/>
      <c r="NUY552"/>
      <c r="NUZ552"/>
      <c r="NVA552"/>
      <c r="NVB552"/>
      <c r="NVC552"/>
      <c r="NVD552"/>
      <c r="NVE552"/>
      <c r="NVF552"/>
      <c r="NVG552"/>
      <c r="NVH552"/>
      <c r="NVI552"/>
      <c r="NVJ552"/>
      <c r="NVK552"/>
      <c r="NVL552"/>
      <c r="NVM552"/>
      <c r="NVN552"/>
      <c r="NVO552"/>
      <c r="NVP552"/>
      <c r="NVQ552"/>
      <c r="NVR552"/>
      <c r="NVS552"/>
      <c r="NVT552"/>
      <c r="NVU552"/>
      <c r="NVV552"/>
      <c r="NVW552"/>
      <c r="NVX552"/>
      <c r="NVY552"/>
      <c r="NVZ552"/>
      <c r="NWA552"/>
      <c r="NWB552"/>
      <c r="NWC552"/>
      <c r="NWD552"/>
      <c r="NWE552"/>
      <c r="NWF552"/>
      <c r="NWG552"/>
      <c r="NWH552"/>
      <c r="NWI552"/>
      <c r="NWJ552"/>
      <c r="NWK552"/>
      <c r="NWL552"/>
      <c r="NWM552"/>
      <c r="NWN552"/>
      <c r="NWO552"/>
      <c r="NWP552"/>
      <c r="NWQ552"/>
      <c r="NWR552"/>
      <c r="NWS552"/>
      <c r="NWT552"/>
      <c r="NWU552"/>
      <c r="NWV552"/>
      <c r="NWW552"/>
      <c r="NWX552"/>
      <c r="NWY552"/>
      <c r="NWZ552"/>
      <c r="NXA552"/>
      <c r="NXB552"/>
      <c r="NXC552"/>
      <c r="NXD552"/>
      <c r="NXE552"/>
      <c r="NXF552"/>
      <c r="NXG552"/>
      <c r="NXH552"/>
      <c r="NXI552"/>
      <c r="NXJ552"/>
      <c r="NXK552"/>
      <c r="NXL552"/>
      <c r="NXM552"/>
      <c r="NXN552"/>
      <c r="NXO552"/>
      <c r="NXP552"/>
      <c r="NXQ552"/>
      <c r="NXR552"/>
      <c r="NXS552"/>
      <c r="NXT552"/>
      <c r="NXU552"/>
      <c r="NXV552"/>
      <c r="NXW552"/>
      <c r="NXX552"/>
      <c r="NXY552"/>
      <c r="NXZ552"/>
      <c r="NYA552"/>
      <c r="NYB552"/>
      <c r="NYC552"/>
      <c r="NYD552"/>
      <c r="NYE552"/>
      <c r="NYF552"/>
      <c r="NYG552"/>
      <c r="NYH552"/>
      <c r="NYI552"/>
      <c r="NYJ552"/>
      <c r="NYK552"/>
      <c r="NYL552"/>
      <c r="NYM552"/>
      <c r="NYN552"/>
      <c r="NYO552"/>
      <c r="NYP552"/>
      <c r="NYQ552"/>
      <c r="NYR552"/>
      <c r="NYS552"/>
      <c r="NYT552"/>
      <c r="NYU552"/>
      <c r="NYV552"/>
      <c r="NYW552"/>
      <c r="NYX552"/>
      <c r="NYY552"/>
      <c r="NYZ552"/>
      <c r="NZA552"/>
      <c r="NZB552"/>
      <c r="NZC552"/>
      <c r="NZD552"/>
      <c r="NZE552"/>
      <c r="NZF552"/>
      <c r="NZG552"/>
      <c r="NZH552"/>
      <c r="NZI552"/>
      <c r="NZJ552"/>
      <c r="NZK552"/>
      <c r="NZL552"/>
      <c r="NZM552"/>
      <c r="NZN552"/>
      <c r="NZO552"/>
      <c r="NZP552"/>
      <c r="NZQ552"/>
      <c r="NZR552"/>
      <c r="NZS552"/>
      <c r="NZT552"/>
      <c r="NZU552"/>
      <c r="NZV552"/>
      <c r="NZW552"/>
      <c r="NZX552"/>
      <c r="NZY552"/>
      <c r="NZZ552"/>
      <c r="OAA552"/>
      <c r="OAB552"/>
      <c r="OAC552"/>
      <c r="OAD552"/>
      <c r="OAE552"/>
      <c r="OAF552"/>
      <c r="OAG552"/>
      <c r="OAH552"/>
      <c r="OAI552"/>
      <c r="OAJ552"/>
      <c r="OAK552"/>
      <c r="OAL552"/>
      <c r="OAM552"/>
      <c r="OAN552"/>
      <c r="OAO552"/>
      <c r="OAP552"/>
      <c r="OAQ552"/>
      <c r="OAR552"/>
      <c r="OAS552"/>
      <c r="OAT552"/>
      <c r="OAU552"/>
      <c r="OAV552"/>
      <c r="OAW552"/>
      <c r="OAX552"/>
      <c r="OAY552"/>
      <c r="OAZ552"/>
      <c r="OBA552"/>
      <c r="OBB552"/>
      <c r="OBC552"/>
      <c r="OBD552"/>
      <c r="OBE552"/>
      <c r="OBF552"/>
      <c r="OBG552"/>
      <c r="OBH552"/>
      <c r="OBI552"/>
      <c r="OBJ552"/>
      <c r="OBK552"/>
      <c r="OBL552"/>
      <c r="OBM552"/>
      <c r="OBN552"/>
      <c r="OBO552"/>
      <c r="OBP552"/>
      <c r="OBQ552"/>
      <c r="OBR552"/>
      <c r="OBS552"/>
      <c r="OBT552"/>
      <c r="OBU552"/>
      <c r="OBV552"/>
      <c r="OBW552"/>
      <c r="OBX552"/>
      <c r="OBY552"/>
      <c r="OBZ552"/>
      <c r="OCA552"/>
      <c r="OCB552"/>
      <c r="OCC552"/>
      <c r="OCD552"/>
      <c r="OCE552"/>
      <c r="OCF552"/>
      <c r="OCG552"/>
      <c r="OCH552"/>
      <c r="OCI552"/>
      <c r="OCJ552"/>
      <c r="OCK552"/>
      <c r="OCL552"/>
      <c r="OCM552"/>
      <c r="OCN552"/>
      <c r="OCO552"/>
      <c r="OCP552"/>
      <c r="OCQ552"/>
      <c r="OCR552"/>
      <c r="OCS552"/>
      <c r="OCT552"/>
      <c r="OCU552"/>
      <c r="OCV552"/>
      <c r="OCW552"/>
      <c r="OCX552"/>
      <c r="OCY552"/>
      <c r="OCZ552"/>
      <c r="ODA552"/>
      <c r="ODB552"/>
      <c r="ODC552"/>
      <c r="ODD552"/>
      <c r="ODE552"/>
      <c r="ODF552"/>
      <c r="ODG552"/>
      <c r="ODH552"/>
      <c r="ODI552"/>
      <c r="ODJ552"/>
      <c r="ODK552"/>
      <c r="ODL552"/>
      <c r="ODM552"/>
      <c r="ODN552"/>
      <c r="ODO552"/>
      <c r="ODP552"/>
      <c r="ODQ552"/>
      <c r="ODR552"/>
      <c r="ODS552"/>
      <c r="ODT552"/>
      <c r="ODU552"/>
      <c r="ODV552"/>
      <c r="ODW552"/>
      <c r="ODX552"/>
      <c r="ODY552"/>
      <c r="ODZ552"/>
      <c r="OEA552"/>
      <c r="OEB552"/>
      <c r="OEC552"/>
      <c r="OED552"/>
      <c r="OEE552"/>
      <c r="OEF552"/>
      <c r="OEG552"/>
      <c r="OEH552"/>
      <c r="OEI552"/>
      <c r="OEJ552"/>
      <c r="OEK552"/>
      <c r="OEL552"/>
      <c r="OEM552"/>
      <c r="OEN552"/>
      <c r="OEO552"/>
      <c r="OEP552"/>
      <c r="OEQ552"/>
      <c r="OER552"/>
      <c r="OES552"/>
      <c r="OET552"/>
      <c r="OEU552"/>
      <c r="OEV552"/>
      <c r="OEW552"/>
      <c r="OEX552"/>
      <c r="OEY552"/>
      <c r="OEZ552"/>
      <c r="OFA552"/>
      <c r="OFB552"/>
      <c r="OFC552"/>
      <c r="OFD552"/>
      <c r="OFE552"/>
      <c r="OFF552"/>
      <c r="OFG552"/>
      <c r="OFH552"/>
      <c r="OFI552"/>
      <c r="OFJ552"/>
      <c r="OFK552"/>
      <c r="OFL552"/>
      <c r="OFM552"/>
      <c r="OFN552"/>
      <c r="OFO552"/>
      <c r="OFP552"/>
      <c r="OFQ552"/>
      <c r="OFR552"/>
      <c r="OFS552"/>
      <c r="OFT552"/>
      <c r="OFU552"/>
      <c r="OFV552"/>
      <c r="OFW552"/>
      <c r="OFX552"/>
      <c r="OFY552"/>
      <c r="OFZ552"/>
      <c r="OGA552"/>
      <c r="OGB552"/>
      <c r="OGC552"/>
      <c r="OGD552"/>
      <c r="OGE552"/>
      <c r="OGF552"/>
      <c r="OGG552"/>
      <c r="OGH552"/>
      <c r="OGI552"/>
      <c r="OGJ552"/>
      <c r="OGK552"/>
      <c r="OGL552"/>
      <c r="OGM552"/>
      <c r="OGN552"/>
      <c r="OGO552"/>
      <c r="OGP552"/>
      <c r="OGQ552"/>
      <c r="OGR552"/>
      <c r="OGS552"/>
      <c r="OGT552"/>
      <c r="OGU552"/>
      <c r="OGV552"/>
      <c r="OGW552"/>
      <c r="OGX552"/>
      <c r="OGY552"/>
      <c r="OGZ552"/>
      <c r="OHA552"/>
      <c r="OHB552"/>
      <c r="OHC552"/>
      <c r="OHD552"/>
      <c r="OHE552"/>
      <c r="OHF552"/>
      <c r="OHG552"/>
      <c r="OHH552"/>
      <c r="OHI552"/>
      <c r="OHJ552"/>
      <c r="OHK552"/>
      <c r="OHL552"/>
      <c r="OHM552"/>
      <c r="OHN552"/>
      <c r="OHO552"/>
      <c r="OHP552"/>
      <c r="OHQ552"/>
      <c r="OHR552"/>
      <c r="OHS552"/>
      <c r="OHT552"/>
      <c r="OHU552"/>
      <c r="OHV552"/>
      <c r="OHW552"/>
      <c r="OHX552"/>
      <c r="OHY552"/>
      <c r="OHZ552"/>
      <c r="OIA552"/>
      <c r="OIB552"/>
      <c r="OIC552"/>
      <c r="OID552"/>
      <c r="OIE552"/>
      <c r="OIF552"/>
      <c r="OIG552"/>
      <c r="OIH552"/>
      <c r="OII552"/>
      <c r="OIJ552"/>
      <c r="OIK552"/>
      <c r="OIL552"/>
      <c r="OIM552"/>
      <c r="OIN552"/>
      <c r="OIO552"/>
      <c r="OIP552"/>
      <c r="OIQ552"/>
      <c r="OIR552"/>
      <c r="OIS552"/>
      <c r="OIT552"/>
      <c r="OIU552"/>
      <c r="OIV552"/>
      <c r="OIW552"/>
      <c r="OIX552"/>
      <c r="OIY552"/>
      <c r="OIZ552"/>
      <c r="OJA552"/>
      <c r="OJB552"/>
      <c r="OJC552"/>
      <c r="OJD552"/>
      <c r="OJE552"/>
      <c r="OJF552"/>
      <c r="OJG552"/>
      <c r="OJH552"/>
      <c r="OJI552"/>
      <c r="OJJ552"/>
      <c r="OJK552"/>
      <c r="OJL552"/>
      <c r="OJM552"/>
      <c r="OJN552"/>
      <c r="OJO552"/>
      <c r="OJP552"/>
      <c r="OJQ552"/>
      <c r="OJR552"/>
      <c r="OJS552"/>
      <c r="OJT552"/>
      <c r="OJU552"/>
      <c r="OJV552"/>
      <c r="OJW552"/>
      <c r="OJX552"/>
      <c r="OJY552"/>
      <c r="OJZ552"/>
      <c r="OKA552"/>
      <c r="OKB552"/>
      <c r="OKC552"/>
      <c r="OKD552"/>
      <c r="OKE552"/>
      <c r="OKF552"/>
      <c r="OKG552"/>
      <c r="OKH552"/>
      <c r="OKI552"/>
      <c r="OKJ552"/>
      <c r="OKK552"/>
      <c r="OKL552"/>
      <c r="OKM552"/>
      <c r="OKN552"/>
      <c r="OKO552"/>
      <c r="OKP552"/>
      <c r="OKQ552"/>
      <c r="OKR552"/>
      <c r="OKS552"/>
      <c r="OKT552"/>
      <c r="OKU552"/>
      <c r="OKV552"/>
      <c r="OKW552"/>
      <c r="OKX552"/>
      <c r="OKY552"/>
      <c r="OKZ552"/>
      <c r="OLA552"/>
      <c r="OLB552"/>
      <c r="OLC552"/>
      <c r="OLD552"/>
      <c r="OLE552"/>
      <c r="OLF552"/>
      <c r="OLG552"/>
      <c r="OLH552"/>
      <c r="OLI552"/>
      <c r="OLJ552"/>
      <c r="OLK552"/>
      <c r="OLL552"/>
      <c r="OLM552"/>
      <c r="OLN552"/>
      <c r="OLO552"/>
      <c r="OLP552"/>
      <c r="OLQ552"/>
      <c r="OLR552"/>
      <c r="OLS552"/>
      <c r="OLT552"/>
      <c r="OLU552"/>
      <c r="OLV552"/>
      <c r="OLW552"/>
      <c r="OLX552"/>
      <c r="OLY552"/>
      <c r="OLZ552"/>
      <c r="OMA552"/>
      <c r="OMB552"/>
      <c r="OMC552"/>
      <c r="OMD552"/>
      <c r="OME552"/>
      <c r="OMF552"/>
      <c r="OMG552"/>
      <c r="OMH552"/>
      <c r="OMI552"/>
      <c r="OMJ552"/>
      <c r="OMK552"/>
      <c r="OML552"/>
      <c r="OMM552"/>
      <c r="OMN552"/>
      <c r="OMO552"/>
      <c r="OMP552"/>
      <c r="OMQ552"/>
      <c r="OMR552"/>
      <c r="OMS552"/>
      <c r="OMT552"/>
      <c r="OMU552"/>
      <c r="OMV552"/>
      <c r="OMW552"/>
      <c r="OMX552"/>
      <c r="OMY552"/>
      <c r="OMZ552"/>
      <c r="ONA552"/>
      <c r="ONB552"/>
      <c r="ONC552"/>
      <c r="OND552"/>
      <c r="ONE552"/>
      <c r="ONF552"/>
      <c r="ONG552"/>
      <c r="ONH552"/>
      <c r="ONI552"/>
      <c r="ONJ552"/>
      <c r="ONK552"/>
      <c r="ONL552"/>
      <c r="ONM552"/>
      <c r="ONN552"/>
      <c r="ONO552"/>
      <c r="ONP552"/>
      <c r="ONQ552"/>
      <c r="ONR552"/>
      <c r="ONS552"/>
      <c r="ONT552"/>
      <c r="ONU552"/>
      <c r="ONV552"/>
      <c r="ONW552"/>
      <c r="ONX552"/>
      <c r="ONY552"/>
      <c r="ONZ552"/>
      <c r="OOA552"/>
      <c r="OOB552"/>
      <c r="OOC552"/>
      <c r="OOD552"/>
      <c r="OOE552"/>
      <c r="OOF552"/>
      <c r="OOG552"/>
      <c r="OOH552"/>
      <c r="OOI552"/>
      <c r="OOJ552"/>
      <c r="OOK552"/>
      <c r="OOL552"/>
      <c r="OOM552"/>
      <c r="OON552"/>
      <c r="OOO552"/>
      <c r="OOP552"/>
      <c r="OOQ552"/>
      <c r="OOR552"/>
      <c r="OOS552"/>
      <c r="OOT552"/>
      <c r="OOU552"/>
      <c r="OOV552"/>
      <c r="OOW552"/>
      <c r="OOX552"/>
      <c r="OOY552"/>
      <c r="OOZ552"/>
      <c r="OPA552"/>
      <c r="OPB552"/>
      <c r="OPC552"/>
      <c r="OPD552"/>
      <c r="OPE552"/>
      <c r="OPF552"/>
      <c r="OPG552"/>
      <c r="OPH552"/>
      <c r="OPI552"/>
      <c r="OPJ552"/>
      <c r="OPK552"/>
      <c r="OPL552"/>
      <c r="OPM552"/>
      <c r="OPN552"/>
      <c r="OPO552"/>
      <c r="OPP552"/>
      <c r="OPQ552"/>
      <c r="OPR552"/>
      <c r="OPS552"/>
      <c r="OPT552"/>
      <c r="OPU552"/>
      <c r="OPV552"/>
      <c r="OPW552"/>
      <c r="OPX552"/>
      <c r="OPY552"/>
      <c r="OPZ552"/>
      <c r="OQA552"/>
      <c r="OQB552"/>
      <c r="OQC552"/>
      <c r="OQD552"/>
      <c r="OQE552"/>
      <c r="OQF552"/>
      <c r="OQG552"/>
      <c r="OQH552"/>
      <c r="OQI552"/>
      <c r="OQJ552"/>
      <c r="OQK552"/>
      <c r="OQL552"/>
      <c r="OQM552"/>
      <c r="OQN552"/>
      <c r="OQO552"/>
      <c r="OQP552"/>
      <c r="OQQ552"/>
      <c r="OQR552"/>
      <c r="OQS552"/>
      <c r="OQT552"/>
      <c r="OQU552"/>
      <c r="OQV552"/>
      <c r="OQW552"/>
      <c r="OQX552"/>
      <c r="OQY552"/>
      <c r="OQZ552"/>
      <c r="ORA552"/>
      <c r="ORB552"/>
      <c r="ORC552"/>
      <c r="ORD552"/>
      <c r="ORE552"/>
      <c r="ORF552"/>
      <c r="ORG552"/>
      <c r="ORH552"/>
      <c r="ORI552"/>
      <c r="ORJ552"/>
      <c r="ORK552"/>
      <c r="ORL552"/>
      <c r="ORM552"/>
      <c r="ORN552"/>
      <c r="ORO552"/>
      <c r="ORP552"/>
      <c r="ORQ552"/>
      <c r="ORR552"/>
      <c r="ORS552"/>
      <c r="ORT552"/>
      <c r="ORU552"/>
      <c r="ORV552"/>
      <c r="ORW552"/>
      <c r="ORX552"/>
      <c r="ORY552"/>
      <c r="ORZ552"/>
      <c r="OSA552"/>
      <c r="OSB552"/>
      <c r="OSC552"/>
      <c r="OSD552"/>
      <c r="OSE552"/>
      <c r="OSF552"/>
      <c r="OSG552"/>
      <c r="OSH552"/>
      <c r="OSI552"/>
      <c r="OSJ552"/>
      <c r="OSK552"/>
      <c r="OSL552"/>
      <c r="OSM552"/>
      <c r="OSN552"/>
      <c r="OSO552"/>
      <c r="OSP552"/>
      <c r="OSQ552"/>
      <c r="OSR552"/>
      <c r="OSS552"/>
      <c r="OST552"/>
      <c r="OSU552"/>
      <c r="OSV552"/>
      <c r="OSW552"/>
      <c r="OSX552"/>
      <c r="OSY552"/>
      <c r="OSZ552"/>
      <c r="OTA552"/>
      <c r="OTB552"/>
      <c r="OTC552"/>
      <c r="OTD552"/>
      <c r="OTE552"/>
      <c r="OTF552"/>
      <c r="OTG552"/>
      <c r="OTH552"/>
      <c r="OTI552"/>
      <c r="OTJ552"/>
      <c r="OTK552"/>
      <c r="OTL552"/>
      <c r="OTM552"/>
      <c r="OTN552"/>
      <c r="OTO552"/>
      <c r="OTP552"/>
      <c r="OTQ552"/>
      <c r="OTR552"/>
      <c r="OTS552"/>
      <c r="OTT552"/>
      <c r="OTU552"/>
      <c r="OTV552"/>
      <c r="OTW552"/>
      <c r="OTX552"/>
      <c r="OTY552"/>
      <c r="OTZ552"/>
      <c r="OUA552"/>
      <c r="OUB552"/>
      <c r="OUC552"/>
      <c r="OUD552"/>
      <c r="OUE552"/>
      <c r="OUF552"/>
      <c r="OUG552"/>
      <c r="OUH552"/>
      <c r="OUI552"/>
      <c r="OUJ552"/>
      <c r="OUK552"/>
      <c r="OUL552"/>
      <c r="OUM552"/>
      <c r="OUN552"/>
      <c r="OUO552"/>
      <c r="OUP552"/>
      <c r="OUQ552"/>
      <c r="OUR552"/>
      <c r="OUS552"/>
      <c r="OUT552"/>
      <c r="OUU552"/>
      <c r="OUV552"/>
      <c r="OUW552"/>
      <c r="OUX552"/>
      <c r="OUY552"/>
      <c r="OUZ552"/>
      <c r="OVA552"/>
      <c r="OVB552"/>
      <c r="OVC552"/>
      <c r="OVD552"/>
      <c r="OVE552"/>
      <c r="OVF552"/>
      <c r="OVG552"/>
      <c r="OVH552"/>
      <c r="OVI552"/>
      <c r="OVJ552"/>
      <c r="OVK552"/>
      <c r="OVL552"/>
      <c r="OVM552"/>
      <c r="OVN552"/>
      <c r="OVO552"/>
      <c r="OVP552"/>
      <c r="OVQ552"/>
      <c r="OVR552"/>
      <c r="OVS552"/>
      <c r="OVT552"/>
      <c r="OVU552"/>
      <c r="OVV552"/>
      <c r="OVW552"/>
      <c r="OVX552"/>
      <c r="OVY552"/>
      <c r="OVZ552"/>
      <c r="OWA552"/>
      <c r="OWB552"/>
      <c r="OWC552"/>
      <c r="OWD552"/>
      <c r="OWE552"/>
      <c r="OWF552"/>
      <c r="OWG552"/>
      <c r="OWH552"/>
      <c r="OWI552"/>
      <c r="OWJ552"/>
      <c r="OWK552"/>
      <c r="OWL552"/>
      <c r="OWM552"/>
      <c r="OWN552"/>
      <c r="OWO552"/>
      <c r="OWP552"/>
      <c r="OWQ552"/>
      <c r="OWR552"/>
      <c r="OWS552"/>
      <c r="OWT552"/>
      <c r="OWU552"/>
      <c r="OWV552"/>
      <c r="OWW552"/>
      <c r="OWX552"/>
      <c r="OWY552"/>
      <c r="OWZ552"/>
      <c r="OXA552"/>
      <c r="OXB552"/>
      <c r="OXC552"/>
      <c r="OXD552"/>
      <c r="OXE552"/>
      <c r="OXF552"/>
      <c r="OXG552"/>
      <c r="OXH552"/>
      <c r="OXI552"/>
      <c r="OXJ552"/>
      <c r="OXK552"/>
      <c r="OXL552"/>
      <c r="OXM552"/>
      <c r="OXN552"/>
      <c r="OXO552"/>
      <c r="OXP552"/>
      <c r="OXQ552"/>
      <c r="OXR552"/>
      <c r="OXS552"/>
      <c r="OXT552"/>
      <c r="OXU552"/>
      <c r="OXV552"/>
      <c r="OXW552"/>
      <c r="OXX552"/>
      <c r="OXY552"/>
      <c r="OXZ552"/>
      <c r="OYA552"/>
      <c r="OYB552"/>
      <c r="OYC552"/>
      <c r="OYD552"/>
      <c r="OYE552"/>
      <c r="OYF552"/>
      <c r="OYG552"/>
      <c r="OYH552"/>
      <c r="OYI552"/>
      <c r="OYJ552"/>
      <c r="OYK552"/>
      <c r="OYL552"/>
      <c r="OYM552"/>
      <c r="OYN552"/>
      <c r="OYO552"/>
      <c r="OYP552"/>
      <c r="OYQ552"/>
      <c r="OYR552"/>
      <c r="OYS552"/>
      <c r="OYT552"/>
      <c r="OYU552"/>
      <c r="OYV552"/>
      <c r="OYW552"/>
      <c r="OYX552"/>
      <c r="OYY552"/>
      <c r="OYZ552"/>
      <c r="OZA552"/>
      <c r="OZB552"/>
      <c r="OZC552"/>
      <c r="OZD552"/>
      <c r="OZE552"/>
      <c r="OZF552"/>
      <c r="OZG552"/>
      <c r="OZH552"/>
      <c r="OZI552"/>
      <c r="OZJ552"/>
      <c r="OZK552"/>
      <c r="OZL552"/>
      <c r="OZM552"/>
      <c r="OZN552"/>
      <c r="OZO552"/>
      <c r="OZP552"/>
      <c r="OZQ552"/>
      <c r="OZR552"/>
      <c r="OZS552"/>
      <c r="OZT552"/>
      <c r="OZU552"/>
      <c r="OZV552"/>
      <c r="OZW552"/>
      <c r="OZX552"/>
      <c r="OZY552"/>
      <c r="OZZ552"/>
      <c r="PAA552"/>
      <c r="PAB552"/>
      <c r="PAC552"/>
      <c r="PAD552"/>
      <c r="PAE552"/>
      <c r="PAF552"/>
      <c r="PAG552"/>
      <c r="PAH552"/>
      <c r="PAI552"/>
      <c r="PAJ552"/>
      <c r="PAK552"/>
      <c r="PAL552"/>
      <c r="PAM552"/>
      <c r="PAN552"/>
      <c r="PAO552"/>
      <c r="PAP552"/>
      <c r="PAQ552"/>
      <c r="PAR552"/>
      <c r="PAS552"/>
      <c r="PAT552"/>
      <c r="PAU552"/>
      <c r="PAV552"/>
      <c r="PAW552"/>
      <c r="PAX552"/>
      <c r="PAY552"/>
      <c r="PAZ552"/>
      <c r="PBA552"/>
      <c r="PBB552"/>
      <c r="PBC552"/>
      <c r="PBD552"/>
      <c r="PBE552"/>
      <c r="PBF552"/>
      <c r="PBG552"/>
      <c r="PBH552"/>
      <c r="PBI552"/>
      <c r="PBJ552"/>
      <c r="PBK552"/>
      <c r="PBL552"/>
      <c r="PBM552"/>
      <c r="PBN552"/>
      <c r="PBO552"/>
      <c r="PBP552"/>
      <c r="PBQ552"/>
      <c r="PBR552"/>
      <c r="PBS552"/>
      <c r="PBT552"/>
      <c r="PBU552"/>
      <c r="PBV552"/>
      <c r="PBW552"/>
      <c r="PBX552"/>
      <c r="PBY552"/>
      <c r="PBZ552"/>
      <c r="PCA552"/>
      <c r="PCB552"/>
      <c r="PCC552"/>
      <c r="PCD552"/>
      <c r="PCE552"/>
      <c r="PCF552"/>
      <c r="PCG552"/>
      <c r="PCH552"/>
      <c r="PCI552"/>
      <c r="PCJ552"/>
      <c r="PCK552"/>
      <c r="PCL552"/>
      <c r="PCM552"/>
      <c r="PCN552"/>
      <c r="PCO552"/>
      <c r="PCP552"/>
      <c r="PCQ552"/>
      <c r="PCR552"/>
      <c r="PCS552"/>
      <c r="PCT552"/>
      <c r="PCU552"/>
      <c r="PCV552"/>
      <c r="PCW552"/>
      <c r="PCX552"/>
      <c r="PCY552"/>
      <c r="PCZ552"/>
      <c r="PDA552"/>
      <c r="PDB552"/>
      <c r="PDC552"/>
      <c r="PDD552"/>
      <c r="PDE552"/>
      <c r="PDF552"/>
      <c r="PDG552"/>
      <c r="PDH552"/>
      <c r="PDI552"/>
      <c r="PDJ552"/>
      <c r="PDK552"/>
      <c r="PDL552"/>
      <c r="PDM552"/>
      <c r="PDN552"/>
      <c r="PDO552"/>
      <c r="PDP552"/>
      <c r="PDQ552"/>
      <c r="PDR552"/>
      <c r="PDS552"/>
      <c r="PDT552"/>
      <c r="PDU552"/>
      <c r="PDV552"/>
      <c r="PDW552"/>
      <c r="PDX552"/>
      <c r="PDY552"/>
      <c r="PDZ552"/>
      <c r="PEA552"/>
      <c r="PEB552"/>
      <c r="PEC552"/>
      <c r="PED552"/>
      <c r="PEE552"/>
      <c r="PEF552"/>
      <c r="PEG552"/>
      <c r="PEH552"/>
      <c r="PEI552"/>
      <c r="PEJ552"/>
      <c r="PEK552"/>
      <c r="PEL552"/>
      <c r="PEM552"/>
      <c r="PEN552"/>
      <c r="PEO552"/>
      <c r="PEP552"/>
      <c r="PEQ552"/>
      <c r="PER552"/>
      <c r="PES552"/>
      <c r="PET552"/>
      <c r="PEU552"/>
      <c r="PEV552"/>
      <c r="PEW552"/>
      <c r="PEX552"/>
      <c r="PEY552"/>
      <c r="PEZ552"/>
      <c r="PFA552"/>
      <c r="PFB552"/>
      <c r="PFC552"/>
      <c r="PFD552"/>
      <c r="PFE552"/>
      <c r="PFF552"/>
      <c r="PFG552"/>
      <c r="PFH552"/>
      <c r="PFI552"/>
      <c r="PFJ552"/>
      <c r="PFK552"/>
      <c r="PFL552"/>
      <c r="PFM552"/>
      <c r="PFN552"/>
      <c r="PFO552"/>
      <c r="PFP552"/>
      <c r="PFQ552"/>
      <c r="PFR552"/>
      <c r="PFS552"/>
      <c r="PFT552"/>
      <c r="PFU552"/>
      <c r="PFV552"/>
      <c r="PFW552"/>
      <c r="PFX552"/>
      <c r="PFY552"/>
      <c r="PFZ552"/>
      <c r="PGA552"/>
      <c r="PGB552"/>
      <c r="PGC552"/>
      <c r="PGD552"/>
      <c r="PGE552"/>
      <c r="PGF552"/>
      <c r="PGG552"/>
      <c r="PGH552"/>
      <c r="PGI552"/>
      <c r="PGJ552"/>
      <c r="PGK552"/>
      <c r="PGL552"/>
      <c r="PGM552"/>
      <c r="PGN552"/>
      <c r="PGO552"/>
      <c r="PGP552"/>
      <c r="PGQ552"/>
      <c r="PGR552"/>
      <c r="PGS552"/>
      <c r="PGT552"/>
      <c r="PGU552"/>
      <c r="PGV552"/>
      <c r="PGW552"/>
      <c r="PGX552"/>
      <c r="PGY552"/>
      <c r="PGZ552"/>
      <c r="PHA552"/>
      <c r="PHB552"/>
      <c r="PHC552"/>
      <c r="PHD552"/>
      <c r="PHE552"/>
      <c r="PHF552"/>
      <c r="PHG552"/>
      <c r="PHH552"/>
      <c r="PHI552"/>
      <c r="PHJ552"/>
      <c r="PHK552"/>
      <c r="PHL552"/>
      <c r="PHM552"/>
      <c r="PHN552"/>
      <c r="PHO552"/>
      <c r="PHP552"/>
      <c r="PHQ552"/>
      <c r="PHR552"/>
      <c r="PHS552"/>
      <c r="PHT552"/>
      <c r="PHU552"/>
      <c r="PHV552"/>
      <c r="PHW552"/>
      <c r="PHX552"/>
      <c r="PHY552"/>
      <c r="PHZ552"/>
      <c r="PIA552"/>
      <c r="PIB552"/>
      <c r="PIC552"/>
      <c r="PID552"/>
      <c r="PIE552"/>
      <c r="PIF552"/>
      <c r="PIG552"/>
      <c r="PIH552"/>
      <c r="PII552"/>
      <c r="PIJ552"/>
      <c r="PIK552"/>
      <c r="PIL552"/>
      <c r="PIM552"/>
      <c r="PIN552"/>
      <c r="PIO552"/>
      <c r="PIP552"/>
      <c r="PIQ552"/>
      <c r="PIR552"/>
      <c r="PIS552"/>
      <c r="PIT552"/>
      <c r="PIU552"/>
      <c r="PIV552"/>
      <c r="PIW552"/>
      <c r="PIX552"/>
      <c r="PIY552"/>
      <c r="PIZ552"/>
      <c r="PJA552"/>
      <c r="PJB552"/>
      <c r="PJC552"/>
      <c r="PJD552"/>
      <c r="PJE552"/>
      <c r="PJF552"/>
      <c r="PJG552"/>
      <c r="PJH552"/>
      <c r="PJI552"/>
      <c r="PJJ552"/>
      <c r="PJK552"/>
      <c r="PJL552"/>
      <c r="PJM552"/>
      <c r="PJN552"/>
      <c r="PJO552"/>
      <c r="PJP552"/>
      <c r="PJQ552"/>
      <c r="PJR552"/>
      <c r="PJS552"/>
      <c r="PJT552"/>
      <c r="PJU552"/>
      <c r="PJV552"/>
      <c r="PJW552"/>
      <c r="PJX552"/>
      <c r="PJY552"/>
      <c r="PJZ552"/>
      <c r="PKA552"/>
      <c r="PKB552"/>
      <c r="PKC552"/>
      <c r="PKD552"/>
      <c r="PKE552"/>
      <c r="PKF552"/>
      <c r="PKG552"/>
      <c r="PKH552"/>
      <c r="PKI552"/>
      <c r="PKJ552"/>
      <c r="PKK552"/>
      <c r="PKL552"/>
      <c r="PKM552"/>
      <c r="PKN552"/>
      <c r="PKO552"/>
      <c r="PKP552"/>
      <c r="PKQ552"/>
      <c r="PKR552"/>
      <c r="PKS552"/>
      <c r="PKT552"/>
      <c r="PKU552"/>
      <c r="PKV552"/>
      <c r="PKW552"/>
      <c r="PKX552"/>
      <c r="PKY552"/>
      <c r="PKZ552"/>
      <c r="PLA552"/>
      <c r="PLB552"/>
      <c r="PLC552"/>
      <c r="PLD552"/>
      <c r="PLE552"/>
      <c r="PLF552"/>
      <c r="PLG552"/>
      <c r="PLH552"/>
      <c r="PLI552"/>
      <c r="PLJ552"/>
      <c r="PLK552"/>
      <c r="PLL552"/>
      <c r="PLM552"/>
      <c r="PLN552"/>
      <c r="PLO552"/>
      <c r="PLP552"/>
      <c r="PLQ552"/>
      <c r="PLR552"/>
      <c r="PLS552"/>
      <c r="PLT552"/>
      <c r="PLU552"/>
      <c r="PLV552"/>
      <c r="PLW552"/>
      <c r="PLX552"/>
      <c r="PLY552"/>
      <c r="PLZ552"/>
      <c r="PMA552"/>
      <c r="PMB552"/>
      <c r="PMC552"/>
      <c r="PMD552"/>
      <c r="PME552"/>
      <c r="PMF552"/>
      <c r="PMG552"/>
      <c r="PMH552"/>
      <c r="PMI552"/>
      <c r="PMJ552"/>
      <c r="PMK552"/>
      <c r="PML552"/>
      <c r="PMM552"/>
      <c r="PMN552"/>
      <c r="PMO552"/>
      <c r="PMP552"/>
      <c r="PMQ552"/>
      <c r="PMR552"/>
      <c r="PMS552"/>
      <c r="PMT552"/>
      <c r="PMU552"/>
      <c r="PMV552"/>
      <c r="PMW552"/>
      <c r="PMX552"/>
      <c r="PMY552"/>
      <c r="PMZ552"/>
      <c r="PNA552"/>
      <c r="PNB552"/>
      <c r="PNC552"/>
      <c r="PND552"/>
      <c r="PNE552"/>
      <c r="PNF552"/>
      <c r="PNG552"/>
      <c r="PNH552"/>
      <c r="PNI552"/>
      <c r="PNJ552"/>
      <c r="PNK552"/>
      <c r="PNL552"/>
      <c r="PNM552"/>
      <c r="PNN552"/>
      <c r="PNO552"/>
      <c r="PNP552"/>
      <c r="PNQ552"/>
      <c r="PNR552"/>
      <c r="PNS552"/>
      <c r="PNT552"/>
      <c r="PNU552"/>
      <c r="PNV552"/>
      <c r="PNW552"/>
      <c r="PNX552"/>
      <c r="PNY552"/>
      <c r="PNZ552"/>
      <c r="POA552"/>
      <c r="POB552"/>
      <c r="POC552"/>
      <c r="POD552"/>
      <c r="POE552"/>
      <c r="POF552"/>
      <c r="POG552"/>
      <c r="POH552"/>
      <c r="POI552"/>
      <c r="POJ552"/>
      <c r="POK552"/>
      <c r="POL552"/>
      <c r="POM552"/>
      <c r="PON552"/>
      <c r="POO552"/>
      <c r="POP552"/>
      <c r="POQ552"/>
      <c r="POR552"/>
      <c r="POS552"/>
      <c r="POT552"/>
      <c r="POU552"/>
      <c r="POV552"/>
      <c r="POW552"/>
      <c r="POX552"/>
      <c r="POY552"/>
      <c r="POZ552"/>
      <c r="PPA552"/>
      <c r="PPB552"/>
      <c r="PPC552"/>
      <c r="PPD552"/>
      <c r="PPE552"/>
      <c r="PPF552"/>
      <c r="PPG552"/>
      <c r="PPH552"/>
      <c r="PPI552"/>
      <c r="PPJ552"/>
      <c r="PPK552"/>
      <c r="PPL552"/>
      <c r="PPM552"/>
      <c r="PPN552"/>
      <c r="PPO552"/>
      <c r="PPP552"/>
      <c r="PPQ552"/>
      <c r="PPR552"/>
      <c r="PPS552"/>
      <c r="PPT552"/>
      <c r="PPU552"/>
      <c r="PPV552"/>
      <c r="PPW552"/>
      <c r="PPX552"/>
      <c r="PPY552"/>
      <c r="PPZ552"/>
      <c r="PQA552"/>
      <c r="PQB552"/>
      <c r="PQC552"/>
      <c r="PQD552"/>
      <c r="PQE552"/>
      <c r="PQF552"/>
      <c r="PQG552"/>
      <c r="PQH552"/>
      <c r="PQI552"/>
      <c r="PQJ552"/>
      <c r="PQK552"/>
      <c r="PQL552"/>
      <c r="PQM552"/>
      <c r="PQN552"/>
      <c r="PQO552"/>
      <c r="PQP552"/>
      <c r="PQQ552"/>
      <c r="PQR552"/>
      <c r="PQS552"/>
      <c r="PQT552"/>
      <c r="PQU552"/>
      <c r="PQV552"/>
      <c r="PQW552"/>
      <c r="PQX552"/>
      <c r="PQY552"/>
      <c r="PQZ552"/>
      <c r="PRA552"/>
      <c r="PRB552"/>
      <c r="PRC552"/>
      <c r="PRD552"/>
      <c r="PRE552"/>
      <c r="PRF552"/>
      <c r="PRG552"/>
      <c r="PRH552"/>
      <c r="PRI552"/>
      <c r="PRJ552"/>
      <c r="PRK552"/>
      <c r="PRL552"/>
      <c r="PRM552"/>
      <c r="PRN552"/>
      <c r="PRO552"/>
      <c r="PRP552"/>
      <c r="PRQ552"/>
      <c r="PRR552"/>
      <c r="PRS552"/>
      <c r="PRT552"/>
      <c r="PRU552"/>
      <c r="PRV552"/>
      <c r="PRW552"/>
      <c r="PRX552"/>
      <c r="PRY552"/>
      <c r="PRZ552"/>
      <c r="PSA552"/>
      <c r="PSB552"/>
      <c r="PSC552"/>
      <c r="PSD552"/>
      <c r="PSE552"/>
      <c r="PSF552"/>
      <c r="PSG552"/>
      <c r="PSH552"/>
      <c r="PSI552"/>
      <c r="PSJ552"/>
      <c r="PSK552"/>
      <c r="PSL552"/>
      <c r="PSM552"/>
      <c r="PSN552"/>
      <c r="PSO552"/>
      <c r="PSP552"/>
      <c r="PSQ552"/>
      <c r="PSR552"/>
      <c r="PSS552"/>
      <c r="PST552"/>
      <c r="PSU552"/>
      <c r="PSV552"/>
      <c r="PSW552"/>
      <c r="PSX552"/>
      <c r="PSY552"/>
      <c r="PSZ552"/>
      <c r="PTA552"/>
      <c r="PTB552"/>
      <c r="PTC552"/>
      <c r="PTD552"/>
      <c r="PTE552"/>
      <c r="PTF552"/>
      <c r="PTG552"/>
      <c r="PTH552"/>
      <c r="PTI552"/>
      <c r="PTJ552"/>
      <c r="PTK552"/>
      <c r="PTL552"/>
      <c r="PTM552"/>
      <c r="PTN552"/>
      <c r="PTO552"/>
      <c r="PTP552"/>
      <c r="PTQ552"/>
      <c r="PTR552"/>
      <c r="PTS552"/>
      <c r="PTT552"/>
      <c r="PTU552"/>
      <c r="PTV552"/>
      <c r="PTW552"/>
      <c r="PTX552"/>
      <c r="PTY552"/>
      <c r="PTZ552"/>
      <c r="PUA552"/>
      <c r="PUB552"/>
      <c r="PUC552"/>
      <c r="PUD552"/>
      <c r="PUE552"/>
      <c r="PUF552"/>
      <c r="PUG552"/>
      <c r="PUH552"/>
      <c r="PUI552"/>
      <c r="PUJ552"/>
      <c r="PUK552"/>
      <c r="PUL552"/>
      <c r="PUM552"/>
      <c r="PUN552"/>
      <c r="PUO552"/>
      <c r="PUP552"/>
      <c r="PUQ552"/>
      <c r="PUR552"/>
      <c r="PUS552"/>
      <c r="PUT552"/>
      <c r="PUU552"/>
      <c r="PUV552"/>
      <c r="PUW552"/>
      <c r="PUX552"/>
      <c r="PUY552"/>
      <c r="PUZ552"/>
      <c r="PVA552"/>
      <c r="PVB552"/>
      <c r="PVC552"/>
      <c r="PVD552"/>
      <c r="PVE552"/>
      <c r="PVF552"/>
      <c r="PVG552"/>
      <c r="PVH552"/>
      <c r="PVI552"/>
      <c r="PVJ552"/>
      <c r="PVK552"/>
      <c r="PVL552"/>
      <c r="PVM552"/>
      <c r="PVN552"/>
      <c r="PVO552"/>
      <c r="PVP552"/>
      <c r="PVQ552"/>
      <c r="PVR552"/>
      <c r="PVS552"/>
      <c r="PVT552"/>
      <c r="PVU552"/>
      <c r="PVV552"/>
      <c r="PVW552"/>
      <c r="PVX552"/>
      <c r="PVY552"/>
      <c r="PVZ552"/>
      <c r="PWA552"/>
      <c r="PWB552"/>
      <c r="PWC552"/>
      <c r="PWD552"/>
      <c r="PWE552"/>
      <c r="PWF552"/>
      <c r="PWG552"/>
      <c r="PWH552"/>
      <c r="PWI552"/>
      <c r="PWJ552"/>
      <c r="PWK552"/>
      <c r="PWL552"/>
      <c r="PWM552"/>
      <c r="PWN552"/>
      <c r="PWO552"/>
      <c r="PWP552"/>
      <c r="PWQ552"/>
      <c r="PWR552"/>
      <c r="PWS552"/>
      <c r="PWT552"/>
      <c r="PWU552"/>
      <c r="PWV552"/>
      <c r="PWW552"/>
      <c r="PWX552"/>
      <c r="PWY552"/>
      <c r="PWZ552"/>
      <c r="PXA552"/>
      <c r="PXB552"/>
      <c r="PXC552"/>
      <c r="PXD552"/>
      <c r="PXE552"/>
      <c r="PXF552"/>
      <c r="PXG552"/>
      <c r="PXH552"/>
      <c r="PXI552"/>
      <c r="PXJ552"/>
      <c r="PXK552"/>
      <c r="PXL552"/>
      <c r="PXM552"/>
      <c r="PXN552"/>
      <c r="PXO552"/>
      <c r="PXP552"/>
      <c r="PXQ552"/>
      <c r="PXR552"/>
      <c r="PXS552"/>
      <c r="PXT552"/>
      <c r="PXU552"/>
      <c r="PXV552"/>
      <c r="PXW552"/>
      <c r="PXX552"/>
      <c r="PXY552"/>
      <c r="PXZ552"/>
      <c r="PYA552"/>
      <c r="PYB552"/>
      <c r="PYC552"/>
      <c r="PYD552"/>
      <c r="PYE552"/>
      <c r="PYF552"/>
      <c r="PYG552"/>
      <c r="PYH552"/>
      <c r="PYI552"/>
      <c r="PYJ552"/>
      <c r="PYK552"/>
      <c r="PYL552"/>
      <c r="PYM552"/>
      <c r="PYN552"/>
      <c r="PYO552"/>
      <c r="PYP552"/>
      <c r="PYQ552"/>
      <c r="PYR552"/>
      <c r="PYS552"/>
      <c r="PYT552"/>
      <c r="PYU552"/>
      <c r="PYV552"/>
      <c r="PYW552"/>
      <c r="PYX552"/>
      <c r="PYY552"/>
      <c r="PYZ552"/>
      <c r="PZA552"/>
      <c r="PZB552"/>
      <c r="PZC552"/>
      <c r="PZD552"/>
      <c r="PZE552"/>
      <c r="PZF552"/>
      <c r="PZG552"/>
      <c r="PZH552"/>
      <c r="PZI552"/>
      <c r="PZJ552"/>
      <c r="PZK552"/>
      <c r="PZL552"/>
      <c r="PZM552"/>
      <c r="PZN552"/>
      <c r="PZO552"/>
      <c r="PZP552"/>
      <c r="PZQ552"/>
      <c r="PZR552"/>
      <c r="PZS552"/>
      <c r="PZT552"/>
      <c r="PZU552"/>
      <c r="PZV552"/>
      <c r="PZW552"/>
      <c r="PZX552"/>
      <c r="PZY552"/>
      <c r="PZZ552"/>
      <c r="QAA552"/>
      <c r="QAB552"/>
      <c r="QAC552"/>
      <c r="QAD552"/>
      <c r="QAE552"/>
      <c r="QAF552"/>
      <c r="QAG552"/>
      <c r="QAH552"/>
      <c r="QAI552"/>
      <c r="QAJ552"/>
      <c r="QAK552"/>
      <c r="QAL552"/>
      <c r="QAM552"/>
      <c r="QAN552"/>
      <c r="QAO552"/>
      <c r="QAP552"/>
      <c r="QAQ552"/>
      <c r="QAR552"/>
      <c r="QAS552"/>
      <c r="QAT552"/>
      <c r="QAU552"/>
      <c r="QAV552"/>
      <c r="QAW552"/>
      <c r="QAX552"/>
      <c r="QAY552"/>
      <c r="QAZ552"/>
      <c r="QBA552"/>
      <c r="QBB552"/>
      <c r="QBC552"/>
      <c r="QBD552"/>
      <c r="QBE552"/>
      <c r="QBF552"/>
      <c r="QBG552"/>
      <c r="QBH552"/>
      <c r="QBI552"/>
      <c r="QBJ552"/>
      <c r="QBK552"/>
      <c r="QBL552"/>
      <c r="QBM552"/>
      <c r="QBN552"/>
      <c r="QBO552"/>
      <c r="QBP552"/>
      <c r="QBQ552"/>
      <c r="QBR552"/>
      <c r="QBS552"/>
      <c r="QBT552"/>
      <c r="QBU552"/>
      <c r="QBV552"/>
      <c r="QBW552"/>
      <c r="QBX552"/>
      <c r="QBY552"/>
      <c r="QBZ552"/>
      <c r="QCA552"/>
      <c r="QCB552"/>
      <c r="QCC552"/>
      <c r="QCD552"/>
      <c r="QCE552"/>
      <c r="QCF552"/>
      <c r="QCG552"/>
      <c r="QCH552"/>
      <c r="QCI552"/>
      <c r="QCJ552"/>
      <c r="QCK552"/>
      <c r="QCL552"/>
      <c r="QCM552"/>
      <c r="QCN552"/>
      <c r="QCO552"/>
      <c r="QCP552"/>
      <c r="QCQ552"/>
      <c r="QCR552"/>
      <c r="QCS552"/>
      <c r="QCT552"/>
      <c r="QCU552"/>
      <c r="QCV552"/>
      <c r="QCW552"/>
      <c r="QCX552"/>
      <c r="QCY552"/>
      <c r="QCZ552"/>
      <c r="QDA552"/>
      <c r="QDB552"/>
      <c r="QDC552"/>
      <c r="QDD552"/>
      <c r="QDE552"/>
      <c r="QDF552"/>
      <c r="QDG552"/>
      <c r="QDH552"/>
      <c r="QDI552"/>
      <c r="QDJ552"/>
      <c r="QDK552"/>
      <c r="QDL552"/>
      <c r="QDM552"/>
      <c r="QDN552"/>
      <c r="QDO552"/>
      <c r="QDP552"/>
      <c r="QDQ552"/>
      <c r="QDR552"/>
      <c r="QDS552"/>
      <c r="QDT552"/>
      <c r="QDU552"/>
      <c r="QDV552"/>
      <c r="QDW552"/>
      <c r="QDX552"/>
      <c r="QDY552"/>
      <c r="QDZ552"/>
      <c r="QEA552"/>
      <c r="QEB552"/>
      <c r="QEC552"/>
      <c r="QED552"/>
      <c r="QEE552"/>
      <c r="QEF552"/>
      <c r="QEG552"/>
      <c r="QEH552"/>
      <c r="QEI552"/>
      <c r="QEJ552"/>
      <c r="QEK552"/>
      <c r="QEL552"/>
      <c r="QEM552"/>
      <c r="QEN552"/>
      <c r="QEO552"/>
      <c r="QEP552"/>
      <c r="QEQ552"/>
      <c r="QER552"/>
      <c r="QES552"/>
      <c r="QET552"/>
      <c r="QEU552"/>
      <c r="QEV552"/>
      <c r="QEW552"/>
      <c r="QEX552"/>
      <c r="QEY552"/>
      <c r="QEZ552"/>
      <c r="QFA552"/>
      <c r="QFB552"/>
      <c r="QFC552"/>
      <c r="QFD552"/>
      <c r="QFE552"/>
      <c r="QFF552"/>
      <c r="QFG552"/>
      <c r="QFH552"/>
      <c r="QFI552"/>
      <c r="QFJ552"/>
      <c r="QFK552"/>
      <c r="QFL552"/>
      <c r="QFM552"/>
      <c r="QFN552"/>
      <c r="QFO552"/>
      <c r="QFP552"/>
      <c r="QFQ552"/>
      <c r="QFR552"/>
      <c r="QFS552"/>
      <c r="QFT552"/>
      <c r="QFU552"/>
      <c r="QFV552"/>
      <c r="QFW552"/>
      <c r="QFX552"/>
      <c r="QFY552"/>
      <c r="QFZ552"/>
      <c r="QGA552"/>
      <c r="QGB552"/>
      <c r="QGC552"/>
      <c r="QGD552"/>
      <c r="QGE552"/>
      <c r="QGF552"/>
      <c r="QGG552"/>
      <c r="QGH552"/>
      <c r="QGI552"/>
      <c r="QGJ552"/>
      <c r="QGK552"/>
      <c r="QGL552"/>
      <c r="QGM552"/>
      <c r="QGN552"/>
      <c r="QGO552"/>
      <c r="QGP552"/>
      <c r="QGQ552"/>
      <c r="QGR552"/>
      <c r="QGS552"/>
      <c r="QGT552"/>
      <c r="QGU552"/>
      <c r="QGV552"/>
      <c r="QGW552"/>
      <c r="QGX552"/>
      <c r="QGY552"/>
      <c r="QGZ552"/>
      <c r="QHA552"/>
      <c r="QHB552"/>
      <c r="QHC552"/>
      <c r="QHD552"/>
      <c r="QHE552"/>
      <c r="QHF552"/>
      <c r="QHG552"/>
      <c r="QHH552"/>
      <c r="QHI552"/>
      <c r="QHJ552"/>
      <c r="QHK552"/>
      <c r="QHL552"/>
      <c r="QHM552"/>
      <c r="QHN552"/>
      <c r="QHO552"/>
      <c r="QHP552"/>
      <c r="QHQ552"/>
      <c r="QHR552"/>
      <c r="QHS552"/>
      <c r="QHT552"/>
      <c r="QHU552"/>
      <c r="QHV552"/>
      <c r="QHW552"/>
      <c r="QHX552"/>
      <c r="QHY552"/>
      <c r="QHZ552"/>
      <c r="QIA552"/>
      <c r="QIB552"/>
      <c r="QIC552"/>
      <c r="QID552"/>
      <c r="QIE552"/>
      <c r="QIF552"/>
      <c r="QIG552"/>
      <c r="QIH552"/>
      <c r="QII552"/>
      <c r="QIJ552"/>
      <c r="QIK552"/>
      <c r="QIL552"/>
      <c r="QIM552"/>
      <c r="QIN552"/>
      <c r="QIO552"/>
      <c r="QIP552"/>
      <c r="QIQ552"/>
      <c r="QIR552"/>
      <c r="QIS552"/>
      <c r="QIT552"/>
      <c r="QIU552"/>
      <c r="QIV552"/>
      <c r="QIW552"/>
      <c r="QIX552"/>
      <c r="QIY552"/>
      <c r="QIZ552"/>
      <c r="QJA552"/>
      <c r="QJB552"/>
      <c r="QJC552"/>
      <c r="QJD552"/>
      <c r="QJE552"/>
      <c r="QJF552"/>
      <c r="QJG552"/>
      <c r="QJH552"/>
      <c r="QJI552"/>
      <c r="QJJ552"/>
      <c r="QJK552"/>
      <c r="QJL552"/>
      <c r="QJM552"/>
      <c r="QJN552"/>
      <c r="QJO552"/>
      <c r="QJP552"/>
      <c r="QJQ552"/>
      <c r="QJR552"/>
      <c r="QJS552"/>
      <c r="QJT552"/>
      <c r="QJU552"/>
      <c r="QJV552"/>
      <c r="QJW552"/>
      <c r="QJX552"/>
      <c r="QJY552"/>
      <c r="QJZ552"/>
      <c r="QKA552"/>
      <c r="QKB552"/>
      <c r="QKC552"/>
      <c r="QKD552"/>
      <c r="QKE552"/>
      <c r="QKF552"/>
      <c r="QKG552"/>
      <c r="QKH552"/>
      <c r="QKI552"/>
      <c r="QKJ552"/>
      <c r="QKK552"/>
      <c r="QKL552"/>
      <c r="QKM552"/>
      <c r="QKN552"/>
      <c r="QKO552"/>
      <c r="QKP552"/>
      <c r="QKQ552"/>
      <c r="QKR552"/>
      <c r="QKS552"/>
      <c r="QKT552"/>
      <c r="QKU552"/>
      <c r="QKV552"/>
      <c r="QKW552"/>
      <c r="QKX552"/>
      <c r="QKY552"/>
      <c r="QKZ552"/>
      <c r="QLA552"/>
      <c r="QLB552"/>
      <c r="QLC552"/>
      <c r="QLD552"/>
      <c r="QLE552"/>
      <c r="QLF552"/>
      <c r="QLG552"/>
      <c r="QLH552"/>
      <c r="QLI552"/>
      <c r="QLJ552"/>
      <c r="QLK552"/>
      <c r="QLL552"/>
      <c r="QLM552"/>
      <c r="QLN552"/>
      <c r="QLO552"/>
      <c r="QLP552"/>
      <c r="QLQ552"/>
      <c r="QLR552"/>
      <c r="QLS552"/>
      <c r="QLT552"/>
      <c r="QLU552"/>
      <c r="QLV552"/>
      <c r="QLW552"/>
      <c r="QLX552"/>
      <c r="QLY552"/>
      <c r="QLZ552"/>
      <c r="QMA552"/>
      <c r="QMB552"/>
      <c r="QMC552"/>
      <c r="QMD552"/>
      <c r="QME552"/>
      <c r="QMF552"/>
      <c r="QMG552"/>
      <c r="QMH552"/>
      <c r="QMI552"/>
      <c r="QMJ552"/>
      <c r="QMK552"/>
      <c r="QML552"/>
      <c r="QMM552"/>
      <c r="QMN552"/>
      <c r="QMO552"/>
      <c r="QMP552"/>
      <c r="QMQ552"/>
      <c r="QMR552"/>
      <c r="QMS552"/>
      <c r="QMT552"/>
      <c r="QMU552"/>
      <c r="QMV552"/>
      <c r="QMW552"/>
      <c r="QMX552"/>
      <c r="QMY552"/>
      <c r="QMZ552"/>
      <c r="QNA552"/>
      <c r="QNB552"/>
      <c r="QNC552"/>
      <c r="QND552"/>
      <c r="QNE552"/>
      <c r="QNF552"/>
      <c r="QNG552"/>
      <c r="QNH552"/>
      <c r="QNI552"/>
      <c r="QNJ552"/>
      <c r="QNK552"/>
      <c r="QNL552"/>
      <c r="QNM552"/>
      <c r="QNN552"/>
      <c r="QNO552"/>
      <c r="QNP552"/>
      <c r="QNQ552"/>
      <c r="QNR552"/>
      <c r="QNS552"/>
      <c r="QNT552"/>
      <c r="QNU552"/>
      <c r="QNV552"/>
      <c r="QNW552"/>
      <c r="QNX552"/>
      <c r="QNY552"/>
      <c r="QNZ552"/>
      <c r="QOA552"/>
      <c r="QOB552"/>
      <c r="QOC552"/>
      <c r="QOD552"/>
      <c r="QOE552"/>
      <c r="QOF552"/>
      <c r="QOG552"/>
      <c r="QOH552"/>
      <c r="QOI552"/>
      <c r="QOJ552"/>
      <c r="QOK552"/>
      <c r="QOL552"/>
      <c r="QOM552"/>
      <c r="QON552"/>
      <c r="QOO552"/>
      <c r="QOP552"/>
      <c r="QOQ552"/>
      <c r="QOR552"/>
      <c r="QOS552"/>
      <c r="QOT552"/>
      <c r="QOU552"/>
      <c r="QOV552"/>
      <c r="QOW552"/>
      <c r="QOX552"/>
      <c r="QOY552"/>
      <c r="QOZ552"/>
      <c r="QPA552"/>
      <c r="QPB552"/>
      <c r="QPC552"/>
      <c r="QPD552"/>
      <c r="QPE552"/>
      <c r="QPF552"/>
      <c r="QPG552"/>
      <c r="QPH552"/>
      <c r="QPI552"/>
      <c r="QPJ552"/>
      <c r="QPK552"/>
      <c r="QPL552"/>
      <c r="QPM552"/>
      <c r="QPN552"/>
      <c r="QPO552"/>
      <c r="QPP552"/>
      <c r="QPQ552"/>
      <c r="QPR552"/>
      <c r="QPS552"/>
      <c r="QPT552"/>
      <c r="QPU552"/>
      <c r="QPV552"/>
      <c r="QPW552"/>
      <c r="QPX552"/>
      <c r="QPY552"/>
      <c r="QPZ552"/>
      <c r="QQA552"/>
      <c r="QQB552"/>
      <c r="QQC552"/>
      <c r="QQD552"/>
      <c r="QQE552"/>
      <c r="QQF552"/>
      <c r="QQG552"/>
      <c r="QQH552"/>
      <c r="QQI552"/>
      <c r="QQJ552"/>
      <c r="QQK552"/>
      <c r="QQL552"/>
      <c r="QQM552"/>
      <c r="QQN552"/>
      <c r="QQO552"/>
      <c r="QQP552"/>
      <c r="QQQ552"/>
      <c r="QQR552"/>
      <c r="QQS552"/>
      <c r="QQT552"/>
      <c r="QQU552"/>
      <c r="QQV552"/>
      <c r="QQW552"/>
      <c r="QQX552"/>
      <c r="QQY552"/>
      <c r="QQZ552"/>
      <c r="QRA552"/>
      <c r="QRB552"/>
      <c r="QRC552"/>
      <c r="QRD552"/>
      <c r="QRE552"/>
      <c r="QRF552"/>
      <c r="QRG552"/>
      <c r="QRH552"/>
      <c r="QRI552"/>
      <c r="QRJ552"/>
      <c r="QRK552"/>
      <c r="QRL552"/>
      <c r="QRM552"/>
      <c r="QRN552"/>
      <c r="QRO552"/>
      <c r="QRP552"/>
      <c r="QRQ552"/>
      <c r="QRR552"/>
      <c r="QRS552"/>
      <c r="QRT552"/>
      <c r="QRU552"/>
      <c r="QRV552"/>
      <c r="QRW552"/>
      <c r="QRX552"/>
      <c r="QRY552"/>
      <c r="QRZ552"/>
      <c r="QSA552"/>
      <c r="QSB552"/>
      <c r="QSC552"/>
      <c r="QSD552"/>
      <c r="QSE552"/>
      <c r="QSF552"/>
      <c r="QSG552"/>
      <c r="QSH552"/>
      <c r="QSI552"/>
      <c r="QSJ552"/>
      <c r="QSK552"/>
      <c r="QSL552"/>
      <c r="QSM552"/>
      <c r="QSN552"/>
      <c r="QSO552"/>
      <c r="QSP552"/>
      <c r="QSQ552"/>
      <c r="QSR552"/>
      <c r="QSS552"/>
      <c r="QST552"/>
      <c r="QSU552"/>
      <c r="QSV552"/>
      <c r="QSW552"/>
      <c r="QSX552"/>
      <c r="QSY552"/>
      <c r="QSZ552"/>
      <c r="QTA552"/>
      <c r="QTB552"/>
      <c r="QTC552"/>
      <c r="QTD552"/>
      <c r="QTE552"/>
      <c r="QTF552"/>
      <c r="QTG552"/>
      <c r="QTH552"/>
      <c r="QTI552"/>
      <c r="QTJ552"/>
      <c r="QTK552"/>
      <c r="QTL552"/>
      <c r="QTM552"/>
      <c r="QTN552"/>
      <c r="QTO552"/>
      <c r="QTP552"/>
      <c r="QTQ552"/>
      <c r="QTR552"/>
      <c r="QTS552"/>
      <c r="QTT552"/>
      <c r="QTU552"/>
      <c r="QTV552"/>
      <c r="QTW552"/>
      <c r="QTX552"/>
      <c r="QTY552"/>
      <c r="QTZ552"/>
      <c r="QUA552"/>
      <c r="QUB552"/>
      <c r="QUC552"/>
      <c r="QUD552"/>
      <c r="QUE552"/>
      <c r="QUF552"/>
      <c r="QUG552"/>
      <c r="QUH552"/>
      <c r="QUI552"/>
      <c r="QUJ552"/>
      <c r="QUK552"/>
      <c r="QUL552"/>
      <c r="QUM552"/>
      <c r="QUN552"/>
      <c r="QUO552"/>
      <c r="QUP552"/>
      <c r="QUQ552"/>
      <c r="QUR552"/>
      <c r="QUS552"/>
      <c r="QUT552"/>
      <c r="QUU552"/>
      <c r="QUV552"/>
      <c r="QUW552"/>
      <c r="QUX552"/>
      <c r="QUY552"/>
      <c r="QUZ552"/>
      <c r="QVA552"/>
      <c r="QVB552"/>
      <c r="QVC552"/>
      <c r="QVD552"/>
      <c r="QVE552"/>
      <c r="QVF552"/>
      <c r="QVG552"/>
      <c r="QVH552"/>
      <c r="QVI552"/>
      <c r="QVJ552"/>
      <c r="QVK552"/>
      <c r="QVL552"/>
      <c r="QVM552"/>
      <c r="QVN552"/>
      <c r="QVO552"/>
      <c r="QVP552"/>
      <c r="QVQ552"/>
      <c r="QVR552"/>
      <c r="QVS552"/>
      <c r="QVT552"/>
      <c r="QVU552"/>
      <c r="QVV552"/>
      <c r="QVW552"/>
      <c r="QVX552"/>
      <c r="QVY552"/>
      <c r="QVZ552"/>
      <c r="QWA552"/>
      <c r="QWB552"/>
      <c r="QWC552"/>
      <c r="QWD552"/>
      <c r="QWE552"/>
      <c r="QWF552"/>
      <c r="QWG552"/>
      <c r="QWH552"/>
      <c r="QWI552"/>
      <c r="QWJ552"/>
      <c r="QWK552"/>
      <c r="QWL552"/>
      <c r="QWM552"/>
      <c r="QWN552"/>
      <c r="QWO552"/>
      <c r="QWP552"/>
      <c r="QWQ552"/>
      <c r="QWR552"/>
      <c r="QWS552"/>
      <c r="QWT552"/>
      <c r="QWU552"/>
      <c r="QWV552"/>
      <c r="QWW552"/>
      <c r="QWX552"/>
      <c r="QWY552"/>
      <c r="QWZ552"/>
      <c r="QXA552"/>
      <c r="QXB552"/>
      <c r="QXC552"/>
      <c r="QXD552"/>
      <c r="QXE552"/>
      <c r="QXF552"/>
      <c r="QXG552"/>
      <c r="QXH552"/>
      <c r="QXI552"/>
      <c r="QXJ552"/>
      <c r="QXK552"/>
      <c r="QXL552"/>
      <c r="QXM552"/>
      <c r="QXN552"/>
      <c r="QXO552"/>
      <c r="QXP552"/>
      <c r="QXQ552"/>
      <c r="QXR552"/>
      <c r="QXS552"/>
      <c r="QXT552"/>
      <c r="QXU552"/>
      <c r="QXV552"/>
      <c r="QXW552"/>
      <c r="QXX552"/>
      <c r="QXY552"/>
      <c r="QXZ552"/>
      <c r="QYA552"/>
      <c r="QYB552"/>
      <c r="QYC552"/>
      <c r="QYD552"/>
      <c r="QYE552"/>
      <c r="QYF552"/>
      <c r="QYG552"/>
      <c r="QYH552"/>
      <c r="QYI552"/>
      <c r="QYJ552"/>
      <c r="QYK552"/>
      <c r="QYL552"/>
      <c r="QYM552"/>
      <c r="QYN552"/>
      <c r="QYO552"/>
      <c r="QYP552"/>
      <c r="QYQ552"/>
      <c r="QYR552"/>
      <c r="QYS552"/>
      <c r="QYT552"/>
      <c r="QYU552"/>
      <c r="QYV552"/>
      <c r="QYW552"/>
      <c r="QYX552"/>
      <c r="QYY552"/>
      <c r="QYZ552"/>
      <c r="QZA552"/>
      <c r="QZB552"/>
      <c r="QZC552"/>
      <c r="QZD552"/>
      <c r="QZE552"/>
      <c r="QZF552"/>
      <c r="QZG552"/>
      <c r="QZH552"/>
      <c r="QZI552"/>
      <c r="QZJ552"/>
      <c r="QZK552"/>
      <c r="QZL552"/>
      <c r="QZM552"/>
      <c r="QZN552"/>
      <c r="QZO552"/>
      <c r="QZP552"/>
      <c r="QZQ552"/>
      <c r="QZR552"/>
      <c r="QZS552"/>
      <c r="QZT552"/>
      <c r="QZU552"/>
      <c r="QZV552"/>
      <c r="QZW552"/>
      <c r="QZX552"/>
      <c r="QZY552"/>
      <c r="QZZ552"/>
      <c r="RAA552"/>
      <c r="RAB552"/>
      <c r="RAC552"/>
      <c r="RAD552"/>
      <c r="RAE552"/>
      <c r="RAF552"/>
      <c r="RAG552"/>
      <c r="RAH552"/>
      <c r="RAI552"/>
      <c r="RAJ552"/>
      <c r="RAK552"/>
      <c r="RAL552"/>
      <c r="RAM552"/>
      <c r="RAN552"/>
      <c r="RAO552"/>
      <c r="RAP552"/>
      <c r="RAQ552"/>
      <c r="RAR552"/>
      <c r="RAS552"/>
      <c r="RAT552"/>
      <c r="RAU552"/>
      <c r="RAV552"/>
      <c r="RAW552"/>
      <c r="RAX552"/>
      <c r="RAY552"/>
      <c r="RAZ552"/>
      <c r="RBA552"/>
      <c r="RBB552"/>
      <c r="RBC552"/>
      <c r="RBD552"/>
      <c r="RBE552"/>
      <c r="RBF552"/>
      <c r="RBG552"/>
      <c r="RBH552"/>
      <c r="RBI552"/>
      <c r="RBJ552"/>
      <c r="RBK552"/>
      <c r="RBL552"/>
      <c r="RBM552"/>
      <c r="RBN552"/>
      <c r="RBO552"/>
      <c r="RBP552"/>
      <c r="RBQ552"/>
      <c r="RBR552"/>
      <c r="RBS552"/>
      <c r="RBT552"/>
      <c r="RBU552"/>
      <c r="RBV552"/>
      <c r="RBW552"/>
      <c r="RBX552"/>
      <c r="RBY552"/>
      <c r="RBZ552"/>
      <c r="RCA552"/>
      <c r="RCB552"/>
      <c r="RCC552"/>
      <c r="RCD552"/>
      <c r="RCE552"/>
      <c r="RCF552"/>
      <c r="RCG552"/>
      <c r="RCH552"/>
      <c r="RCI552"/>
      <c r="RCJ552"/>
      <c r="RCK552"/>
      <c r="RCL552"/>
      <c r="RCM552"/>
      <c r="RCN552"/>
      <c r="RCO552"/>
      <c r="RCP552"/>
      <c r="RCQ552"/>
      <c r="RCR552"/>
      <c r="RCS552"/>
      <c r="RCT552"/>
      <c r="RCU552"/>
      <c r="RCV552"/>
      <c r="RCW552"/>
      <c r="RCX552"/>
      <c r="RCY552"/>
      <c r="RCZ552"/>
      <c r="RDA552"/>
      <c r="RDB552"/>
      <c r="RDC552"/>
      <c r="RDD552"/>
      <c r="RDE552"/>
      <c r="RDF552"/>
      <c r="RDG552"/>
      <c r="RDH552"/>
      <c r="RDI552"/>
      <c r="RDJ552"/>
      <c r="RDK552"/>
      <c r="RDL552"/>
      <c r="RDM552"/>
      <c r="RDN552"/>
      <c r="RDO552"/>
      <c r="RDP552"/>
      <c r="RDQ552"/>
      <c r="RDR552"/>
      <c r="RDS552"/>
      <c r="RDT552"/>
      <c r="RDU552"/>
      <c r="RDV552"/>
      <c r="RDW552"/>
      <c r="RDX552"/>
      <c r="RDY552"/>
      <c r="RDZ552"/>
      <c r="REA552"/>
      <c r="REB552"/>
      <c r="REC552"/>
      <c r="RED552"/>
      <c r="REE552"/>
      <c r="REF552"/>
      <c r="REG552"/>
      <c r="REH552"/>
      <c r="REI552"/>
      <c r="REJ552"/>
      <c r="REK552"/>
      <c r="REL552"/>
      <c r="REM552"/>
      <c r="REN552"/>
      <c r="REO552"/>
      <c r="REP552"/>
      <c r="REQ552"/>
      <c r="RER552"/>
      <c r="RES552"/>
      <c r="RET552"/>
      <c r="REU552"/>
      <c r="REV552"/>
      <c r="REW552"/>
      <c r="REX552"/>
      <c r="REY552"/>
      <c r="REZ552"/>
      <c r="RFA552"/>
      <c r="RFB552"/>
      <c r="RFC552"/>
      <c r="RFD552"/>
      <c r="RFE552"/>
      <c r="RFF552"/>
      <c r="RFG552"/>
      <c r="RFH552"/>
      <c r="RFI552"/>
      <c r="RFJ552"/>
      <c r="RFK552"/>
      <c r="RFL552"/>
      <c r="RFM552"/>
      <c r="RFN552"/>
      <c r="RFO552"/>
      <c r="RFP552"/>
      <c r="RFQ552"/>
      <c r="RFR552"/>
      <c r="RFS552"/>
      <c r="RFT552"/>
      <c r="RFU552"/>
      <c r="RFV552"/>
      <c r="RFW552"/>
      <c r="RFX552"/>
      <c r="RFY552"/>
      <c r="RFZ552"/>
      <c r="RGA552"/>
      <c r="RGB552"/>
      <c r="RGC552"/>
      <c r="RGD552"/>
      <c r="RGE552"/>
      <c r="RGF552"/>
      <c r="RGG552"/>
      <c r="RGH552"/>
      <c r="RGI552"/>
      <c r="RGJ552"/>
      <c r="RGK552"/>
      <c r="RGL552"/>
      <c r="RGM552"/>
      <c r="RGN552"/>
      <c r="RGO552"/>
      <c r="RGP552"/>
      <c r="RGQ552"/>
      <c r="RGR552"/>
      <c r="RGS552"/>
      <c r="RGT552"/>
      <c r="RGU552"/>
      <c r="RGV552"/>
      <c r="RGW552"/>
      <c r="RGX552"/>
      <c r="RGY552"/>
      <c r="RGZ552"/>
      <c r="RHA552"/>
      <c r="RHB552"/>
      <c r="RHC552"/>
      <c r="RHD552"/>
      <c r="RHE552"/>
      <c r="RHF552"/>
      <c r="RHG552"/>
      <c r="RHH552"/>
      <c r="RHI552"/>
      <c r="RHJ552"/>
      <c r="RHK552"/>
      <c r="RHL552"/>
      <c r="RHM552"/>
      <c r="RHN552"/>
      <c r="RHO552"/>
      <c r="RHP552"/>
      <c r="RHQ552"/>
      <c r="RHR552"/>
      <c r="RHS552"/>
      <c r="RHT552"/>
      <c r="RHU552"/>
      <c r="RHV552"/>
      <c r="RHW552"/>
      <c r="RHX552"/>
      <c r="RHY552"/>
      <c r="RHZ552"/>
      <c r="RIA552"/>
      <c r="RIB552"/>
      <c r="RIC552"/>
      <c r="RID552"/>
      <c r="RIE552"/>
      <c r="RIF552"/>
      <c r="RIG552"/>
      <c r="RIH552"/>
      <c r="RII552"/>
      <c r="RIJ552"/>
      <c r="RIK552"/>
      <c r="RIL552"/>
      <c r="RIM552"/>
      <c r="RIN552"/>
      <c r="RIO552"/>
      <c r="RIP552"/>
      <c r="RIQ552"/>
      <c r="RIR552"/>
      <c r="RIS552"/>
      <c r="RIT552"/>
      <c r="RIU552"/>
      <c r="RIV552"/>
      <c r="RIW552"/>
      <c r="RIX552"/>
      <c r="RIY552"/>
      <c r="RIZ552"/>
      <c r="RJA552"/>
      <c r="RJB552"/>
      <c r="RJC552"/>
      <c r="RJD552"/>
      <c r="RJE552"/>
      <c r="RJF552"/>
      <c r="RJG552"/>
      <c r="RJH552"/>
      <c r="RJI552"/>
      <c r="RJJ552"/>
      <c r="RJK552"/>
      <c r="RJL552"/>
      <c r="RJM552"/>
      <c r="RJN552"/>
      <c r="RJO552"/>
      <c r="RJP552"/>
      <c r="RJQ552"/>
      <c r="RJR552"/>
      <c r="RJS552"/>
      <c r="RJT552"/>
      <c r="RJU552"/>
      <c r="RJV552"/>
      <c r="RJW552"/>
      <c r="RJX552"/>
      <c r="RJY552"/>
      <c r="RJZ552"/>
      <c r="RKA552"/>
      <c r="RKB552"/>
      <c r="RKC552"/>
      <c r="RKD552"/>
      <c r="RKE552"/>
      <c r="RKF552"/>
      <c r="RKG552"/>
      <c r="RKH552"/>
      <c r="RKI552"/>
      <c r="RKJ552"/>
      <c r="RKK552"/>
      <c r="RKL552"/>
      <c r="RKM552"/>
      <c r="RKN552"/>
      <c r="RKO552"/>
      <c r="RKP552"/>
      <c r="RKQ552"/>
      <c r="RKR552"/>
      <c r="RKS552"/>
      <c r="RKT552"/>
      <c r="RKU552"/>
      <c r="RKV552"/>
      <c r="RKW552"/>
      <c r="RKX552"/>
      <c r="RKY552"/>
      <c r="RKZ552"/>
      <c r="RLA552"/>
      <c r="RLB552"/>
      <c r="RLC552"/>
      <c r="RLD552"/>
      <c r="RLE552"/>
      <c r="RLF552"/>
      <c r="RLG552"/>
      <c r="RLH552"/>
      <c r="RLI552"/>
      <c r="RLJ552"/>
      <c r="RLK552"/>
      <c r="RLL552"/>
      <c r="RLM552"/>
      <c r="RLN552"/>
      <c r="RLO552"/>
      <c r="RLP552"/>
      <c r="RLQ552"/>
      <c r="RLR552"/>
      <c r="RLS552"/>
      <c r="RLT552"/>
      <c r="RLU552"/>
      <c r="RLV552"/>
      <c r="RLW552"/>
      <c r="RLX552"/>
      <c r="RLY552"/>
      <c r="RLZ552"/>
      <c r="RMA552"/>
      <c r="RMB552"/>
      <c r="RMC552"/>
      <c r="RMD552"/>
      <c r="RME552"/>
      <c r="RMF552"/>
      <c r="RMG552"/>
      <c r="RMH552"/>
      <c r="RMI552"/>
      <c r="RMJ552"/>
      <c r="RMK552"/>
      <c r="RML552"/>
      <c r="RMM552"/>
      <c r="RMN552"/>
      <c r="RMO552"/>
      <c r="RMP552"/>
      <c r="RMQ552"/>
      <c r="RMR552"/>
      <c r="RMS552"/>
      <c r="RMT552"/>
      <c r="RMU552"/>
      <c r="RMV552"/>
      <c r="RMW552"/>
      <c r="RMX552"/>
      <c r="RMY552"/>
      <c r="RMZ552"/>
      <c r="RNA552"/>
      <c r="RNB552"/>
      <c r="RNC552"/>
      <c r="RND552"/>
      <c r="RNE552"/>
      <c r="RNF552"/>
      <c r="RNG552"/>
      <c r="RNH552"/>
      <c r="RNI552"/>
      <c r="RNJ552"/>
      <c r="RNK552"/>
      <c r="RNL552"/>
      <c r="RNM552"/>
      <c r="RNN552"/>
      <c r="RNO552"/>
      <c r="RNP552"/>
      <c r="RNQ552"/>
      <c r="RNR552"/>
      <c r="RNS552"/>
      <c r="RNT552"/>
      <c r="RNU552"/>
      <c r="RNV552"/>
      <c r="RNW552"/>
      <c r="RNX552"/>
      <c r="RNY552"/>
      <c r="RNZ552"/>
      <c r="ROA552"/>
      <c r="ROB552"/>
      <c r="ROC552"/>
      <c r="ROD552"/>
      <c r="ROE552"/>
      <c r="ROF552"/>
      <c r="ROG552"/>
      <c r="ROH552"/>
      <c r="ROI552"/>
      <c r="ROJ552"/>
      <c r="ROK552"/>
      <c r="ROL552"/>
      <c r="ROM552"/>
      <c r="RON552"/>
      <c r="ROO552"/>
      <c r="ROP552"/>
      <c r="ROQ552"/>
      <c r="ROR552"/>
      <c r="ROS552"/>
      <c r="ROT552"/>
      <c r="ROU552"/>
      <c r="ROV552"/>
      <c r="ROW552"/>
      <c r="ROX552"/>
      <c r="ROY552"/>
      <c r="ROZ552"/>
      <c r="RPA552"/>
      <c r="RPB552"/>
      <c r="RPC552"/>
      <c r="RPD552"/>
      <c r="RPE552"/>
      <c r="RPF552"/>
      <c r="RPG552"/>
      <c r="RPH552"/>
      <c r="RPI552"/>
      <c r="RPJ552"/>
      <c r="RPK552"/>
      <c r="RPL552"/>
      <c r="RPM552"/>
      <c r="RPN552"/>
      <c r="RPO552"/>
      <c r="RPP552"/>
      <c r="RPQ552"/>
      <c r="RPR552"/>
      <c r="RPS552"/>
      <c r="RPT552"/>
      <c r="RPU552"/>
      <c r="RPV552"/>
      <c r="RPW552"/>
      <c r="RPX552"/>
      <c r="RPY552"/>
      <c r="RPZ552"/>
      <c r="RQA552"/>
      <c r="RQB552"/>
      <c r="RQC552"/>
      <c r="RQD552"/>
      <c r="RQE552"/>
      <c r="RQF552"/>
      <c r="RQG552"/>
      <c r="RQH552"/>
      <c r="RQI552"/>
      <c r="RQJ552"/>
      <c r="RQK552"/>
      <c r="RQL552"/>
      <c r="RQM552"/>
      <c r="RQN552"/>
      <c r="RQO552"/>
      <c r="RQP552"/>
      <c r="RQQ552"/>
      <c r="RQR552"/>
      <c r="RQS552"/>
      <c r="RQT552"/>
      <c r="RQU552"/>
      <c r="RQV552"/>
      <c r="RQW552"/>
      <c r="RQX552"/>
      <c r="RQY552"/>
      <c r="RQZ552"/>
      <c r="RRA552"/>
      <c r="RRB552"/>
      <c r="RRC552"/>
      <c r="RRD552"/>
      <c r="RRE552"/>
      <c r="RRF552"/>
      <c r="RRG552"/>
      <c r="RRH552"/>
      <c r="RRI552"/>
      <c r="RRJ552"/>
      <c r="RRK552"/>
      <c r="RRL552"/>
      <c r="RRM552"/>
      <c r="RRN552"/>
      <c r="RRO552"/>
      <c r="RRP552"/>
      <c r="RRQ552"/>
      <c r="RRR552"/>
      <c r="RRS552"/>
      <c r="RRT552"/>
      <c r="RRU552"/>
      <c r="RRV552"/>
      <c r="RRW552"/>
      <c r="RRX552"/>
      <c r="RRY552"/>
      <c r="RRZ552"/>
      <c r="RSA552"/>
      <c r="RSB552"/>
      <c r="RSC552"/>
      <c r="RSD552"/>
      <c r="RSE552"/>
      <c r="RSF552"/>
      <c r="RSG552"/>
      <c r="RSH552"/>
      <c r="RSI552"/>
      <c r="RSJ552"/>
      <c r="RSK552"/>
      <c r="RSL552"/>
      <c r="RSM552"/>
      <c r="RSN552"/>
      <c r="RSO552"/>
      <c r="RSP552"/>
      <c r="RSQ552"/>
      <c r="RSR552"/>
      <c r="RSS552"/>
      <c r="RST552"/>
      <c r="RSU552"/>
      <c r="RSV552"/>
      <c r="RSW552"/>
      <c r="RSX552"/>
      <c r="RSY552"/>
      <c r="RSZ552"/>
      <c r="RTA552"/>
      <c r="RTB552"/>
      <c r="RTC552"/>
      <c r="RTD552"/>
      <c r="RTE552"/>
      <c r="RTF552"/>
      <c r="RTG552"/>
      <c r="RTH552"/>
      <c r="RTI552"/>
      <c r="RTJ552"/>
      <c r="RTK552"/>
      <c r="RTL552"/>
      <c r="RTM552"/>
      <c r="RTN552"/>
      <c r="RTO552"/>
      <c r="RTP552"/>
      <c r="RTQ552"/>
      <c r="RTR552"/>
      <c r="RTS552"/>
      <c r="RTT552"/>
      <c r="RTU552"/>
      <c r="RTV552"/>
      <c r="RTW552"/>
      <c r="RTX552"/>
      <c r="RTY552"/>
      <c r="RTZ552"/>
      <c r="RUA552"/>
      <c r="RUB552"/>
      <c r="RUC552"/>
      <c r="RUD552"/>
      <c r="RUE552"/>
      <c r="RUF552"/>
      <c r="RUG552"/>
      <c r="RUH552"/>
      <c r="RUI552"/>
      <c r="RUJ552"/>
      <c r="RUK552"/>
      <c r="RUL552"/>
      <c r="RUM552"/>
      <c r="RUN552"/>
      <c r="RUO552"/>
      <c r="RUP552"/>
      <c r="RUQ552"/>
      <c r="RUR552"/>
      <c r="RUS552"/>
      <c r="RUT552"/>
      <c r="RUU552"/>
      <c r="RUV552"/>
      <c r="RUW552"/>
      <c r="RUX552"/>
      <c r="RUY552"/>
      <c r="RUZ552"/>
      <c r="RVA552"/>
      <c r="RVB552"/>
      <c r="RVC552"/>
      <c r="RVD552"/>
      <c r="RVE552"/>
      <c r="RVF552"/>
      <c r="RVG552"/>
      <c r="RVH552"/>
      <c r="RVI552"/>
      <c r="RVJ552"/>
      <c r="RVK552"/>
      <c r="RVL552"/>
      <c r="RVM552"/>
      <c r="RVN552"/>
      <c r="RVO552"/>
      <c r="RVP552"/>
      <c r="RVQ552"/>
      <c r="RVR552"/>
      <c r="RVS552"/>
      <c r="RVT552"/>
      <c r="RVU552"/>
      <c r="RVV552"/>
      <c r="RVW552"/>
      <c r="RVX552"/>
      <c r="RVY552"/>
      <c r="RVZ552"/>
      <c r="RWA552"/>
      <c r="RWB552"/>
      <c r="RWC552"/>
      <c r="RWD552"/>
      <c r="RWE552"/>
      <c r="RWF552"/>
      <c r="RWG552"/>
      <c r="RWH552"/>
      <c r="RWI552"/>
      <c r="RWJ552"/>
      <c r="RWK552"/>
      <c r="RWL552"/>
      <c r="RWM552"/>
      <c r="RWN552"/>
      <c r="RWO552"/>
      <c r="RWP552"/>
      <c r="RWQ552"/>
      <c r="RWR552"/>
      <c r="RWS552"/>
      <c r="RWT552"/>
      <c r="RWU552"/>
      <c r="RWV552"/>
      <c r="RWW552"/>
      <c r="RWX552"/>
      <c r="RWY552"/>
      <c r="RWZ552"/>
      <c r="RXA552"/>
      <c r="RXB552"/>
      <c r="RXC552"/>
      <c r="RXD552"/>
      <c r="RXE552"/>
      <c r="RXF552"/>
      <c r="RXG552"/>
      <c r="RXH552"/>
      <c r="RXI552"/>
      <c r="RXJ552"/>
      <c r="RXK552"/>
      <c r="RXL552"/>
      <c r="RXM552"/>
      <c r="RXN552"/>
      <c r="RXO552"/>
      <c r="RXP552"/>
      <c r="RXQ552"/>
      <c r="RXR552"/>
      <c r="RXS552"/>
      <c r="RXT552"/>
      <c r="RXU552"/>
      <c r="RXV552"/>
      <c r="RXW552"/>
      <c r="RXX552"/>
      <c r="RXY552"/>
      <c r="RXZ552"/>
      <c r="RYA552"/>
      <c r="RYB552"/>
      <c r="RYC552"/>
      <c r="RYD552"/>
      <c r="RYE552"/>
      <c r="RYF552"/>
      <c r="RYG552"/>
      <c r="RYH552"/>
      <c r="RYI552"/>
      <c r="RYJ552"/>
      <c r="RYK552"/>
      <c r="RYL552"/>
      <c r="RYM552"/>
      <c r="RYN552"/>
      <c r="RYO552"/>
      <c r="RYP552"/>
      <c r="RYQ552"/>
      <c r="RYR552"/>
      <c r="RYS552"/>
      <c r="RYT552"/>
      <c r="RYU552"/>
      <c r="RYV552"/>
      <c r="RYW552"/>
      <c r="RYX552"/>
      <c r="RYY552"/>
      <c r="RYZ552"/>
      <c r="RZA552"/>
      <c r="RZB552"/>
      <c r="RZC552"/>
      <c r="RZD552"/>
      <c r="RZE552"/>
      <c r="RZF552"/>
      <c r="RZG552"/>
      <c r="RZH552"/>
      <c r="RZI552"/>
      <c r="RZJ552"/>
      <c r="RZK552"/>
      <c r="RZL552"/>
      <c r="RZM552"/>
      <c r="RZN552"/>
      <c r="RZO552"/>
      <c r="RZP552"/>
      <c r="RZQ552"/>
      <c r="RZR552"/>
      <c r="RZS552"/>
      <c r="RZT552"/>
      <c r="RZU552"/>
      <c r="RZV552"/>
      <c r="RZW552"/>
      <c r="RZX552"/>
      <c r="RZY552"/>
      <c r="RZZ552"/>
      <c r="SAA552"/>
      <c r="SAB552"/>
      <c r="SAC552"/>
      <c r="SAD552"/>
      <c r="SAE552"/>
      <c r="SAF552"/>
      <c r="SAG552"/>
      <c r="SAH552"/>
      <c r="SAI552"/>
      <c r="SAJ552"/>
      <c r="SAK552"/>
      <c r="SAL552"/>
      <c r="SAM552"/>
      <c r="SAN552"/>
      <c r="SAO552"/>
      <c r="SAP552"/>
      <c r="SAQ552"/>
      <c r="SAR552"/>
      <c r="SAS552"/>
      <c r="SAT552"/>
      <c r="SAU552"/>
      <c r="SAV552"/>
      <c r="SAW552"/>
      <c r="SAX552"/>
      <c r="SAY552"/>
      <c r="SAZ552"/>
      <c r="SBA552"/>
      <c r="SBB552"/>
      <c r="SBC552"/>
      <c r="SBD552"/>
      <c r="SBE552"/>
      <c r="SBF552"/>
      <c r="SBG552"/>
      <c r="SBH552"/>
      <c r="SBI552"/>
      <c r="SBJ552"/>
      <c r="SBK552"/>
      <c r="SBL552"/>
      <c r="SBM552"/>
      <c r="SBN552"/>
      <c r="SBO552"/>
      <c r="SBP552"/>
      <c r="SBQ552"/>
      <c r="SBR552"/>
      <c r="SBS552"/>
      <c r="SBT552"/>
      <c r="SBU552"/>
      <c r="SBV552"/>
      <c r="SBW552"/>
      <c r="SBX552"/>
      <c r="SBY552"/>
      <c r="SBZ552"/>
      <c r="SCA552"/>
      <c r="SCB552"/>
      <c r="SCC552"/>
      <c r="SCD552"/>
      <c r="SCE552"/>
      <c r="SCF552"/>
      <c r="SCG552"/>
      <c r="SCH552"/>
      <c r="SCI552"/>
      <c r="SCJ552"/>
      <c r="SCK552"/>
      <c r="SCL552"/>
      <c r="SCM552"/>
      <c r="SCN552"/>
      <c r="SCO552"/>
      <c r="SCP552"/>
      <c r="SCQ552"/>
      <c r="SCR552"/>
      <c r="SCS552"/>
      <c r="SCT552"/>
      <c r="SCU552"/>
      <c r="SCV552"/>
      <c r="SCW552"/>
      <c r="SCX552"/>
      <c r="SCY552"/>
      <c r="SCZ552"/>
      <c r="SDA552"/>
      <c r="SDB552"/>
      <c r="SDC552"/>
      <c r="SDD552"/>
      <c r="SDE552"/>
      <c r="SDF552"/>
      <c r="SDG552"/>
      <c r="SDH552"/>
      <c r="SDI552"/>
      <c r="SDJ552"/>
      <c r="SDK552"/>
      <c r="SDL552"/>
      <c r="SDM552"/>
      <c r="SDN552"/>
      <c r="SDO552"/>
      <c r="SDP552"/>
      <c r="SDQ552"/>
      <c r="SDR552"/>
      <c r="SDS552"/>
      <c r="SDT552"/>
      <c r="SDU552"/>
      <c r="SDV552"/>
      <c r="SDW552"/>
      <c r="SDX552"/>
      <c r="SDY552"/>
      <c r="SDZ552"/>
      <c r="SEA552"/>
      <c r="SEB552"/>
      <c r="SEC552"/>
      <c r="SED552"/>
      <c r="SEE552"/>
      <c r="SEF552"/>
      <c r="SEG552"/>
      <c r="SEH552"/>
      <c r="SEI552"/>
      <c r="SEJ552"/>
      <c r="SEK552"/>
      <c r="SEL552"/>
      <c r="SEM552"/>
      <c r="SEN552"/>
      <c r="SEO552"/>
      <c r="SEP552"/>
      <c r="SEQ552"/>
      <c r="SER552"/>
      <c r="SES552"/>
      <c r="SET552"/>
      <c r="SEU552"/>
      <c r="SEV552"/>
      <c r="SEW552"/>
      <c r="SEX552"/>
      <c r="SEY552"/>
      <c r="SEZ552"/>
      <c r="SFA552"/>
      <c r="SFB552"/>
      <c r="SFC552"/>
      <c r="SFD552"/>
      <c r="SFE552"/>
      <c r="SFF552"/>
      <c r="SFG552"/>
      <c r="SFH552"/>
      <c r="SFI552"/>
      <c r="SFJ552"/>
      <c r="SFK552"/>
      <c r="SFL552"/>
      <c r="SFM552"/>
      <c r="SFN552"/>
      <c r="SFO552"/>
      <c r="SFP552"/>
      <c r="SFQ552"/>
      <c r="SFR552"/>
      <c r="SFS552"/>
      <c r="SFT552"/>
      <c r="SFU552"/>
      <c r="SFV552"/>
      <c r="SFW552"/>
      <c r="SFX552"/>
      <c r="SFY552"/>
      <c r="SFZ552"/>
      <c r="SGA552"/>
      <c r="SGB552"/>
      <c r="SGC552"/>
      <c r="SGD552"/>
      <c r="SGE552"/>
      <c r="SGF552"/>
      <c r="SGG552"/>
      <c r="SGH552"/>
      <c r="SGI552"/>
      <c r="SGJ552"/>
      <c r="SGK552"/>
      <c r="SGL552"/>
      <c r="SGM552"/>
      <c r="SGN552"/>
      <c r="SGO552"/>
      <c r="SGP552"/>
      <c r="SGQ552"/>
      <c r="SGR552"/>
      <c r="SGS552"/>
      <c r="SGT552"/>
      <c r="SGU552"/>
      <c r="SGV552"/>
      <c r="SGW552"/>
      <c r="SGX552"/>
      <c r="SGY552"/>
      <c r="SGZ552"/>
      <c r="SHA552"/>
      <c r="SHB552"/>
      <c r="SHC552"/>
      <c r="SHD552"/>
      <c r="SHE552"/>
      <c r="SHF552"/>
      <c r="SHG552"/>
      <c r="SHH552"/>
      <c r="SHI552"/>
      <c r="SHJ552"/>
      <c r="SHK552"/>
      <c r="SHL552"/>
      <c r="SHM552"/>
      <c r="SHN552"/>
      <c r="SHO552"/>
      <c r="SHP552"/>
      <c r="SHQ552"/>
      <c r="SHR552"/>
      <c r="SHS552"/>
      <c r="SHT552"/>
      <c r="SHU552"/>
      <c r="SHV552"/>
      <c r="SHW552"/>
      <c r="SHX552"/>
      <c r="SHY552"/>
      <c r="SHZ552"/>
      <c r="SIA552"/>
      <c r="SIB552"/>
      <c r="SIC552"/>
      <c r="SID552"/>
      <c r="SIE552"/>
      <c r="SIF552"/>
      <c r="SIG552"/>
      <c r="SIH552"/>
      <c r="SII552"/>
      <c r="SIJ552"/>
      <c r="SIK552"/>
      <c r="SIL552"/>
      <c r="SIM552"/>
      <c r="SIN552"/>
      <c r="SIO552"/>
      <c r="SIP552"/>
      <c r="SIQ552"/>
      <c r="SIR552"/>
      <c r="SIS552"/>
      <c r="SIT552"/>
      <c r="SIU552"/>
      <c r="SIV552"/>
      <c r="SIW552"/>
      <c r="SIX552"/>
      <c r="SIY552"/>
      <c r="SIZ552"/>
      <c r="SJA552"/>
      <c r="SJB552"/>
      <c r="SJC552"/>
      <c r="SJD552"/>
      <c r="SJE552"/>
      <c r="SJF552"/>
      <c r="SJG552"/>
      <c r="SJH552"/>
      <c r="SJI552"/>
      <c r="SJJ552"/>
      <c r="SJK552"/>
      <c r="SJL552"/>
      <c r="SJM552"/>
      <c r="SJN552"/>
      <c r="SJO552"/>
      <c r="SJP552"/>
      <c r="SJQ552"/>
      <c r="SJR552"/>
      <c r="SJS552"/>
      <c r="SJT552"/>
      <c r="SJU552"/>
      <c r="SJV552"/>
      <c r="SJW552"/>
      <c r="SJX552"/>
      <c r="SJY552"/>
      <c r="SJZ552"/>
      <c r="SKA552"/>
      <c r="SKB552"/>
      <c r="SKC552"/>
      <c r="SKD552"/>
      <c r="SKE552"/>
      <c r="SKF552"/>
      <c r="SKG552"/>
      <c r="SKH552"/>
      <c r="SKI552"/>
      <c r="SKJ552"/>
      <c r="SKK552"/>
      <c r="SKL552"/>
      <c r="SKM552"/>
      <c r="SKN552"/>
      <c r="SKO552"/>
      <c r="SKP552"/>
      <c r="SKQ552"/>
      <c r="SKR552"/>
      <c r="SKS552"/>
      <c r="SKT552"/>
      <c r="SKU552"/>
      <c r="SKV552"/>
      <c r="SKW552"/>
      <c r="SKX552"/>
      <c r="SKY552"/>
      <c r="SKZ552"/>
      <c r="SLA552"/>
      <c r="SLB552"/>
      <c r="SLC552"/>
      <c r="SLD552"/>
      <c r="SLE552"/>
      <c r="SLF552"/>
      <c r="SLG552"/>
      <c r="SLH552"/>
      <c r="SLI552"/>
      <c r="SLJ552"/>
      <c r="SLK552"/>
      <c r="SLL552"/>
      <c r="SLM552"/>
      <c r="SLN552"/>
      <c r="SLO552"/>
      <c r="SLP552"/>
      <c r="SLQ552"/>
      <c r="SLR552"/>
      <c r="SLS552"/>
      <c r="SLT552"/>
      <c r="SLU552"/>
      <c r="SLV552"/>
      <c r="SLW552"/>
      <c r="SLX552"/>
      <c r="SLY552"/>
      <c r="SLZ552"/>
      <c r="SMA552"/>
      <c r="SMB552"/>
      <c r="SMC552"/>
      <c r="SMD552"/>
      <c r="SME552"/>
      <c r="SMF552"/>
      <c r="SMG552"/>
      <c r="SMH552"/>
      <c r="SMI552"/>
      <c r="SMJ552"/>
      <c r="SMK552"/>
      <c r="SML552"/>
      <c r="SMM552"/>
      <c r="SMN552"/>
      <c r="SMO552"/>
      <c r="SMP552"/>
      <c r="SMQ552"/>
      <c r="SMR552"/>
      <c r="SMS552"/>
      <c r="SMT552"/>
      <c r="SMU552"/>
      <c r="SMV552"/>
      <c r="SMW552"/>
      <c r="SMX552"/>
      <c r="SMY552"/>
      <c r="SMZ552"/>
      <c r="SNA552"/>
      <c r="SNB552"/>
      <c r="SNC552"/>
      <c r="SND552"/>
      <c r="SNE552"/>
      <c r="SNF552"/>
      <c r="SNG552"/>
      <c r="SNH552"/>
      <c r="SNI552"/>
      <c r="SNJ552"/>
      <c r="SNK552"/>
      <c r="SNL552"/>
      <c r="SNM552"/>
      <c r="SNN552"/>
      <c r="SNO552"/>
      <c r="SNP552"/>
      <c r="SNQ552"/>
      <c r="SNR552"/>
      <c r="SNS552"/>
      <c r="SNT552"/>
      <c r="SNU552"/>
      <c r="SNV552"/>
      <c r="SNW552"/>
      <c r="SNX552"/>
      <c r="SNY552"/>
      <c r="SNZ552"/>
      <c r="SOA552"/>
      <c r="SOB552"/>
      <c r="SOC552"/>
      <c r="SOD552"/>
      <c r="SOE552"/>
      <c r="SOF552"/>
      <c r="SOG552"/>
      <c r="SOH552"/>
      <c r="SOI552"/>
      <c r="SOJ552"/>
      <c r="SOK552"/>
      <c r="SOL552"/>
      <c r="SOM552"/>
      <c r="SON552"/>
      <c r="SOO552"/>
      <c r="SOP552"/>
      <c r="SOQ552"/>
      <c r="SOR552"/>
      <c r="SOS552"/>
      <c r="SOT552"/>
      <c r="SOU552"/>
      <c r="SOV552"/>
      <c r="SOW552"/>
      <c r="SOX552"/>
      <c r="SOY552"/>
      <c r="SOZ552"/>
      <c r="SPA552"/>
      <c r="SPB552"/>
      <c r="SPC552"/>
      <c r="SPD552"/>
      <c r="SPE552"/>
      <c r="SPF552"/>
      <c r="SPG552"/>
      <c r="SPH552"/>
      <c r="SPI552"/>
      <c r="SPJ552"/>
      <c r="SPK552"/>
      <c r="SPL552"/>
      <c r="SPM552"/>
      <c r="SPN552"/>
      <c r="SPO552"/>
      <c r="SPP552"/>
      <c r="SPQ552"/>
      <c r="SPR552"/>
      <c r="SPS552"/>
      <c r="SPT552"/>
      <c r="SPU552"/>
      <c r="SPV552"/>
      <c r="SPW552"/>
      <c r="SPX552"/>
      <c r="SPY552"/>
      <c r="SPZ552"/>
      <c r="SQA552"/>
      <c r="SQB552"/>
      <c r="SQC552"/>
      <c r="SQD552"/>
      <c r="SQE552"/>
      <c r="SQF552"/>
      <c r="SQG552"/>
      <c r="SQH552"/>
      <c r="SQI552"/>
      <c r="SQJ552"/>
      <c r="SQK552"/>
      <c r="SQL552"/>
      <c r="SQM552"/>
      <c r="SQN552"/>
      <c r="SQO552"/>
      <c r="SQP552"/>
      <c r="SQQ552"/>
      <c r="SQR552"/>
      <c r="SQS552"/>
      <c r="SQT552"/>
      <c r="SQU552"/>
      <c r="SQV552"/>
      <c r="SQW552"/>
      <c r="SQX552"/>
      <c r="SQY552"/>
      <c r="SQZ552"/>
      <c r="SRA552"/>
      <c r="SRB552"/>
      <c r="SRC552"/>
      <c r="SRD552"/>
      <c r="SRE552"/>
      <c r="SRF552"/>
      <c r="SRG552"/>
      <c r="SRH552"/>
      <c r="SRI552"/>
      <c r="SRJ552"/>
      <c r="SRK552"/>
      <c r="SRL552"/>
      <c r="SRM552"/>
      <c r="SRN552"/>
      <c r="SRO552"/>
      <c r="SRP552"/>
      <c r="SRQ552"/>
      <c r="SRR552"/>
      <c r="SRS552"/>
      <c r="SRT552"/>
      <c r="SRU552"/>
      <c r="SRV552"/>
      <c r="SRW552"/>
      <c r="SRX552"/>
      <c r="SRY552"/>
      <c r="SRZ552"/>
      <c r="SSA552"/>
      <c r="SSB552"/>
      <c r="SSC552"/>
      <c r="SSD552"/>
      <c r="SSE552"/>
      <c r="SSF552"/>
      <c r="SSG552"/>
      <c r="SSH552"/>
      <c r="SSI552"/>
      <c r="SSJ552"/>
      <c r="SSK552"/>
      <c r="SSL552"/>
      <c r="SSM552"/>
      <c r="SSN552"/>
      <c r="SSO552"/>
      <c r="SSP552"/>
      <c r="SSQ552"/>
      <c r="SSR552"/>
      <c r="SSS552"/>
      <c r="SST552"/>
      <c r="SSU552"/>
      <c r="SSV552"/>
      <c r="SSW552"/>
      <c r="SSX552"/>
      <c r="SSY552"/>
      <c r="SSZ552"/>
      <c r="STA552"/>
      <c r="STB552"/>
      <c r="STC552"/>
      <c r="STD552"/>
      <c r="STE552"/>
      <c r="STF552"/>
      <c r="STG552"/>
      <c r="STH552"/>
      <c r="STI552"/>
      <c r="STJ552"/>
      <c r="STK552"/>
      <c r="STL552"/>
      <c r="STM552"/>
      <c r="STN552"/>
      <c r="STO552"/>
      <c r="STP552"/>
      <c r="STQ552"/>
      <c r="STR552"/>
      <c r="STS552"/>
      <c r="STT552"/>
      <c r="STU552"/>
      <c r="STV552"/>
      <c r="STW552"/>
      <c r="STX552"/>
      <c r="STY552"/>
      <c r="STZ552"/>
      <c r="SUA552"/>
      <c r="SUB552"/>
      <c r="SUC552"/>
      <c r="SUD552"/>
      <c r="SUE552"/>
      <c r="SUF552"/>
      <c r="SUG552"/>
      <c r="SUH552"/>
      <c r="SUI552"/>
      <c r="SUJ552"/>
      <c r="SUK552"/>
      <c r="SUL552"/>
      <c r="SUM552"/>
      <c r="SUN552"/>
      <c r="SUO552"/>
      <c r="SUP552"/>
      <c r="SUQ552"/>
      <c r="SUR552"/>
      <c r="SUS552"/>
      <c r="SUT552"/>
      <c r="SUU552"/>
      <c r="SUV552"/>
      <c r="SUW552"/>
      <c r="SUX552"/>
      <c r="SUY552"/>
      <c r="SUZ552"/>
      <c r="SVA552"/>
      <c r="SVB552"/>
      <c r="SVC552"/>
      <c r="SVD552"/>
      <c r="SVE552"/>
      <c r="SVF552"/>
      <c r="SVG552"/>
      <c r="SVH552"/>
      <c r="SVI552"/>
      <c r="SVJ552"/>
      <c r="SVK552"/>
      <c r="SVL552"/>
      <c r="SVM552"/>
      <c r="SVN552"/>
      <c r="SVO552"/>
      <c r="SVP552"/>
      <c r="SVQ552"/>
      <c r="SVR552"/>
      <c r="SVS552"/>
      <c r="SVT552"/>
      <c r="SVU552"/>
      <c r="SVV552"/>
      <c r="SVW552"/>
      <c r="SVX552"/>
      <c r="SVY552"/>
      <c r="SVZ552"/>
      <c r="SWA552"/>
      <c r="SWB552"/>
      <c r="SWC552"/>
      <c r="SWD552"/>
      <c r="SWE552"/>
      <c r="SWF552"/>
      <c r="SWG552"/>
      <c r="SWH552"/>
      <c r="SWI552"/>
      <c r="SWJ552"/>
      <c r="SWK552"/>
      <c r="SWL552"/>
      <c r="SWM552"/>
      <c r="SWN552"/>
      <c r="SWO552"/>
      <c r="SWP552"/>
      <c r="SWQ552"/>
      <c r="SWR552"/>
      <c r="SWS552"/>
      <c r="SWT552"/>
      <c r="SWU552"/>
      <c r="SWV552"/>
      <c r="SWW552"/>
      <c r="SWX552"/>
      <c r="SWY552"/>
      <c r="SWZ552"/>
      <c r="SXA552"/>
      <c r="SXB552"/>
      <c r="SXC552"/>
      <c r="SXD552"/>
      <c r="SXE552"/>
      <c r="SXF552"/>
      <c r="SXG552"/>
      <c r="SXH552"/>
      <c r="SXI552"/>
      <c r="SXJ552"/>
      <c r="SXK552"/>
      <c r="SXL552"/>
      <c r="SXM552"/>
      <c r="SXN552"/>
      <c r="SXO552"/>
      <c r="SXP552"/>
      <c r="SXQ552"/>
      <c r="SXR552"/>
      <c r="SXS552"/>
      <c r="SXT552"/>
      <c r="SXU552"/>
      <c r="SXV552"/>
      <c r="SXW552"/>
      <c r="SXX552"/>
      <c r="SXY552"/>
      <c r="SXZ552"/>
      <c r="SYA552"/>
      <c r="SYB552"/>
      <c r="SYC552"/>
      <c r="SYD552"/>
      <c r="SYE552"/>
      <c r="SYF552"/>
      <c r="SYG552"/>
      <c r="SYH552"/>
      <c r="SYI552"/>
      <c r="SYJ552"/>
      <c r="SYK552"/>
      <c r="SYL552"/>
      <c r="SYM552"/>
      <c r="SYN552"/>
      <c r="SYO552"/>
      <c r="SYP552"/>
      <c r="SYQ552"/>
      <c r="SYR552"/>
      <c r="SYS552"/>
      <c r="SYT552"/>
      <c r="SYU552"/>
      <c r="SYV552"/>
      <c r="SYW552"/>
      <c r="SYX552"/>
      <c r="SYY552"/>
      <c r="SYZ552"/>
      <c r="SZA552"/>
      <c r="SZB552"/>
      <c r="SZC552"/>
      <c r="SZD552"/>
      <c r="SZE552"/>
      <c r="SZF552"/>
      <c r="SZG552"/>
      <c r="SZH552"/>
      <c r="SZI552"/>
      <c r="SZJ552"/>
      <c r="SZK552"/>
      <c r="SZL552"/>
      <c r="SZM552"/>
      <c r="SZN552"/>
      <c r="SZO552"/>
      <c r="SZP552"/>
      <c r="SZQ552"/>
      <c r="SZR552"/>
      <c r="SZS552"/>
      <c r="SZT552"/>
      <c r="SZU552"/>
      <c r="SZV552"/>
      <c r="SZW552"/>
      <c r="SZX552"/>
      <c r="SZY552"/>
      <c r="SZZ552"/>
      <c r="TAA552"/>
      <c r="TAB552"/>
      <c r="TAC552"/>
      <c r="TAD552"/>
      <c r="TAE552"/>
      <c r="TAF552"/>
      <c r="TAG552"/>
      <c r="TAH552"/>
      <c r="TAI552"/>
      <c r="TAJ552"/>
      <c r="TAK552"/>
      <c r="TAL552"/>
      <c r="TAM552"/>
      <c r="TAN552"/>
      <c r="TAO552"/>
      <c r="TAP552"/>
      <c r="TAQ552"/>
      <c r="TAR552"/>
      <c r="TAS552"/>
      <c r="TAT552"/>
      <c r="TAU552"/>
      <c r="TAV552"/>
      <c r="TAW552"/>
      <c r="TAX552"/>
      <c r="TAY552"/>
      <c r="TAZ552"/>
      <c r="TBA552"/>
      <c r="TBB552"/>
      <c r="TBC552"/>
      <c r="TBD552"/>
      <c r="TBE552"/>
      <c r="TBF552"/>
      <c r="TBG552"/>
      <c r="TBH552"/>
      <c r="TBI552"/>
      <c r="TBJ552"/>
      <c r="TBK552"/>
      <c r="TBL552"/>
      <c r="TBM552"/>
      <c r="TBN552"/>
      <c r="TBO552"/>
      <c r="TBP552"/>
      <c r="TBQ552"/>
      <c r="TBR552"/>
      <c r="TBS552"/>
      <c r="TBT552"/>
      <c r="TBU552"/>
      <c r="TBV552"/>
      <c r="TBW552"/>
      <c r="TBX552"/>
      <c r="TBY552"/>
      <c r="TBZ552"/>
      <c r="TCA552"/>
      <c r="TCB552"/>
      <c r="TCC552"/>
      <c r="TCD552"/>
      <c r="TCE552"/>
      <c r="TCF552"/>
      <c r="TCG552"/>
      <c r="TCH552"/>
      <c r="TCI552"/>
      <c r="TCJ552"/>
      <c r="TCK552"/>
      <c r="TCL552"/>
      <c r="TCM552"/>
      <c r="TCN552"/>
      <c r="TCO552"/>
      <c r="TCP552"/>
      <c r="TCQ552"/>
      <c r="TCR552"/>
      <c r="TCS552"/>
      <c r="TCT552"/>
      <c r="TCU552"/>
      <c r="TCV552"/>
      <c r="TCW552"/>
      <c r="TCX552"/>
      <c r="TCY552"/>
      <c r="TCZ552"/>
      <c r="TDA552"/>
      <c r="TDB552"/>
      <c r="TDC552"/>
      <c r="TDD552"/>
      <c r="TDE552"/>
      <c r="TDF552"/>
      <c r="TDG552"/>
      <c r="TDH552"/>
      <c r="TDI552"/>
      <c r="TDJ552"/>
      <c r="TDK552"/>
      <c r="TDL552"/>
      <c r="TDM552"/>
      <c r="TDN552"/>
      <c r="TDO552"/>
      <c r="TDP552"/>
      <c r="TDQ552"/>
      <c r="TDR552"/>
      <c r="TDS552"/>
      <c r="TDT552"/>
      <c r="TDU552"/>
      <c r="TDV552"/>
      <c r="TDW552"/>
      <c r="TDX552"/>
      <c r="TDY552"/>
      <c r="TDZ552"/>
      <c r="TEA552"/>
      <c r="TEB552"/>
      <c r="TEC552"/>
      <c r="TED552"/>
      <c r="TEE552"/>
      <c r="TEF552"/>
      <c r="TEG552"/>
      <c r="TEH552"/>
      <c r="TEI552"/>
      <c r="TEJ552"/>
      <c r="TEK552"/>
      <c r="TEL552"/>
      <c r="TEM552"/>
      <c r="TEN552"/>
      <c r="TEO552"/>
      <c r="TEP552"/>
      <c r="TEQ552"/>
      <c r="TER552"/>
      <c r="TES552"/>
      <c r="TET552"/>
      <c r="TEU552"/>
      <c r="TEV552"/>
      <c r="TEW552"/>
      <c r="TEX552"/>
      <c r="TEY552"/>
      <c r="TEZ552"/>
      <c r="TFA552"/>
      <c r="TFB552"/>
      <c r="TFC552"/>
      <c r="TFD552"/>
      <c r="TFE552"/>
      <c r="TFF552"/>
      <c r="TFG552"/>
      <c r="TFH552"/>
      <c r="TFI552"/>
      <c r="TFJ552"/>
      <c r="TFK552"/>
      <c r="TFL552"/>
      <c r="TFM552"/>
      <c r="TFN552"/>
      <c r="TFO552"/>
      <c r="TFP552"/>
      <c r="TFQ552"/>
      <c r="TFR552"/>
      <c r="TFS552"/>
      <c r="TFT552"/>
      <c r="TFU552"/>
      <c r="TFV552"/>
      <c r="TFW552"/>
      <c r="TFX552"/>
      <c r="TFY552"/>
      <c r="TFZ552"/>
      <c r="TGA552"/>
      <c r="TGB552"/>
      <c r="TGC552"/>
      <c r="TGD552"/>
      <c r="TGE552"/>
      <c r="TGF552"/>
      <c r="TGG552"/>
      <c r="TGH552"/>
      <c r="TGI552"/>
      <c r="TGJ552"/>
      <c r="TGK552"/>
      <c r="TGL552"/>
      <c r="TGM552"/>
      <c r="TGN552"/>
      <c r="TGO552"/>
      <c r="TGP552"/>
      <c r="TGQ552"/>
      <c r="TGR552"/>
      <c r="TGS552"/>
      <c r="TGT552"/>
      <c r="TGU552"/>
      <c r="TGV552"/>
      <c r="TGW552"/>
      <c r="TGX552"/>
      <c r="TGY552"/>
      <c r="TGZ552"/>
      <c r="THA552"/>
      <c r="THB552"/>
      <c r="THC552"/>
      <c r="THD552"/>
      <c r="THE552"/>
      <c r="THF552"/>
      <c r="THG552"/>
      <c r="THH552"/>
      <c r="THI552"/>
      <c r="THJ552"/>
      <c r="THK552"/>
      <c r="THL552"/>
      <c r="THM552"/>
      <c r="THN552"/>
      <c r="THO552"/>
      <c r="THP552"/>
      <c r="THQ552"/>
      <c r="THR552"/>
      <c r="THS552"/>
      <c r="THT552"/>
      <c r="THU552"/>
      <c r="THV552"/>
      <c r="THW552"/>
      <c r="THX552"/>
      <c r="THY552"/>
      <c r="THZ552"/>
      <c r="TIA552"/>
      <c r="TIB552"/>
      <c r="TIC552"/>
      <c r="TID552"/>
      <c r="TIE552"/>
      <c r="TIF552"/>
      <c r="TIG552"/>
      <c r="TIH552"/>
      <c r="TII552"/>
      <c r="TIJ552"/>
      <c r="TIK552"/>
      <c r="TIL552"/>
      <c r="TIM552"/>
      <c r="TIN552"/>
      <c r="TIO552"/>
      <c r="TIP552"/>
      <c r="TIQ552"/>
      <c r="TIR552"/>
      <c r="TIS552"/>
      <c r="TIT552"/>
      <c r="TIU552"/>
      <c r="TIV552"/>
      <c r="TIW552"/>
      <c r="TIX552"/>
      <c r="TIY552"/>
      <c r="TIZ552"/>
      <c r="TJA552"/>
      <c r="TJB552"/>
      <c r="TJC552"/>
      <c r="TJD552"/>
      <c r="TJE552"/>
      <c r="TJF552"/>
      <c r="TJG552"/>
      <c r="TJH552"/>
      <c r="TJI552"/>
      <c r="TJJ552"/>
      <c r="TJK552"/>
      <c r="TJL552"/>
      <c r="TJM552"/>
      <c r="TJN552"/>
      <c r="TJO552"/>
      <c r="TJP552"/>
      <c r="TJQ552"/>
      <c r="TJR552"/>
      <c r="TJS552"/>
      <c r="TJT552"/>
      <c r="TJU552"/>
      <c r="TJV552"/>
      <c r="TJW552"/>
      <c r="TJX552"/>
      <c r="TJY552"/>
      <c r="TJZ552"/>
      <c r="TKA552"/>
      <c r="TKB552"/>
      <c r="TKC552"/>
      <c r="TKD552"/>
      <c r="TKE552"/>
      <c r="TKF552"/>
      <c r="TKG552"/>
      <c r="TKH552"/>
      <c r="TKI552"/>
      <c r="TKJ552"/>
      <c r="TKK552"/>
      <c r="TKL552"/>
      <c r="TKM552"/>
      <c r="TKN552"/>
      <c r="TKO552"/>
      <c r="TKP552"/>
      <c r="TKQ552"/>
      <c r="TKR552"/>
      <c r="TKS552"/>
      <c r="TKT552"/>
      <c r="TKU552"/>
      <c r="TKV552"/>
      <c r="TKW552"/>
      <c r="TKX552"/>
      <c r="TKY552"/>
      <c r="TKZ552"/>
      <c r="TLA552"/>
      <c r="TLB552"/>
      <c r="TLC552"/>
      <c r="TLD552"/>
      <c r="TLE552"/>
      <c r="TLF552"/>
      <c r="TLG552"/>
      <c r="TLH552"/>
      <c r="TLI552"/>
      <c r="TLJ552"/>
      <c r="TLK552"/>
      <c r="TLL552"/>
      <c r="TLM552"/>
      <c r="TLN552"/>
      <c r="TLO552"/>
      <c r="TLP552"/>
      <c r="TLQ552"/>
      <c r="TLR552"/>
      <c r="TLS552"/>
      <c r="TLT552"/>
      <c r="TLU552"/>
      <c r="TLV552"/>
      <c r="TLW552"/>
      <c r="TLX552"/>
      <c r="TLY552"/>
      <c r="TLZ552"/>
      <c r="TMA552"/>
      <c r="TMB552"/>
      <c r="TMC552"/>
      <c r="TMD552"/>
      <c r="TME552"/>
      <c r="TMF552"/>
      <c r="TMG552"/>
      <c r="TMH552"/>
      <c r="TMI552"/>
      <c r="TMJ552"/>
      <c r="TMK552"/>
      <c r="TML552"/>
      <c r="TMM552"/>
      <c r="TMN552"/>
      <c r="TMO552"/>
      <c r="TMP552"/>
      <c r="TMQ552"/>
      <c r="TMR552"/>
      <c r="TMS552"/>
      <c r="TMT552"/>
      <c r="TMU552"/>
      <c r="TMV552"/>
      <c r="TMW552"/>
      <c r="TMX552"/>
      <c r="TMY552"/>
      <c r="TMZ552"/>
      <c r="TNA552"/>
      <c r="TNB552"/>
      <c r="TNC552"/>
      <c r="TND552"/>
      <c r="TNE552"/>
      <c r="TNF552"/>
      <c r="TNG552"/>
      <c r="TNH552"/>
      <c r="TNI552"/>
      <c r="TNJ552"/>
      <c r="TNK552"/>
      <c r="TNL552"/>
      <c r="TNM552"/>
      <c r="TNN552"/>
      <c r="TNO552"/>
      <c r="TNP552"/>
      <c r="TNQ552"/>
      <c r="TNR552"/>
      <c r="TNS552"/>
      <c r="TNT552"/>
      <c r="TNU552"/>
      <c r="TNV552"/>
      <c r="TNW552"/>
      <c r="TNX552"/>
      <c r="TNY552"/>
      <c r="TNZ552"/>
      <c r="TOA552"/>
      <c r="TOB552"/>
      <c r="TOC552"/>
      <c r="TOD552"/>
      <c r="TOE552"/>
      <c r="TOF552"/>
      <c r="TOG552"/>
      <c r="TOH552"/>
      <c r="TOI552"/>
      <c r="TOJ552"/>
      <c r="TOK552"/>
      <c r="TOL552"/>
      <c r="TOM552"/>
      <c r="TON552"/>
      <c r="TOO552"/>
      <c r="TOP552"/>
      <c r="TOQ552"/>
      <c r="TOR552"/>
      <c r="TOS552"/>
      <c r="TOT552"/>
      <c r="TOU552"/>
      <c r="TOV552"/>
      <c r="TOW552"/>
      <c r="TOX552"/>
      <c r="TOY552"/>
      <c r="TOZ552"/>
      <c r="TPA552"/>
      <c r="TPB552"/>
      <c r="TPC552"/>
      <c r="TPD552"/>
      <c r="TPE552"/>
      <c r="TPF552"/>
      <c r="TPG552"/>
      <c r="TPH552"/>
      <c r="TPI552"/>
      <c r="TPJ552"/>
      <c r="TPK552"/>
      <c r="TPL552"/>
      <c r="TPM552"/>
      <c r="TPN552"/>
      <c r="TPO552"/>
      <c r="TPP552"/>
      <c r="TPQ552"/>
      <c r="TPR552"/>
      <c r="TPS552"/>
      <c r="TPT552"/>
      <c r="TPU552"/>
      <c r="TPV552"/>
      <c r="TPW552"/>
      <c r="TPX552"/>
      <c r="TPY552"/>
      <c r="TPZ552"/>
      <c r="TQA552"/>
      <c r="TQB552"/>
      <c r="TQC552"/>
      <c r="TQD552"/>
      <c r="TQE552"/>
      <c r="TQF552"/>
      <c r="TQG552"/>
      <c r="TQH552"/>
      <c r="TQI552"/>
      <c r="TQJ552"/>
      <c r="TQK552"/>
      <c r="TQL552"/>
      <c r="TQM552"/>
      <c r="TQN552"/>
      <c r="TQO552"/>
      <c r="TQP552"/>
      <c r="TQQ552"/>
      <c r="TQR552"/>
      <c r="TQS552"/>
      <c r="TQT552"/>
      <c r="TQU552"/>
      <c r="TQV552"/>
      <c r="TQW552"/>
      <c r="TQX552"/>
      <c r="TQY552"/>
      <c r="TQZ552"/>
      <c r="TRA552"/>
      <c r="TRB552"/>
      <c r="TRC552"/>
      <c r="TRD552"/>
      <c r="TRE552"/>
      <c r="TRF552"/>
      <c r="TRG552"/>
      <c r="TRH552"/>
      <c r="TRI552"/>
      <c r="TRJ552"/>
      <c r="TRK552"/>
      <c r="TRL552"/>
      <c r="TRM552"/>
      <c r="TRN552"/>
      <c r="TRO552"/>
      <c r="TRP552"/>
      <c r="TRQ552"/>
      <c r="TRR552"/>
      <c r="TRS552"/>
      <c r="TRT552"/>
      <c r="TRU552"/>
      <c r="TRV552"/>
      <c r="TRW552"/>
      <c r="TRX552"/>
      <c r="TRY552"/>
      <c r="TRZ552"/>
      <c r="TSA552"/>
      <c r="TSB552"/>
      <c r="TSC552"/>
      <c r="TSD552"/>
      <c r="TSE552"/>
      <c r="TSF552"/>
      <c r="TSG552"/>
      <c r="TSH552"/>
      <c r="TSI552"/>
      <c r="TSJ552"/>
      <c r="TSK552"/>
      <c r="TSL552"/>
      <c r="TSM552"/>
      <c r="TSN552"/>
      <c r="TSO552"/>
      <c r="TSP552"/>
      <c r="TSQ552"/>
      <c r="TSR552"/>
      <c r="TSS552"/>
      <c r="TST552"/>
      <c r="TSU552"/>
      <c r="TSV552"/>
      <c r="TSW552"/>
      <c r="TSX552"/>
      <c r="TSY552"/>
      <c r="TSZ552"/>
      <c r="TTA552"/>
      <c r="TTB552"/>
      <c r="TTC552"/>
      <c r="TTD552"/>
      <c r="TTE552"/>
      <c r="TTF552"/>
      <c r="TTG552"/>
      <c r="TTH552"/>
      <c r="TTI552"/>
      <c r="TTJ552"/>
      <c r="TTK552"/>
      <c r="TTL552"/>
      <c r="TTM552"/>
      <c r="TTN552"/>
      <c r="TTO552"/>
      <c r="TTP552"/>
      <c r="TTQ552"/>
      <c r="TTR552"/>
      <c r="TTS552"/>
      <c r="TTT552"/>
      <c r="TTU552"/>
      <c r="TTV552"/>
      <c r="TTW552"/>
      <c r="TTX552"/>
      <c r="TTY552"/>
      <c r="TTZ552"/>
      <c r="TUA552"/>
      <c r="TUB552"/>
      <c r="TUC552"/>
      <c r="TUD552"/>
      <c r="TUE552"/>
      <c r="TUF552"/>
      <c r="TUG552"/>
      <c r="TUH552"/>
      <c r="TUI552"/>
      <c r="TUJ552"/>
      <c r="TUK552"/>
      <c r="TUL552"/>
      <c r="TUM552"/>
      <c r="TUN552"/>
      <c r="TUO552"/>
      <c r="TUP552"/>
      <c r="TUQ552"/>
      <c r="TUR552"/>
      <c r="TUS552"/>
      <c r="TUT552"/>
      <c r="TUU552"/>
      <c r="TUV552"/>
      <c r="TUW552"/>
      <c r="TUX552"/>
      <c r="TUY552"/>
      <c r="TUZ552"/>
      <c r="TVA552"/>
      <c r="TVB552"/>
      <c r="TVC552"/>
      <c r="TVD552"/>
      <c r="TVE552"/>
      <c r="TVF552"/>
      <c r="TVG552"/>
      <c r="TVH552"/>
      <c r="TVI552"/>
      <c r="TVJ552"/>
      <c r="TVK552"/>
      <c r="TVL552"/>
      <c r="TVM552"/>
      <c r="TVN552"/>
      <c r="TVO552"/>
      <c r="TVP552"/>
      <c r="TVQ552"/>
      <c r="TVR552"/>
      <c r="TVS552"/>
      <c r="TVT552"/>
      <c r="TVU552"/>
      <c r="TVV552"/>
      <c r="TVW552"/>
      <c r="TVX552"/>
      <c r="TVY552"/>
      <c r="TVZ552"/>
      <c r="TWA552"/>
      <c r="TWB552"/>
      <c r="TWC552"/>
      <c r="TWD552"/>
      <c r="TWE552"/>
      <c r="TWF552"/>
      <c r="TWG552"/>
      <c r="TWH552"/>
      <c r="TWI552"/>
      <c r="TWJ552"/>
      <c r="TWK552"/>
      <c r="TWL552"/>
      <c r="TWM552"/>
      <c r="TWN552"/>
      <c r="TWO552"/>
      <c r="TWP552"/>
      <c r="TWQ552"/>
      <c r="TWR552"/>
      <c r="TWS552"/>
      <c r="TWT552"/>
      <c r="TWU552"/>
      <c r="TWV552"/>
      <c r="TWW552"/>
      <c r="TWX552"/>
      <c r="TWY552"/>
      <c r="TWZ552"/>
      <c r="TXA552"/>
      <c r="TXB552"/>
      <c r="TXC552"/>
      <c r="TXD552"/>
      <c r="TXE552"/>
      <c r="TXF552"/>
      <c r="TXG552"/>
      <c r="TXH552"/>
      <c r="TXI552"/>
      <c r="TXJ552"/>
      <c r="TXK552"/>
      <c r="TXL552"/>
      <c r="TXM552"/>
      <c r="TXN552"/>
      <c r="TXO552"/>
      <c r="TXP552"/>
      <c r="TXQ552"/>
      <c r="TXR552"/>
      <c r="TXS552"/>
      <c r="TXT552"/>
      <c r="TXU552"/>
      <c r="TXV552"/>
      <c r="TXW552"/>
      <c r="TXX552"/>
      <c r="TXY552"/>
      <c r="TXZ552"/>
      <c r="TYA552"/>
      <c r="TYB552"/>
      <c r="TYC552"/>
      <c r="TYD552"/>
      <c r="TYE552"/>
      <c r="TYF552"/>
      <c r="TYG552"/>
      <c r="TYH552"/>
      <c r="TYI552"/>
      <c r="TYJ552"/>
      <c r="TYK552"/>
      <c r="TYL552"/>
      <c r="TYM552"/>
      <c r="TYN552"/>
      <c r="TYO552"/>
      <c r="TYP552"/>
      <c r="TYQ552"/>
      <c r="TYR552"/>
      <c r="TYS552"/>
      <c r="TYT552"/>
      <c r="TYU552"/>
      <c r="TYV552"/>
      <c r="TYW552"/>
      <c r="TYX552"/>
      <c r="TYY552"/>
      <c r="TYZ552"/>
      <c r="TZA552"/>
      <c r="TZB552"/>
      <c r="TZC552"/>
      <c r="TZD552"/>
      <c r="TZE552"/>
      <c r="TZF552"/>
      <c r="TZG552"/>
      <c r="TZH552"/>
      <c r="TZI552"/>
      <c r="TZJ552"/>
      <c r="TZK552"/>
      <c r="TZL552"/>
      <c r="TZM552"/>
      <c r="TZN552"/>
      <c r="TZO552"/>
      <c r="TZP552"/>
      <c r="TZQ552"/>
      <c r="TZR552"/>
      <c r="TZS552"/>
      <c r="TZT552"/>
      <c r="TZU552"/>
      <c r="TZV552"/>
      <c r="TZW552"/>
      <c r="TZX552"/>
      <c r="TZY552"/>
      <c r="TZZ552"/>
      <c r="UAA552"/>
      <c r="UAB552"/>
      <c r="UAC552"/>
      <c r="UAD552"/>
      <c r="UAE552"/>
      <c r="UAF552"/>
      <c r="UAG552"/>
      <c r="UAH552"/>
      <c r="UAI552"/>
      <c r="UAJ552"/>
      <c r="UAK552"/>
      <c r="UAL552"/>
      <c r="UAM552"/>
      <c r="UAN552"/>
      <c r="UAO552"/>
      <c r="UAP552"/>
      <c r="UAQ552"/>
      <c r="UAR552"/>
      <c r="UAS552"/>
      <c r="UAT552"/>
      <c r="UAU552"/>
      <c r="UAV552"/>
      <c r="UAW552"/>
      <c r="UAX552"/>
      <c r="UAY552"/>
      <c r="UAZ552"/>
      <c r="UBA552"/>
      <c r="UBB552"/>
      <c r="UBC552"/>
      <c r="UBD552"/>
      <c r="UBE552"/>
      <c r="UBF552"/>
      <c r="UBG552"/>
      <c r="UBH552"/>
      <c r="UBI552"/>
      <c r="UBJ552"/>
      <c r="UBK552"/>
      <c r="UBL552"/>
      <c r="UBM552"/>
      <c r="UBN552"/>
      <c r="UBO552"/>
      <c r="UBP552"/>
      <c r="UBQ552"/>
      <c r="UBR552"/>
      <c r="UBS552"/>
      <c r="UBT552"/>
      <c r="UBU552"/>
      <c r="UBV552"/>
      <c r="UBW552"/>
      <c r="UBX552"/>
      <c r="UBY552"/>
      <c r="UBZ552"/>
      <c r="UCA552"/>
      <c r="UCB552"/>
      <c r="UCC552"/>
      <c r="UCD552"/>
      <c r="UCE552"/>
      <c r="UCF552"/>
      <c r="UCG552"/>
      <c r="UCH552"/>
      <c r="UCI552"/>
      <c r="UCJ552"/>
      <c r="UCK552"/>
      <c r="UCL552"/>
      <c r="UCM552"/>
      <c r="UCN552"/>
      <c r="UCO552"/>
      <c r="UCP552"/>
      <c r="UCQ552"/>
      <c r="UCR552"/>
      <c r="UCS552"/>
      <c r="UCT552"/>
      <c r="UCU552"/>
      <c r="UCV552"/>
      <c r="UCW552"/>
      <c r="UCX552"/>
      <c r="UCY552"/>
      <c r="UCZ552"/>
      <c r="UDA552"/>
      <c r="UDB552"/>
      <c r="UDC552"/>
      <c r="UDD552"/>
      <c r="UDE552"/>
      <c r="UDF552"/>
      <c r="UDG552"/>
      <c r="UDH552"/>
      <c r="UDI552"/>
      <c r="UDJ552"/>
      <c r="UDK552"/>
      <c r="UDL552"/>
      <c r="UDM552"/>
      <c r="UDN552"/>
      <c r="UDO552"/>
      <c r="UDP552"/>
      <c r="UDQ552"/>
      <c r="UDR552"/>
      <c r="UDS552"/>
      <c r="UDT552"/>
      <c r="UDU552"/>
      <c r="UDV552"/>
      <c r="UDW552"/>
      <c r="UDX552"/>
      <c r="UDY552"/>
      <c r="UDZ552"/>
      <c r="UEA552"/>
      <c r="UEB552"/>
      <c r="UEC552"/>
      <c r="UED552"/>
      <c r="UEE552"/>
      <c r="UEF552"/>
      <c r="UEG552"/>
      <c r="UEH552"/>
      <c r="UEI552"/>
      <c r="UEJ552"/>
      <c r="UEK552"/>
      <c r="UEL552"/>
      <c r="UEM552"/>
      <c r="UEN552"/>
      <c r="UEO552"/>
      <c r="UEP552"/>
      <c r="UEQ552"/>
      <c r="UER552"/>
      <c r="UES552"/>
      <c r="UET552"/>
      <c r="UEU552"/>
      <c r="UEV552"/>
      <c r="UEW552"/>
      <c r="UEX552"/>
      <c r="UEY552"/>
      <c r="UEZ552"/>
      <c r="UFA552"/>
      <c r="UFB552"/>
      <c r="UFC552"/>
      <c r="UFD552"/>
      <c r="UFE552"/>
      <c r="UFF552"/>
      <c r="UFG552"/>
      <c r="UFH552"/>
      <c r="UFI552"/>
      <c r="UFJ552"/>
      <c r="UFK552"/>
      <c r="UFL552"/>
      <c r="UFM552"/>
      <c r="UFN552"/>
      <c r="UFO552"/>
      <c r="UFP552"/>
      <c r="UFQ552"/>
      <c r="UFR552"/>
      <c r="UFS552"/>
      <c r="UFT552"/>
      <c r="UFU552"/>
      <c r="UFV552"/>
      <c r="UFW552"/>
      <c r="UFX552"/>
      <c r="UFY552"/>
      <c r="UFZ552"/>
      <c r="UGA552"/>
      <c r="UGB552"/>
      <c r="UGC552"/>
      <c r="UGD552"/>
      <c r="UGE552"/>
      <c r="UGF552"/>
      <c r="UGG552"/>
      <c r="UGH552"/>
      <c r="UGI552"/>
      <c r="UGJ552"/>
      <c r="UGK552"/>
      <c r="UGL552"/>
      <c r="UGM552"/>
      <c r="UGN552"/>
      <c r="UGO552"/>
      <c r="UGP552"/>
      <c r="UGQ552"/>
      <c r="UGR552"/>
      <c r="UGS552"/>
      <c r="UGT552"/>
      <c r="UGU552"/>
      <c r="UGV552"/>
      <c r="UGW552"/>
      <c r="UGX552"/>
      <c r="UGY552"/>
      <c r="UGZ552"/>
      <c r="UHA552"/>
      <c r="UHB552"/>
      <c r="UHC552"/>
      <c r="UHD552"/>
      <c r="UHE552"/>
      <c r="UHF552"/>
      <c r="UHG552"/>
      <c r="UHH552"/>
      <c r="UHI552"/>
      <c r="UHJ552"/>
      <c r="UHK552"/>
      <c r="UHL552"/>
      <c r="UHM552"/>
      <c r="UHN552"/>
      <c r="UHO552"/>
      <c r="UHP552"/>
      <c r="UHQ552"/>
      <c r="UHR552"/>
      <c r="UHS552"/>
      <c r="UHT552"/>
      <c r="UHU552"/>
      <c r="UHV552"/>
      <c r="UHW552"/>
      <c r="UHX552"/>
      <c r="UHY552"/>
      <c r="UHZ552"/>
      <c r="UIA552"/>
      <c r="UIB552"/>
      <c r="UIC552"/>
      <c r="UID552"/>
      <c r="UIE552"/>
      <c r="UIF552"/>
      <c r="UIG552"/>
      <c r="UIH552"/>
      <c r="UII552"/>
      <c r="UIJ552"/>
      <c r="UIK552"/>
      <c r="UIL552"/>
      <c r="UIM552"/>
      <c r="UIN552"/>
      <c r="UIO552"/>
      <c r="UIP552"/>
      <c r="UIQ552"/>
      <c r="UIR552"/>
      <c r="UIS552"/>
      <c r="UIT552"/>
      <c r="UIU552"/>
      <c r="UIV552"/>
      <c r="UIW552"/>
      <c r="UIX552"/>
      <c r="UIY552"/>
      <c r="UIZ552"/>
      <c r="UJA552"/>
      <c r="UJB552"/>
      <c r="UJC552"/>
      <c r="UJD552"/>
      <c r="UJE552"/>
      <c r="UJF552"/>
      <c r="UJG552"/>
      <c r="UJH552"/>
      <c r="UJI552"/>
      <c r="UJJ552"/>
      <c r="UJK552"/>
      <c r="UJL552"/>
      <c r="UJM552"/>
      <c r="UJN552"/>
      <c r="UJO552"/>
      <c r="UJP552"/>
      <c r="UJQ552"/>
      <c r="UJR552"/>
      <c r="UJS552"/>
      <c r="UJT552"/>
      <c r="UJU552"/>
      <c r="UJV552"/>
      <c r="UJW552"/>
      <c r="UJX552"/>
      <c r="UJY552"/>
      <c r="UJZ552"/>
      <c r="UKA552"/>
      <c r="UKB552"/>
      <c r="UKC552"/>
      <c r="UKD552"/>
      <c r="UKE552"/>
      <c r="UKF552"/>
      <c r="UKG552"/>
      <c r="UKH552"/>
      <c r="UKI552"/>
      <c r="UKJ552"/>
      <c r="UKK552"/>
      <c r="UKL552"/>
      <c r="UKM552"/>
      <c r="UKN552"/>
      <c r="UKO552"/>
      <c r="UKP552"/>
      <c r="UKQ552"/>
      <c r="UKR552"/>
      <c r="UKS552"/>
      <c r="UKT552"/>
      <c r="UKU552"/>
      <c r="UKV552"/>
      <c r="UKW552"/>
      <c r="UKX552"/>
      <c r="UKY552"/>
      <c r="UKZ552"/>
      <c r="ULA552"/>
      <c r="ULB552"/>
      <c r="ULC552"/>
      <c r="ULD552"/>
      <c r="ULE552"/>
      <c r="ULF552"/>
      <c r="ULG552"/>
      <c r="ULH552"/>
      <c r="ULI552"/>
      <c r="ULJ552"/>
      <c r="ULK552"/>
      <c r="ULL552"/>
      <c r="ULM552"/>
      <c r="ULN552"/>
      <c r="ULO552"/>
      <c r="ULP552"/>
      <c r="ULQ552"/>
      <c r="ULR552"/>
      <c r="ULS552"/>
      <c r="ULT552"/>
      <c r="ULU552"/>
      <c r="ULV552"/>
      <c r="ULW552"/>
      <c r="ULX552"/>
      <c r="ULY552"/>
      <c r="ULZ552"/>
      <c r="UMA552"/>
      <c r="UMB552"/>
      <c r="UMC552"/>
      <c r="UMD552"/>
      <c r="UME552"/>
      <c r="UMF552"/>
      <c r="UMG552"/>
      <c r="UMH552"/>
      <c r="UMI552"/>
      <c r="UMJ552"/>
      <c r="UMK552"/>
      <c r="UML552"/>
      <c r="UMM552"/>
      <c r="UMN552"/>
      <c r="UMO552"/>
      <c r="UMP552"/>
      <c r="UMQ552"/>
      <c r="UMR552"/>
      <c r="UMS552"/>
      <c r="UMT552"/>
      <c r="UMU552"/>
      <c r="UMV552"/>
      <c r="UMW552"/>
      <c r="UMX552"/>
      <c r="UMY552"/>
      <c r="UMZ552"/>
      <c r="UNA552"/>
      <c r="UNB552"/>
      <c r="UNC552"/>
      <c r="UND552"/>
      <c r="UNE552"/>
      <c r="UNF552"/>
      <c r="UNG552"/>
      <c r="UNH552"/>
      <c r="UNI552"/>
      <c r="UNJ552"/>
      <c r="UNK552"/>
      <c r="UNL552"/>
      <c r="UNM552"/>
      <c r="UNN552"/>
      <c r="UNO552"/>
      <c r="UNP552"/>
      <c r="UNQ552"/>
      <c r="UNR552"/>
      <c r="UNS552"/>
      <c r="UNT552"/>
      <c r="UNU552"/>
      <c r="UNV552"/>
      <c r="UNW552"/>
      <c r="UNX552"/>
      <c r="UNY552"/>
      <c r="UNZ552"/>
      <c r="UOA552"/>
      <c r="UOB552"/>
      <c r="UOC552"/>
      <c r="UOD552"/>
      <c r="UOE552"/>
      <c r="UOF552"/>
      <c r="UOG552"/>
      <c r="UOH552"/>
      <c r="UOI552"/>
      <c r="UOJ552"/>
      <c r="UOK552"/>
      <c r="UOL552"/>
      <c r="UOM552"/>
      <c r="UON552"/>
      <c r="UOO552"/>
      <c r="UOP552"/>
      <c r="UOQ552"/>
      <c r="UOR552"/>
      <c r="UOS552"/>
      <c r="UOT552"/>
      <c r="UOU552"/>
      <c r="UOV552"/>
      <c r="UOW552"/>
      <c r="UOX552"/>
      <c r="UOY552"/>
      <c r="UOZ552"/>
      <c r="UPA552"/>
      <c r="UPB552"/>
      <c r="UPC552"/>
      <c r="UPD552"/>
      <c r="UPE552"/>
      <c r="UPF552"/>
      <c r="UPG552"/>
      <c r="UPH552"/>
      <c r="UPI552"/>
      <c r="UPJ552"/>
      <c r="UPK552"/>
      <c r="UPL552"/>
      <c r="UPM552"/>
      <c r="UPN552"/>
      <c r="UPO552"/>
      <c r="UPP552"/>
      <c r="UPQ552"/>
      <c r="UPR552"/>
      <c r="UPS552"/>
      <c r="UPT552"/>
      <c r="UPU552"/>
      <c r="UPV552"/>
      <c r="UPW552"/>
      <c r="UPX552"/>
      <c r="UPY552"/>
      <c r="UPZ552"/>
      <c r="UQA552"/>
      <c r="UQB552"/>
      <c r="UQC552"/>
      <c r="UQD552"/>
      <c r="UQE552"/>
      <c r="UQF552"/>
      <c r="UQG552"/>
      <c r="UQH552"/>
      <c r="UQI552"/>
      <c r="UQJ552"/>
      <c r="UQK552"/>
      <c r="UQL552"/>
      <c r="UQM552"/>
      <c r="UQN552"/>
      <c r="UQO552"/>
      <c r="UQP552"/>
      <c r="UQQ552"/>
      <c r="UQR552"/>
      <c r="UQS552"/>
      <c r="UQT552"/>
      <c r="UQU552"/>
      <c r="UQV552"/>
      <c r="UQW552"/>
      <c r="UQX552"/>
      <c r="UQY552"/>
      <c r="UQZ552"/>
      <c r="URA552"/>
      <c r="URB552"/>
      <c r="URC552"/>
      <c r="URD552"/>
      <c r="URE552"/>
      <c r="URF552"/>
      <c r="URG552"/>
      <c r="URH552"/>
      <c r="URI552"/>
      <c r="URJ552"/>
      <c r="URK552"/>
      <c r="URL552"/>
      <c r="URM552"/>
      <c r="URN552"/>
      <c r="URO552"/>
      <c r="URP552"/>
      <c r="URQ552"/>
      <c r="URR552"/>
      <c r="URS552"/>
      <c r="URT552"/>
      <c r="URU552"/>
      <c r="URV552"/>
      <c r="URW552"/>
      <c r="URX552"/>
      <c r="URY552"/>
      <c r="URZ552"/>
      <c r="USA552"/>
      <c r="USB552"/>
      <c r="USC552"/>
      <c r="USD552"/>
      <c r="USE552"/>
      <c r="USF552"/>
      <c r="USG552"/>
      <c r="USH552"/>
      <c r="USI552"/>
      <c r="USJ552"/>
      <c r="USK552"/>
      <c r="USL552"/>
      <c r="USM552"/>
      <c r="USN552"/>
      <c r="USO552"/>
      <c r="USP552"/>
      <c r="USQ552"/>
      <c r="USR552"/>
      <c r="USS552"/>
      <c r="UST552"/>
      <c r="USU552"/>
      <c r="USV552"/>
      <c r="USW552"/>
      <c r="USX552"/>
      <c r="USY552"/>
      <c r="USZ552"/>
      <c r="UTA552"/>
      <c r="UTB552"/>
      <c r="UTC552"/>
      <c r="UTD552"/>
      <c r="UTE552"/>
      <c r="UTF552"/>
      <c r="UTG552"/>
      <c r="UTH552"/>
      <c r="UTI552"/>
      <c r="UTJ552"/>
      <c r="UTK552"/>
      <c r="UTL552"/>
      <c r="UTM552"/>
      <c r="UTN552"/>
      <c r="UTO552"/>
      <c r="UTP552"/>
      <c r="UTQ552"/>
      <c r="UTR552"/>
      <c r="UTS552"/>
      <c r="UTT552"/>
      <c r="UTU552"/>
      <c r="UTV552"/>
      <c r="UTW552"/>
      <c r="UTX552"/>
      <c r="UTY552"/>
      <c r="UTZ552"/>
      <c r="UUA552"/>
      <c r="UUB552"/>
      <c r="UUC552"/>
      <c r="UUD552"/>
      <c r="UUE552"/>
      <c r="UUF552"/>
      <c r="UUG552"/>
      <c r="UUH552"/>
      <c r="UUI552"/>
      <c r="UUJ552"/>
      <c r="UUK552"/>
      <c r="UUL552"/>
      <c r="UUM552"/>
      <c r="UUN552"/>
      <c r="UUO552"/>
      <c r="UUP552"/>
      <c r="UUQ552"/>
      <c r="UUR552"/>
      <c r="UUS552"/>
      <c r="UUT552"/>
      <c r="UUU552"/>
      <c r="UUV552"/>
      <c r="UUW552"/>
      <c r="UUX552"/>
      <c r="UUY552"/>
      <c r="UUZ552"/>
      <c r="UVA552"/>
      <c r="UVB552"/>
      <c r="UVC552"/>
      <c r="UVD552"/>
      <c r="UVE552"/>
      <c r="UVF552"/>
      <c r="UVG552"/>
      <c r="UVH552"/>
      <c r="UVI552"/>
      <c r="UVJ552"/>
      <c r="UVK552"/>
      <c r="UVL552"/>
      <c r="UVM552"/>
      <c r="UVN552"/>
      <c r="UVO552"/>
      <c r="UVP552"/>
      <c r="UVQ552"/>
      <c r="UVR552"/>
      <c r="UVS552"/>
      <c r="UVT552"/>
      <c r="UVU552"/>
      <c r="UVV552"/>
      <c r="UVW552"/>
      <c r="UVX552"/>
      <c r="UVY552"/>
      <c r="UVZ552"/>
      <c r="UWA552"/>
      <c r="UWB552"/>
      <c r="UWC552"/>
      <c r="UWD552"/>
      <c r="UWE552"/>
      <c r="UWF552"/>
      <c r="UWG552"/>
      <c r="UWH552"/>
      <c r="UWI552"/>
      <c r="UWJ552"/>
      <c r="UWK552"/>
      <c r="UWL552"/>
      <c r="UWM552"/>
      <c r="UWN552"/>
      <c r="UWO552"/>
      <c r="UWP552"/>
      <c r="UWQ552"/>
      <c r="UWR552"/>
      <c r="UWS552"/>
      <c r="UWT552"/>
      <c r="UWU552"/>
      <c r="UWV552"/>
      <c r="UWW552"/>
      <c r="UWX552"/>
      <c r="UWY552"/>
      <c r="UWZ552"/>
      <c r="UXA552"/>
      <c r="UXB552"/>
      <c r="UXC552"/>
      <c r="UXD552"/>
      <c r="UXE552"/>
      <c r="UXF552"/>
      <c r="UXG552"/>
      <c r="UXH552"/>
      <c r="UXI552"/>
      <c r="UXJ552"/>
      <c r="UXK552"/>
      <c r="UXL552"/>
      <c r="UXM552"/>
      <c r="UXN552"/>
      <c r="UXO552"/>
      <c r="UXP552"/>
      <c r="UXQ552"/>
      <c r="UXR552"/>
      <c r="UXS552"/>
      <c r="UXT552"/>
      <c r="UXU552"/>
      <c r="UXV552"/>
      <c r="UXW552"/>
      <c r="UXX552"/>
      <c r="UXY552"/>
      <c r="UXZ552"/>
      <c r="UYA552"/>
      <c r="UYB552"/>
      <c r="UYC552"/>
      <c r="UYD552"/>
      <c r="UYE552"/>
      <c r="UYF552"/>
      <c r="UYG552"/>
      <c r="UYH552"/>
      <c r="UYI552"/>
      <c r="UYJ552"/>
      <c r="UYK552"/>
      <c r="UYL552"/>
      <c r="UYM552"/>
      <c r="UYN552"/>
      <c r="UYO552"/>
      <c r="UYP552"/>
      <c r="UYQ552"/>
      <c r="UYR552"/>
      <c r="UYS552"/>
      <c r="UYT552"/>
      <c r="UYU552"/>
      <c r="UYV552"/>
      <c r="UYW552"/>
      <c r="UYX552"/>
      <c r="UYY552"/>
      <c r="UYZ552"/>
      <c r="UZA552"/>
      <c r="UZB552"/>
      <c r="UZC552"/>
      <c r="UZD552"/>
      <c r="UZE552"/>
      <c r="UZF552"/>
      <c r="UZG552"/>
      <c r="UZH552"/>
      <c r="UZI552"/>
      <c r="UZJ552"/>
      <c r="UZK552"/>
      <c r="UZL552"/>
      <c r="UZM552"/>
      <c r="UZN552"/>
      <c r="UZO552"/>
      <c r="UZP552"/>
      <c r="UZQ552"/>
      <c r="UZR552"/>
      <c r="UZS552"/>
      <c r="UZT552"/>
      <c r="UZU552"/>
      <c r="UZV552"/>
      <c r="UZW552"/>
      <c r="UZX552"/>
      <c r="UZY552"/>
      <c r="UZZ552"/>
      <c r="VAA552"/>
      <c r="VAB552"/>
      <c r="VAC552"/>
      <c r="VAD552"/>
      <c r="VAE552"/>
      <c r="VAF552"/>
      <c r="VAG552"/>
      <c r="VAH552"/>
      <c r="VAI552"/>
      <c r="VAJ552"/>
      <c r="VAK552"/>
      <c r="VAL552"/>
      <c r="VAM552"/>
      <c r="VAN552"/>
      <c r="VAO552"/>
      <c r="VAP552"/>
      <c r="VAQ552"/>
      <c r="VAR552"/>
      <c r="VAS552"/>
      <c r="VAT552"/>
      <c r="VAU552"/>
      <c r="VAV552"/>
      <c r="VAW552"/>
      <c r="VAX552"/>
      <c r="VAY552"/>
      <c r="VAZ552"/>
      <c r="VBA552"/>
      <c r="VBB552"/>
      <c r="VBC552"/>
      <c r="VBD552"/>
      <c r="VBE552"/>
      <c r="VBF552"/>
      <c r="VBG552"/>
      <c r="VBH552"/>
      <c r="VBI552"/>
      <c r="VBJ552"/>
      <c r="VBK552"/>
      <c r="VBL552"/>
      <c r="VBM552"/>
      <c r="VBN552"/>
      <c r="VBO552"/>
      <c r="VBP552"/>
      <c r="VBQ552"/>
      <c r="VBR552"/>
      <c r="VBS552"/>
      <c r="VBT552"/>
      <c r="VBU552"/>
      <c r="VBV552"/>
      <c r="VBW552"/>
      <c r="VBX552"/>
      <c r="VBY552"/>
      <c r="VBZ552"/>
      <c r="VCA552"/>
      <c r="VCB552"/>
      <c r="VCC552"/>
      <c r="VCD552"/>
      <c r="VCE552"/>
      <c r="VCF552"/>
      <c r="VCG552"/>
      <c r="VCH552"/>
      <c r="VCI552"/>
      <c r="VCJ552"/>
      <c r="VCK552"/>
      <c r="VCL552"/>
      <c r="VCM552"/>
      <c r="VCN552"/>
      <c r="VCO552"/>
      <c r="VCP552"/>
      <c r="VCQ552"/>
      <c r="VCR552"/>
      <c r="VCS552"/>
      <c r="VCT552"/>
      <c r="VCU552"/>
      <c r="VCV552"/>
      <c r="VCW552"/>
      <c r="VCX552"/>
      <c r="VCY552"/>
      <c r="VCZ552"/>
      <c r="VDA552"/>
      <c r="VDB552"/>
      <c r="VDC552"/>
      <c r="VDD552"/>
      <c r="VDE552"/>
      <c r="VDF552"/>
      <c r="VDG552"/>
      <c r="VDH552"/>
      <c r="VDI552"/>
      <c r="VDJ552"/>
      <c r="VDK552"/>
      <c r="VDL552"/>
      <c r="VDM552"/>
      <c r="VDN552"/>
      <c r="VDO552"/>
      <c r="VDP552"/>
      <c r="VDQ552"/>
      <c r="VDR552"/>
      <c r="VDS552"/>
      <c r="VDT552"/>
      <c r="VDU552"/>
      <c r="VDV552"/>
      <c r="VDW552"/>
      <c r="VDX552"/>
      <c r="VDY552"/>
      <c r="VDZ552"/>
      <c r="VEA552"/>
      <c r="VEB552"/>
      <c r="VEC552"/>
      <c r="VED552"/>
      <c r="VEE552"/>
      <c r="VEF552"/>
      <c r="VEG552"/>
      <c r="VEH552"/>
      <c r="VEI552"/>
      <c r="VEJ552"/>
      <c r="VEK552"/>
      <c r="VEL552"/>
      <c r="VEM552"/>
      <c r="VEN552"/>
      <c r="VEO552"/>
      <c r="VEP552"/>
      <c r="VEQ552"/>
      <c r="VER552"/>
      <c r="VES552"/>
      <c r="VET552"/>
      <c r="VEU552"/>
      <c r="VEV552"/>
      <c r="VEW552"/>
      <c r="VEX552"/>
      <c r="VEY552"/>
      <c r="VEZ552"/>
      <c r="VFA552"/>
      <c r="VFB552"/>
      <c r="VFC552"/>
      <c r="VFD552"/>
      <c r="VFE552"/>
      <c r="VFF552"/>
      <c r="VFG552"/>
      <c r="VFH552"/>
      <c r="VFI552"/>
      <c r="VFJ552"/>
      <c r="VFK552"/>
      <c r="VFL552"/>
      <c r="VFM552"/>
      <c r="VFN552"/>
      <c r="VFO552"/>
      <c r="VFP552"/>
      <c r="VFQ552"/>
      <c r="VFR552"/>
      <c r="VFS552"/>
      <c r="VFT552"/>
      <c r="VFU552"/>
      <c r="VFV552"/>
      <c r="VFW552"/>
      <c r="VFX552"/>
      <c r="VFY552"/>
      <c r="VFZ552"/>
      <c r="VGA552"/>
      <c r="VGB552"/>
      <c r="VGC552"/>
      <c r="VGD552"/>
      <c r="VGE552"/>
      <c r="VGF552"/>
      <c r="VGG552"/>
      <c r="VGH552"/>
      <c r="VGI552"/>
      <c r="VGJ552"/>
      <c r="VGK552"/>
      <c r="VGL552"/>
      <c r="VGM552"/>
      <c r="VGN552"/>
      <c r="VGO552"/>
      <c r="VGP552"/>
      <c r="VGQ552"/>
      <c r="VGR552"/>
      <c r="VGS552"/>
      <c r="VGT552"/>
      <c r="VGU552"/>
      <c r="VGV552"/>
      <c r="VGW552"/>
      <c r="VGX552"/>
      <c r="VGY552"/>
      <c r="VGZ552"/>
      <c r="VHA552"/>
      <c r="VHB552"/>
      <c r="VHC552"/>
      <c r="VHD552"/>
      <c r="VHE552"/>
      <c r="VHF552"/>
      <c r="VHG552"/>
      <c r="VHH552"/>
      <c r="VHI552"/>
      <c r="VHJ552"/>
      <c r="VHK552"/>
      <c r="VHL552"/>
      <c r="VHM552"/>
      <c r="VHN552"/>
      <c r="VHO552"/>
      <c r="VHP552"/>
      <c r="VHQ552"/>
      <c r="VHR552"/>
      <c r="VHS552"/>
      <c r="VHT552"/>
      <c r="VHU552"/>
      <c r="VHV552"/>
      <c r="VHW552"/>
      <c r="VHX552"/>
      <c r="VHY552"/>
      <c r="VHZ552"/>
      <c r="VIA552"/>
      <c r="VIB552"/>
      <c r="VIC552"/>
      <c r="VID552"/>
      <c r="VIE552"/>
      <c r="VIF552"/>
      <c r="VIG552"/>
      <c r="VIH552"/>
      <c r="VII552"/>
      <c r="VIJ552"/>
      <c r="VIK552"/>
      <c r="VIL552"/>
      <c r="VIM552"/>
      <c r="VIN552"/>
      <c r="VIO552"/>
      <c r="VIP552"/>
      <c r="VIQ552"/>
      <c r="VIR552"/>
      <c r="VIS552"/>
      <c r="VIT552"/>
      <c r="VIU552"/>
      <c r="VIV552"/>
      <c r="VIW552"/>
      <c r="VIX552"/>
      <c r="VIY552"/>
      <c r="VIZ552"/>
      <c r="VJA552"/>
      <c r="VJB552"/>
      <c r="VJC552"/>
      <c r="VJD552"/>
      <c r="VJE552"/>
      <c r="VJF552"/>
      <c r="VJG552"/>
      <c r="VJH552"/>
      <c r="VJI552"/>
      <c r="VJJ552"/>
      <c r="VJK552"/>
      <c r="VJL552"/>
      <c r="VJM552"/>
      <c r="VJN552"/>
      <c r="VJO552"/>
      <c r="VJP552"/>
      <c r="VJQ552"/>
      <c r="VJR552"/>
      <c r="VJS552"/>
      <c r="VJT552"/>
      <c r="VJU552"/>
      <c r="VJV552"/>
      <c r="VJW552"/>
      <c r="VJX552"/>
      <c r="VJY552"/>
      <c r="VJZ552"/>
      <c r="VKA552"/>
      <c r="VKB552"/>
      <c r="VKC552"/>
      <c r="VKD552"/>
      <c r="VKE552"/>
      <c r="VKF552"/>
      <c r="VKG552"/>
      <c r="VKH552"/>
      <c r="VKI552"/>
      <c r="VKJ552"/>
      <c r="VKK552"/>
      <c r="VKL552"/>
      <c r="VKM552"/>
      <c r="VKN552"/>
      <c r="VKO552"/>
      <c r="VKP552"/>
      <c r="VKQ552"/>
      <c r="VKR552"/>
      <c r="VKS552"/>
      <c r="VKT552"/>
      <c r="VKU552"/>
      <c r="VKV552"/>
      <c r="VKW552"/>
      <c r="VKX552"/>
      <c r="VKY552"/>
      <c r="VKZ552"/>
      <c r="VLA552"/>
      <c r="VLB552"/>
      <c r="VLC552"/>
      <c r="VLD552"/>
      <c r="VLE552"/>
      <c r="VLF552"/>
      <c r="VLG552"/>
      <c r="VLH552"/>
      <c r="VLI552"/>
      <c r="VLJ552"/>
      <c r="VLK552"/>
      <c r="VLL552"/>
      <c r="VLM552"/>
      <c r="VLN552"/>
      <c r="VLO552"/>
      <c r="VLP552"/>
      <c r="VLQ552"/>
      <c r="VLR552"/>
      <c r="VLS552"/>
      <c r="VLT552"/>
      <c r="VLU552"/>
      <c r="VLV552"/>
      <c r="VLW552"/>
      <c r="VLX552"/>
      <c r="VLY552"/>
      <c r="VLZ552"/>
      <c r="VMA552"/>
      <c r="VMB552"/>
      <c r="VMC552"/>
      <c r="VMD552"/>
      <c r="VME552"/>
      <c r="VMF552"/>
      <c r="VMG552"/>
      <c r="VMH552"/>
      <c r="VMI552"/>
      <c r="VMJ552"/>
      <c r="VMK552"/>
      <c r="VML552"/>
      <c r="VMM552"/>
      <c r="VMN552"/>
      <c r="VMO552"/>
      <c r="VMP552"/>
      <c r="VMQ552"/>
      <c r="VMR552"/>
      <c r="VMS552"/>
      <c r="VMT552"/>
      <c r="VMU552"/>
      <c r="VMV552"/>
      <c r="VMW552"/>
      <c r="VMX552"/>
      <c r="VMY552"/>
      <c r="VMZ552"/>
      <c r="VNA552"/>
      <c r="VNB552"/>
      <c r="VNC552"/>
      <c r="VND552"/>
      <c r="VNE552"/>
      <c r="VNF552"/>
      <c r="VNG552"/>
      <c r="VNH552"/>
      <c r="VNI552"/>
      <c r="VNJ552"/>
      <c r="VNK552"/>
      <c r="VNL552"/>
      <c r="VNM552"/>
      <c r="VNN552"/>
      <c r="VNO552"/>
      <c r="VNP552"/>
      <c r="VNQ552"/>
      <c r="VNR552"/>
      <c r="VNS552"/>
      <c r="VNT552"/>
      <c r="VNU552"/>
      <c r="VNV552"/>
      <c r="VNW552"/>
      <c r="VNX552"/>
      <c r="VNY552"/>
      <c r="VNZ552"/>
      <c r="VOA552"/>
      <c r="VOB552"/>
      <c r="VOC552"/>
      <c r="VOD552"/>
      <c r="VOE552"/>
      <c r="VOF552"/>
      <c r="VOG552"/>
      <c r="VOH552"/>
      <c r="VOI552"/>
      <c r="VOJ552"/>
      <c r="VOK552"/>
      <c r="VOL552"/>
      <c r="VOM552"/>
      <c r="VON552"/>
      <c r="VOO552"/>
      <c r="VOP552"/>
      <c r="VOQ552"/>
      <c r="VOR552"/>
      <c r="VOS552"/>
      <c r="VOT552"/>
      <c r="VOU552"/>
      <c r="VOV552"/>
      <c r="VOW552"/>
      <c r="VOX552"/>
      <c r="VOY552"/>
      <c r="VOZ552"/>
      <c r="VPA552"/>
      <c r="VPB552"/>
      <c r="VPC552"/>
      <c r="VPD552"/>
      <c r="VPE552"/>
      <c r="VPF552"/>
      <c r="VPG552"/>
      <c r="VPH552"/>
      <c r="VPI552"/>
      <c r="VPJ552"/>
      <c r="VPK552"/>
      <c r="VPL552"/>
      <c r="VPM552"/>
      <c r="VPN552"/>
      <c r="VPO552"/>
      <c r="VPP552"/>
      <c r="VPQ552"/>
      <c r="VPR552"/>
      <c r="VPS552"/>
      <c r="VPT552"/>
      <c r="VPU552"/>
      <c r="VPV552"/>
      <c r="VPW552"/>
      <c r="VPX552"/>
      <c r="VPY552"/>
      <c r="VPZ552"/>
      <c r="VQA552"/>
      <c r="VQB552"/>
      <c r="VQC552"/>
      <c r="VQD552"/>
      <c r="VQE552"/>
      <c r="VQF552"/>
      <c r="VQG552"/>
      <c r="VQH552"/>
      <c r="VQI552"/>
      <c r="VQJ552"/>
      <c r="VQK552"/>
      <c r="VQL552"/>
      <c r="VQM552"/>
      <c r="VQN552"/>
      <c r="VQO552"/>
      <c r="VQP552"/>
      <c r="VQQ552"/>
      <c r="VQR552"/>
      <c r="VQS552"/>
      <c r="VQT552"/>
      <c r="VQU552"/>
      <c r="VQV552"/>
      <c r="VQW552"/>
      <c r="VQX552"/>
      <c r="VQY552"/>
      <c r="VQZ552"/>
      <c r="VRA552"/>
      <c r="VRB552"/>
      <c r="VRC552"/>
      <c r="VRD552"/>
      <c r="VRE552"/>
      <c r="VRF552"/>
      <c r="VRG552"/>
      <c r="VRH552"/>
      <c r="VRI552"/>
      <c r="VRJ552"/>
      <c r="VRK552"/>
      <c r="VRL552"/>
      <c r="VRM552"/>
      <c r="VRN552"/>
      <c r="VRO552"/>
      <c r="VRP552"/>
      <c r="VRQ552"/>
      <c r="VRR552"/>
      <c r="VRS552"/>
      <c r="VRT552"/>
      <c r="VRU552"/>
      <c r="VRV552"/>
      <c r="VRW552"/>
      <c r="VRX552"/>
      <c r="VRY552"/>
      <c r="VRZ552"/>
      <c r="VSA552"/>
      <c r="VSB552"/>
      <c r="VSC552"/>
      <c r="VSD552"/>
      <c r="VSE552"/>
      <c r="VSF552"/>
      <c r="VSG552"/>
      <c r="VSH552"/>
      <c r="VSI552"/>
      <c r="VSJ552"/>
      <c r="VSK552"/>
      <c r="VSL552"/>
      <c r="VSM552"/>
      <c r="VSN552"/>
      <c r="VSO552"/>
      <c r="VSP552"/>
      <c r="VSQ552"/>
      <c r="VSR552"/>
      <c r="VSS552"/>
      <c r="VST552"/>
      <c r="VSU552"/>
      <c r="VSV552"/>
      <c r="VSW552"/>
      <c r="VSX552"/>
      <c r="VSY552"/>
      <c r="VSZ552"/>
      <c r="VTA552"/>
      <c r="VTB552"/>
      <c r="VTC552"/>
      <c r="VTD552"/>
      <c r="VTE552"/>
      <c r="VTF552"/>
      <c r="VTG552"/>
      <c r="VTH552"/>
      <c r="VTI552"/>
      <c r="VTJ552"/>
      <c r="VTK552"/>
      <c r="VTL552"/>
      <c r="VTM552"/>
      <c r="VTN552"/>
      <c r="VTO552"/>
      <c r="VTP552"/>
      <c r="VTQ552"/>
      <c r="VTR552"/>
      <c r="VTS552"/>
      <c r="VTT552"/>
      <c r="VTU552"/>
      <c r="VTV552"/>
      <c r="VTW552"/>
      <c r="VTX552"/>
      <c r="VTY552"/>
      <c r="VTZ552"/>
      <c r="VUA552"/>
      <c r="VUB552"/>
      <c r="VUC552"/>
      <c r="VUD552"/>
      <c r="VUE552"/>
      <c r="VUF552"/>
      <c r="VUG552"/>
      <c r="VUH552"/>
      <c r="VUI552"/>
      <c r="VUJ552"/>
      <c r="VUK552"/>
      <c r="VUL552"/>
      <c r="VUM552"/>
      <c r="VUN552"/>
      <c r="VUO552"/>
      <c r="VUP552"/>
      <c r="VUQ552"/>
      <c r="VUR552"/>
      <c r="VUS552"/>
      <c r="VUT552"/>
      <c r="VUU552"/>
      <c r="VUV552"/>
      <c r="VUW552"/>
      <c r="VUX552"/>
      <c r="VUY552"/>
      <c r="VUZ552"/>
      <c r="VVA552"/>
      <c r="VVB552"/>
      <c r="VVC552"/>
      <c r="VVD552"/>
      <c r="VVE552"/>
      <c r="VVF552"/>
      <c r="VVG552"/>
      <c r="VVH552"/>
      <c r="VVI552"/>
      <c r="VVJ552"/>
      <c r="VVK552"/>
      <c r="VVL552"/>
      <c r="VVM552"/>
      <c r="VVN552"/>
      <c r="VVO552"/>
      <c r="VVP552"/>
      <c r="VVQ552"/>
      <c r="VVR552"/>
      <c r="VVS552"/>
      <c r="VVT552"/>
      <c r="VVU552"/>
      <c r="VVV552"/>
      <c r="VVW552"/>
      <c r="VVX552"/>
      <c r="VVY552"/>
      <c r="VVZ552"/>
      <c r="VWA552"/>
      <c r="VWB552"/>
      <c r="VWC552"/>
      <c r="VWD552"/>
      <c r="VWE552"/>
      <c r="VWF552"/>
      <c r="VWG552"/>
      <c r="VWH552"/>
      <c r="VWI552"/>
      <c r="VWJ552"/>
      <c r="VWK552"/>
      <c r="VWL552"/>
      <c r="VWM552"/>
      <c r="VWN552"/>
      <c r="VWO552"/>
      <c r="VWP552"/>
      <c r="VWQ552"/>
      <c r="VWR552"/>
      <c r="VWS552"/>
      <c r="VWT552"/>
      <c r="VWU552"/>
      <c r="VWV552"/>
      <c r="VWW552"/>
      <c r="VWX552"/>
      <c r="VWY552"/>
      <c r="VWZ552"/>
      <c r="VXA552"/>
      <c r="VXB552"/>
      <c r="VXC552"/>
      <c r="VXD552"/>
      <c r="VXE552"/>
      <c r="VXF552"/>
      <c r="VXG552"/>
      <c r="VXH552"/>
      <c r="VXI552"/>
      <c r="VXJ552"/>
      <c r="VXK552"/>
      <c r="VXL552"/>
      <c r="VXM552"/>
      <c r="VXN552"/>
      <c r="VXO552"/>
      <c r="VXP552"/>
      <c r="VXQ552"/>
      <c r="VXR552"/>
      <c r="VXS552"/>
      <c r="VXT552"/>
      <c r="VXU552"/>
      <c r="VXV552"/>
      <c r="VXW552"/>
      <c r="VXX552"/>
      <c r="VXY552"/>
      <c r="VXZ552"/>
      <c r="VYA552"/>
      <c r="VYB552"/>
      <c r="VYC552"/>
      <c r="VYD552"/>
      <c r="VYE552"/>
      <c r="VYF552"/>
      <c r="VYG552"/>
      <c r="VYH552"/>
      <c r="VYI552"/>
      <c r="VYJ552"/>
      <c r="VYK552"/>
      <c r="VYL552"/>
      <c r="VYM552"/>
      <c r="VYN552"/>
      <c r="VYO552"/>
      <c r="VYP552"/>
      <c r="VYQ552"/>
      <c r="VYR552"/>
      <c r="VYS552"/>
      <c r="VYT552"/>
      <c r="VYU552"/>
      <c r="VYV552"/>
      <c r="VYW552"/>
      <c r="VYX552"/>
      <c r="VYY552"/>
      <c r="VYZ552"/>
      <c r="VZA552"/>
      <c r="VZB552"/>
      <c r="VZC552"/>
      <c r="VZD552"/>
      <c r="VZE552"/>
      <c r="VZF552"/>
      <c r="VZG552"/>
      <c r="VZH552"/>
      <c r="VZI552"/>
      <c r="VZJ552"/>
      <c r="VZK552"/>
      <c r="VZL552"/>
      <c r="VZM552"/>
      <c r="VZN552"/>
      <c r="VZO552"/>
      <c r="VZP552"/>
      <c r="VZQ552"/>
      <c r="VZR552"/>
      <c r="VZS552"/>
      <c r="VZT552"/>
      <c r="VZU552"/>
      <c r="VZV552"/>
      <c r="VZW552"/>
      <c r="VZX552"/>
      <c r="VZY552"/>
      <c r="VZZ552"/>
      <c r="WAA552"/>
      <c r="WAB552"/>
      <c r="WAC552"/>
      <c r="WAD552"/>
      <c r="WAE552"/>
      <c r="WAF552"/>
      <c r="WAG552"/>
      <c r="WAH552"/>
      <c r="WAI552"/>
      <c r="WAJ552"/>
      <c r="WAK552"/>
      <c r="WAL552"/>
      <c r="WAM552"/>
      <c r="WAN552"/>
      <c r="WAO552"/>
      <c r="WAP552"/>
      <c r="WAQ552"/>
      <c r="WAR552"/>
      <c r="WAS552"/>
      <c r="WAT552"/>
      <c r="WAU552"/>
      <c r="WAV552"/>
      <c r="WAW552"/>
      <c r="WAX552"/>
      <c r="WAY552"/>
      <c r="WAZ552"/>
      <c r="WBA552"/>
      <c r="WBB552"/>
      <c r="WBC552"/>
      <c r="WBD552"/>
      <c r="WBE552"/>
      <c r="WBF552"/>
      <c r="WBG552"/>
      <c r="WBH552"/>
      <c r="WBI552"/>
      <c r="WBJ552"/>
      <c r="WBK552"/>
      <c r="WBL552"/>
      <c r="WBM552"/>
      <c r="WBN552"/>
      <c r="WBO552"/>
      <c r="WBP552"/>
      <c r="WBQ552"/>
      <c r="WBR552"/>
      <c r="WBS552"/>
      <c r="WBT552"/>
      <c r="WBU552"/>
      <c r="WBV552"/>
      <c r="WBW552"/>
      <c r="WBX552"/>
      <c r="WBY552"/>
      <c r="WBZ552"/>
      <c r="WCA552"/>
      <c r="WCB552"/>
      <c r="WCC552"/>
      <c r="WCD552"/>
      <c r="WCE552"/>
      <c r="WCF552"/>
      <c r="WCG552"/>
      <c r="WCH552"/>
      <c r="WCI552"/>
      <c r="WCJ552"/>
      <c r="WCK552"/>
      <c r="WCL552"/>
      <c r="WCM552"/>
      <c r="WCN552"/>
      <c r="WCO552"/>
      <c r="WCP552"/>
      <c r="WCQ552"/>
      <c r="WCR552"/>
      <c r="WCS552"/>
      <c r="WCT552"/>
      <c r="WCU552"/>
      <c r="WCV552"/>
      <c r="WCW552"/>
      <c r="WCX552"/>
      <c r="WCY552"/>
      <c r="WCZ552"/>
      <c r="WDA552"/>
      <c r="WDB552"/>
      <c r="WDC552"/>
      <c r="WDD552"/>
      <c r="WDE552"/>
      <c r="WDF552"/>
      <c r="WDG552"/>
      <c r="WDH552"/>
      <c r="WDI552"/>
      <c r="WDJ552"/>
      <c r="WDK552"/>
      <c r="WDL552"/>
      <c r="WDM552"/>
      <c r="WDN552"/>
      <c r="WDO552"/>
      <c r="WDP552"/>
      <c r="WDQ552"/>
      <c r="WDR552"/>
      <c r="WDS552"/>
      <c r="WDT552"/>
      <c r="WDU552"/>
      <c r="WDV552"/>
      <c r="WDW552"/>
      <c r="WDX552"/>
      <c r="WDY552"/>
      <c r="WDZ552"/>
      <c r="WEA552"/>
      <c r="WEB552"/>
      <c r="WEC552"/>
      <c r="WED552"/>
      <c r="WEE552"/>
      <c r="WEF552"/>
      <c r="WEG552"/>
      <c r="WEH552"/>
      <c r="WEI552"/>
      <c r="WEJ552"/>
      <c r="WEK552"/>
      <c r="WEL552"/>
      <c r="WEM552"/>
      <c r="WEN552"/>
      <c r="WEO552"/>
      <c r="WEP552"/>
      <c r="WEQ552"/>
      <c r="WER552"/>
      <c r="WES552"/>
      <c r="WET552"/>
      <c r="WEU552"/>
      <c r="WEV552"/>
      <c r="WEW552"/>
      <c r="WEX552"/>
      <c r="WEY552"/>
      <c r="WEZ552"/>
      <c r="WFA552"/>
      <c r="WFB552"/>
      <c r="WFC552"/>
      <c r="WFD552"/>
      <c r="WFE552"/>
      <c r="WFF552"/>
      <c r="WFG552"/>
      <c r="WFH552"/>
      <c r="WFI552"/>
      <c r="WFJ552"/>
      <c r="WFK552"/>
      <c r="WFL552"/>
      <c r="WFM552"/>
      <c r="WFN552"/>
      <c r="WFO552"/>
      <c r="WFP552"/>
      <c r="WFQ552"/>
      <c r="WFR552"/>
      <c r="WFS552"/>
      <c r="WFT552"/>
      <c r="WFU552"/>
      <c r="WFV552"/>
      <c r="WFW552"/>
      <c r="WFX552"/>
      <c r="WFY552"/>
      <c r="WFZ552"/>
      <c r="WGA552"/>
      <c r="WGB552"/>
      <c r="WGC552"/>
      <c r="WGD552"/>
      <c r="WGE552"/>
      <c r="WGF552"/>
      <c r="WGG552"/>
      <c r="WGH552"/>
      <c r="WGI552"/>
      <c r="WGJ552"/>
      <c r="WGK552"/>
      <c r="WGL552"/>
      <c r="WGM552"/>
      <c r="WGN552"/>
      <c r="WGO552"/>
      <c r="WGP552"/>
      <c r="WGQ552"/>
      <c r="WGR552"/>
      <c r="WGS552"/>
      <c r="WGT552"/>
      <c r="WGU552"/>
      <c r="WGV552"/>
      <c r="WGW552"/>
      <c r="WGX552"/>
      <c r="WGY552"/>
      <c r="WGZ552"/>
      <c r="WHA552"/>
      <c r="WHB552"/>
      <c r="WHC552"/>
      <c r="WHD552"/>
      <c r="WHE552"/>
      <c r="WHF552"/>
      <c r="WHG552"/>
      <c r="WHH552"/>
      <c r="WHI552"/>
      <c r="WHJ552"/>
      <c r="WHK552"/>
      <c r="WHL552"/>
      <c r="WHM552"/>
      <c r="WHN552"/>
      <c r="WHO552"/>
      <c r="WHP552"/>
      <c r="WHQ552"/>
      <c r="WHR552"/>
      <c r="WHS552"/>
      <c r="WHT552"/>
      <c r="WHU552"/>
      <c r="WHV552"/>
      <c r="WHW552"/>
      <c r="WHX552"/>
      <c r="WHY552"/>
      <c r="WHZ552"/>
      <c r="WIA552"/>
      <c r="WIB552"/>
      <c r="WIC552"/>
      <c r="WID552"/>
      <c r="WIE552"/>
      <c r="WIF552"/>
      <c r="WIG552"/>
      <c r="WIH552"/>
      <c r="WII552"/>
      <c r="WIJ552"/>
      <c r="WIK552"/>
      <c r="WIL552"/>
      <c r="WIM552"/>
      <c r="WIN552"/>
      <c r="WIO552"/>
      <c r="WIP552"/>
      <c r="WIQ552"/>
      <c r="WIR552"/>
      <c r="WIS552"/>
      <c r="WIT552"/>
      <c r="WIU552"/>
      <c r="WIV552"/>
      <c r="WIW552"/>
      <c r="WIX552"/>
      <c r="WIY552"/>
      <c r="WIZ552"/>
      <c r="WJA552"/>
      <c r="WJB552"/>
      <c r="WJC552"/>
      <c r="WJD552"/>
      <c r="WJE552"/>
      <c r="WJF552"/>
      <c r="WJG552"/>
      <c r="WJH552"/>
      <c r="WJI552"/>
      <c r="WJJ552"/>
      <c r="WJK552"/>
      <c r="WJL552"/>
      <c r="WJM552"/>
      <c r="WJN552"/>
      <c r="WJO552"/>
      <c r="WJP552"/>
      <c r="WJQ552"/>
      <c r="WJR552"/>
      <c r="WJS552"/>
      <c r="WJT552"/>
      <c r="WJU552"/>
      <c r="WJV552"/>
      <c r="WJW552"/>
      <c r="WJX552"/>
      <c r="WJY552"/>
      <c r="WJZ552"/>
      <c r="WKA552"/>
      <c r="WKB552"/>
      <c r="WKC552"/>
      <c r="WKD552"/>
      <c r="WKE552"/>
      <c r="WKF552"/>
      <c r="WKG552"/>
      <c r="WKH552"/>
      <c r="WKI552"/>
      <c r="WKJ552"/>
      <c r="WKK552"/>
      <c r="WKL552"/>
      <c r="WKM552"/>
      <c r="WKN552"/>
      <c r="WKO552"/>
      <c r="WKP552"/>
      <c r="WKQ552"/>
      <c r="WKR552"/>
      <c r="WKS552"/>
      <c r="WKT552"/>
      <c r="WKU552"/>
      <c r="WKV552"/>
      <c r="WKW552"/>
      <c r="WKX552"/>
      <c r="WKY552"/>
      <c r="WKZ552"/>
      <c r="WLA552"/>
      <c r="WLB552"/>
      <c r="WLC552"/>
      <c r="WLD552"/>
      <c r="WLE552"/>
      <c r="WLF552"/>
      <c r="WLG552"/>
      <c r="WLH552"/>
      <c r="WLI552"/>
      <c r="WLJ552"/>
      <c r="WLK552"/>
      <c r="WLL552"/>
      <c r="WLM552"/>
      <c r="WLN552"/>
      <c r="WLO552"/>
      <c r="WLP552"/>
      <c r="WLQ552"/>
      <c r="WLR552"/>
      <c r="WLS552"/>
      <c r="WLT552"/>
      <c r="WLU552"/>
      <c r="WLV552"/>
      <c r="WLW552"/>
      <c r="WLX552"/>
      <c r="WLY552"/>
      <c r="WLZ552"/>
      <c r="WMA552"/>
      <c r="WMB552"/>
      <c r="WMC552"/>
      <c r="WMD552"/>
      <c r="WME552"/>
      <c r="WMF552"/>
      <c r="WMG552"/>
      <c r="WMH552"/>
      <c r="WMI552"/>
      <c r="WMJ552"/>
      <c r="WMK552"/>
      <c r="WML552"/>
      <c r="WMM552"/>
      <c r="WMN552"/>
      <c r="WMO552"/>
      <c r="WMP552"/>
      <c r="WMQ552"/>
      <c r="WMR552"/>
      <c r="WMS552"/>
      <c r="WMT552"/>
      <c r="WMU552"/>
      <c r="WMV552"/>
      <c r="WMW552"/>
      <c r="WMX552"/>
      <c r="WMY552"/>
      <c r="WMZ552"/>
      <c r="WNA552"/>
      <c r="WNB552"/>
      <c r="WNC552"/>
      <c r="WND552"/>
      <c r="WNE552"/>
      <c r="WNF552"/>
      <c r="WNG552"/>
      <c r="WNH552"/>
      <c r="WNI552"/>
      <c r="WNJ552"/>
      <c r="WNK552"/>
      <c r="WNL552"/>
      <c r="WNM552"/>
      <c r="WNN552"/>
      <c r="WNO552"/>
      <c r="WNP552"/>
      <c r="WNQ552"/>
      <c r="WNR552"/>
      <c r="WNS552"/>
      <c r="WNT552"/>
      <c r="WNU552"/>
      <c r="WNV552"/>
      <c r="WNW552"/>
      <c r="WNX552"/>
      <c r="WNY552"/>
      <c r="WNZ552"/>
      <c r="WOA552"/>
      <c r="WOB552"/>
      <c r="WOC552"/>
      <c r="WOD552"/>
      <c r="WOE552"/>
      <c r="WOF552"/>
      <c r="WOG552"/>
      <c r="WOH552"/>
      <c r="WOI552"/>
      <c r="WOJ552"/>
      <c r="WOK552"/>
      <c r="WOL552"/>
      <c r="WOM552"/>
      <c r="WON552"/>
      <c r="WOO552"/>
      <c r="WOP552"/>
      <c r="WOQ552"/>
      <c r="WOR552"/>
      <c r="WOS552"/>
      <c r="WOT552"/>
      <c r="WOU552"/>
      <c r="WOV552"/>
      <c r="WOW552"/>
      <c r="WOX552"/>
      <c r="WOY552"/>
      <c r="WOZ552"/>
      <c r="WPA552"/>
      <c r="WPB552"/>
      <c r="WPC552"/>
      <c r="WPD552"/>
      <c r="WPE552"/>
      <c r="WPF552"/>
      <c r="WPG552"/>
      <c r="WPH552"/>
      <c r="WPI552"/>
      <c r="WPJ552"/>
      <c r="WPK552"/>
      <c r="WPL552"/>
      <c r="WPM552"/>
      <c r="WPN552"/>
      <c r="WPO552"/>
      <c r="WPP552"/>
      <c r="WPQ552"/>
      <c r="WPR552"/>
      <c r="WPS552"/>
      <c r="WPT552"/>
      <c r="WPU552"/>
      <c r="WPV552"/>
      <c r="WPW552"/>
      <c r="WPX552"/>
      <c r="WPY552"/>
      <c r="WPZ552"/>
      <c r="WQA552"/>
      <c r="WQB552"/>
      <c r="WQC552"/>
      <c r="WQD552"/>
      <c r="WQE552"/>
      <c r="WQF552"/>
      <c r="WQG552"/>
      <c r="WQH552"/>
      <c r="WQI552"/>
      <c r="WQJ552"/>
      <c r="WQK552"/>
      <c r="WQL552"/>
      <c r="WQM552"/>
      <c r="WQN552"/>
      <c r="WQO552"/>
      <c r="WQP552"/>
      <c r="WQQ552"/>
      <c r="WQR552"/>
      <c r="WQS552"/>
      <c r="WQT552"/>
      <c r="WQU552"/>
      <c r="WQV552"/>
      <c r="WQW552"/>
      <c r="WQX552"/>
      <c r="WQY552"/>
      <c r="WQZ552"/>
      <c r="WRA552"/>
      <c r="WRB552"/>
      <c r="WRC552"/>
      <c r="WRD552"/>
      <c r="WRE552"/>
      <c r="WRF552"/>
      <c r="WRG552"/>
      <c r="WRH552"/>
      <c r="WRI552"/>
      <c r="WRJ552"/>
      <c r="WRK552"/>
      <c r="WRL552"/>
      <c r="WRM552"/>
      <c r="WRN552"/>
      <c r="WRO552"/>
      <c r="WRP552"/>
      <c r="WRQ552"/>
      <c r="WRR552"/>
      <c r="WRS552"/>
      <c r="WRT552"/>
      <c r="WRU552"/>
      <c r="WRV552"/>
      <c r="WRW552"/>
      <c r="WRX552"/>
      <c r="WRY552"/>
      <c r="WRZ552"/>
      <c r="WSA552"/>
      <c r="WSB552"/>
      <c r="WSC552"/>
      <c r="WSD552"/>
      <c r="WSE552"/>
      <c r="WSF552"/>
      <c r="WSG552"/>
      <c r="WSH552"/>
      <c r="WSI552"/>
      <c r="WSJ552"/>
      <c r="WSK552"/>
      <c r="WSL552"/>
      <c r="WSM552"/>
      <c r="WSN552"/>
      <c r="WSO552"/>
      <c r="WSP552"/>
      <c r="WSQ552"/>
      <c r="WSR552"/>
      <c r="WSS552"/>
      <c r="WST552"/>
      <c r="WSU552"/>
      <c r="WSV552"/>
      <c r="WSW552"/>
      <c r="WSX552"/>
      <c r="WSY552"/>
      <c r="WSZ552"/>
      <c r="WTA552"/>
      <c r="WTB552"/>
      <c r="WTC552"/>
      <c r="WTD552"/>
      <c r="WTE552"/>
      <c r="WTF552"/>
      <c r="WTG552"/>
      <c r="WTH552"/>
      <c r="WTI552"/>
      <c r="WTJ552"/>
      <c r="WTK552"/>
      <c r="WTL552"/>
      <c r="WTM552"/>
      <c r="WTN552"/>
      <c r="WTO552"/>
      <c r="WTP552"/>
      <c r="WTQ552"/>
      <c r="WTR552"/>
      <c r="WTS552"/>
      <c r="WTT552"/>
      <c r="WTU552"/>
      <c r="WTV552"/>
      <c r="WTW552"/>
      <c r="WTX552"/>
      <c r="WTY552"/>
      <c r="WTZ552"/>
      <c r="WUA552"/>
      <c r="WUB552"/>
      <c r="WUC552"/>
      <c r="WUD552"/>
      <c r="WUE552"/>
      <c r="WUF552"/>
      <c r="WUG552"/>
      <c r="WUH552"/>
      <c r="WUI552"/>
      <c r="WUJ552"/>
      <c r="WUK552"/>
      <c r="WUL552"/>
      <c r="WUM552"/>
      <c r="WUN552"/>
      <c r="WUO552"/>
      <c r="WUP552"/>
      <c r="WUQ552"/>
      <c r="WUR552"/>
      <c r="WUS552"/>
      <c r="WUT552"/>
      <c r="WUU552"/>
      <c r="WUV552"/>
      <c r="WUW552"/>
      <c r="WUX552"/>
      <c r="WUY552"/>
      <c r="WUZ552"/>
      <c r="WVA552"/>
      <c r="WVB552"/>
      <c r="WVC552"/>
      <c r="WVD552"/>
      <c r="WVE552"/>
      <c r="WVF552"/>
      <c r="WVG552"/>
      <c r="WVH552"/>
      <c r="WVI552"/>
      <c r="WVJ552"/>
      <c r="WVK552"/>
      <c r="WVL552"/>
      <c r="WVM552"/>
      <c r="WVN552"/>
      <c r="WVO552"/>
      <c r="WVP552"/>
      <c r="WVQ552"/>
      <c r="WVR552"/>
      <c r="WVS552"/>
      <c r="WVT552"/>
      <c r="WVU552"/>
      <c r="WVV552"/>
      <c r="WVW552"/>
      <c r="WVX552"/>
      <c r="WVY552"/>
      <c r="WVZ552"/>
      <c r="WWA552"/>
      <c r="WWB552"/>
      <c r="WWC552"/>
      <c r="WWD552"/>
      <c r="WWE552"/>
      <c r="WWF552"/>
      <c r="WWG552"/>
      <c r="WWH552"/>
      <c r="WWI552"/>
      <c r="WWJ552"/>
      <c r="WWK552"/>
      <c r="WWL552"/>
      <c r="WWM552"/>
      <c r="WWN552"/>
      <c r="WWO552"/>
      <c r="WWP552"/>
      <c r="WWQ552"/>
      <c r="WWR552"/>
      <c r="WWS552"/>
      <c r="WWT552"/>
      <c r="WWU552"/>
      <c r="WWV552"/>
      <c r="WWW552"/>
      <c r="WWX552"/>
      <c r="WWY552"/>
      <c r="WWZ552"/>
      <c r="WXA552"/>
      <c r="WXB552"/>
      <c r="WXC552"/>
      <c r="WXD552"/>
      <c r="WXE552"/>
      <c r="WXF552"/>
      <c r="WXG552"/>
      <c r="WXH552"/>
      <c r="WXI552"/>
      <c r="WXJ552"/>
      <c r="WXK552"/>
      <c r="WXL552"/>
      <c r="WXM552"/>
      <c r="WXN552"/>
      <c r="WXO552"/>
      <c r="WXP552"/>
      <c r="WXQ552"/>
      <c r="WXR552"/>
      <c r="WXS552"/>
      <c r="WXT552"/>
      <c r="WXU552"/>
      <c r="WXV552"/>
      <c r="WXW552"/>
      <c r="WXX552"/>
      <c r="WXY552"/>
      <c r="WXZ552"/>
      <c r="WYA552"/>
      <c r="WYB552"/>
      <c r="WYC552"/>
      <c r="WYD552"/>
      <c r="WYE552"/>
      <c r="WYF552"/>
      <c r="WYG552"/>
      <c r="WYH552"/>
      <c r="WYI552"/>
      <c r="WYJ552"/>
      <c r="WYK552"/>
      <c r="WYL552"/>
      <c r="WYM552"/>
      <c r="WYN552"/>
      <c r="WYO552"/>
      <c r="WYP552"/>
      <c r="WYQ552"/>
      <c r="WYR552"/>
      <c r="WYS552"/>
      <c r="WYT552"/>
      <c r="WYU552"/>
      <c r="WYV552"/>
      <c r="WYW552"/>
      <c r="WYX552"/>
      <c r="WYY552"/>
      <c r="WYZ552"/>
      <c r="WZA552"/>
      <c r="WZB552"/>
      <c r="WZC552"/>
      <c r="WZD552"/>
      <c r="WZE552"/>
      <c r="WZF552"/>
      <c r="WZG552"/>
      <c r="WZH552"/>
      <c r="WZI552"/>
      <c r="WZJ552"/>
      <c r="WZK552"/>
      <c r="WZL552"/>
      <c r="WZM552"/>
      <c r="WZN552"/>
      <c r="WZO552"/>
      <c r="WZP552"/>
      <c r="WZQ552"/>
      <c r="WZR552"/>
      <c r="WZS552"/>
      <c r="WZT552"/>
      <c r="WZU552"/>
      <c r="WZV552"/>
      <c r="WZW552"/>
      <c r="WZX552"/>
      <c r="WZY552"/>
      <c r="WZZ552"/>
      <c r="XAA552"/>
      <c r="XAB552"/>
      <c r="XAC552"/>
      <c r="XAD552"/>
      <c r="XAE552"/>
      <c r="XAF552"/>
      <c r="XAG552"/>
      <c r="XAH552"/>
      <c r="XAI552"/>
      <c r="XAJ552"/>
      <c r="XAK552"/>
      <c r="XAL552"/>
      <c r="XAM552"/>
      <c r="XAN552"/>
      <c r="XAO552"/>
      <c r="XAP552"/>
      <c r="XAQ552"/>
      <c r="XAR552"/>
      <c r="XAS552"/>
      <c r="XAT552"/>
      <c r="XAU552"/>
      <c r="XAV552"/>
      <c r="XAW552"/>
      <c r="XAX552"/>
      <c r="XAY552"/>
      <c r="XAZ552"/>
      <c r="XBA552"/>
      <c r="XBB552"/>
      <c r="XBC552"/>
      <c r="XBD552"/>
      <c r="XBE552"/>
      <c r="XBF552"/>
      <c r="XBG552"/>
      <c r="XBH552"/>
      <c r="XBI552"/>
      <c r="XBJ552"/>
      <c r="XBK552"/>
      <c r="XBL552"/>
      <c r="XBM552"/>
      <c r="XBN552"/>
      <c r="XBO552"/>
      <c r="XBP552"/>
      <c r="XBQ552"/>
      <c r="XBR552"/>
      <c r="XBS552"/>
      <c r="XBT552"/>
      <c r="XBU552"/>
      <c r="XBV552"/>
      <c r="XBW552"/>
      <c r="XBX552"/>
      <c r="XBY552"/>
      <c r="XBZ552"/>
      <c r="XCA552"/>
      <c r="XCB552"/>
      <c r="XCC552"/>
      <c r="XCD552"/>
      <c r="XCE552"/>
      <c r="XCF552"/>
      <c r="XCG552"/>
      <c r="XCH552"/>
      <c r="XCI552"/>
      <c r="XCJ552"/>
      <c r="XCK552"/>
      <c r="XCL552"/>
      <c r="XCM552"/>
      <c r="XCN552"/>
      <c r="XCO552"/>
      <c r="XCP552"/>
      <c r="XCQ552"/>
      <c r="XCR552"/>
      <c r="XCS552"/>
      <c r="XCT552"/>
      <c r="XCU552"/>
      <c r="XCV552"/>
      <c r="XCW552"/>
      <c r="XCX552"/>
      <c r="XCY552"/>
      <c r="XCZ552"/>
      <c r="XDA552"/>
      <c r="XDB552"/>
      <c r="XDC552"/>
      <c r="XDD552"/>
      <c r="XDE552"/>
      <c r="XDF552"/>
      <c r="XDG552"/>
      <c r="XDH552"/>
      <c r="XDI552"/>
      <c r="XDJ552"/>
      <c r="XDK552"/>
      <c r="XDL552"/>
      <c r="XDM552"/>
      <c r="XDN552"/>
      <c r="XDO552"/>
      <c r="XDP552"/>
      <c r="XDQ552"/>
      <c r="XDR552"/>
      <c r="XDS552"/>
      <c r="XDT552"/>
      <c r="XDU552"/>
      <c r="XDV552"/>
      <c r="XDW552"/>
      <c r="XDX552"/>
      <c r="XDY552"/>
      <c r="XDZ552"/>
      <c r="XEA552"/>
      <c r="XEB552"/>
      <c r="XEC552"/>
      <c r="XED552"/>
      <c r="XEE552"/>
      <c r="XEF552"/>
      <c r="XEG552"/>
      <c r="XEH552"/>
      <c r="XEI552"/>
      <c r="XEJ552"/>
      <c r="XEK552"/>
      <c r="XEL552"/>
      <c r="XEM552"/>
      <c r="XEN552"/>
      <c r="XEO552"/>
      <c r="XEP552"/>
      <c r="XEQ552"/>
      <c r="XER552"/>
      <c r="XES552"/>
      <c r="XET552"/>
      <c r="XEU552"/>
      <c r="XEV552"/>
      <c r="XEW552"/>
      <c r="XEX552"/>
      <c r="XEY552"/>
      <c r="XEZ552"/>
    </row>
    <row r="553" spans="1:16380">
      <c r="A553" s="68" t="s">
        <v>1514</v>
      </c>
      <c r="B553" s="363" t="s">
        <v>2181</v>
      </c>
      <c r="C553" s="373">
        <v>152.4</v>
      </c>
      <c r="D553" s="373">
        <v>152.4</v>
      </c>
      <c r="E553" s="373">
        <v>76.2</v>
      </c>
      <c r="F553" s="373">
        <v>50.8</v>
      </c>
      <c r="G553" s="17">
        <f t="shared" si="57"/>
        <v>1.4748357599999999</v>
      </c>
      <c r="K553" s="59"/>
      <c r="L553"/>
      <c r="M553"/>
      <c r="N553" s="366"/>
      <c r="O553"/>
      <c r="P553"/>
      <c r="Q553"/>
      <c r="R553"/>
      <c r="S553" s="366"/>
      <c r="T553" s="366"/>
      <c r="U553"/>
      <c r="V553"/>
      <c r="W553"/>
      <c r="X553" s="366"/>
      <c r="Y553"/>
      <c r="Z553"/>
      <c r="AA553"/>
      <c r="AB553"/>
      <c r="AC553"/>
      <c r="AD553"/>
      <c r="AE553"/>
      <c r="AF553"/>
      <c r="AG553"/>
      <c r="AH553"/>
      <c r="AI553"/>
      <c r="AJ553" s="366"/>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c r="LQ553"/>
      <c r="LR553"/>
      <c r="LS553"/>
      <c r="LT553"/>
      <c r="LU553"/>
      <c r="LV553"/>
      <c r="LW553"/>
      <c r="LX553"/>
      <c r="LY553"/>
      <c r="LZ553"/>
      <c r="MA553"/>
      <c r="MB553"/>
      <c r="MC553"/>
      <c r="MD553"/>
      <c r="ME553"/>
      <c r="MF553"/>
      <c r="MG553"/>
      <c r="MH553"/>
      <c r="MI553"/>
      <c r="MJ553"/>
      <c r="MK553"/>
      <c r="ML553"/>
      <c r="MM553"/>
      <c r="MN553"/>
      <c r="MO553"/>
      <c r="MP553"/>
      <c r="MQ553"/>
      <c r="MR553"/>
      <c r="MS553"/>
      <c r="MT553"/>
      <c r="MU553"/>
      <c r="MV553"/>
      <c r="MW553"/>
      <c r="MX553"/>
      <c r="MY553"/>
      <c r="MZ553"/>
      <c r="NA553"/>
      <c r="NB553"/>
      <c r="NC553"/>
      <c r="ND553"/>
      <c r="NE553"/>
      <c r="NF553"/>
      <c r="NG553"/>
      <c r="NH553"/>
      <c r="NI553"/>
      <c r="NJ553"/>
      <c r="NK553"/>
      <c r="NL553"/>
      <c r="NM553"/>
      <c r="NN553"/>
      <c r="NO553"/>
      <c r="NP553"/>
      <c r="NQ553"/>
      <c r="NR553"/>
      <c r="NS553"/>
      <c r="NT553"/>
      <c r="NU553"/>
      <c r="NV553"/>
      <c r="NW553"/>
      <c r="NX553"/>
      <c r="NY553"/>
      <c r="NZ553"/>
      <c r="OA553"/>
      <c r="OB553"/>
      <c r="OC553"/>
      <c r="OD553"/>
      <c r="OE553"/>
      <c r="OF553"/>
      <c r="OG553"/>
      <c r="OH553"/>
      <c r="OI553"/>
      <c r="OJ553"/>
      <c r="OK553"/>
      <c r="OL553"/>
      <c r="OM553"/>
      <c r="ON553"/>
      <c r="OO553"/>
      <c r="OP553"/>
      <c r="OQ553"/>
      <c r="OR553"/>
      <c r="OS553"/>
      <c r="OT553"/>
      <c r="OU553"/>
      <c r="OV553"/>
      <c r="OW553"/>
      <c r="OX553"/>
      <c r="OY553"/>
      <c r="OZ553"/>
      <c r="PA553"/>
      <c r="PB553"/>
      <c r="PC553"/>
      <c r="PD553"/>
      <c r="PE553"/>
      <c r="PF553"/>
      <c r="PG553"/>
      <c r="PH553"/>
      <c r="PI553"/>
      <c r="PJ553"/>
      <c r="PK553"/>
      <c r="PL553"/>
      <c r="PM553"/>
      <c r="PN553"/>
      <c r="PO553"/>
      <c r="PP553"/>
      <c r="PQ553"/>
      <c r="PR553"/>
      <c r="PS553"/>
      <c r="PT553"/>
      <c r="PU553"/>
      <c r="PV553"/>
      <c r="PW553"/>
      <c r="PX553"/>
      <c r="PY553"/>
      <c r="PZ553"/>
      <c r="QA553"/>
      <c r="QB553"/>
      <c r="QC553"/>
      <c r="QD553"/>
      <c r="QE553"/>
      <c r="QF553"/>
      <c r="QG553"/>
      <c r="QH553"/>
      <c r="QI553"/>
      <c r="QJ553"/>
      <c r="QK553"/>
      <c r="QL553"/>
      <c r="QM553"/>
      <c r="QN553"/>
      <c r="QO553"/>
      <c r="QP553"/>
      <c r="QQ553"/>
      <c r="QR553"/>
      <c r="QS553"/>
      <c r="QT553"/>
      <c r="QU553"/>
      <c r="QV553"/>
      <c r="QW553"/>
      <c r="QX553"/>
      <c r="QY553"/>
      <c r="QZ553"/>
      <c r="RA553"/>
      <c r="RB553"/>
      <c r="RC553"/>
      <c r="RD553"/>
      <c r="RE553"/>
      <c r="RF553"/>
      <c r="RG553"/>
      <c r="RH553"/>
      <c r="RI553"/>
      <c r="RJ553"/>
      <c r="RK553"/>
      <c r="RL553"/>
      <c r="RM553"/>
      <c r="RN553"/>
      <c r="RO553"/>
      <c r="RP553"/>
      <c r="RQ553"/>
      <c r="RR553"/>
      <c r="RS553"/>
      <c r="RT553"/>
      <c r="RU553"/>
      <c r="RV553"/>
      <c r="RW553"/>
      <c r="RX553"/>
      <c r="RY553"/>
      <c r="RZ553"/>
      <c r="SA553"/>
      <c r="SB553"/>
      <c r="SC553"/>
      <c r="SD553"/>
      <c r="SE553"/>
      <c r="SF553"/>
      <c r="SG553"/>
      <c r="SH553"/>
      <c r="SI553"/>
      <c r="SJ553"/>
      <c r="SK553"/>
      <c r="SL553"/>
      <c r="SM553"/>
      <c r="SN553"/>
      <c r="SO553"/>
      <c r="SP553"/>
      <c r="SQ553"/>
      <c r="SR553"/>
      <c r="SS553"/>
      <c r="ST553"/>
      <c r="SU553"/>
      <c r="SV553"/>
      <c r="SW553"/>
      <c r="SX553"/>
      <c r="SY553"/>
      <c r="SZ553"/>
      <c r="TA553"/>
      <c r="TB553"/>
      <c r="TC553"/>
      <c r="TD553"/>
      <c r="TE553"/>
      <c r="TF553"/>
      <c r="TG553"/>
      <c r="TH553"/>
      <c r="TI553"/>
      <c r="TJ553"/>
      <c r="TK553"/>
      <c r="TL553"/>
      <c r="TM553"/>
      <c r="TN553"/>
      <c r="TO553"/>
      <c r="TP553"/>
      <c r="TQ553"/>
      <c r="TR553"/>
      <c r="TS553"/>
      <c r="TT553"/>
      <c r="TU553"/>
      <c r="TV553"/>
      <c r="TW553"/>
      <c r="TX553"/>
      <c r="TY553"/>
      <c r="TZ553"/>
      <c r="UA553"/>
      <c r="UB553"/>
      <c r="UC553"/>
      <c r="UD553"/>
      <c r="UE553"/>
      <c r="UF553"/>
      <c r="UG553"/>
      <c r="UH553"/>
      <c r="UI553"/>
      <c r="UJ553"/>
      <c r="UK553"/>
      <c r="UL553"/>
      <c r="UM553"/>
      <c r="UN553"/>
      <c r="UO553"/>
      <c r="UP553"/>
      <c r="UQ553"/>
      <c r="UR553"/>
      <c r="US553"/>
      <c r="UT553"/>
      <c r="UU553"/>
      <c r="UV553"/>
      <c r="UW553"/>
      <c r="UX553"/>
      <c r="UY553"/>
      <c r="UZ553"/>
      <c r="VA553"/>
      <c r="VB553"/>
      <c r="VC553"/>
      <c r="VD553"/>
      <c r="VE553"/>
      <c r="VF553"/>
      <c r="VG553"/>
      <c r="VH553"/>
      <c r="VI553"/>
      <c r="VJ553"/>
      <c r="VK553"/>
      <c r="VL553"/>
      <c r="VM553"/>
      <c r="VN553"/>
      <c r="VO553"/>
      <c r="VP553"/>
      <c r="VQ553"/>
      <c r="VR553"/>
      <c r="VS553"/>
      <c r="VT553"/>
      <c r="VU553"/>
      <c r="VV553"/>
      <c r="VW553"/>
      <c r="VX553"/>
      <c r="VY553"/>
      <c r="VZ553"/>
      <c r="WA553"/>
      <c r="WB553"/>
      <c r="WC553"/>
      <c r="WD553"/>
      <c r="WE553"/>
      <c r="WF553"/>
      <c r="WG553"/>
      <c r="WH553"/>
      <c r="WI553"/>
      <c r="WJ553"/>
      <c r="WK553"/>
      <c r="WL553"/>
      <c r="WM553"/>
      <c r="WN553"/>
      <c r="WO553"/>
      <c r="WP553"/>
      <c r="WQ553"/>
      <c r="WR553"/>
      <c r="WS553"/>
      <c r="WT553"/>
      <c r="WU553"/>
      <c r="WV553"/>
      <c r="WW553"/>
      <c r="WX553"/>
      <c r="WY553"/>
      <c r="WZ553"/>
      <c r="XA553"/>
      <c r="XB553"/>
      <c r="XC553"/>
      <c r="XD553"/>
      <c r="XE553"/>
      <c r="XF553"/>
      <c r="XG553"/>
      <c r="XH553"/>
      <c r="XI553"/>
      <c r="XJ553"/>
      <c r="XK553"/>
      <c r="XL553"/>
      <c r="XM553"/>
      <c r="XN553"/>
      <c r="XO553"/>
      <c r="XP553"/>
      <c r="XQ553"/>
      <c r="XR553"/>
      <c r="XS553"/>
      <c r="XT553"/>
      <c r="XU553"/>
      <c r="XV553"/>
      <c r="XW553"/>
      <c r="XX553"/>
      <c r="XY553"/>
      <c r="XZ553"/>
      <c r="YA553"/>
      <c r="YB553"/>
      <c r="YC553"/>
      <c r="YD553"/>
      <c r="YE553"/>
      <c r="YF553"/>
      <c r="YG553"/>
      <c r="YH553"/>
      <c r="YI553"/>
      <c r="YJ553"/>
      <c r="YK553"/>
      <c r="YL553"/>
      <c r="YM553"/>
      <c r="YN553"/>
      <c r="YO553"/>
      <c r="YP553"/>
      <c r="YQ553"/>
      <c r="YR553"/>
      <c r="YS553"/>
      <c r="YT553"/>
      <c r="YU553"/>
      <c r="YV553"/>
      <c r="YW553"/>
      <c r="YX553"/>
      <c r="YY553"/>
      <c r="YZ553"/>
      <c r="ZA553"/>
      <c r="ZB553"/>
      <c r="ZC553"/>
      <c r="ZD553"/>
      <c r="ZE553"/>
      <c r="ZF553"/>
      <c r="ZG553"/>
      <c r="ZH553"/>
      <c r="ZI553"/>
      <c r="ZJ553"/>
      <c r="ZK553"/>
      <c r="ZL553"/>
      <c r="ZM553"/>
      <c r="ZN553"/>
      <c r="ZO553"/>
      <c r="ZP553"/>
      <c r="ZQ553"/>
      <c r="ZR553"/>
      <c r="ZS553"/>
      <c r="ZT553"/>
      <c r="ZU553"/>
      <c r="ZV553"/>
      <c r="ZW553"/>
      <c r="ZX553"/>
      <c r="ZY553"/>
      <c r="ZZ553"/>
      <c r="AAA553"/>
      <c r="AAB553"/>
      <c r="AAC553"/>
      <c r="AAD553"/>
      <c r="AAE553"/>
      <c r="AAF553"/>
      <c r="AAG553"/>
      <c r="AAH553"/>
      <c r="AAI553"/>
      <c r="AAJ553"/>
      <c r="AAK553"/>
      <c r="AAL553"/>
      <c r="AAM553"/>
      <c r="AAN553"/>
      <c r="AAO553"/>
      <c r="AAP553"/>
      <c r="AAQ553"/>
      <c r="AAR553"/>
      <c r="AAS553"/>
      <c r="AAT553"/>
      <c r="AAU553"/>
      <c r="AAV553"/>
      <c r="AAW553"/>
      <c r="AAX553"/>
      <c r="AAY553"/>
      <c r="AAZ553"/>
      <c r="ABA553"/>
      <c r="ABB553"/>
      <c r="ABC553"/>
      <c r="ABD553"/>
      <c r="ABE553"/>
      <c r="ABF553"/>
      <c r="ABG553"/>
      <c r="ABH553"/>
      <c r="ABI553"/>
      <c r="ABJ553"/>
      <c r="ABK553"/>
      <c r="ABL553"/>
      <c r="ABM553"/>
      <c r="ABN553"/>
      <c r="ABO553"/>
      <c r="ABP553"/>
      <c r="ABQ553"/>
      <c r="ABR553"/>
      <c r="ABS553"/>
      <c r="ABT553"/>
      <c r="ABU553"/>
      <c r="ABV553"/>
      <c r="ABW553"/>
      <c r="ABX553"/>
      <c r="ABY553"/>
      <c r="ABZ553"/>
      <c r="ACA553"/>
      <c r="ACB553"/>
      <c r="ACC553"/>
      <c r="ACD553"/>
      <c r="ACE553"/>
      <c r="ACF553"/>
      <c r="ACG553"/>
      <c r="ACH553"/>
      <c r="ACI553"/>
      <c r="ACJ553"/>
      <c r="ACK553"/>
      <c r="ACL553"/>
      <c r="ACM553"/>
      <c r="ACN553"/>
      <c r="ACO553"/>
      <c r="ACP553"/>
      <c r="ACQ553"/>
      <c r="ACR553"/>
      <c r="ACS553"/>
      <c r="ACT553"/>
      <c r="ACU553"/>
      <c r="ACV553"/>
      <c r="ACW553"/>
      <c r="ACX553"/>
      <c r="ACY553"/>
      <c r="ACZ553"/>
      <c r="ADA553"/>
      <c r="ADB553"/>
      <c r="ADC553"/>
      <c r="ADD553"/>
      <c r="ADE553"/>
      <c r="ADF553"/>
      <c r="ADG553"/>
      <c r="ADH553"/>
      <c r="ADI553"/>
      <c r="ADJ553"/>
      <c r="ADK553"/>
      <c r="ADL553"/>
      <c r="ADM553"/>
      <c r="ADN553"/>
      <c r="ADO553"/>
      <c r="ADP553"/>
      <c r="ADQ553"/>
      <c r="ADR553"/>
      <c r="ADS553"/>
      <c r="ADT553"/>
      <c r="ADU553"/>
      <c r="ADV553"/>
      <c r="ADW553"/>
      <c r="ADX553"/>
      <c r="ADY553"/>
      <c r="ADZ553"/>
      <c r="AEA553"/>
      <c r="AEB553"/>
      <c r="AEC553"/>
      <c r="AED553"/>
      <c r="AEE553"/>
      <c r="AEF553"/>
      <c r="AEG553"/>
      <c r="AEH553"/>
      <c r="AEI553"/>
      <c r="AEJ553"/>
      <c r="AEK553"/>
      <c r="AEL553"/>
      <c r="AEM553"/>
      <c r="AEN553"/>
      <c r="AEO553"/>
      <c r="AEP553"/>
      <c r="AEQ553"/>
      <c r="AER553"/>
      <c r="AES553"/>
      <c r="AET553"/>
      <c r="AEU553"/>
      <c r="AEV553"/>
      <c r="AEW553"/>
      <c r="AEX553"/>
      <c r="AEY553"/>
      <c r="AEZ553"/>
      <c r="AFA553"/>
      <c r="AFB553"/>
      <c r="AFC553"/>
      <c r="AFD553"/>
      <c r="AFE553"/>
      <c r="AFF553"/>
      <c r="AFG553"/>
      <c r="AFH553"/>
      <c r="AFI553"/>
      <c r="AFJ553"/>
      <c r="AFK553"/>
      <c r="AFL553"/>
      <c r="AFM553"/>
      <c r="AFN553"/>
      <c r="AFO553"/>
      <c r="AFP553"/>
      <c r="AFQ553"/>
      <c r="AFR553"/>
      <c r="AFS553"/>
      <c r="AFT553"/>
      <c r="AFU553"/>
      <c r="AFV553"/>
      <c r="AFW553"/>
      <c r="AFX553"/>
      <c r="AFY553"/>
      <c r="AFZ553"/>
      <c r="AGA553"/>
      <c r="AGB553"/>
      <c r="AGC553"/>
      <c r="AGD553"/>
      <c r="AGE553"/>
      <c r="AGF553"/>
      <c r="AGG553"/>
      <c r="AGH553"/>
      <c r="AGI553"/>
      <c r="AGJ553"/>
      <c r="AGK553"/>
      <c r="AGL553"/>
      <c r="AGM553"/>
      <c r="AGN553"/>
      <c r="AGO553"/>
      <c r="AGP553"/>
      <c r="AGQ553"/>
      <c r="AGR553"/>
      <c r="AGS553"/>
      <c r="AGT553"/>
      <c r="AGU553"/>
      <c r="AGV553"/>
      <c r="AGW553"/>
      <c r="AGX553"/>
      <c r="AGY553"/>
      <c r="AGZ553"/>
      <c r="AHA553"/>
      <c r="AHB553"/>
      <c r="AHC553"/>
      <c r="AHD553"/>
      <c r="AHE553"/>
      <c r="AHF553"/>
      <c r="AHG553"/>
      <c r="AHH553"/>
      <c r="AHI553"/>
      <c r="AHJ553"/>
      <c r="AHK553"/>
      <c r="AHL553"/>
      <c r="AHM553"/>
      <c r="AHN553"/>
      <c r="AHO553"/>
      <c r="AHP553"/>
      <c r="AHQ553"/>
      <c r="AHR553"/>
      <c r="AHS553"/>
      <c r="AHT553"/>
      <c r="AHU553"/>
      <c r="AHV553"/>
      <c r="AHW553"/>
      <c r="AHX553"/>
      <c r="AHY553"/>
      <c r="AHZ553"/>
      <c r="AIA553"/>
      <c r="AIB553"/>
      <c r="AIC553"/>
      <c r="AID553"/>
      <c r="AIE553"/>
      <c r="AIF553"/>
      <c r="AIG553"/>
      <c r="AIH553"/>
      <c r="AII553"/>
      <c r="AIJ553"/>
      <c r="AIK553"/>
      <c r="AIL553"/>
      <c r="AIM553"/>
      <c r="AIN553"/>
      <c r="AIO553"/>
      <c r="AIP553"/>
      <c r="AIQ553"/>
      <c r="AIR553"/>
      <c r="AIS553"/>
      <c r="AIT553"/>
      <c r="AIU553"/>
      <c r="AIV553"/>
      <c r="AIW553"/>
      <c r="AIX553"/>
      <c r="AIY553"/>
      <c r="AIZ553"/>
      <c r="AJA553"/>
      <c r="AJB553"/>
      <c r="AJC553"/>
      <c r="AJD553"/>
      <c r="AJE553"/>
      <c r="AJF553"/>
      <c r="AJG553"/>
      <c r="AJH553"/>
      <c r="AJI553"/>
      <c r="AJJ553"/>
      <c r="AJK553"/>
      <c r="AJL553"/>
      <c r="AJM553"/>
      <c r="AJN553"/>
      <c r="AJO553"/>
      <c r="AJP553"/>
      <c r="AJQ553"/>
      <c r="AJR553"/>
      <c r="AJS553"/>
      <c r="AJT553"/>
      <c r="AJU553"/>
      <c r="AJV553"/>
      <c r="AJW553"/>
      <c r="AJX553"/>
      <c r="AJY553"/>
      <c r="AJZ553"/>
      <c r="AKA553"/>
      <c r="AKB553"/>
      <c r="AKC553"/>
      <c r="AKD553"/>
      <c r="AKE553"/>
      <c r="AKF553"/>
      <c r="AKG553"/>
      <c r="AKH553"/>
      <c r="AKI553"/>
      <c r="AKJ553"/>
      <c r="AKK553"/>
      <c r="AKL553"/>
      <c r="AKM553"/>
      <c r="AKN553"/>
      <c r="AKO553"/>
      <c r="AKP553"/>
      <c r="AKQ553"/>
      <c r="AKR553"/>
      <c r="AKS553"/>
      <c r="AKT553"/>
      <c r="AKU553"/>
      <c r="AKV553"/>
      <c r="AKW553"/>
      <c r="AKX553"/>
      <c r="AKY553"/>
      <c r="AKZ553"/>
      <c r="ALA553"/>
      <c r="ALB553"/>
      <c r="ALC553"/>
      <c r="ALD553"/>
      <c r="ALE553"/>
      <c r="ALF553"/>
      <c r="ALG553"/>
      <c r="ALH553"/>
      <c r="ALI553"/>
      <c r="ALJ553"/>
      <c r="ALK553"/>
      <c r="ALL553"/>
      <c r="ALM553"/>
      <c r="ALN553"/>
      <c r="ALO553"/>
      <c r="ALP553"/>
      <c r="ALQ553"/>
      <c r="ALR553"/>
      <c r="ALS553"/>
      <c r="ALT553"/>
      <c r="ALU553"/>
      <c r="ALV553"/>
      <c r="ALW553"/>
      <c r="ALX553"/>
      <c r="ALY553"/>
      <c r="ALZ553"/>
      <c r="AMA553"/>
      <c r="AMB553"/>
      <c r="AMC553"/>
      <c r="AMD553"/>
      <c r="AME553"/>
      <c r="AMF553"/>
      <c r="AMG553"/>
      <c r="AMH553"/>
      <c r="AMI553"/>
      <c r="AMJ553"/>
      <c r="AMK553"/>
      <c r="AML553"/>
      <c r="AMM553"/>
      <c r="AMN553"/>
      <c r="AMO553"/>
      <c r="AMP553"/>
      <c r="AMQ553"/>
      <c r="AMR553"/>
      <c r="AMS553"/>
      <c r="AMT553"/>
      <c r="AMU553"/>
      <c r="AMV553"/>
      <c r="AMW553"/>
      <c r="AMX553"/>
      <c r="AMY553"/>
      <c r="AMZ553"/>
      <c r="ANA553"/>
      <c r="ANB553"/>
      <c r="ANC553"/>
      <c r="AND553"/>
      <c r="ANE553"/>
      <c r="ANF553"/>
      <c r="ANG553"/>
      <c r="ANH553"/>
      <c r="ANI553"/>
      <c r="ANJ553"/>
      <c r="ANK553"/>
      <c r="ANL553"/>
      <c r="ANM553"/>
      <c r="ANN553"/>
      <c r="ANO553"/>
      <c r="ANP553"/>
      <c r="ANQ553"/>
      <c r="ANR553"/>
      <c r="ANS553"/>
      <c r="ANT553"/>
      <c r="ANU553"/>
      <c r="ANV553"/>
      <c r="ANW553"/>
      <c r="ANX553"/>
      <c r="ANY553"/>
      <c r="ANZ553"/>
      <c r="AOA553"/>
      <c r="AOB553"/>
      <c r="AOC553"/>
      <c r="AOD553"/>
      <c r="AOE553"/>
      <c r="AOF553"/>
      <c r="AOG553"/>
      <c r="AOH553"/>
      <c r="AOI553"/>
      <c r="AOJ553"/>
      <c r="AOK553"/>
      <c r="AOL553"/>
      <c r="AOM553"/>
      <c r="AON553"/>
      <c r="AOO553"/>
      <c r="AOP553"/>
      <c r="AOQ553"/>
      <c r="AOR553"/>
      <c r="AOS553"/>
      <c r="AOT553"/>
      <c r="AOU553"/>
      <c r="AOV553"/>
      <c r="AOW553"/>
      <c r="AOX553"/>
      <c r="AOY553"/>
      <c r="AOZ553"/>
      <c r="APA553"/>
      <c r="APB553"/>
      <c r="APC553"/>
      <c r="APD553"/>
      <c r="APE553"/>
      <c r="APF553"/>
      <c r="APG553"/>
      <c r="APH553"/>
      <c r="API553"/>
      <c r="APJ553"/>
      <c r="APK553"/>
      <c r="APL553"/>
      <c r="APM553"/>
      <c r="APN553"/>
      <c r="APO553"/>
      <c r="APP553"/>
      <c r="APQ553"/>
      <c r="APR553"/>
      <c r="APS553"/>
      <c r="APT553"/>
      <c r="APU553"/>
      <c r="APV553"/>
      <c r="APW553"/>
      <c r="APX553"/>
      <c r="APY553"/>
      <c r="APZ553"/>
      <c r="AQA553"/>
      <c r="AQB553"/>
      <c r="AQC553"/>
      <c r="AQD553"/>
      <c r="AQE553"/>
      <c r="AQF553"/>
      <c r="AQG553"/>
      <c r="AQH553"/>
      <c r="AQI553"/>
      <c r="AQJ553"/>
      <c r="AQK553"/>
      <c r="AQL553"/>
      <c r="AQM553"/>
      <c r="AQN553"/>
      <c r="AQO553"/>
      <c r="AQP553"/>
      <c r="AQQ553"/>
      <c r="AQR553"/>
      <c r="AQS553"/>
      <c r="AQT553"/>
      <c r="AQU553"/>
      <c r="AQV553"/>
      <c r="AQW553"/>
      <c r="AQX553"/>
      <c r="AQY553"/>
      <c r="AQZ553"/>
      <c r="ARA553"/>
      <c r="ARB553"/>
      <c r="ARC553"/>
      <c r="ARD553"/>
      <c r="ARE553"/>
      <c r="ARF553"/>
      <c r="ARG553"/>
      <c r="ARH553"/>
      <c r="ARI553"/>
      <c r="ARJ553"/>
      <c r="ARK553"/>
      <c r="ARL553"/>
      <c r="ARM553"/>
      <c r="ARN553"/>
      <c r="ARO553"/>
      <c r="ARP553"/>
      <c r="ARQ553"/>
      <c r="ARR553"/>
      <c r="ARS553"/>
      <c r="ART553"/>
      <c r="ARU553"/>
      <c r="ARV553"/>
      <c r="ARW553"/>
      <c r="ARX553"/>
      <c r="ARY553"/>
      <c r="ARZ553"/>
      <c r="ASA553"/>
      <c r="ASB553"/>
      <c r="ASC553"/>
      <c r="ASD553"/>
      <c r="ASE553"/>
      <c r="ASF553"/>
      <c r="ASG553"/>
      <c r="ASH553"/>
      <c r="ASI553"/>
      <c r="ASJ553"/>
      <c r="ASK553"/>
      <c r="ASL553"/>
      <c r="ASM553"/>
      <c r="ASN553"/>
      <c r="ASO553"/>
      <c r="ASP553"/>
      <c r="ASQ553"/>
      <c r="ASR553"/>
      <c r="ASS553"/>
      <c r="AST553"/>
      <c r="ASU553"/>
      <c r="ASV553"/>
      <c r="ASW553"/>
      <c r="ASX553"/>
      <c r="ASY553"/>
      <c r="ASZ553"/>
      <c r="ATA553"/>
      <c r="ATB553"/>
      <c r="ATC553"/>
      <c r="ATD553"/>
      <c r="ATE553"/>
      <c r="ATF553"/>
      <c r="ATG553"/>
      <c r="ATH553"/>
      <c r="ATI553"/>
      <c r="ATJ553"/>
      <c r="ATK553"/>
      <c r="ATL553"/>
      <c r="ATM553"/>
      <c r="ATN553"/>
      <c r="ATO553"/>
      <c r="ATP553"/>
      <c r="ATQ553"/>
      <c r="ATR553"/>
      <c r="ATS553"/>
      <c r="ATT553"/>
      <c r="ATU553"/>
      <c r="ATV553"/>
      <c r="ATW553"/>
      <c r="ATX553"/>
      <c r="ATY553"/>
      <c r="ATZ553"/>
      <c r="AUA553"/>
      <c r="AUB553"/>
      <c r="AUC553"/>
      <c r="AUD553"/>
      <c r="AUE553"/>
      <c r="AUF553"/>
      <c r="AUG553"/>
      <c r="AUH553"/>
      <c r="AUI553"/>
      <c r="AUJ553"/>
      <c r="AUK553"/>
      <c r="AUL553"/>
      <c r="AUM553"/>
      <c r="AUN553"/>
      <c r="AUO553"/>
      <c r="AUP553"/>
      <c r="AUQ553"/>
      <c r="AUR553"/>
      <c r="AUS553"/>
      <c r="AUT553"/>
      <c r="AUU553"/>
      <c r="AUV553"/>
      <c r="AUW553"/>
      <c r="AUX553"/>
      <c r="AUY553"/>
      <c r="AUZ553"/>
      <c r="AVA553"/>
      <c r="AVB553"/>
      <c r="AVC553"/>
      <c r="AVD553"/>
      <c r="AVE553"/>
      <c r="AVF553"/>
      <c r="AVG553"/>
      <c r="AVH553"/>
      <c r="AVI553"/>
      <c r="AVJ553"/>
      <c r="AVK553"/>
      <c r="AVL553"/>
      <c r="AVM553"/>
      <c r="AVN553"/>
      <c r="AVO553"/>
      <c r="AVP553"/>
      <c r="AVQ553"/>
      <c r="AVR553"/>
      <c r="AVS553"/>
      <c r="AVT553"/>
      <c r="AVU553"/>
      <c r="AVV553"/>
      <c r="AVW553"/>
      <c r="AVX553"/>
      <c r="AVY553"/>
      <c r="AVZ553"/>
      <c r="AWA553"/>
      <c r="AWB553"/>
      <c r="AWC553"/>
      <c r="AWD553"/>
      <c r="AWE553"/>
      <c r="AWF553"/>
      <c r="AWG553"/>
      <c r="AWH553"/>
      <c r="AWI553"/>
      <c r="AWJ553"/>
      <c r="AWK553"/>
      <c r="AWL553"/>
      <c r="AWM553"/>
      <c r="AWN553"/>
      <c r="AWO553"/>
      <c r="AWP553"/>
      <c r="AWQ553"/>
      <c r="AWR553"/>
      <c r="AWS553"/>
      <c r="AWT553"/>
      <c r="AWU553"/>
      <c r="AWV553"/>
      <c r="AWW553"/>
      <c r="AWX553"/>
      <c r="AWY553"/>
      <c r="AWZ553"/>
      <c r="AXA553"/>
      <c r="AXB553"/>
      <c r="AXC553"/>
      <c r="AXD553"/>
      <c r="AXE553"/>
      <c r="AXF553"/>
      <c r="AXG553"/>
      <c r="AXH553"/>
      <c r="AXI553"/>
      <c r="AXJ553"/>
      <c r="AXK553"/>
      <c r="AXL553"/>
      <c r="AXM553"/>
      <c r="AXN553"/>
      <c r="AXO553"/>
      <c r="AXP553"/>
      <c r="AXQ553"/>
      <c r="AXR553"/>
      <c r="AXS553"/>
      <c r="AXT553"/>
      <c r="AXU553"/>
      <c r="AXV553"/>
      <c r="AXW553"/>
      <c r="AXX553"/>
      <c r="AXY553"/>
      <c r="AXZ553"/>
      <c r="AYA553"/>
      <c r="AYB553"/>
      <c r="AYC553"/>
      <c r="AYD553"/>
      <c r="AYE553"/>
      <c r="AYF553"/>
      <c r="AYG553"/>
      <c r="AYH553"/>
      <c r="AYI553"/>
      <c r="AYJ553"/>
      <c r="AYK553"/>
      <c r="AYL553"/>
      <c r="AYM553"/>
      <c r="AYN553"/>
      <c r="AYO553"/>
      <c r="AYP553"/>
      <c r="AYQ553"/>
      <c r="AYR553"/>
      <c r="AYS553"/>
      <c r="AYT553"/>
      <c r="AYU553"/>
      <c r="AYV553"/>
      <c r="AYW553"/>
      <c r="AYX553"/>
      <c r="AYY553"/>
      <c r="AYZ553"/>
      <c r="AZA553"/>
      <c r="AZB553"/>
      <c r="AZC553"/>
      <c r="AZD553"/>
      <c r="AZE553"/>
      <c r="AZF553"/>
      <c r="AZG553"/>
      <c r="AZH553"/>
      <c r="AZI553"/>
      <c r="AZJ553"/>
      <c r="AZK553"/>
      <c r="AZL553"/>
      <c r="AZM553"/>
      <c r="AZN553"/>
      <c r="AZO553"/>
      <c r="AZP553"/>
      <c r="AZQ553"/>
      <c r="AZR553"/>
      <c r="AZS553"/>
      <c r="AZT553"/>
      <c r="AZU553"/>
      <c r="AZV553"/>
      <c r="AZW553"/>
      <c r="AZX553"/>
      <c r="AZY553"/>
      <c r="AZZ553"/>
      <c r="BAA553"/>
      <c r="BAB553"/>
      <c r="BAC553"/>
      <c r="BAD553"/>
      <c r="BAE553"/>
      <c r="BAF553"/>
      <c r="BAG553"/>
      <c r="BAH553"/>
      <c r="BAI553"/>
      <c r="BAJ553"/>
      <c r="BAK553"/>
      <c r="BAL553"/>
      <c r="BAM553"/>
      <c r="BAN553"/>
      <c r="BAO553"/>
      <c r="BAP553"/>
      <c r="BAQ553"/>
      <c r="BAR553"/>
      <c r="BAS553"/>
      <c r="BAT553"/>
      <c r="BAU553"/>
      <c r="BAV553"/>
      <c r="BAW553"/>
      <c r="BAX553"/>
      <c r="BAY553"/>
      <c r="BAZ553"/>
      <c r="BBA553"/>
      <c r="BBB553"/>
      <c r="BBC553"/>
      <c r="BBD553"/>
      <c r="BBE553"/>
      <c r="BBF553"/>
      <c r="BBG553"/>
      <c r="BBH553"/>
      <c r="BBI553"/>
      <c r="BBJ553"/>
      <c r="BBK553"/>
      <c r="BBL553"/>
      <c r="BBM553"/>
      <c r="BBN553"/>
      <c r="BBO553"/>
      <c r="BBP553"/>
      <c r="BBQ553"/>
      <c r="BBR553"/>
      <c r="BBS553"/>
      <c r="BBT553"/>
      <c r="BBU553"/>
      <c r="BBV553"/>
      <c r="BBW553"/>
      <c r="BBX553"/>
      <c r="BBY553"/>
      <c r="BBZ553"/>
      <c r="BCA553"/>
      <c r="BCB553"/>
      <c r="BCC553"/>
      <c r="BCD553"/>
      <c r="BCE553"/>
      <c r="BCF553"/>
      <c r="BCG553"/>
      <c r="BCH553"/>
      <c r="BCI553"/>
      <c r="BCJ553"/>
      <c r="BCK553"/>
      <c r="BCL553"/>
      <c r="BCM553"/>
      <c r="BCN553"/>
      <c r="BCO553"/>
      <c r="BCP553"/>
      <c r="BCQ553"/>
      <c r="BCR553"/>
      <c r="BCS553"/>
      <c r="BCT553"/>
      <c r="BCU553"/>
      <c r="BCV553"/>
      <c r="BCW553"/>
      <c r="BCX553"/>
      <c r="BCY553"/>
      <c r="BCZ553"/>
      <c r="BDA553"/>
      <c r="BDB553"/>
      <c r="BDC553"/>
      <c r="BDD553"/>
      <c r="BDE553"/>
      <c r="BDF553"/>
      <c r="BDG553"/>
      <c r="BDH553"/>
      <c r="BDI553"/>
      <c r="BDJ553"/>
      <c r="BDK553"/>
      <c r="BDL553"/>
      <c r="BDM553"/>
      <c r="BDN553"/>
      <c r="BDO553"/>
      <c r="BDP553"/>
      <c r="BDQ553"/>
      <c r="BDR553"/>
      <c r="BDS553"/>
      <c r="BDT553"/>
      <c r="BDU553"/>
      <c r="BDV553"/>
      <c r="BDW553"/>
      <c r="BDX553"/>
      <c r="BDY553"/>
      <c r="BDZ553"/>
      <c r="BEA553"/>
      <c r="BEB553"/>
      <c r="BEC553"/>
      <c r="BED553"/>
      <c r="BEE553"/>
      <c r="BEF553"/>
      <c r="BEG553"/>
      <c r="BEH553"/>
      <c r="BEI553"/>
      <c r="BEJ553"/>
      <c r="BEK553"/>
      <c r="BEL553"/>
      <c r="BEM553"/>
      <c r="BEN553"/>
      <c r="BEO553"/>
      <c r="BEP553"/>
      <c r="BEQ553"/>
      <c r="BER553"/>
      <c r="BES553"/>
      <c r="BET553"/>
      <c r="BEU553"/>
      <c r="BEV553"/>
      <c r="BEW553"/>
      <c r="BEX553"/>
      <c r="BEY553"/>
      <c r="BEZ553"/>
      <c r="BFA553"/>
      <c r="BFB553"/>
      <c r="BFC553"/>
      <c r="BFD553"/>
      <c r="BFE553"/>
      <c r="BFF553"/>
      <c r="BFG553"/>
      <c r="BFH553"/>
      <c r="BFI553"/>
      <c r="BFJ553"/>
      <c r="BFK553"/>
      <c r="BFL553"/>
      <c r="BFM553"/>
      <c r="BFN553"/>
      <c r="BFO553"/>
      <c r="BFP553"/>
      <c r="BFQ553"/>
      <c r="BFR553"/>
      <c r="BFS553"/>
      <c r="BFT553"/>
      <c r="BFU553"/>
      <c r="BFV553"/>
      <c r="BFW553"/>
      <c r="BFX553"/>
      <c r="BFY553"/>
      <c r="BFZ553"/>
      <c r="BGA553"/>
      <c r="BGB553"/>
      <c r="BGC553"/>
      <c r="BGD553"/>
      <c r="BGE553"/>
      <c r="BGF553"/>
      <c r="BGG553"/>
      <c r="BGH553"/>
      <c r="BGI553"/>
      <c r="BGJ553"/>
      <c r="BGK553"/>
      <c r="BGL553"/>
      <c r="BGM553"/>
      <c r="BGN553"/>
      <c r="BGO553"/>
      <c r="BGP553"/>
      <c r="BGQ553"/>
      <c r="BGR553"/>
      <c r="BGS553"/>
      <c r="BGT553"/>
      <c r="BGU553"/>
      <c r="BGV553"/>
      <c r="BGW553"/>
      <c r="BGX553"/>
      <c r="BGY553"/>
      <c r="BGZ553"/>
      <c r="BHA553"/>
      <c r="BHB553"/>
      <c r="BHC553"/>
      <c r="BHD553"/>
      <c r="BHE553"/>
      <c r="BHF553"/>
      <c r="BHG553"/>
      <c r="BHH553"/>
      <c r="BHI553"/>
      <c r="BHJ553"/>
      <c r="BHK553"/>
      <c r="BHL553"/>
      <c r="BHM553"/>
      <c r="BHN553"/>
      <c r="BHO553"/>
      <c r="BHP553"/>
      <c r="BHQ553"/>
      <c r="BHR553"/>
      <c r="BHS553"/>
      <c r="BHT553"/>
      <c r="BHU553"/>
      <c r="BHV553"/>
      <c r="BHW553"/>
      <c r="BHX553"/>
      <c r="BHY553"/>
      <c r="BHZ553"/>
      <c r="BIA553"/>
      <c r="BIB553"/>
      <c r="BIC553"/>
      <c r="BID553"/>
      <c r="BIE553"/>
      <c r="BIF553"/>
      <c r="BIG553"/>
      <c r="BIH553"/>
      <c r="BII553"/>
      <c r="BIJ553"/>
      <c r="BIK553"/>
      <c r="BIL553"/>
      <c r="BIM553"/>
      <c r="BIN553"/>
      <c r="BIO553"/>
      <c r="BIP553"/>
      <c r="BIQ553"/>
      <c r="BIR553"/>
      <c r="BIS553"/>
      <c r="BIT553"/>
      <c r="BIU553"/>
      <c r="BIV553"/>
      <c r="BIW553"/>
      <c r="BIX553"/>
      <c r="BIY553"/>
      <c r="BIZ553"/>
      <c r="BJA553"/>
      <c r="BJB553"/>
      <c r="BJC553"/>
      <c r="BJD553"/>
      <c r="BJE553"/>
      <c r="BJF553"/>
      <c r="BJG553"/>
      <c r="BJH553"/>
      <c r="BJI553"/>
      <c r="BJJ553"/>
      <c r="BJK553"/>
      <c r="BJL553"/>
      <c r="BJM553"/>
      <c r="BJN553"/>
      <c r="BJO553"/>
      <c r="BJP553"/>
      <c r="BJQ553"/>
      <c r="BJR553"/>
      <c r="BJS553"/>
      <c r="BJT553"/>
      <c r="BJU553"/>
      <c r="BJV553"/>
      <c r="BJW553"/>
      <c r="BJX553"/>
      <c r="BJY553"/>
      <c r="BJZ553"/>
      <c r="BKA553"/>
      <c r="BKB553"/>
      <c r="BKC553"/>
      <c r="BKD553"/>
      <c r="BKE553"/>
      <c r="BKF553"/>
      <c r="BKG553"/>
      <c r="BKH553"/>
      <c r="BKI553"/>
      <c r="BKJ553"/>
      <c r="BKK553"/>
      <c r="BKL553"/>
      <c r="BKM553"/>
      <c r="BKN553"/>
      <c r="BKO553"/>
      <c r="BKP553"/>
      <c r="BKQ553"/>
      <c r="BKR553"/>
      <c r="BKS553"/>
      <c r="BKT553"/>
      <c r="BKU553"/>
      <c r="BKV553"/>
      <c r="BKW553"/>
      <c r="BKX553"/>
      <c r="BKY553"/>
      <c r="BKZ553"/>
      <c r="BLA553"/>
      <c r="BLB553"/>
      <c r="BLC553"/>
      <c r="BLD553"/>
      <c r="BLE553"/>
      <c r="BLF553"/>
      <c r="BLG553"/>
      <c r="BLH553"/>
      <c r="BLI553"/>
      <c r="BLJ553"/>
      <c r="BLK553"/>
      <c r="BLL553"/>
      <c r="BLM553"/>
      <c r="BLN553"/>
      <c r="BLO553"/>
      <c r="BLP553"/>
      <c r="BLQ553"/>
      <c r="BLR553"/>
      <c r="BLS553"/>
      <c r="BLT553"/>
      <c r="BLU553"/>
      <c r="BLV553"/>
      <c r="BLW553"/>
      <c r="BLX553"/>
      <c r="BLY553"/>
      <c r="BLZ553"/>
      <c r="BMA553"/>
      <c r="BMB553"/>
      <c r="BMC553"/>
      <c r="BMD553"/>
      <c r="BME553"/>
      <c r="BMF553"/>
      <c r="BMG553"/>
      <c r="BMH553"/>
      <c r="BMI553"/>
      <c r="BMJ553"/>
      <c r="BMK553"/>
      <c r="BML553"/>
      <c r="BMM553"/>
      <c r="BMN553"/>
      <c r="BMO553"/>
      <c r="BMP553"/>
      <c r="BMQ553"/>
      <c r="BMR553"/>
      <c r="BMS553"/>
      <c r="BMT553"/>
      <c r="BMU553"/>
      <c r="BMV553"/>
      <c r="BMW553"/>
      <c r="BMX553"/>
      <c r="BMY553"/>
      <c r="BMZ553"/>
      <c r="BNA553"/>
      <c r="BNB553"/>
      <c r="BNC553"/>
      <c r="BND553"/>
      <c r="BNE553"/>
      <c r="BNF553"/>
      <c r="BNG553"/>
      <c r="BNH553"/>
      <c r="BNI553"/>
      <c r="BNJ553"/>
      <c r="BNK553"/>
      <c r="BNL553"/>
      <c r="BNM553"/>
      <c r="BNN553"/>
      <c r="BNO553"/>
      <c r="BNP553"/>
      <c r="BNQ553"/>
      <c r="BNR553"/>
      <c r="BNS553"/>
      <c r="BNT553"/>
      <c r="BNU553"/>
      <c r="BNV553"/>
      <c r="BNW553"/>
      <c r="BNX553"/>
      <c r="BNY553"/>
      <c r="BNZ553"/>
      <c r="BOA553"/>
      <c r="BOB553"/>
      <c r="BOC553"/>
      <c r="BOD553"/>
      <c r="BOE553"/>
      <c r="BOF553"/>
      <c r="BOG553"/>
      <c r="BOH553"/>
      <c r="BOI553"/>
      <c r="BOJ553"/>
      <c r="BOK553"/>
      <c r="BOL553"/>
      <c r="BOM553"/>
      <c r="BON553"/>
      <c r="BOO553"/>
      <c r="BOP553"/>
      <c r="BOQ553"/>
      <c r="BOR553"/>
      <c r="BOS553"/>
      <c r="BOT553"/>
      <c r="BOU553"/>
      <c r="BOV553"/>
      <c r="BOW553"/>
      <c r="BOX553"/>
      <c r="BOY553"/>
      <c r="BOZ553"/>
      <c r="BPA553"/>
      <c r="BPB553"/>
      <c r="BPC553"/>
      <c r="BPD553"/>
      <c r="BPE553"/>
      <c r="BPF553"/>
      <c r="BPG553"/>
      <c r="BPH553"/>
      <c r="BPI553"/>
      <c r="BPJ553"/>
      <c r="BPK553"/>
      <c r="BPL553"/>
      <c r="BPM553"/>
      <c r="BPN553"/>
      <c r="BPO553"/>
      <c r="BPP553"/>
      <c r="BPQ553"/>
      <c r="BPR553"/>
      <c r="BPS553"/>
      <c r="BPT553"/>
      <c r="BPU553"/>
      <c r="BPV553"/>
      <c r="BPW553"/>
      <c r="BPX553"/>
      <c r="BPY553"/>
      <c r="BPZ553"/>
      <c r="BQA553"/>
      <c r="BQB553"/>
      <c r="BQC553"/>
      <c r="BQD553"/>
      <c r="BQE553"/>
      <c r="BQF553"/>
      <c r="BQG553"/>
      <c r="BQH553"/>
      <c r="BQI553"/>
      <c r="BQJ553"/>
      <c r="BQK553"/>
      <c r="BQL553"/>
      <c r="BQM553"/>
      <c r="BQN553"/>
      <c r="BQO553"/>
      <c r="BQP553"/>
      <c r="BQQ553"/>
      <c r="BQR553"/>
      <c r="BQS553"/>
      <c r="BQT553"/>
      <c r="BQU553"/>
      <c r="BQV553"/>
      <c r="BQW553"/>
      <c r="BQX553"/>
      <c r="BQY553"/>
      <c r="BQZ553"/>
      <c r="BRA553"/>
      <c r="BRB553"/>
      <c r="BRC553"/>
      <c r="BRD553"/>
      <c r="BRE553"/>
      <c r="BRF553"/>
      <c r="BRG553"/>
      <c r="BRH553"/>
      <c r="BRI553"/>
      <c r="BRJ553"/>
      <c r="BRK553"/>
      <c r="BRL553"/>
      <c r="BRM553"/>
      <c r="BRN553"/>
      <c r="BRO553"/>
      <c r="BRP553"/>
      <c r="BRQ553"/>
      <c r="BRR553"/>
      <c r="BRS553"/>
      <c r="BRT553"/>
      <c r="BRU553"/>
      <c r="BRV553"/>
      <c r="BRW553"/>
      <c r="BRX553"/>
      <c r="BRY553"/>
      <c r="BRZ553"/>
      <c r="BSA553"/>
      <c r="BSB553"/>
      <c r="BSC553"/>
      <c r="BSD553"/>
      <c r="BSE553"/>
      <c r="BSF553"/>
      <c r="BSG553"/>
      <c r="BSH553"/>
      <c r="BSI553"/>
      <c r="BSJ553"/>
      <c r="BSK553"/>
      <c r="BSL553"/>
      <c r="BSM553"/>
      <c r="BSN553"/>
      <c r="BSO553"/>
      <c r="BSP553"/>
      <c r="BSQ553"/>
      <c r="BSR553"/>
      <c r="BSS553"/>
      <c r="BST553"/>
      <c r="BSU553"/>
      <c r="BSV553"/>
      <c r="BSW553"/>
      <c r="BSX553"/>
      <c r="BSY553"/>
      <c r="BSZ553"/>
      <c r="BTA553"/>
      <c r="BTB553"/>
      <c r="BTC553"/>
      <c r="BTD553"/>
      <c r="BTE553"/>
      <c r="BTF553"/>
      <c r="BTG553"/>
      <c r="BTH553"/>
      <c r="BTI553"/>
      <c r="BTJ553"/>
      <c r="BTK553"/>
      <c r="BTL553"/>
      <c r="BTM553"/>
      <c r="BTN553"/>
      <c r="BTO553"/>
      <c r="BTP553"/>
      <c r="BTQ553"/>
      <c r="BTR553"/>
      <c r="BTS553"/>
      <c r="BTT553"/>
      <c r="BTU553"/>
      <c r="BTV553"/>
      <c r="BTW553"/>
      <c r="BTX553"/>
      <c r="BTY553"/>
      <c r="BTZ553"/>
      <c r="BUA553"/>
      <c r="BUB553"/>
      <c r="BUC553"/>
      <c r="BUD553"/>
      <c r="BUE553"/>
      <c r="BUF553"/>
      <c r="BUG553"/>
      <c r="BUH553"/>
      <c r="BUI553"/>
      <c r="BUJ553"/>
      <c r="BUK553"/>
      <c r="BUL553"/>
      <c r="BUM553"/>
      <c r="BUN553"/>
      <c r="BUO553"/>
      <c r="BUP553"/>
      <c r="BUQ553"/>
      <c r="BUR553"/>
      <c r="BUS553"/>
      <c r="BUT553"/>
      <c r="BUU553"/>
      <c r="BUV553"/>
      <c r="BUW553"/>
      <c r="BUX553"/>
      <c r="BUY553"/>
      <c r="BUZ553"/>
      <c r="BVA553"/>
      <c r="BVB553"/>
      <c r="BVC553"/>
      <c r="BVD553"/>
      <c r="BVE553"/>
      <c r="BVF553"/>
      <c r="BVG553"/>
      <c r="BVH553"/>
      <c r="BVI553"/>
      <c r="BVJ553"/>
      <c r="BVK553"/>
      <c r="BVL553"/>
      <c r="BVM553"/>
      <c r="BVN553"/>
      <c r="BVO553"/>
      <c r="BVP553"/>
      <c r="BVQ553"/>
      <c r="BVR553"/>
      <c r="BVS553"/>
      <c r="BVT553"/>
      <c r="BVU553"/>
      <c r="BVV553"/>
      <c r="BVW553"/>
      <c r="BVX553"/>
      <c r="BVY553"/>
      <c r="BVZ553"/>
      <c r="BWA553"/>
      <c r="BWB553"/>
      <c r="BWC553"/>
      <c r="BWD553"/>
      <c r="BWE553"/>
      <c r="BWF553"/>
      <c r="BWG553"/>
      <c r="BWH553"/>
      <c r="BWI553"/>
      <c r="BWJ553"/>
      <c r="BWK553"/>
      <c r="BWL553"/>
      <c r="BWM553"/>
      <c r="BWN553"/>
      <c r="BWO553"/>
      <c r="BWP553"/>
      <c r="BWQ553"/>
      <c r="BWR553"/>
      <c r="BWS553"/>
      <c r="BWT553"/>
      <c r="BWU553"/>
      <c r="BWV553"/>
      <c r="BWW553"/>
      <c r="BWX553"/>
      <c r="BWY553"/>
      <c r="BWZ553"/>
      <c r="BXA553"/>
      <c r="BXB553"/>
      <c r="BXC553"/>
      <c r="BXD553"/>
      <c r="BXE553"/>
      <c r="BXF553"/>
      <c r="BXG553"/>
      <c r="BXH553"/>
      <c r="BXI553"/>
      <c r="BXJ553"/>
      <c r="BXK553"/>
      <c r="BXL553"/>
      <c r="BXM553"/>
      <c r="BXN553"/>
      <c r="BXO553"/>
      <c r="BXP553"/>
      <c r="BXQ553"/>
      <c r="BXR553"/>
      <c r="BXS553"/>
      <c r="BXT553"/>
      <c r="BXU553"/>
      <c r="BXV553"/>
      <c r="BXW553"/>
      <c r="BXX553"/>
      <c r="BXY553"/>
      <c r="BXZ553"/>
      <c r="BYA553"/>
      <c r="BYB553"/>
      <c r="BYC553"/>
      <c r="BYD553"/>
      <c r="BYE553"/>
      <c r="BYF553"/>
      <c r="BYG553"/>
      <c r="BYH553"/>
      <c r="BYI553"/>
      <c r="BYJ553"/>
      <c r="BYK553"/>
      <c r="BYL553"/>
      <c r="BYM553"/>
      <c r="BYN553"/>
      <c r="BYO553"/>
      <c r="BYP553"/>
      <c r="BYQ553"/>
      <c r="BYR553"/>
      <c r="BYS553"/>
      <c r="BYT553"/>
      <c r="BYU553"/>
      <c r="BYV553"/>
      <c r="BYW553"/>
      <c r="BYX553"/>
      <c r="BYY553"/>
      <c r="BYZ553"/>
      <c r="BZA553"/>
      <c r="BZB553"/>
      <c r="BZC553"/>
      <c r="BZD553"/>
      <c r="BZE553"/>
      <c r="BZF553"/>
      <c r="BZG553"/>
      <c r="BZH553"/>
      <c r="BZI553"/>
      <c r="BZJ553"/>
      <c r="BZK553"/>
      <c r="BZL553"/>
      <c r="BZM553"/>
      <c r="BZN553"/>
      <c r="BZO553"/>
      <c r="BZP553"/>
      <c r="BZQ553"/>
      <c r="BZR553"/>
      <c r="BZS553"/>
      <c r="BZT553"/>
      <c r="BZU553"/>
      <c r="BZV553"/>
      <c r="BZW553"/>
      <c r="BZX553"/>
      <c r="BZY553"/>
      <c r="BZZ553"/>
      <c r="CAA553"/>
      <c r="CAB553"/>
      <c r="CAC553"/>
      <c r="CAD553"/>
      <c r="CAE553"/>
      <c r="CAF553"/>
      <c r="CAG553"/>
      <c r="CAH553"/>
      <c r="CAI553"/>
      <c r="CAJ553"/>
      <c r="CAK553"/>
      <c r="CAL553"/>
      <c r="CAM553"/>
      <c r="CAN553"/>
      <c r="CAO553"/>
      <c r="CAP553"/>
      <c r="CAQ553"/>
      <c r="CAR553"/>
      <c r="CAS553"/>
      <c r="CAT553"/>
      <c r="CAU553"/>
      <c r="CAV553"/>
      <c r="CAW553"/>
      <c r="CAX553"/>
      <c r="CAY553"/>
      <c r="CAZ553"/>
      <c r="CBA553"/>
      <c r="CBB553"/>
      <c r="CBC553"/>
      <c r="CBD553"/>
      <c r="CBE553"/>
      <c r="CBF553"/>
      <c r="CBG553"/>
      <c r="CBH553"/>
      <c r="CBI553"/>
      <c r="CBJ553"/>
      <c r="CBK553"/>
      <c r="CBL553"/>
      <c r="CBM553"/>
      <c r="CBN553"/>
      <c r="CBO553"/>
      <c r="CBP553"/>
      <c r="CBQ553"/>
      <c r="CBR553"/>
      <c r="CBS553"/>
      <c r="CBT553"/>
      <c r="CBU553"/>
      <c r="CBV553"/>
      <c r="CBW553"/>
      <c r="CBX553"/>
      <c r="CBY553"/>
      <c r="CBZ553"/>
      <c r="CCA553"/>
      <c r="CCB553"/>
      <c r="CCC553"/>
      <c r="CCD553"/>
      <c r="CCE553"/>
      <c r="CCF553"/>
      <c r="CCG553"/>
      <c r="CCH553"/>
      <c r="CCI553"/>
      <c r="CCJ553"/>
      <c r="CCK553"/>
      <c r="CCL553"/>
      <c r="CCM553"/>
      <c r="CCN553"/>
      <c r="CCO553"/>
      <c r="CCP553"/>
      <c r="CCQ553"/>
      <c r="CCR553"/>
      <c r="CCS553"/>
      <c r="CCT553"/>
      <c r="CCU553"/>
      <c r="CCV553"/>
      <c r="CCW553"/>
      <c r="CCX553"/>
      <c r="CCY553"/>
      <c r="CCZ553"/>
      <c r="CDA553"/>
      <c r="CDB553"/>
      <c r="CDC553"/>
      <c r="CDD553"/>
      <c r="CDE553"/>
      <c r="CDF553"/>
      <c r="CDG553"/>
      <c r="CDH553"/>
      <c r="CDI553"/>
      <c r="CDJ553"/>
      <c r="CDK553"/>
      <c r="CDL553"/>
      <c r="CDM553"/>
      <c r="CDN553"/>
      <c r="CDO553"/>
      <c r="CDP553"/>
      <c r="CDQ553"/>
      <c r="CDR553"/>
      <c r="CDS553"/>
      <c r="CDT553"/>
      <c r="CDU553"/>
      <c r="CDV553"/>
      <c r="CDW553"/>
      <c r="CDX553"/>
      <c r="CDY553"/>
      <c r="CDZ553"/>
      <c r="CEA553"/>
      <c r="CEB553"/>
      <c r="CEC553"/>
      <c r="CED553"/>
      <c r="CEE553"/>
      <c r="CEF553"/>
      <c r="CEG553"/>
      <c r="CEH553"/>
      <c r="CEI553"/>
      <c r="CEJ553"/>
      <c r="CEK553"/>
      <c r="CEL553"/>
      <c r="CEM553"/>
      <c r="CEN553"/>
      <c r="CEO553"/>
      <c r="CEP553"/>
      <c r="CEQ553"/>
      <c r="CER553"/>
      <c r="CES553"/>
      <c r="CET553"/>
      <c r="CEU553"/>
      <c r="CEV553"/>
      <c r="CEW553"/>
      <c r="CEX553"/>
      <c r="CEY553"/>
      <c r="CEZ553"/>
      <c r="CFA553"/>
      <c r="CFB553"/>
      <c r="CFC553"/>
      <c r="CFD553"/>
      <c r="CFE553"/>
      <c r="CFF553"/>
      <c r="CFG553"/>
      <c r="CFH553"/>
      <c r="CFI553"/>
      <c r="CFJ553"/>
      <c r="CFK553"/>
      <c r="CFL553"/>
      <c r="CFM553"/>
      <c r="CFN553"/>
      <c r="CFO553"/>
      <c r="CFP553"/>
      <c r="CFQ553"/>
      <c r="CFR553"/>
      <c r="CFS553"/>
      <c r="CFT553"/>
      <c r="CFU553"/>
      <c r="CFV553"/>
      <c r="CFW553"/>
      <c r="CFX553"/>
      <c r="CFY553"/>
      <c r="CFZ553"/>
      <c r="CGA553"/>
      <c r="CGB553"/>
      <c r="CGC553"/>
      <c r="CGD553"/>
      <c r="CGE553"/>
      <c r="CGF553"/>
      <c r="CGG553"/>
      <c r="CGH553"/>
      <c r="CGI553"/>
      <c r="CGJ553"/>
      <c r="CGK553"/>
      <c r="CGL553"/>
      <c r="CGM553"/>
      <c r="CGN553"/>
      <c r="CGO553"/>
      <c r="CGP553"/>
      <c r="CGQ553"/>
      <c r="CGR553"/>
      <c r="CGS553"/>
      <c r="CGT553"/>
      <c r="CGU553"/>
      <c r="CGV553"/>
      <c r="CGW553"/>
      <c r="CGX553"/>
      <c r="CGY553"/>
      <c r="CGZ553"/>
      <c r="CHA553"/>
      <c r="CHB553"/>
      <c r="CHC553"/>
      <c r="CHD553"/>
      <c r="CHE553"/>
      <c r="CHF553"/>
      <c r="CHG553"/>
      <c r="CHH553"/>
      <c r="CHI553"/>
      <c r="CHJ553"/>
      <c r="CHK553"/>
      <c r="CHL553"/>
      <c r="CHM553"/>
      <c r="CHN553"/>
      <c r="CHO553"/>
      <c r="CHP553"/>
      <c r="CHQ553"/>
      <c r="CHR553"/>
      <c r="CHS553"/>
      <c r="CHT553"/>
      <c r="CHU553"/>
      <c r="CHV553"/>
      <c r="CHW553"/>
      <c r="CHX553"/>
      <c r="CHY553"/>
      <c r="CHZ553"/>
      <c r="CIA553"/>
      <c r="CIB553"/>
      <c r="CIC553"/>
      <c r="CID553"/>
      <c r="CIE553"/>
      <c r="CIF553"/>
      <c r="CIG553"/>
      <c r="CIH553"/>
      <c r="CII553"/>
      <c r="CIJ553"/>
      <c r="CIK553"/>
      <c r="CIL553"/>
      <c r="CIM553"/>
      <c r="CIN553"/>
      <c r="CIO553"/>
      <c r="CIP553"/>
      <c r="CIQ553"/>
      <c r="CIR553"/>
      <c r="CIS553"/>
      <c r="CIT553"/>
      <c r="CIU553"/>
      <c r="CIV553"/>
      <c r="CIW553"/>
      <c r="CIX553"/>
      <c r="CIY553"/>
      <c r="CIZ553"/>
      <c r="CJA553"/>
      <c r="CJB553"/>
      <c r="CJC553"/>
      <c r="CJD553"/>
      <c r="CJE553"/>
      <c r="CJF553"/>
      <c r="CJG553"/>
      <c r="CJH553"/>
      <c r="CJI553"/>
      <c r="CJJ553"/>
      <c r="CJK553"/>
      <c r="CJL553"/>
      <c r="CJM553"/>
      <c r="CJN553"/>
      <c r="CJO553"/>
      <c r="CJP553"/>
      <c r="CJQ553"/>
      <c r="CJR553"/>
      <c r="CJS553"/>
      <c r="CJT553"/>
      <c r="CJU553"/>
      <c r="CJV553"/>
      <c r="CJW553"/>
      <c r="CJX553"/>
      <c r="CJY553"/>
      <c r="CJZ553"/>
      <c r="CKA553"/>
      <c r="CKB553"/>
      <c r="CKC553"/>
      <c r="CKD553"/>
      <c r="CKE553"/>
      <c r="CKF553"/>
      <c r="CKG553"/>
      <c r="CKH553"/>
      <c r="CKI553"/>
      <c r="CKJ553"/>
      <c r="CKK553"/>
      <c r="CKL553"/>
      <c r="CKM553"/>
      <c r="CKN553"/>
      <c r="CKO553"/>
      <c r="CKP553"/>
      <c r="CKQ553"/>
      <c r="CKR553"/>
      <c r="CKS553"/>
      <c r="CKT553"/>
      <c r="CKU553"/>
      <c r="CKV553"/>
      <c r="CKW553"/>
      <c r="CKX553"/>
      <c r="CKY553"/>
      <c r="CKZ553"/>
      <c r="CLA553"/>
      <c r="CLB553"/>
      <c r="CLC553"/>
      <c r="CLD553"/>
      <c r="CLE553"/>
      <c r="CLF553"/>
      <c r="CLG553"/>
      <c r="CLH553"/>
      <c r="CLI553"/>
      <c r="CLJ553"/>
      <c r="CLK553"/>
      <c r="CLL553"/>
      <c r="CLM553"/>
      <c r="CLN553"/>
      <c r="CLO553"/>
      <c r="CLP553"/>
      <c r="CLQ553"/>
      <c r="CLR553"/>
      <c r="CLS553"/>
      <c r="CLT553"/>
      <c r="CLU553"/>
      <c r="CLV553"/>
      <c r="CLW553"/>
      <c r="CLX553"/>
      <c r="CLY553"/>
      <c r="CLZ553"/>
      <c r="CMA553"/>
      <c r="CMB553"/>
      <c r="CMC553"/>
      <c r="CMD553"/>
      <c r="CME553"/>
      <c r="CMF553"/>
      <c r="CMG553"/>
      <c r="CMH553"/>
      <c r="CMI553"/>
      <c r="CMJ553"/>
      <c r="CMK553"/>
      <c r="CML553"/>
      <c r="CMM553"/>
      <c r="CMN553"/>
      <c r="CMO553"/>
      <c r="CMP553"/>
      <c r="CMQ553"/>
      <c r="CMR553"/>
      <c r="CMS553"/>
      <c r="CMT553"/>
      <c r="CMU553"/>
      <c r="CMV553"/>
      <c r="CMW553"/>
      <c r="CMX553"/>
      <c r="CMY553"/>
      <c r="CMZ553"/>
      <c r="CNA553"/>
      <c r="CNB553"/>
      <c r="CNC553"/>
      <c r="CND553"/>
      <c r="CNE553"/>
      <c r="CNF553"/>
      <c r="CNG553"/>
      <c r="CNH553"/>
      <c r="CNI553"/>
      <c r="CNJ553"/>
      <c r="CNK553"/>
      <c r="CNL553"/>
      <c r="CNM553"/>
      <c r="CNN553"/>
      <c r="CNO553"/>
      <c r="CNP553"/>
      <c r="CNQ553"/>
      <c r="CNR553"/>
      <c r="CNS553"/>
      <c r="CNT553"/>
      <c r="CNU553"/>
      <c r="CNV553"/>
      <c r="CNW553"/>
      <c r="CNX553"/>
      <c r="CNY553"/>
      <c r="CNZ553"/>
      <c r="COA553"/>
      <c r="COB553"/>
      <c r="COC553"/>
      <c r="COD553"/>
      <c r="COE553"/>
      <c r="COF553"/>
      <c r="COG553"/>
      <c r="COH553"/>
      <c r="COI553"/>
      <c r="COJ553"/>
      <c r="COK553"/>
      <c r="COL553"/>
      <c r="COM553"/>
      <c r="CON553"/>
      <c r="COO553"/>
      <c r="COP553"/>
      <c r="COQ553"/>
      <c r="COR553"/>
      <c r="COS553"/>
      <c r="COT553"/>
      <c r="COU553"/>
      <c r="COV553"/>
      <c r="COW553"/>
      <c r="COX553"/>
      <c r="COY553"/>
      <c r="COZ553"/>
      <c r="CPA553"/>
      <c r="CPB553"/>
      <c r="CPC553"/>
      <c r="CPD553"/>
      <c r="CPE553"/>
      <c r="CPF553"/>
      <c r="CPG553"/>
      <c r="CPH553"/>
      <c r="CPI553"/>
      <c r="CPJ553"/>
      <c r="CPK553"/>
      <c r="CPL553"/>
      <c r="CPM553"/>
      <c r="CPN553"/>
      <c r="CPO553"/>
      <c r="CPP553"/>
      <c r="CPQ553"/>
      <c r="CPR553"/>
      <c r="CPS553"/>
      <c r="CPT553"/>
      <c r="CPU553"/>
      <c r="CPV553"/>
      <c r="CPW553"/>
      <c r="CPX553"/>
      <c r="CPY553"/>
      <c r="CPZ553"/>
      <c r="CQA553"/>
      <c r="CQB553"/>
      <c r="CQC553"/>
      <c r="CQD553"/>
      <c r="CQE553"/>
      <c r="CQF553"/>
      <c r="CQG553"/>
      <c r="CQH553"/>
      <c r="CQI553"/>
      <c r="CQJ553"/>
      <c r="CQK553"/>
      <c r="CQL553"/>
      <c r="CQM553"/>
      <c r="CQN553"/>
      <c r="CQO553"/>
      <c r="CQP553"/>
      <c r="CQQ553"/>
      <c r="CQR553"/>
      <c r="CQS553"/>
      <c r="CQT553"/>
      <c r="CQU553"/>
      <c r="CQV553"/>
      <c r="CQW553"/>
      <c r="CQX553"/>
      <c r="CQY553"/>
      <c r="CQZ553"/>
      <c r="CRA553"/>
      <c r="CRB553"/>
      <c r="CRC553"/>
      <c r="CRD553"/>
      <c r="CRE553"/>
      <c r="CRF553"/>
      <c r="CRG553"/>
      <c r="CRH553"/>
      <c r="CRI553"/>
      <c r="CRJ553"/>
      <c r="CRK553"/>
      <c r="CRL553"/>
      <c r="CRM553"/>
      <c r="CRN553"/>
      <c r="CRO553"/>
      <c r="CRP553"/>
      <c r="CRQ553"/>
      <c r="CRR553"/>
      <c r="CRS553"/>
      <c r="CRT553"/>
      <c r="CRU553"/>
      <c r="CRV553"/>
      <c r="CRW553"/>
      <c r="CRX553"/>
      <c r="CRY553"/>
      <c r="CRZ553"/>
      <c r="CSA553"/>
      <c r="CSB553"/>
      <c r="CSC553"/>
      <c r="CSD553"/>
      <c r="CSE553"/>
      <c r="CSF553"/>
      <c r="CSG553"/>
      <c r="CSH553"/>
      <c r="CSI553"/>
      <c r="CSJ553"/>
      <c r="CSK553"/>
      <c r="CSL553"/>
      <c r="CSM553"/>
      <c r="CSN553"/>
      <c r="CSO553"/>
      <c r="CSP553"/>
      <c r="CSQ553"/>
      <c r="CSR553"/>
      <c r="CSS553"/>
      <c r="CST553"/>
      <c r="CSU553"/>
      <c r="CSV553"/>
      <c r="CSW553"/>
      <c r="CSX553"/>
      <c r="CSY553"/>
      <c r="CSZ553"/>
      <c r="CTA553"/>
      <c r="CTB553"/>
      <c r="CTC553"/>
      <c r="CTD553"/>
      <c r="CTE553"/>
      <c r="CTF553"/>
      <c r="CTG553"/>
      <c r="CTH553"/>
      <c r="CTI553"/>
      <c r="CTJ553"/>
      <c r="CTK553"/>
      <c r="CTL553"/>
      <c r="CTM553"/>
      <c r="CTN553"/>
      <c r="CTO553"/>
      <c r="CTP553"/>
      <c r="CTQ553"/>
      <c r="CTR553"/>
      <c r="CTS553"/>
      <c r="CTT553"/>
      <c r="CTU553"/>
      <c r="CTV553"/>
      <c r="CTW553"/>
      <c r="CTX553"/>
      <c r="CTY553"/>
      <c r="CTZ553"/>
      <c r="CUA553"/>
      <c r="CUB553"/>
      <c r="CUC553"/>
      <c r="CUD553"/>
      <c r="CUE553"/>
      <c r="CUF553"/>
      <c r="CUG553"/>
      <c r="CUH553"/>
      <c r="CUI553"/>
      <c r="CUJ553"/>
      <c r="CUK553"/>
      <c r="CUL553"/>
      <c r="CUM553"/>
      <c r="CUN553"/>
      <c r="CUO553"/>
      <c r="CUP553"/>
      <c r="CUQ553"/>
      <c r="CUR553"/>
      <c r="CUS553"/>
      <c r="CUT553"/>
      <c r="CUU553"/>
      <c r="CUV553"/>
      <c r="CUW553"/>
      <c r="CUX553"/>
      <c r="CUY553"/>
      <c r="CUZ553"/>
      <c r="CVA553"/>
      <c r="CVB553"/>
      <c r="CVC553"/>
      <c r="CVD553"/>
      <c r="CVE553"/>
      <c r="CVF553"/>
      <c r="CVG553"/>
      <c r="CVH553"/>
      <c r="CVI553"/>
      <c r="CVJ553"/>
      <c r="CVK553"/>
      <c r="CVL553"/>
      <c r="CVM553"/>
      <c r="CVN553"/>
      <c r="CVO553"/>
      <c r="CVP553"/>
      <c r="CVQ553"/>
      <c r="CVR553"/>
      <c r="CVS553"/>
      <c r="CVT553"/>
      <c r="CVU553"/>
      <c r="CVV553"/>
      <c r="CVW553"/>
      <c r="CVX553"/>
      <c r="CVY553"/>
      <c r="CVZ553"/>
      <c r="CWA553"/>
      <c r="CWB553"/>
      <c r="CWC553"/>
      <c r="CWD553"/>
      <c r="CWE553"/>
      <c r="CWF553"/>
      <c r="CWG553"/>
      <c r="CWH553"/>
      <c r="CWI553"/>
      <c r="CWJ553"/>
      <c r="CWK553"/>
      <c r="CWL553"/>
      <c r="CWM553"/>
      <c r="CWN553"/>
      <c r="CWO553"/>
      <c r="CWP553"/>
      <c r="CWQ553"/>
      <c r="CWR553"/>
      <c r="CWS553"/>
      <c r="CWT553"/>
      <c r="CWU553"/>
      <c r="CWV553"/>
      <c r="CWW553"/>
      <c r="CWX553"/>
      <c r="CWY553"/>
      <c r="CWZ553"/>
      <c r="CXA553"/>
      <c r="CXB553"/>
      <c r="CXC553"/>
      <c r="CXD553"/>
      <c r="CXE553"/>
      <c r="CXF553"/>
      <c r="CXG553"/>
      <c r="CXH553"/>
      <c r="CXI553"/>
      <c r="CXJ553"/>
      <c r="CXK553"/>
      <c r="CXL553"/>
      <c r="CXM553"/>
      <c r="CXN553"/>
      <c r="CXO553"/>
      <c r="CXP553"/>
      <c r="CXQ553"/>
      <c r="CXR553"/>
      <c r="CXS553"/>
      <c r="CXT553"/>
      <c r="CXU553"/>
      <c r="CXV553"/>
      <c r="CXW553"/>
      <c r="CXX553"/>
      <c r="CXY553"/>
      <c r="CXZ553"/>
      <c r="CYA553"/>
      <c r="CYB553"/>
      <c r="CYC553"/>
      <c r="CYD553"/>
      <c r="CYE553"/>
      <c r="CYF553"/>
      <c r="CYG553"/>
      <c r="CYH553"/>
      <c r="CYI553"/>
      <c r="CYJ553"/>
      <c r="CYK553"/>
      <c r="CYL553"/>
      <c r="CYM553"/>
      <c r="CYN553"/>
      <c r="CYO553"/>
      <c r="CYP553"/>
      <c r="CYQ553"/>
      <c r="CYR553"/>
      <c r="CYS553"/>
      <c r="CYT553"/>
      <c r="CYU553"/>
      <c r="CYV553"/>
      <c r="CYW553"/>
      <c r="CYX553"/>
      <c r="CYY553"/>
      <c r="CYZ553"/>
      <c r="CZA553"/>
      <c r="CZB553"/>
      <c r="CZC553"/>
      <c r="CZD553"/>
      <c r="CZE553"/>
      <c r="CZF553"/>
      <c r="CZG553"/>
      <c r="CZH553"/>
      <c r="CZI553"/>
      <c r="CZJ553"/>
      <c r="CZK553"/>
      <c r="CZL553"/>
      <c r="CZM553"/>
      <c r="CZN553"/>
      <c r="CZO553"/>
      <c r="CZP553"/>
      <c r="CZQ553"/>
      <c r="CZR553"/>
      <c r="CZS553"/>
      <c r="CZT553"/>
      <c r="CZU553"/>
      <c r="CZV553"/>
      <c r="CZW553"/>
      <c r="CZX553"/>
      <c r="CZY553"/>
      <c r="CZZ553"/>
      <c r="DAA553"/>
      <c r="DAB553"/>
      <c r="DAC553"/>
      <c r="DAD553"/>
      <c r="DAE553"/>
      <c r="DAF553"/>
      <c r="DAG553"/>
      <c r="DAH553"/>
      <c r="DAI553"/>
      <c r="DAJ553"/>
      <c r="DAK553"/>
      <c r="DAL553"/>
      <c r="DAM553"/>
      <c r="DAN553"/>
      <c r="DAO553"/>
      <c r="DAP553"/>
      <c r="DAQ553"/>
      <c r="DAR553"/>
      <c r="DAS553"/>
      <c r="DAT553"/>
      <c r="DAU553"/>
      <c r="DAV553"/>
      <c r="DAW553"/>
      <c r="DAX553"/>
      <c r="DAY553"/>
      <c r="DAZ553"/>
      <c r="DBA553"/>
      <c r="DBB553"/>
      <c r="DBC553"/>
      <c r="DBD553"/>
      <c r="DBE553"/>
      <c r="DBF553"/>
      <c r="DBG553"/>
      <c r="DBH553"/>
      <c r="DBI553"/>
      <c r="DBJ553"/>
      <c r="DBK553"/>
      <c r="DBL553"/>
      <c r="DBM553"/>
      <c r="DBN553"/>
      <c r="DBO553"/>
      <c r="DBP553"/>
      <c r="DBQ553"/>
      <c r="DBR553"/>
      <c r="DBS553"/>
      <c r="DBT553"/>
      <c r="DBU553"/>
      <c r="DBV553"/>
      <c r="DBW553"/>
      <c r="DBX553"/>
      <c r="DBY553"/>
      <c r="DBZ553"/>
      <c r="DCA553"/>
      <c r="DCB553"/>
      <c r="DCC553"/>
      <c r="DCD553"/>
      <c r="DCE553"/>
      <c r="DCF553"/>
      <c r="DCG553"/>
      <c r="DCH553"/>
      <c r="DCI553"/>
      <c r="DCJ553"/>
      <c r="DCK553"/>
      <c r="DCL553"/>
      <c r="DCM553"/>
      <c r="DCN553"/>
      <c r="DCO553"/>
      <c r="DCP553"/>
      <c r="DCQ553"/>
      <c r="DCR553"/>
      <c r="DCS553"/>
      <c r="DCT553"/>
      <c r="DCU553"/>
      <c r="DCV553"/>
      <c r="DCW553"/>
      <c r="DCX553"/>
      <c r="DCY553"/>
      <c r="DCZ553"/>
      <c r="DDA553"/>
      <c r="DDB553"/>
      <c r="DDC553"/>
      <c r="DDD553"/>
      <c r="DDE553"/>
      <c r="DDF553"/>
      <c r="DDG553"/>
      <c r="DDH553"/>
      <c r="DDI553"/>
      <c r="DDJ553"/>
      <c r="DDK553"/>
      <c r="DDL553"/>
      <c r="DDM553"/>
      <c r="DDN553"/>
      <c r="DDO553"/>
      <c r="DDP553"/>
      <c r="DDQ553"/>
      <c r="DDR553"/>
      <c r="DDS553"/>
      <c r="DDT553"/>
      <c r="DDU553"/>
      <c r="DDV553"/>
      <c r="DDW553"/>
      <c r="DDX553"/>
      <c r="DDY553"/>
      <c r="DDZ553"/>
      <c r="DEA553"/>
      <c r="DEB553"/>
      <c r="DEC553"/>
      <c r="DED553"/>
      <c r="DEE553"/>
      <c r="DEF553"/>
      <c r="DEG553"/>
      <c r="DEH553"/>
      <c r="DEI553"/>
      <c r="DEJ553"/>
      <c r="DEK553"/>
      <c r="DEL553"/>
      <c r="DEM553"/>
      <c r="DEN553"/>
      <c r="DEO553"/>
      <c r="DEP553"/>
      <c r="DEQ553"/>
      <c r="DER553"/>
      <c r="DES553"/>
      <c r="DET553"/>
      <c r="DEU553"/>
      <c r="DEV553"/>
      <c r="DEW553"/>
      <c r="DEX553"/>
      <c r="DEY553"/>
      <c r="DEZ553"/>
      <c r="DFA553"/>
      <c r="DFB553"/>
      <c r="DFC553"/>
      <c r="DFD553"/>
      <c r="DFE553"/>
      <c r="DFF553"/>
      <c r="DFG553"/>
      <c r="DFH553"/>
      <c r="DFI553"/>
      <c r="DFJ553"/>
      <c r="DFK553"/>
      <c r="DFL553"/>
      <c r="DFM553"/>
      <c r="DFN553"/>
      <c r="DFO553"/>
      <c r="DFP553"/>
      <c r="DFQ553"/>
      <c r="DFR553"/>
      <c r="DFS553"/>
      <c r="DFT553"/>
      <c r="DFU553"/>
      <c r="DFV553"/>
      <c r="DFW553"/>
      <c r="DFX553"/>
      <c r="DFY553"/>
      <c r="DFZ553"/>
      <c r="DGA553"/>
      <c r="DGB553"/>
      <c r="DGC553"/>
      <c r="DGD553"/>
      <c r="DGE553"/>
      <c r="DGF553"/>
      <c r="DGG553"/>
      <c r="DGH553"/>
      <c r="DGI553"/>
      <c r="DGJ553"/>
      <c r="DGK553"/>
      <c r="DGL553"/>
      <c r="DGM553"/>
      <c r="DGN553"/>
      <c r="DGO553"/>
      <c r="DGP553"/>
      <c r="DGQ553"/>
      <c r="DGR553"/>
      <c r="DGS553"/>
      <c r="DGT553"/>
      <c r="DGU553"/>
      <c r="DGV553"/>
      <c r="DGW553"/>
      <c r="DGX553"/>
      <c r="DGY553"/>
      <c r="DGZ553"/>
      <c r="DHA553"/>
      <c r="DHB553"/>
      <c r="DHC553"/>
      <c r="DHD553"/>
      <c r="DHE553"/>
      <c r="DHF553"/>
      <c r="DHG553"/>
      <c r="DHH553"/>
      <c r="DHI553"/>
      <c r="DHJ553"/>
      <c r="DHK553"/>
      <c r="DHL553"/>
      <c r="DHM553"/>
      <c r="DHN553"/>
      <c r="DHO553"/>
      <c r="DHP553"/>
      <c r="DHQ553"/>
      <c r="DHR553"/>
      <c r="DHS553"/>
      <c r="DHT553"/>
      <c r="DHU553"/>
      <c r="DHV553"/>
      <c r="DHW553"/>
      <c r="DHX553"/>
      <c r="DHY553"/>
      <c r="DHZ553"/>
      <c r="DIA553"/>
      <c r="DIB553"/>
      <c r="DIC553"/>
      <c r="DID553"/>
      <c r="DIE553"/>
      <c r="DIF553"/>
      <c r="DIG553"/>
      <c r="DIH553"/>
      <c r="DII553"/>
      <c r="DIJ553"/>
      <c r="DIK553"/>
      <c r="DIL553"/>
      <c r="DIM553"/>
      <c r="DIN553"/>
      <c r="DIO553"/>
      <c r="DIP553"/>
      <c r="DIQ553"/>
      <c r="DIR553"/>
      <c r="DIS553"/>
      <c r="DIT553"/>
      <c r="DIU553"/>
      <c r="DIV553"/>
      <c r="DIW553"/>
      <c r="DIX553"/>
      <c r="DIY553"/>
      <c r="DIZ553"/>
      <c r="DJA553"/>
      <c r="DJB553"/>
      <c r="DJC553"/>
      <c r="DJD553"/>
      <c r="DJE553"/>
      <c r="DJF553"/>
      <c r="DJG553"/>
      <c r="DJH553"/>
      <c r="DJI553"/>
      <c r="DJJ553"/>
      <c r="DJK553"/>
      <c r="DJL553"/>
      <c r="DJM553"/>
      <c r="DJN553"/>
      <c r="DJO553"/>
      <c r="DJP553"/>
      <c r="DJQ553"/>
      <c r="DJR553"/>
      <c r="DJS553"/>
      <c r="DJT553"/>
      <c r="DJU553"/>
      <c r="DJV553"/>
      <c r="DJW553"/>
      <c r="DJX553"/>
      <c r="DJY553"/>
      <c r="DJZ553"/>
      <c r="DKA553"/>
      <c r="DKB553"/>
      <c r="DKC553"/>
      <c r="DKD553"/>
      <c r="DKE553"/>
      <c r="DKF553"/>
      <c r="DKG553"/>
      <c r="DKH553"/>
      <c r="DKI553"/>
      <c r="DKJ553"/>
      <c r="DKK553"/>
      <c r="DKL553"/>
      <c r="DKM553"/>
      <c r="DKN553"/>
      <c r="DKO553"/>
      <c r="DKP553"/>
      <c r="DKQ553"/>
      <c r="DKR553"/>
      <c r="DKS553"/>
      <c r="DKT553"/>
      <c r="DKU553"/>
      <c r="DKV553"/>
      <c r="DKW553"/>
      <c r="DKX553"/>
      <c r="DKY553"/>
      <c r="DKZ553"/>
      <c r="DLA553"/>
      <c r="DLB553"/>
      <c r="DLC553"/>
      <c r="DLD553"/>
      <c r="DLE553"/>
      <c r="DLF553"/>
      <c r="DLG553"/>
      <c r="DLH553"/>
      <c r="DLI553"/>
      <c r="DLJ553"/>
      <c r="DLK553"/>
      <c r="DLL553"/>
      <c r="DLM553"/>
      <c r="DLN553"/>
      <c r="DLO553"/>
      <c r="DLP553"/>
      <c r="DLQ553"/>
      <c r="DLR553"/>
      <c r="DLS553"/>
      <c r="DLT553"/>
      <c r="DLU553"/>
      <c r="DLV553"/>
      <c r="DLW553"/>
      <c r="DLX553"/>
      <c r="DLY553"/>
      <c r="DLZ553"/>
      <c r="DMA553"/>
      <c r="DMB553"/>
      <c r="DMC553"/>
      <c r="DMD553"/>
      <c r="DME553"/>
      <c r="DMF553"/>
      <c r="DMG553"/>
      <c r="DMH553"/>
      <c r="DMI553"/>
      <c r="DMJ553"/>
      <c r="DMK553"/>
      <c r="DML553"/>
      <c r="DMM553"/>
      <c r="DMN553"/>
      <c r="DMO553"/>
      <c r="DMP553"/>
      <c r="DMQ553"/>
      <c r="DMR553"/>
      <c r="DMS553"/>
      <c r="DMT553"/>
      <c r="DMU553"/>
      <c r="DMV553"/>
      <c r="DMW553"/>
      <c r="DMX553"/>
      <c r="DMY553"/>
      <c r="DMZ553"/>
      <c r="DNA553"/>
      <c r="DNB553"/>
      <c r="DNC553"/>
      <c r="DND553"/>
      <c r="DNE553"/>
      <c r="DNF553"/>
      <c r="DNG553"/>
      <c r="DNH553"/>
      <c r="DNI553"/>
      <c r="DNJ553"/>
      <c r="DNK553"/>
      <c r="DNL553"/>
      <c r="DNM553"/>
      <c r="DNN553"/>
      <c r="DNO553"/>
      <c r="DNP553"/>
      <c r="DNQ553"/>
      <c r="DNR553"/>
      <c r="DNS553"/>
      <c r="DNT553"/>
      <c r="DNU553"/>
      <c r="DNV553"/>
      <c r="DNW553"/>
      <c r="DNX553"/>
      <c r="DNY553"/>
      <c r="DNZ553"/>
      <c r="DOA553"/>
      <c r="DOB553"/>
      <c r="DOC553"/>
      <c r="DOD553"/>
      <c r="DOE553"/>
      <c r="DOF553"/>
      <c r="DOG553"/>
      <c r="DOH553"/>
      <c r="DOI553"/>
      <c r="DOJ553"/>
      <c r="DOK553"/>
      <c r="DOL553"/>
      <c r="DOM553"/>
      <c r="DON553"/>
      <c r="DOO553"/>
      <c r="DOP553"/>
      <c r="DOQ553"/>
      <c r="DOR553"/>
      <c r="DOS553"/>
      <c r="DOT553"/>
      <c r="DOU553"/>
      <c r="DOV553"/>
      <c r="DOW553"/>
      <c r="DOX553"/>
      <c r="DOY553"/>
      <c r="DOZ553"/>
      <c r="DPA553"/>
      <c r="DPB553"/>
      <c r="DPC553"/>
      <c r="DPD553"/>
      <c r="DPE553"/>
      <c r="DPF553"/>
      <c r="DPG553"/>
      <c r="DPH553"/>
      <c r="DPI553"/>
      <c r="DPJ553"/>
      <c r="DPK553"/>
      <c r="DPL553"/>
      <c r="DPM553"/>
      <c r="DPN553"/>
      <c r="DPO553"/>
      <c r="DPP553"/>
      <c r="DPQ553"/>
      <c r="DPR553"/>
      <c r="DPS553"/>
      <c r="DPT553"/>
      <c r="DPU553"/>
      <c r="DPV553"/>
      <c r="DPW553"/>
      <c r="DPX553"/>
      <c r="DPY553"/>
      <c r="DPZ553"/>
      <c r="DQA553"/>
      <c r="DQB553"/>
      <c r="DQC553"/>
      <c r="DQD553"/>
      <c r="DQE553"/>
      <c r="DQF553"/>
      <c r="DQG553"/>
      <c r="DQH553"/>
      <c r="DQI553"/>
      <c r="DQJ553"/>
      <c r="DQK553"/>
      <c r="DQL553"/>
      <c r="DQM553"/>
      <c r="DQN553"/>
      <c r="DQO553"/>
      <c r="DQP553"/>
      <c r="DQQ553"/>
      <c r="DQR553"/>
      <c r="DQS553"/>
      <c r="DQT553"/>
      <c r="DQU553"/>
      <c r="DQV553"/>
      <c r="DQW553"/>
      <c r="DQX553"/>
      <c r="DQY553"/>
      <c r="DQZ553"/>
      <c r="DRA553"/>
      <c r="DRB553"/>
      <c r="DRC553"/>
      <c r="DRD553"/>
      <c r="DRE553"/>
      <c r="DRF553"/>
      <c r="DRG553"/>
      <c r="DRH553"/>
      <c r="DRI553"/>
      <c r="DRJ553"/>
      <c r="DRK553"/>
      <c r="DRL553"/>
      <c r="DRM553"/>
      <c r="DRN553"/>
      <c r="DRO553"/>
      <c r="DRP553"/>
      <c r="DRQ553"/>
      <c r="DRR553"/>
      <c r="DRS553"/>
      <c r="DRT553"/>
      <c r="DRU553"/>
      <c r="DRV553"/>
      <c r="DRW553"/>
      <c r="DRX553"/>
      <c r="DRY553"/>
      <c r="DRZ553"/>
      <c r="DSA553"/>
      <c r="DSB553"/>
      <c r="DSC553"/>
      <c r="DSD553"/>
      <c r="DSE553"/>
      <c r="DSF553"/>
      <c r="DSG553"/>
      <c r="DSH553"/>
      <c r="DSI553"/>
      <c r="DSJ553"/>
      <c r="DSK553"/>
      <c r="DSL553"/>
      <c r="DSM553"/>
      <c r="DSN553"/>
      <c r="DSO553"/>
      <c r="DSP553"/>
      <c r="DSQ553"/>
      <c r="DSR553"/>
      <c r="DSS553"/>
      <c r="DST553"/>
      <c r="DSU553"/>
      <c r="DSV553"/>
      <c r="DSW553"/>
      <c r="DSX553"/>
      <c r="DSY553"/>
      <c r="DSZ553"/>
      <c r="DTA553"/>
      <c r="DTB553"/>
      <c r="DTC553"/>
      <c r="DTD553"/>
      <c r="DTE553"/>
      <c r="DTF553"/>
      <c r="DTG553"/>
      <c r="DTH553"/>
      <c r="DTI553"/>
      <c r="DTJ553"/>
      <c r="DTK553"/>
      <c r="DTL553"/>
      <c r="DTM553"/>
      <c r="DTN553"/>
      <c r="DTO553"/>
      <c r="DTP553"/>
      <c r="DTQ553"/>
      <c r="DTR553"/>
      <c r="DTS553"/>
      <c r="DTT553"/>
      <c r="DTU553"/>
      <c r="DTV553"/>
      <c r="DTW553"/>
      <c r="DTX553"/>
      <c r="DTY553"/>
      <c r="DTZ553"/>
      <c r="DUA553"/>
      <c r="DUB553"/>
      <c r="DUC553"/>
      <c r="DUD553"/>
      <c r="DUE553"/>
      <c r="DUF553"/>
      <c r="DUG553"/>
      <c r="DUH553"/>
      <c r="DUI553"/>
      <c r="DUJ553"/>
      <c r="DUK553"/>
      <c r="DUL553"/>
      <c r="DUM553"/>
      <c r="DUN553"/>
      <c r="DUO553"/>
      <c r="DUP553"/>
      <c r="DUQ553"/>
      <c r="DUR553"/>
      <c r="DUS553"/>
      <c r="DUT553"/>
      <c r="DUU553"/>
      <c r="DUV553"/>
      <c r="DUW553"/>
      <c r="DUX553"/>
      <c r="DUY553"/>
      <c r="DUZ553"/>
      <c r="DVA553"/>
      <c r="DVB553"/>
      <c r="DVC553"/>
      <c r="DVD553"/>
      <c r="DVE553"/>
      <c r="DVF553"/>
      <c r="DVG553"/>
      <c r="DVH553"/>
      <c r="DVI553"/>
      <c r="DVJ553"/>
      <c r="DVK553"/>
      <c r="DVL553"/>
      <c r="DVM553"/>
      <c r="DVN553"/>
      <c r="DVO553"/>
      <c r="DVP553"/>
      <c r="DVQ553"/>
      <c r="DVR553"/>
      <c r="DVS553"/>
      <c r="DVT553"/>
      <c r="DVU553"/>
      <c r="DVV553"/>
      <c r="DVW553"/>
      <c r="DVX553"/>
      <c r="DVY553"/>
      <c r="DVZ553"/>
      <c r="DWA553"/>
      <c r="DWB553"/>
      <c r="DWC553"/>
      <c r="DWD553"/>
      <c r="DWE553"/>
      <c r="DWF553"/>
      <c r="DWG553"/>
      <c r="DWH553"/>
      <c r="DWI553"/>
      <c r="DWJ553"/>
      <c r="DWK553"/>
      <c r="DWL553"/>
      <c r="DWM553"/>
      <c r="DWN553"/>
      <c r="DWO553"/>
      <c r="DWP553"/>
      <c r="DWQ553"/>
      <c r="DWR553"/>
      <c r="DWS553"/>
      <c r="DWT553"/>
      <c r="DWU553"/>
      <c r="DWV553"/>
      <c r="DWW553"/>
      <c r="DWX553"/>
      <c r="DWY553"/>
      <c r="DWZ553"/>
      <c r="DXA553"/>
      <c r="DXB553"/>
      <c r="DXC553"/>
      <c r="DXD553"/>
      <c r="DXE553"/>
      <c r="DXF553"/>
      <c r="DXG553"/>
      <c r="DXH553"/>
      <c r="DXI553"/>
      <c r="DXJ553"/>
      <c r="DXK553"/>
      <c r="DXL553"/>
      <c r="DXM553"/>
      <c r="DXN553"/>
      <c r="DXO553"/>
      <c r="DXP553"/>
      <c r="DXQ553"/>
      <c r="DXR553"/>
      <c r="DXS553"/>
      <c r="DXT553"/>
      <c r="DXU553"/>
      <c r="DXV553"/>
      <c r="DXW553"/>
      <c r="DXX553"/>
      <c r="DXY553"/>
      <c r="DXZ553"/>
      <c r="DYA553"/>
      <c r="DYB553"/>
      <c r="DYC553"/>
      <c r="DYD553"/>
      <c r="DYE553"/>
      <c r="DYF553"/>
      <c r="DYG553"/>
      <c r="DYH553"/>
      <c r="DYI553"/>
      <c r="DYJ553"/>
      <c r="DYK553"/>
      <c r="DYL553"/>
      <c r="DYM553"/>
      <c r="DYN553"/>
      <c r="DYO553"/>
      <c r="DYP553"/>
      <c r="DYQ553"/>
      <c r="DYR553"/>
      <c r="DYS553"/>
      <c r="DYT553"/>
      <c r="DYU553"/>
      <c r="DYV553"/>
      <c r="DYW553"/>
      <c r="DYX553"/>
      <c r="DYY553"/>
      <c r="DYZ553"/>
      <c r="DZA553"/>
      <c r="DZB553"/>
      <c r="DZC553"/>
      <c r="DZD553"/>
      <c r="DZE553"/>
      <c r="DZF553"/>
      <c r="DZG553"/>
      <c r="DZH553"/>
      <c r="DZI553"/>
      <c r="DZJ553"/>
      <c r="DZK553"/>
      <c r="DZL553"/>
      <c r="DZM553"/>
      <c r="DZN553"/>
      <c r="DZO553"/>
      <c r="DZP553"/>
      <c r="DZQ553"/>
      <c r="DZR553"/>
      <c r="DZS553"/>
      <c r="DZT553"/>
      <c r="DZU553"/>
      <c r="DZV553"/>
      <c r="DZW553"/>
      <c r="DZX553"/>
      <c r="DZY553"/>
      <c r="DZZ553"/>
      <c r="EAA553"/>
      <c r="EAB553"/>
      <c r="EAC553"/>
      <c r="EAD553"/>
      <c r="EAE553"/>
      <c r="EAF553"/>
      <c r="EAG553"/>
      <c r="EAH553"/>
      <c r="EAI553"/>
      <c r="EAJ553"/>
      <c r="EAK553"/>
      <c r="EAL553"/>
      <c r="EAM553"/>
      <c r="EAN553"/>
      <c r="EAO553"/>
      <c r="EAP553"/>
      <c r="EAQ553"/>
      <c r="EAR553"/>
      <c r="EAS553"/>
      <c r="EAT553"/>
      <c r="EAU553"/>
      <c r="EAV553"/>
      <c r="EAW553"/>
      <c r="EAX553"/>
      <c r="EAY553"/>
      <c r="EAZ553"/>
      <c r="EBA553"/>
      <c r="EBB553"/>
      <c r="EBC553"/>
      <c r="EBD553"/>
      <c r="EBE553"/>
      <c r="EBF553"/>
      <c r="EBG553"/>
      <c r="EBH553"/>
      <c r="EBI553"/>
      <c r="EBJ553"/>
      <c r="EBK553"/>
      <c r="EBL553"/>
      <c r="EBM553"/>
      <c r="EBN553"/>
      <c r="EBO553"/>
      <c r="EBP553"/>
      <c r="EBQ553"/>
      <c r="EBR553"/>
      <c r="EBS553"/>
      <c r="EBT553"/>
      <c r="EBU553"/>
      <c r="EBV553"/>
      <c r="EBW553"/>
      <c r="EBX553"/>
      <c r="EBY553"/>
      <c r="EBZ553"/>
      <c r="ECA553"/>
      <c r="ECB553"/>
      <c r="ECC553"/>
      <c r="ECD553"/>
      <c r="ECE553"/>
      <c r="ECF553"/>
      <c r="ECG553"/>
      <c r="ECH553"/>
      <c r="ECI553"/>
      <c r="ECJ553"/>
      <c r="ECK553"/>
      <c r="ECL553"/>
      <c r="ECM553"/>
      <c r="ECN553"/>
      <c r="ECO553"/>
      <c r="ECP553"/>
      <c r="ECQ553"/>
      <c r="ECR553"/>
      <c r="ECS553"/>
      <c r="ECT553"/>
      <c r="ECU553"/>
      <c r="ECV553"/>
      <c r="ECW553"/>
      <c r="ECX553"/>
      <c r="ECY553"/>
      <c r="ECZ553"/>
      <c r="EDA553"/>
      <c r="EDB553"/>
      <c r="EDC553"/>
      <c r="EDD553"/>
      <c r="EDE553"/>
      <c r="EDF553"/>
      <c r="EDG553"/>
      <c r="EDH553"/>
      <c r="EDI553"/>
      <c r="EDJ553"/>
      <c r="EDK553"/>
      <c r="EDL553"/>
      <c r="EDM553"/>
      <c r="EDN553"/>
      <c r="EDO553"/>
      <c r="EDP553"/>
      <c r="EDQ553"/>
      <c r="EDR553"/>
      <c r="EDS553"/>
      <c r="EDT553"/>
      <c r="EDU553"/>
      <c r="EDV553"/>
      <c r="EDW553"/>
      <c r="EDX553"/>
      <c r="EDY553"/>
      <c r="EDZ553"/>
      <c r="EEA553"/>
      <c r="EEB553"/>
      <c r="EEC553"/>
      <c r="EED553"/>
      <c r="EEE553"/>
      <c r="EEF553"/>
      <c r="EEG553"/>
      <c r="EEH553"/>
      <c r="EEI553"/>
      <c r="EEJ553"/>
      <c r="EEK553"/>
      <c r="EEL553"/>
      <c r="EEM553"/>
      <c r="EEN553"/>
      <c r="EEO553"/>
      <c r="EEP553"/>
      <c r="EEQ553"/>
      <c r="EER553"/>
      <c r="EES553"/>
      <c r="EET553"/>
      <c r="EEU553"/>
      <c r="EEV553"/>
      <c r="EEW553"/>
      <c r="EEX553"/>
      <c r="EEY553"/>
      <c r="EEZ553"/>
      <c r="EFA553"/>
      <c r="EFB553"/>
      <c r="EFC553"/>
      <c r="EFD553"/>
      <c r="EFE553"/>
      <c r="EFF553"/>
      <c r="EFG553"/>
      <c r="EFH553"/>
      <c r="EFI553"/>
      <c r="EFJ553"/>
      <c r="EFK553"/>
      <c r="EFL553"/>
      <c r="EFM553"/>
      <c r="EFN553"/>
      <c r="EFO553"/>
      <c r="EFP553"/>
      <c r="EFQ553"/>
      <c r="EFR553"/>
      <c r="EFS553"/>
      <c r="EFT553"/>
      <c r="EFU553"/>
      <c r="EFV553"/>
      <c r="EFW553"/>
      <c r="EFX553"/>
      <c r="EFY553"/>
      <c r="EFZ553"/>
      <c r="EGA553"/>
      <c r="EGB553"/>
      <c r="EGC553"/>
      <c r="EGD553"/>
      <c r="EGE553"/>
      <c r="EGF553"/>
      <c r="EGG553"/>
      <c r="EGH553"/>
      <c r="EGI553"/>
      <c r="EGJ553"/>
      <c r="EGK553"/>
      <c r="EGL553"/>
      <c r="EGM553"/>
      <c r="EGN553"/>
      <c r="EGO553"/>
      <c r="EGP553"/>
      <c r="EGQ553"/>
      <c r="EGR553"/>
      <c r="EGS553"/>
      <c r="EGT553"/>
      <c r="EGU553"/>
      <c r="EGV553"/>
      <c r="EGW553"/>
      <c r="EGX553"/>
      <c r="EGY553"/>
      <c r="EGZ553"/>
      <c r="EHA553"/>
      <c r="EHB553"/>
      <c r="EHC553"/>
      <c r="EHD553"/>
      <c r="EHE553"/>
      <c r="EHF553"/>
      <c r="EHG553"/>
      <c r="EHH553"/>
      <c r="EHI553"/>
      <c r="EHJ553"/>
      <c r="EHK553"/>
      <c r="EHL553"/>
      <c r="EHM553"/>
      <c r="EHN553"/>
      <c r="EHO553"/>
      <c r="EHP553"/>
      <c r="EHQ553"/>
      <c r="EHR553"/>
      <c r="EHS553"/>
      <c r="EHT553"/>
      <c r="EHU553"/>
      <c r="EHV553"/>
      <c r="EHW553"/>
      <c r="EHX553"/>
      <c r="EHY553"/>
      <c r="EHZ553"/>
      <c r="EIA553"/>
      <c r="EIB553"/>
      <c r="EIC553"/>
      <c r="EID553"/>
      <c r="EIE553"/>
      <c r="EIF553"/>
      <c r="EIG553"/>
      <c r="EIH553"/>
      <c r="EII553"/>
      <c r="EIJ553"/>
      <c r="EIK553"/>
      <c r="EIL553"/>
      <c r="EIM553"/>
      <c r="EIN553"/>
      <c r="EIO553"/>
      <c r="EIP553"/>
      <c r="EIQ553"/>
      <c r="EIR553"/>
      <c r="EIS553"/>
      <c r="EIT553"/>
      <c r="EIU553"/>
      <c r="EIV553"/>
      <c r="EIW553"/>
      <c r="EIX553"/>
      <c r="EIY553"/>
      <c r="EIZ553"/>
      <c r="EJA553"/>
      <c r="EJB553"/>
      <c r="EJC553"/>
      <c r="EJD553"/>
      <c r="EJE553"/>
      <c r="EJF553"/>
      <c r="EJG553"/>
      <c r="EJH553"/>
      <c r="EJI553"/>
      <c r="EJJ553"/>
      <c r="EJK553"/>
      <c r="EJL553"/>
      <c r="EJM553"/>
      <c r="EJN553"/>
      <c r="EJO553"/>
      <c r="EJP553"/>
      <c r="EJQ553"/>
      <c r="EJR553"/>
      <c r="EJS553"/>
      <c r="EJT553"/>
      <c r="EJU553"/>
      <c r="EJV553"/>
      <c r="EJW553"/>
      <c r="EJX553"/>
      <c r="EJY553"/>
      <c r="EJZ553"/>
      <c r="EKA553"/>
      <c r="EKB553"/>
      <c r="EKC553"/>
      <c r="EKD553"/>
      <c r="EKE553"/>
      <c r="EKF553"/>
      <c r="EKG553"/>
      <c r="EKH553"/>
      <c r="EKI553"/>
      <c r="EKJ553"/>
      <c r="EKK553"/>
      <c r="EKL553"/>
      <c r="EKM553"/>
      <c r="EKN553"/>
      <c r="EKO553"/>
      <c r="EKP553"/>
      <c r="EKQ553"/>
      <c r="EKR553"/>
      <c r="EKS553"/>
      <c r="EKT553"/>
      <c r="EKU553"/>
      <c r="EKV553"/>
      <c r="EKW553"/>
      <c r="EKX553"/>
      <c r="EKY553"/>
      <c r="EKZ553"/>
      <c r="ELA553"/>
      <c r="ELB553"/>
      <c r="ELC553"/>
      <c r="ELD553"/>
      <c r="ELE553"/>
      <c r="ELF553"/>
      <c r="ELG553"/>
      <c r="ELH553"/>
      <c r="ELI553"/>
      <c r="ELJ553"/>
      <c r="ELK553"/>
      <c r="ELL553"/>
      <c r="ELM553"/>
      <c r="ELN553"/>
      <c r="ELO553"/>
      <c r="ELP553"/>
      <c r="ELQ553"/>
      <c r="ELR553"/>
      <c r="ELS553"/>
      <c r="ELT553"/>
      <c r="ELU553"/>
      <c r="ELV553"/>
      <c r="ELW553"/>
      <c r="ELX553"/>
      <c r="ELY553"/>
      <c r="ELZ553"/>
      <c r="EMA553"/>
      <c r="EMB553"/>
      <c r="EMC553"/>
      <c r="EMD553"/>
      <c r="EME553"/>
      <c r="EMF553"/>
      <c r="EMG553"/>
      <c r="EMH553"/>
      <c r="EMI553"/>
      <c r="EMJ553"/>
      <c r="EMK553"/>
      <c r="EML553"/>
      <c r="EMM553"/>
      <c r="EMN553"/>
      <c r="EMO553"/>
      <c r="EMP553"/>
      <c r="EMQ553"/>
      <c r="EMR553"/>
      <c r="EMS553"/>
      <c r="EMT553"/>
      <c r="EMU553"/>
      <c r="EMV553"/>
      <c r="EMW553"/>
      <c r="EMX553"/>
      <c r="EMY553"/>
      <c r="EMZ553"/>
      <c r="ENA553"/>
      <c r="ENB553"/>
      <c r="ENC553"/>
      <c r="END553"/>
      <c r="ENE553"/>
      <c r="ENF553"/>
      <c r="ENG553"/>
      <c r="ENH553"/>
      <c r="ENI553"/>
      <c r="ENJ553"/>
      <c r="ENK553"/>
      <c r="ENL553"/>
      <c r="ENM553"/>
      <c r="ENN553"/>
      <c r="ENO553"/>
      <c r="ENP553"/>
      <c r="ENQ553"/>
      <c r="ENR553"/>
      <c r="ENS553"/>
      <c r="ENT553"/>
      <c r="ENU553"/>
      <c r="ENV553"/>
      <c r="ENW553"/>
      <c r="ENX553"/>
      <c r="ENY553"/>
      <c r="ENZ553"/>
      <c r="EOA553"/>
      <c r="EOB553"/>
      <c r="EOC553"/>
      <c r="EOD553"/>
      <c r="EOE553"/>
      <c r="EOF553"/>
      <c r="EOG553"/>
      <c r="EOH553"/>
      <c r="EOI553"/>
      <c r="EOJ553"/>
      <c r="EOK553"/>
      <c r="EOL553"/>
      <c r="EOM553"/>
      <c r="EON553"/>
      <c r="EOO553"/>
      <c r="EOP553"/>
      <c r="EOQ553"/>
      <c r="EOR553"/>
      <c r="EOS553"/>
      <c r="EOT553"/>
      <c r="EOU553"/>
      <c r="EOV553"/>
      <c r="EOW553"/>
      <c r="EOX553"/>
      <c r="EOY553"/>
      <c r="EOZ553"/>
      <c r="EPA553"/>
      <c r="EPB553"/>
      <c r="EPC553"/>
      <c r="EPD553"/>
      <c r="EPE553"/>
      <c r="EPF553"/>
      <c r="EPG553"/>
      <c r="EPH553"/>
      <c r="EPI553"/>
      <c r="EPJ553"/>
      <c r="EPK553"/>
      <c r="EPL553"/>
      <c r="EPM553"/>
      <c r="EPN553"/>
      <c r="EPO553"/>
      <c r="EPP553"/>
      <c r="EPQ553"/>
      <c r="EPR553"/>
      <c r="EPS553"/>
      <c r="EPT553"/>
      <c r="EPU553"/>
      <c r="EPV553"/>
      <c r="EPW553"/>
      <c r="EPX553"/>
      <c r="EPY553"/>
      <c r="EPZ553"/>
      <c r="EQA553"/>
      <c r="EQB553"/>
      <c r="EQC553"/>
      <c r="EQD553"/>
      <c r="EQE553"/>
      <c r="EQF553"/>
      <c r="EQG553"/>
      <c r="EQH553"/>
      <c r="EQI553"/>
      <c r="EQJ553"/>
      <c r="EQK553"/>
      <c r="EQL553"/>
      <c r="EQM553"/>
      <c r="EQN553"/>
      <c r="EQO553"/>
      <c r="EQP553"/>
      <c r="EQQ553"/>
      <c r="EQR553"/>
      <c r="EQS553"/>
      <c r="EQT553"/>
      <c r="EQU553"/>
      <c r="EQV553"/>
      <c r="EQW553"/>
      <c r="EQX553"/>
      <c r="EQY553"/>
      <c r="EQZ553"/>
      <c r="ERA553"/>
      <c r="ERB553"/>
      <c r="ERC553"/>
      <c r="ERD553"/>
      <c r="ERE553"/>
      <c r="ERF553"/>
      <c r="ERG553"/>
      <c r="ERH553"/>
      <c r="ERI553"/>
      <c r="ERJ553"/>
      <c r="ERK553"/>
      <c r="ERL553"/>
      <c r="ERM553"/>
      <c r="ERN553"/>
      <c r="ERO553"/>
      <c r="ERP553"/>
      <c r="ERQ553"/>
      <c r="ERR553"/>
      <c r="ERS553"/>
      <c r="ERT553"/>
      <c r="ERU553"/>
      <c r="ERV553"/>
      <c r="ERW553"/>
      <c r="ERX553"/>
      <c r="ERY553"/>
      <c r="ERZ553"/>
      <c r="ESA553"/>
      <c r="ESB553"/>
      <c r="ESC553"/>
      <c r="ESD553"/>
      <c r="ESE553"/>
      <c r="ESF553"/>
      <c r="ESG553"/>
      <c r="ESH553"/>
      <c r="ESI553"/>
      <c r="ESJ553"/>
      <c r="ESK553"/>
      <c r="ESL553"/>
      <c r="ESM553"/>
      <c r="ESN553"/>
      <c r="ESO553"/>
      <c r="ESP553"/>
      <c r="ESQ553"/>
      <c r="ESR553"/>
      <c r="ESS553"/>
      <c r="EST553"/>
      <c r="ESU553"/>
      <c r="ESV553"/>
      <c r="ESW553"/>
      <c r="ESX553"/>
      <c r="ESY553"/>
      <c r="ESZ553"/>
      <c r="ETA553"/>
      <c r="ETB553"/>
      <c r="ETC553"/>
      <c r="ETD553"/>
      <c r="ETE553"/>
      <c r="ETF553"/>
      <c r="ETG553"/>
      <c r="ETH553"/>
      <c r="ETI553"/>
      <c r="ETJ553"/>
      <c r="ETK553"/>
      <c r="ETL553"/>
      <c r="ETM553"/>
      <c r="ETN553"/>
      <c r="ETO553"/>
      <c r="ETP553"/>
      <c r="ETQ553"/>
      <c r="ETR553"/>
      <c r="ETS553"/>
      <c r="ETT553"/>
      <c r="ETU553"/>
      <c r="ETV553"/>
      <c r="ETW553"/>
      <c r="ETX553"/>
      <c r="ETY553"/>
      <c r="ETZ553"/>
      <c r="EUA553"/>
      <c r="EUB553"/>
      <c r="EUC553"/>
      <c r="EUD553"/>
      <c r="EUE553"/>
      <c r="EUF553"/>
      <c r="EUG553"/>
      <c r="EUH553"/>
      <c r="EUI553"/>
      <c r="EUJ553"/>
      <c r="EUK553"/>
      <c r="EUL553"/>
      <c r="EUM553"/>
      <c r="EUN553"/>
      <c r="EUO553"/>
      <c r="EUP553"/>
      <c r="EUQ553"/>
      <c r="EUR553"/>
      <c r="EUS553"/>
      <c r="EUT553"/>
      <c r="EUU553"/>
      <c r="EUV553"/>
      <c r="EUW553"/>
      <c r="EUX553"/>
      <c r="EUY553"/>
      <c r="EUZ553"/>
      <c r="EVA553"/>
      <c r="EVB553"/>
      <c r="EVC553"/>
      <c r="EVD553"/>
      <c r="EVE553"/>
      <c r="EVF553"/>
      <c r="EVG553"/>
      <c r="EVH553"/>
      <c r="EVI553"/>
      <c r="EVJ553"/>
      <c r="EVK553"/>
      <c r="EVL553"/>
      <c r="EVM553"/>
      <c r="EVN553"/>
      <c r="EVO553"/>
      <c r="EVP553"/>
      <c r="EVQ553"/>
      <c r="EVR553"/>
      <c r="EVS553"/>
      <c r="EVT553"/>
      <c r="EVU553"/>
      <c r="EVV553"/>
      <c r="EVW553"/>
      <c r="EVX553"/>
      <c r="EVY553"/>
      <c r="EVZ553"/>
      <c r="EWA553"/>
      <c r="EWB553"/>
      <c r="EWC553"/>
      <c r="EWD553"/>
      <c r="EWE553"/>
      <c r="EWF553"/>
      <c r="EWG553"/>
      <c r="EWH553"/>
      <c r="EWI553"/>
      <c r="EWJ553"/>
      <c r="EWK553"/>
      <c r="EWL553"/>
      <c r="EWM553"/>
      <c r="EWN553"/>
      <c r="EWO553"/>
      <c r="EWP553"/>
      <c r="EWQ553"/>
      <c r="EWR553"/>
      <c r="EWS553"/>
      <c r="EWT553"/>
      <c r="EWU553"/>
      <c r="EWV553"/>
      <c r="EWW553"/>
      <c r="EWX553"/>
      <c r="EWY553"/>
      <c r="EWZ553"/>
      <c r="EXA553"/>
      <c r="EXB553"/>
      <c r="EXC553"/>
      <c r="EXD553"/>
      <c r="EXE553"/>
      <c r="EXF553"/>
      <c r="EXG553"/>
      <c r="EXH553"/>
      <c r="EXI553"/>
      <c r="EXJ553"/>
      <c r="EXK553"/>
      <c r="EXL553"/>
      <c r="EXM553"/>
      <c r="EXN553"/>
      <c r="EXO553"/>
      <c r="EXP553"/>
      <c r="EXQ553"/>
      <c r="EXR553"/>
      <c r="EXS553"/>
      <c r="EXT553"/>
      <c r="EXU553"/>
      <c r="EXV553"/>
      <c r="EXW553"/>
      <c r="EXX553"/>
      <c r="EXY553"/>
      <c r="EXZ553"/>
      <c r="EYA553"/>
      <c r="EYB553"/>
      <c r="EYC553"/>
      <c r="EYD553"/>
      <c r="EYE553"/>
      <c r="EYF553"/>
      <c r="EYG553"/>
      <c r="EYH553"/>
      <c r="EYI553"/>
      <c r="EYJ553"/>
      <c r="EYK553"/>
      <c r="EYL553"/>
      <c r="EYM553"/>
      <c r="EYN553"/>
      <c r="EYO553"/>
      <c r="EYP553"/>
      <c r="EYQ553"/>
      <c r="EYR553"/>
      <c r="EYS553"/>
      <c r="EYT553"/>
      <c r="EYU553"/>
      <c r="EYV553"/>
      <c r="EYW553"/>
      <c r="EYX553"/>
      <c r="EYY553"/>
      <c r="EYZ553"/>
      <c r="EZA553"/>
      <c r="EZB553"/>
      <c r="EZC553"/>
      <c r="EZD553"/>
      <c r="EZE553"/>
      <c r="EZF553"/>
      <c r="EZG553"/>
      <c r="EZH553"/>
      <c r="EZI553"/>
      <c r="EZJ553"/>
      <c r="EZK553"/>
      <c r="EZL553"/>
      <c r="EZM553"/>
      <c r="EZN553"/>
      <c r="EZO553"/>
      <c r="EZP553"/>
      <c r="EZQ553"/>
      <c r="EZR553"/>
      <c r="EZS553"/>
      <c r="EZT553"/>
      <c r="EZU553"/>
      <c r="EZV553"/>
      <c r="EZW553"/>
      <c r="EZX553"/>
      <c r="EZY553"/>
      <c r="EZZ553"/>
      <c r="FAA553"/>
      <c r="FAB553"/>
      <c r="FAC553"/>
      <c r="FAD553"/>
      <c r="FAE553"/>
      <c r="FAF553"/>
      <c r="FAG553"/>
      <c r="FAH553"/>
      <c r="FAI553"/>
      <c r="FAJ553"/>
      <c r="FAK553"/>
      <c r="FAL553"/>
      <c r="FAM553"/>
      <c r="FAN553"/>
      <c r="FAO553"/>
      <c r="FAP553"/>
      <c r="FAQ553"/>
      <c r="FAR553"/>
      <c r="FAS553"/>
      <c r="FAT553"/>
      <c r="FAU553"/>
      <c r="FAV553"/>
      <c r="FAW553"/>
      <c r="FAX553"/>
      <c r="FAY553"/>
      <c r="FAZ553"/>
      <c r="FBA553"/>
      <c r="FBB553"/>
      <c r="FBC553"/>
      <c r="FBD553"/>
      <c r="FBE553"/>
      <c r="FBF553"/>
      <c r="FBG553"/>
      <c r="FBH553"/>
      <c r="FBI553"/>
      <c r="FBJ553"/>
      <c r="FBK553"/>
      <c r="FBL553"/>
      <c r="FBM553"/>
      <c r="FBN553"/>
      <c r="FBO553"/>
      <c r="FBP553"/>
      <c r="FBQ553"/>
      <c r="FBR553"/>
      <c r="FBS553"/>
      <c r="FBT553"/>
      <c r="FBU553"/>
      <c r="FBV553"/>
      <c r="FBW553"/>
      <c r="FBX553"/>
      <c r="FBY553"/>
      <c r="FBZ553"/>
      <c r="FCA553"/>
      <c r="FCB553"/>
      <c r="FCC553"/>
      <c r="FCD553"/>
      <c r="FCE553"/>
      <c r="FCF553"/>
      <c r="FCG553"/>
      <c r="FCH553"/>
      <c r="FCI553"/>
      <c r="FCJ553"/>
      <c r="FCK553"/>
      <c r="FCL553"/>
      <c r="FCM553"/>
      <c r="FCN553"/>
      <c r="FCO553"/>
      <c r="FCP553"/>
      <c r="FCQ553"/>
      <c r="FCR553"/>
      <c r="FCS553"/>
      <c r="FCT553"/>
      <c r="FCU553"/>
      <c r="FCV553"/>
      <c r="FCW553"/>
      <c r="FCX553"/>
      <c r="FCY553"/>
      <c r="FCZ553"/>
      <c r="FDA553"/>
      <c r="FDB553"/>
      <c r="FDC553"/>
      <c r="FDD553"/>
      <c r="FDE553"/>
      <c r="FDF553"/>
      <c r="FDG553"/>
      <c r="FDH553"/>
      <c r="FDI553"/>
      <c r="FDJ553"/>
      <c r="FDK553"/>
      <c r="FDL553"/>
      <c r="FDM553"/>
      <c r="FDN553"/>
      <c r="FDO553"/>
      <c r="FDP553"/>
      <c r="FDQ553"/>
      <c r="FDR553"/>
      <c r="FDS553"/>
      <c r="FDT553"/>
      <c r="FDU553"/>
      <c r="FDV553"/>
      <c r="FDW553"/>
      <c r="FDX553"/>
      <c r="FDY553"/>
      <c r="FDZ553"/>
      <c r="FEA553"/>
      <c r="FEB553"/>
      <c r="FEC553"/>
      <c r="FED553"/>
      <c r="FEE553"/>
      <c r="FEF553"/>
      <c r="FEG553"/>
      <c r="FEH553"/>
      <c r="FEI553"/>
      <c r="FEJ553"/>
      <c r="FEK553"/>
      <c r="FEL553"/>
      <c r="FEM553"/>
      <c r="FEN553"/>
      <c r="FEO553"/>
      <c r="FEP553"/>
      <c r="FEQ553"/>
      <c r="FER553"/>
      <c r="FES553"/>
      <c r="FET553"/>
      <c r="FEU553"/>
      <c r="FEV553"/>
      <c r="FEW553"/>
      <c r="FEX553"/>
      <c r="FEY553"/>
      <c r="FEZ553"/>
      <c r="FFA553"/>
      <c r="FFB553"/>
      <c r="FFC553"/>
      <c r="FFD553"/>
      <c r="FFE553"/>
      <c r="FFF553"/>
      <c r="FFG553"/>
      <c r="FFH553"/>
      <c r="FFI553"/>
      <c r="FFJ553"/>
      <c r="FFK553"/>
      <c r="FFL553"/>
      <c r="FFM553"/>
      <c r="FFN553"/>
      <c r="FFO553"/>
      <c r="FFP553"/>
      <c r="FFQ553"/>
      <c r="FFR553"/>
      <c r="FFS553"/>
      <c r="FFT553"/>
      <c r="FFU553"/>
      <c r="FFV553"/>
      <c r="FFW553"/>
      <c r="FFX553"/>
      <c r="FFY553"/>
      <c r="FFZ553"/>
      <c r="FGA553"/>
      <c r="FGB553"/>
      <c r="FGC553"/>
      <c r="FGD553"/>
      <c r="FGE553"/>
      <c r="FGF553"/>
      <c r="FGG553"/>
      <c r="FGH553"/>
      <c r="FGI553"/>
      <c r="FGJ553"/>
      <c r="FGK553"/>
      <c r="FGL553"/>
      <c r="FGM553"/>
      <c r="FGN553"/>
      <c r="FGO553"/>
      <c r="FGP553"/>
      <c r="FGQ553"/>
      <c r="FGR553"/>
      <c r="FGS553"/>
      <c r="FGT553"/>
      <c r="FGU553"/>
      <c r="FGV553"/>
      <c r="FGW553"/>
      <c r="FGX553"/>
      <c r="FGY553"/>
      <c r="FGZ553"/>
      <c r="FHA553"/>
      <c r="FHB553"/>
      <c r="FHC553"/>
      <c r="FHD553"/>
      <c r="FHE553"/>
      <c r="FHF553"/>
      <c r="FHG553"/>
      <c r="FHH553"/>
      <c r="FHI553"/>
      <c r="FHJ553"/>
      <c r="FHK553"/>
      <c r="FHL553"/>
      <c r="FHM553"/>
      <c r="FHN553"/>
      <c r="FHO553"/>
      <c r="FHP553"/>
      <c r="FHQ553"/>
      <c r="FHR553"/>
      <c r="FHS553"/>
      <c r="FHT553"/>
      <c r="FHU553"/>
      <c r="FHV553"/>
      <c r="FHW553"/>
      <c r="FHX553"/>
      <c r="FHY553"/>
      <c r="FHZ553"/>
      <c r="FIA553"/>
      <c r="FIB553"/>
      <c r="FIC553"/>
      <c r="FID553"/>
      <c r="FIE553"/>
      <c r="FIF553"/>
      <c r="FIG553"/>
      <c r="FIH553"/>
      <c r="FII553"/>
      <c r="FIJ553"/>
      <c r="FIK553"/>
      <c r="FIL553"/>
      <c r="FIM553"/>
      <c r="FIN553"/>
      <c r="FIO553"/>
      <c r="FIP553"/>
      <c r="FIQ553"/>
      <c r="FIR553"/>
      <c r="FIS553"/>
      <c r="FIT553"/>
      <c r="FIU553"/>
      <c r="FIV553"/>
      <c r="FIW553"/>
      <c r="FIX553"/>
      <c r="FIY553"/>
      <c r="FIZ553"/>
      <c r="FJA553"/>
      <c r="FJB553"/>
      <c r="FJC553"/>
      <c r="FJD553"/>
      <c r="FJE553"/>
      <c r="FJF553"/>
      <c r="FJG553"/>
      <c r="FJH553"/>
      <c r="FJI553"/>
      <c r="FJJ553"/>
      <c r="FJK553"/>
      <c r="FJL553"/>
      <c r="FJM553"/>
      <c r="FJN553"/>
      <c r="FJO553"/>
      <c r="FJP553"/>
      <c r="FJQ553"/>
      <c r="FJR553"/>
      <c r="FJS553"/>
      <c r="FJT553"/>
      <c r="FJU553"/>
      <c r="FJV553"/>
      <c r="FJW553"/>
      <c r="FJX553"/>
      <c r="FJY553"/>
      <c r="FJZ553"/>
      <c r="FKA553"/>
      <c r="FKB553"/>
      <c r="FKC553"/>
      <c r="FKD553"/>
      <c r="FKE553"/>
      <c r="FKF553"/>
      <c r="FKG553"/>
      <c r="FKH553"/>
      <c r="FKI553"/>
      <c r="FKJ553"/>
      <c r="FKK553"/>
      <c r="FKL553"/>
      <c r="FKM553"/>
      <c r="FKN553"/>
      <c r="FKO553"/>
      <c r="FKP553"/>
      <c r="FKQ553"/>
      <c r="FKR553"/>
      <c r="FKS553"/>
      <c r="FKT553"/>
      <c r="FKU553"/>
      <c r="FKV553"/>
      <c r="FKW553"/>
      <c r="FKX553"/>
      <c r="FKY553"/>
      <c r="FKZ553"/>
      <c r="FLA553"/>
      <c r="FLB553"/>
      <c r="FLC553"/>
      <c r="FLD553"/>
      <c r="FLE553"/>
      <c r="FLF553"/>
      <c r="FLG553"/>
      <c r="FLH553"/>
      <c r="FLI553"/>
      <c r="FLJ553"/>
      <c r="FLK553"/>
      <c r="FLL553"/>
      <c r="FLM553"/>
      <c r="FLN553"/>
      <c r="FLO553"/>
      <c r="FLP553"/>
      <c r="FLQ553"/>
      <c r="FLR553"/>
      <c r="FLS553"/>
      <c r="FLT553"/>
      <c r="FLU553"/>
      <c r="FLV553"/>
      <c r="FLW553"/>
      <c r="FLX553"/>
      <c r="FLY553"/>
      <c r="FLZ553"/>
      <c r="FMA553"/>
      <c r="FMB553"/>
      <c r="FMC553"/>
      <c r="FMD553"/>
      <c r="FME553"/>
      <c r="FMF553"/>
      <c r="FMG553"/>
      <c r="FMH553"/>
      <c r="FMI553"/>
      <c r="FMJ553"/>
      <c r="FMK553"/>
      <c r="FML553"/>
      <c r="FMM553"/>
      <c r="FMN553"/>
      <c r="FMO553"/>
      <c r="FMP553"/>
      <c r="FMQ553"/>
      <c r="FMR553"/>
      <c r="FMS553"/>
      <c r="FMT553"/>
      <c r="FMU553"/>
      <c r="FMV553"/>
      <c r="FMW553"/>
      <c r="FMX553"/>
      <c r="FMY553"/>
      <c r="FMZ553"/>
      <c r="FNA553"/>
      <c r="FNB553"/>
      <c r="FNC553"/>
      <c r="FND553"/>
      <c r="FNE553"/>
      <c r="FNF553"/>
      <c r="FNG553"/>
      <c r="FNH553"/>
      <c r="FNI553"/>
      <c r="FNJ553"/>
      <c r="FNK553"/>
      <c r="FNL553"/>
      <c r="FNM553"/>
      <c r="FNN553"/>
      <c r="FNO553"/>
      <c r="FNP553"/>
      <c r="FNQ553"/>
      <c r="FNR553"/>
      <c r="FNS553"/>
      <c r="FNT553"/>
      <c r="FNU553"/>
      <c r="FNV553"/>
      <c r="FNW553"/>
      <c r="FNX553"/>
      <c r="FNY553"/>
      <c r="FNZ553"/>
      <c r="FOA553"/>
      <c r="FOB553"/>
      <c r="FOC553"/>
      <c r="FOD553"/>
      <c r="FOE553"/>
      <c r="FOF553"/>
      <c r="FOG553"/>
      <c r="FOH553"/>
      <c r="FOI553"/>
      <c r="FOJ553"/>
      <c r="FOK553"/>
      <c r="FOL553"/>
      <c r="FOM553"/>
      <c r="FON553"/>
      <c r="FOO553"/>
      <c r="FOP553"/>
      <c r="FOQ553"/>
      <c r="FOR553"/>
      <c r="FOS553"/>
      <c r="FOT553"/>
      <c r="FOU553"/>
      <c r="FOV553"/>
      <c r="FOW553"/>
      <c r="FOX553"/>
      <c r="FOY553"/>
      <c r="FOZ553"/>
      <c r="FPA553"/>
      <c r="FPB553"/>
      <c r="FPC553"/>
      <c r="FPD553"/>
      <c r="FPE553"/>
      <c r="FPF553"/>
      <c r="FPG553"/>
      <c r="FPH553"/>
      <c r="FPI553"/>
      <c r="FPJ553"/>
      <c r="FPK553"/>
      <c r="FPL553"/>
      <c r="FPM553"/>
      <c r="FPN553"/>
      <c r="FPO553"/>
      <c r="FPP553"/>
      <c r="FPQ553"/>
      <c r="FPR553"/>
      <c r="FPS553"/>
      <c r="FPT553"/>
      <c r="FPU553"/>
      <c r="FPV553"/>
      <c r="FPW553"/>
      <c r="FPX553"/>
      <c r="FPY553"/>
      <c r="FPZ553"/>
      <c r="FQA553"/>
      <c r="FQB553"/>
      <c r="FQC553"/>
      <c r="FQD553"/>
      <c r="FQE553"/>
      <c r="FQF553"/>
      <c r="FQG553"/>
      <c r="FQH553"/>
      <c r="FQI553"/>
      <c r="FQJ553"/>
      <c r="FQK553"/>
      <c r="FQL553"/>
      <c r="FQM553"/>
      <c r="FQN553"/>
      <c r="FQO553"/>
      <c r="FQP553"/>
      <c r="FQQ553"/>
      <c r="FQR553"/>
      <c r="FQS553"/>
      <c r="FQT553"/>
      <c r="FQU553"/>
      <c r="FQV553"/>
      <c r="FQW553"/>
      <c r="FQX553"/>
      <c r="FQY553"/>
      <c r="FQZ553"/>
      <c r="FRA553"/>
      <c r="FRB553"/>
      <c r="FRC553"/>
      <c r="FRD553"/>
      <c r="FRE553"/>
      <c r="FRF553"/>
      <c r="FRG553"/>
      <c r="FRH553"/>
      <c r="FRI553"/>
      <c r="FRJ553"/>
      <c r="FRK553"/>
      <c r="FRL553"/>
      <c r="FRM553"/>
      <c r="FRN553"/>
      <c r="FRO553"/>
      <c r="FRP553"/>
      <c r="FRQ553"/>
      <c r="FRR553"/>
      <c r="FRS553"/>
      <c r="FRT553"/>
      <c r="FRU553"/>
      <c r="FRV553"/>
      <c r="FRW553"/>
      <c r="FRX553"/>
      <c r="FRY553"/>
      <c r="FRZ553"/>
      <c r="FSA553"/>
      <c r="FSB553"/>
      <c r="FSC553"/>
      <c r="FSD553"/>
      <c r="FSE553"/>
      <c r="FSF553"/>
      <c r="FSG553"/>
      <c r="FSH553"/>
      <c r="FSI553"/>
      <c r="FSJ553"/>
      <c r="FSK553"/>
      <c r="FSL553"/>
      <c r="FSM553"/>
      <c r="FSN553"/>
      <c r="FSO553"/>
      <c r="FSP553"/>
      <c r="FSQ553"/>
      <c r="FSR553"/>
      <c r="FSS553"/>
      <c r="FST553"/>
      <c r="FSU553"/>
      <c r="FSV553"/>
      <c r="FSW553"/>
      <c r="FSX553"/>
      <c r="FSY553"/>
      <c r="FSZ553"/>
      <c r="FTA553"/>
      <c r="FTB553"/>
      <c r="FTC553"/>
      <c r="FTD553"/>
      <c r="FTE553"/>
      <c r="FTF553"/>
      <c r="FTG553"/>
      <c r="FTH553"/>
      <c r="FTI553"/>
      <c r="FTJ553"/>
      <c r="FTK553"/>
      <c r="FTL553"/>
      <c r="FTM553"/>
      <c r="FTN553"/>
      <c r="FTO553"/>
      <c r="FTP553"/>
      <c r="FTQ553"/>
      <c r="FTR553"/>
      <c r="FTS553"/>
      <c r="FTT553"/>
      <c r="FTU553"/>
      <c r="FTV553"/>
      <c r="FTW553"/>
      <c r="FTX553"/>
      <c r="FTY553"/>
      <c r="FTZ553"/>
      <c r="FUA553"/>
      <c r="FUB553"/>
      <c r="FUC553"/>
      <c r="FUD553"/>
      <c r="FUE553"/>
      <c r="FUF553"/>
      <c r="FUG553"/>
      <c r="FUH553"/>
      <c r="FUI553"/>
      <c r="FUJ553"/>
      <c r="FUK553"/>
      <c r="FUL553"/>
      <c r="FUM553"/>
      <c r="FUN553"/>
      <c r="FUO553"/>
      <c r="FUP553"/>
      <c r="FUQ553"/>
      <c r="FUR553"/>
      <c r="FUS553"/>
      <c r="FUT553"/>
      <c r="FUU553"/>
      <c r="FUV553"/>
      <c r="FUW553"/>
      <c r="FUX553"/>
      <c r="FUY553"/>
      <c r="FUZ553"/>
      <c r="FVA553"/>
      <c r="FVB553"/>
      <c r="FVC553"/>
      <c r="FVD553"/>
      <c r="FVE553"/>
      <c r="FVF553"/>
      <c r="FVG553"/>
      <c r="FVH553"/>
      <c r="FVI553"/>
      <c r="FVJ553"/>
      <c r="FVK553"/>
      <c r="FVL553"/>
      <c r="FVM553"/>
      <c r="FVN553"/>
      <c r="FVO553"/>
      <c r="FVP553"/>
      <c r="FVQ553"/>
      <c r="FVR553"/>
      <c r="FVS553"/>
      <c r="FVT553"/>
      <c r="FVU553"/>
      <c r="FVV553"/>
      <c r="FVW553"/>
      <c r="FVX553"/>
      <c r="FVY553"/>
      <c r="FVZ553"/>
      <c r="FWA553"/>
      <c r="FWB553"/>
      <c r="FWC553"/>
      <c r="FWD553"/>
      <c r="FWE553"/>
      <c r="FWF553"/>
      <c r="FWG553"/>
      <c r="FWH553"/>
      <c r="FWI553"/>
      <c r="FWJ553"/>
      <c r="FWK553"/>
      <c r="FWL553"/>
      <c r="FWM553"/>
      <c r="FWN553"/>
      <c r="FWO553"/>
      <c r="FWP553"/>
      <c r="FWQ553"/>
      <c r="FWR553"/>
      <c r="FWS553"/>
      <c r="FWT553"/>
      <c r="FWU553"/>
      <c r="FWV553"/>
      <c r="FWW553"/>
      <c r="FWX553"/>
      <c r="FWY553"/>
      <c r="FWZ553"/>
      <c r="FXA553"/>
      <c r="FXB553"/>
      <c r="FXC553"/>
      <c r="FXD553"/>
      <c r="FXE553"/>
      <c r="FXF553"/>
      <c r="FXG553"/>
      <c r="FXH553"/>
      <c r="FXI553"/>
      <c r="FXJ553"/>
      <c r="FXK553"/>
      <c r="FXL553"/>
      <c r="FXM553"/>
      <c r="FXN553"/>
      <c r="FXO553"/>
      <c r="FXP553"/>
      <c r="FXQ553"/>
      <c r="FXR553"/>
      <c r="FXS553"/>
      <c r="FXT553"/>
      <c r="FXU553"/>
      <c r="FXV553"/>
      <c r="FXW553"/>
      <c r="FXX553"/>
      <c r="FXY553"/>
      <c r="FXZ553"/>
      <c r="FYA553"/>
      <c r="FYB553"/>
      <c r="FYC553"/>
      <c r="FYD553"/>
      <c r="FYE553"/>
      <c r="FYF553"/>
      <c r="FYG553"/>
      <c r="FYH553"/>
      <c r="FYI553"/>
      <c r="FYJ553"/>
      <c r="FYK553"/>
      <c r="FYL553"/>
      <c r="FYM553"/>
      <c r="FYN553"/>
      <c r="FYO553"/>
      <c r="FYP553"/>
      <c r="FYQ553"/>
      <c r="FYR553"/>
      <c r="FYS553"/>
      <c r="FYT553"/>
      <c r="FYU553"/>
      <c r="FYV553"/>
      <c r="FYW553"/>
      <c r="FYX553"/>
      <c r="FYY553"/>
      <c r="FYZ553"/>
      <c r="FZA553"/>
      <c r="FZB553"/>
      <c r="FZC553"/>
      <c r="FZD553"/>
      <c r="FZE553"/>
      <c r="FZF553"/>
      <c r="FZG553"/>
      <c r="FZH553"/>
      <c r="FZI553"/>
      <c r="FZJ553"/>
      <c r="FZK553"/>
      <c r="FZL553"/>
      <c r="FZM553"/>
      <c r="FZN553"/>
      <c r="FZO553"/>
      <c r="FZP553"/>
      <c r="FZQ553"/>
      <c r="FZR553"/>
      <c r="FZS553"/>
      <c r="FZT553"/>
      <c r="FZU553"/>
      <c r="FZV553"/>
      <c r="FZW553"/>
      <c r="FZX553"/>
      <c r="FZY553"/>
      <c r="FZZ553"/>
      <c r="GAA553"/>
      <c r="GAB553"/>
      <c r="GAC553"/>
      <c r="GAD553"/>
      <c r="GAE553"/>
      <c r="GAF553"/>
      <c r="GAG553"/>
      <c r="GAH553"/>
      <c r="GAI553"/>
      <c r="GAJ553"/>
      <c r="GAK553"/>
      <c r="GAL553"/>
      <c r="GAM553"/>
      <c r="GAN553"/>
      <c r="GAO553"/>
      <c r="GAP553"/>
      <c r="GAQ553"/>
      <c r="GAR553"/>
      <c r="GAS553"/>
      <c r="GAT553"/>
      <c r="GAU553"/>
      <c r="GAV553"/>
      <c r="GAW553"/>
      <c r="GAX553"/>
      <c r="GAY553"/>
      <c r="GAZ553"/>
      <c r="GBA553"/>
      <c r="GBB553"/>
      <c r="GBC553"/>
      <c r="GBD553"/>
      <c r="GBE553"/>
      <c r="GBF553"/>
      <c r="GBG553"/>
      <c r="GBH553"/>
      <c r="GBI553"/>
      <c r="GBJ553"/>
      <c r="GBK553"/>
      <c r="GBL553"/>
      <c r="GBM553"/>
      <c r="GBN553"/>
      <c r="GBO553"/>
      <c r="GBP553"/>
      <c r="GBQ553"/>
      <c r="GBR553"/>
      <c r="GBS553"/>
      <c r="GBT553"/>
      <c r="GBU553"/>
      <c r="GBV553"/>
      <c r="GBW553"/>
      <c r="GBX553"/>
      <c r="GBY553"/>
      <c r="GBZ553"/>
      <c r="GCA553"/>
      <c r="GCB553"/>
      <c r="GCC553"/>
      <c r="GCD553"/>
      <c r="GCE553"/>
      <c r="GCF553"/>
      <c r="GCG553"/>
      <c r="GCH553"/>
      <c r="GCI553"/>
      <c r="GCJ553"/>
      <c r="GCK553"/>
      <c r="GCL553"/>
      <c r="GCM553"/>
      <c r="GCN553"/>
      <c r="GCO553"/>
      <c r="GCP553"/>
      <c r="GCQ553"/>
      <c r="GCR553"/>
      <c r="GCS553"/>
      <c r="GCT553"/>
      <c r="GCU553"/>
      <c r="GCV553"/>
      <c r="GCW553"/>
      <c r="GCX553"/>
      <c r="GCY553"/>
      <c r="GCZ553"/>
      <c r="GDA553"/>
      <c r="GDB553"/>
      <c r="GDC553"/>
      <c r="GDD553"/>
      <c r="GDE553"/>
      <c r="GDF553"/>
      <c r="GDG553"/>
      <c r="GDH553"/>
      <c r="GDI553"/>
      <c r="GDJ553"/>
      <c r="GDK553"/>
      <c r="GDL553"/>
      <c r="GDM553"/>
      <c r="GDN553"/>
      <c r="GDO553"/>
      <c r="GDP553"/>
      <c r="GDQ553"/>
      <c r="GDR553"/>
      <c r="GDS553"/>
      <c r="GDT553"/>
      <c r="GDU553"/>
      <c r="GDV553"/>
      <c r="GDW553"/>
      <c r="GDX553"/>
      <c r="GDY553"/>
      <c r="GDZ553"/>
      <c r="GEA553"/>
      <c r="GEB553"/>
      <c r="GEC553"/>
      <c r="GED553"/>
      <c r="GEE553"/>
      <c r="GEF553"/>
      <c r="GEG553"/>
      <c r="GEH553"/>
      <c r="GEI553"/>
      <c r="GEJ553"/>
      <c r="GEK553"/>
      <c r="GEL553"/>
      <c r="GEM553"/>
      <c r="GEN553"/>
      <c r="GEO553"/>
      <c r="GEP553"/>
      <c r="GEQ553"/>
      <c r="GER553"/>
      <c r="GES553"/>
      <c r="GET553"/>
      <c r="GEU553"/>
      <c r="GEV553"/>
      <c r="GEW553"/>
      <c r="GEX553"/>
      <c r="GEY553"/>
      <c r="GEZ553"/>
      <c r="GFA553"/>
      <c r="GFB553"/>
      <c r="GFC553"/>
      <c r="GFD553"/>
      <c r="GFE553"/>
      <c r="GFF553"/>
      <c r="GFG553"/>
      <c r="GFH553"/>
      <c r="GFI553"/>
      <c r="GFJ553"/>
      <c r="GFK553"/>
      <c r="GFL553"/>
      <c r="GFM553"/>
      <c r="GFN553"/>
      <c r="GFO553"/>
      <c r="GFP553"/>
      <c r="GFQ553"/>
      <c r="GFR553"/>
      <c r="GFS553"/>
      <c r="GFT553"/>
      <c r="GFU553"/>
      <c r="GFV553"/>
      <c r="GFW553"/>
      <c r="GFX553"/>
      <c r="GFY553"/>
      <c r="GFZ553"/>
      <c r="GGA553"/>
      <c r="GGB553"/>
      <c r="GGC553"/>
      <c r="GGD553"/>
      <c r="GGE553"/>
      <c r="GGF553"/>
      <c r="GGG553"/>
      <c r="GGH553"/>
      <c r="GGI553"/>
      <c r="GGJ553"/>
      <c r="GGK553"/>
      <c r="GGL553"/>
      <c r="GGM553"/>
      <c r="GGN553"/>
      <c r="GGO553"/>
      <c r="GGP553"/>
      <c r="GGQ553"/>
      <c r="GGR553"/>
      <c r="GGS553"/>
      <c r="GGT553"/>
      <c r="GGU553"/>
      <c r="GGV553"/>
      <c r="GGW553"/>
      <c r="GGX553"/>
      <c r="GGY553"/>
      <c r="GGZ553"/>
      <c r="GHA553"/>
      <c r="GHB553"/>
      <c r="GHC553"/>
      <c r="GHD553"/>
      <c r="GHE553"/>
      <c r="GHF553"/>
      <c r="GHG553"/>
      <c r="GHH553"/>
      <c r="GHI553"/>
      <c r="GHJ553"/>
      <c r="GHK553"/>
      <c r="GHL553"/>
      <c r="GHM553"/>
      <c r="GHN553"/>
      <c r="GHO553"/>
      <c r="GHP553"/>
      <c r="GHQ553"/>
      <c r="GHR553"/>
      <c r="GHS553"/>
      <c r="GHT553"/>
      <c r="GHU553"/>
      <c r="GHV553"/>
      <c r="GHW553"/>
      <c r="GHX553"/>
      <c r="GHY553"/>
      <c r="GHZ553"/>
      <c r="GIA553"/>
      <c r="GIB553"/>
      <c r="GIC553"/>
      <c r="GID553"/>
      <c r="GIE553"/>
      <c r="GIF553"/>
      <c r="GIG553"/>
      <c r="GIH553"/>
      <c r="GII553"/>
      <c r="GIJ553"/>
      <c r="GIK553"/>
      <c r="GIL553"/>
      <c r="GIM553"/>
      <c r="GIN553"/>
      <c r="GIO553"/>
      <c r="GIP553"/>
      <c r="GIQ553"/>
      <c r="GIR553"/>
      <c r="GIS553"/>
      <c r="GIT553"/>
      <c r="GIU553"/>
      <c r="GIV553"/>
      <c r="GIW553"/>
      <c r="GIX553"/>
      <c r="GIY553"/>
      <c r="GIZ553"/>
      <c r="GJA553"/>
      <c r="GJB553"/>
      <c r="GJC553"/>
      <c r="GJD553"/>
      <c r="GJE553"/>
      <c r="GJF553"/>
      <c r="GJG553"/>
      <c r="GJH553"/>
      <c r="GJI553"/>
      <c r="GJJ553"/>
      <c r="GJK553"/>
      <c r="GJL553"/>
      <c r="GJM553"/>
      <c r="GJN553"/>
      <c r="GJO553"/>
      <c r="GJP553"/>
      <c r="GJQ553"/>
      <c r="GJR553"/>
      <c r="GJS553"/>
      <c r="GJT553"/>
      <c r="GJU553"/>
      <c r="GJV553"/>
      <c r="GJW553"/>
      <c r="GJX553"/>
      <c r="GJY553"/>
      <c r="GJZ553"/>
      <c r="GKA553"/>
      <c r="GKB553"/>
      <c r="GKC553"/>
      <c r="GKD553"/>
      <c r="GKE553"/>
      <c r="GKF553"/>
      <c r="GKG553"/>
      <c r="GKH553"/>
      <c r="GKI553"/>
      <c r="GKJ553"/>
      <c r="GKK553"/>
      <c r="GKL553"/>
      <c r="GKM553"/>
      <c r="GKN553"/>
      <c r="GKO553"/>
      <c r="GKP553"/>
      <c r="GKQ553"/>
      <c r="GKR553"/>
      <c r="GKS553"/>
      <c r="GKT553"/>
      <c r="GKU553"/>
      <c r="GKV553"/>
      <c r="GKW553"/>
      <c r="GKX553"/>
      <c r="GKY553"/>
      <c r="GKZ553"/>
      <c r="GLA553"/>
      <c r="GLB553"/>
      <c r="GLC553"/>
      <c r="GLD553"/>
      <c r="GLE553"/>
      <c r="GLF553"/>
      <c r="GLG553"/>
      <c r="GLH553"/>
      <c r="GLI553"/>
      <c r="GLJ553"/>
      <c r="GLK553"/>
      <c r="GLL553"/>
      <c r="GLM553"/>
      <c r="GLN553"/>
      <c r="GLO553"/>
      <c r="GLP553"/>
      <c r="GLQ553"/>
      <c r="GLR553"/>
      <c r="GLS553"/>
      <c r="GLT553"/>
      <c r="GLU553"/>
      <c r="GLV553"/>
      <c r="GLW553"/>
      <c r="GLX553"/>
      <c r="GLY553"/>
      <c r="GLZ553"/>
      <c r="GMA553"/>
      <c r="GMB553"/>
      <c r="GMC553"/>
      <c r="GMD553"/>
      <c r="GME553"/>
      <c r="GMF553"/>
      <c r="GMG553"/>
      <c r="GMH553"/>
      <c r="GMI553"/>
      <c r="GMJ553"/>
      <c r="GMK553"/>
      <c r="GML553"/>
      <c r="GMM553"/>
      <c r="GMN553"/>
      <c r="GMO553"/>
      <c r="GMP553"/>
      <c r="GMQ553"/>
      <c r="GMR553"/>
      <c r="GMS553"/>
      <c r="GMT553"/>
      <c r="GMU553"/>
      <c r="GMV553"/>
      <c r="GMW553"/>
      <c r="GMX553"/>
      <c r="GMY553"/>
      <c r="GMZ553"/>
      <c r="GNA553"/>
      <c r="GNB553"/>
      <c r="GNC553"/>
      <c r="GND553"/>
      <c r="GNE553"/>
      <c r="GNF553"/>
      <c r="GNG553"/>
      <c r="GNH553"/>
      <c r="GNI553"/>
      <c r="GNJ553"/>
      <c r="GNK553"/>
      <c r="GNL553"/>
      <c r="GNM553"/>
      <c r="GNN553"/>
      <c r="GNO553"/>
      <c r="GNP553"/>
      <c r="GNQ553"/>
      <c r="GNR553"/>
      <c r="GNS553"/>
      <c r="GNT553"/>
      <c r="GNU553"/>
      <c r="GNV553"/>
      <c r="GNW553"/>
      <c r="GNX553"/>
      <c r="GNY553"/>
      <c r="GNZ553"/>
      <c r="GOA553"/>
      <c r="GOB553"/>
      <c r="GOC553"/>
      <c r="GOD553"/>
      <c r="GOE553"/>
      <c r="GOF553"/>
      <c r="GOG553"/>
      <c r="GOH553"/>
      <c r="GOI553"/>
      <c r="GOJ553"/>
      <c r="GOK553"/>
      <c r="GOL553"/>
      <c r="GOM553"/>
      <c r="GON553"/>
      <c r="GOO553"/>
      <c r="GOP553"/>
      <c r="GOQ553"/>
      <c r="GOR553"/>
      <c r="GOS553"/>
      <c r="GOT553"/>
      <c r="GOU553"/>
      <c r="GOV553"/>
      <c r="GOW553"/>
      <c r="GOX553"/>
      <c r="GOY553"/>
      <c r="GOZ553"/>
      <c r="GPA553"/>
      <c r="GPB553"/>
      <c r="GPC553"/>
      <c r="GPD553"/>
      <c r="GPE553"/>
      <c r="GPF553"/>
      <c r="GPG553"/>
      <c r="GPH553"/>
      <c r="GPI553"/>
      <c r="GPJ553"/>
      <c r="GPK553"/>
      <c r="GPL553"/>
      <c r="GPM553"/>
      <c r="GPN553"/>
      <c r="GPO553"/>
      <c r="GPP553"/>
      <c r="GPQ553"/>
      <c r="GPR553"/>
      <c r="GPS553"/>
      <c r="GPT553"/>
      <c r="GPU553"/>
      <c r="GPV553"/>
      <c r="GPW553"/>
      <c r="GPX553"/>
      <c r="GPY553"/>
      <c r="GPZ553"/>
      <c r="GQA553"/>
      <c r="GQB553"/>
      <c r="GQC553"/>
      <c r="GQD553"/>
      <c r="GQE553"/>
      <c r="GQF553"/>
      <c r="GQG553"/>
      <c r="GQH553"/>
      <c r="GQI553"/>
      <c r="GQJ553"/>
      <c r="GQK553"/>
      <c r="GQL553"/>
      <c r="GQM553"/>
      <c r="GQN553"/>
      <c r="GQO553"/>
      <c r="GQP553"/>
      <c r="GQQ553"/>
      <c r="GQR553"/>
      <c r="GQS553"/>
      <c r="GQT553"/>
      <c r="GQU553"/>
      <c r="GQV553"/>
      <c r="GQW553"/>
      <c r="GQX553"/>
      <c r="GQY553"/>
      <c r="GQZ553"/>
      <c r="GRA553"/>
      <c r="GRB553"/>
      <c r="GRC553"/>
      <c r="GRD553"/>
      <c r="GRE553"/>
      <c r="GRF553"/>
      <c r="GRG553"/>
      <c r="GRH553"/>
      <c r="GRI553"/>
      <c r="GRJ553"/>
      <c r="GRK553"/>
      <c r="GRL553"/>
      <c r="GRM553"/>
      <c r="GRN553"/>
      <c r="GRO553"/>
      <c r="GRP553"/>
      <c r="GRQ553"/>
      <c r="GRR553"/>
      <c r="GRS553"/>
      <c r="GRT553"/>
      <c r="GRU553"/>
      <c r="GRV553"/>
      <c r="GRW553"/>
      <c r="GRX553"/>
      <c r="GRY553"/>
      <c r="GRZ553"/>
      <c r="GSA553"/>
      <c r="GSB553"/>
      <c r="GSC553"/>
      <c r="GSD553"/>
      <c r="GSE553"/>
      <c r="GSF553"/>
      <c r="GSG553"/>
      <c r="GSH553"/>
      <c r="GSI553"/>
      <c r="GSJ553"/>
      <c r="GSK553"/>
      <c r="GSL553"/>
      <c r="GSM553"/>
      <c r="GSN553"/>
      <c r="GSO553"/>
      <c r="GSP553"/>
      <c r="GSQ553"/>
      <c r="GSR553"/>
      <c r="GSS553"/>
      <c r="GST553"/>
      <c r="GSU553"/>
      <c r="GSV553"/>
      <c r="GSW553"/>
      <c r="GSX553"/>
      <c r="GSY553"/>
      <c r="GSZ553"/>
      <c r="GTA553"/>
      <c r="GTB553"/>
      <c r="GTC553"/>
      <c r="GTD553"/>
      <c r="GTE553"/>
      <c r="GTF553"/>
      <c r="GTG553"/>
      <c r="GTH553"/>
      <c r="GTI553"/>
      <c r="GTJ553"/>
      <c r="GTK553"/>
      <c r="GTL553"/>
      <c r="GTM553"/>
      <c r="GTN553"/>
      <c r="GTO553"/>
      <c r="GTP553"/>
      <c r="GTQ553"/>
      <c r="GTR553"/>
      <c r="GTS553"/>
      <c r="GTT553"/>
      <c r="GTU553"/>
      <c r="GTV553"/>
      <c r="GTW553"/>
      <c r="GTX553"/>
      <c r="GTY553"/>
      <c r="GTZ553"/>
      <c r="GUA553"/>
      <c r="GUB553"/>
      <c r="GUC553"/>
      <c r="GUD553"/>
      <c r="GUE553"/>
      <c r="GUF553"/>
      <c r="GUG553"/>
      <c r="GUH553"/>
      <c r="GUI553"/>
      <c r="GUJ553"/>
      <c r="GUK553"/>
      <c r="GUL553"/>
      <c r="GUM553"/>
      <c r="GUN553"/>
      <c r="GUO553"/>
      <c r="GUP553"/>
      <c r="GUQ553"/>
      <c r="GUR553"/>
      <c r="GUS553"/>
      <c r="GUT553"/>
      <c r="GUU553"/>
      <c r="GUV553"/>
      <c r="GUW553"/>
      <c r="GUX553"/>
      <c r="GUY553"/>
      <c r="GUZ553"/>
      <c r="GVA553"/>
      <c r="GVB553"/>
      <c r="GVC553"/>
      <c r="GVD553"/>
      <c r="GVE553"/>
      <c r="GVF553"/>
      <c r="GVG553"/>
      <c r="GVH553"/>
      <c r="GVI553"/>
      <c r="GVJ553"/>
      <c r="GVK553"/>
      <c r="GVL553"/>
      <c r="GVM553"/>
      <c r="GVN553"/>
      <c r="GVO553"/>
      <c r="GVP553"/>
      <c r="GVQ553"/>
      <c r="GVR553"/>
      <c r="GVS553"/>
      <c r="GVT553"/>
      <c r="GVU553"/>
      <c r="GVV553"/>
      <c r="GVW553"/>
      <c r="GVX553"/>
      <c r="GVY553"/>
      <c r="GVZ553"/>
      <c r="GWA553"/>
      <c r="GWB553"/>
      <c r="GWC553"/>
      <c r="GWD553"/>
      <c r="GWE553"/>
      <c r="GWF553"/>
      <c r="GWG553"/>
      <c r="GWH553"/>
      <c r="GWI553"/>
      <c r="GWJ553"/>
      <c r="GWK553"/>
      <c r="GWL553"/>
      <c r="GWM553"/>
      <c r="GWN553"/>
      <c r="GWO553"/>
      <c r="GWP553"/>
      <c r="GWQ553"/>
      <c r="GWR553"/>
      <c r="GWS553"/>
      <c r="GWT553"/>
      <c r="GWU553"/>
      <c r="GWV553"/>
      <c r="GWW553"/>
      <c r="GWX553"/>
      <c r="GWY553"/>
      <c r="GWZ553"/>
      <c r="GXA553"/>
      <c r="GXB553"/>
      <c r="GXC553"/>
      <c r="GXD553"/>
      <c r="GXE553"/>
      <c r="GXF553"/>
      <c r="GXG553"/>
      <c r="GXH553"/>
      <c r="GXI553"/>
      <c r="GXJ553"/>
      <c r="GXK553"/>
      <c r="GXL553"/>
      <c r="GXM553"/>
      <c r="GXN553"/>
      <c r="GXO553"/>
      <c r="GXP553"/>
      <c r="GXQ553"/>
      <c r="GXR553"/>
      <c r="GXS553"/>
      <c r="GXT553"/>
      <c r="GXU553"/>
      <c r="GXV553"/>
      <c r="GXW553"/>
      <c r="GXX553"/>
      <c r="GXY553"/>
      <c r="GXZ553"/>
      <c r="GYA553"/>
      <c r="GYB553"/>
      <c r="GYC553"/>
      <c r="GYD553"/>
      <c r="GYE553"/>
      <c r="GYF553"/>
      <c r="GYG553"/>
      <c r="GYH553"/>
      <c r="GYI553"/>
      <c r="GYJ553"/>
      <c r="GYK553"/>
      <c r="GYL553"/>
      <c r="GYM553"/>
      <c r="GYN553"/>
      <c r="GYO553"/>
      <c r="GYP553"/>
      <c r="GYQ553"/>
      <c r="GYR553"/>
      <c r="GYS553"/>
      <c r="GYT553"/>
      <c r="GYU553"/>
      <c r="GYV553"/>
      <c r="GYW553"/>
      <c r="GYX553"/>
      <c r="GYY553"/>
      <c r="GYZ553"/>
      <c r="GZA553"/>
      <c r="GZB553"/>
      <c r="GZC553"/>
      <c r="GZD553"/>
      <c r="GZE553"/>
      <c r="GZF553"/>
      <c r="GZG553"/>
      <c r="GZH553"/>
      <c r="GZI553"/>
      <c r="GZJ553"/>
      <c r="GZK553"/>
      <c r="GZL553"/>
      <c r="GZM553"/>
      <c r="GZN553"/>
      <c r="GZO553"/>
      <c r="GZP553"/>
      <c r="GZQ553"/>
      <c r="GZR553"/>
      <c r="GZS553"/>
      <c r="GZT553"/>
      <c r="GZU553"/>
      <c r="GZV553"/>
      <c r="GZW553"/>
      <c r="GZX553"/>
      <c r="GZY553"/>
      <c r="GZZ553"/>
      <c r="HAA553"/>
      <c r="HAB553"/>
      <c r="HAC553"/>
      <c r="HAD553"/>
      <c r="HAE553"/>
      <c r="HAF553"/>
      <c r="HAG553"/>
      <c r="HAH553"/>
      <c r="HAI553"/>
      <c r="HAJ553"/>
      <c r="HAK553"/>
      <c r="HAL553"/>
      <c r="HAM553"/>
      <c r="HAN553"/>
      <c r="HAO553"/>
      <c r="HAP553"/>
      <c r="HAQ553"/>
      <c r="HAR553"/>
      <c r="HAS553"/>
      <c r="HAT553"/>
      <c r="HAU553"/>
      <c r="HAV553"/>
      <c r="HAW553"/>
      <c r="HAX553"/>
      <c r="HAY553"/>
      <c r="HAZ553"/>
      <c r="HBA553"/>
      <c r="HBB553"/>
      <c r="HBC553"/>
      <c r="HBD553"/>
      <c r="HBE553"/>
      <c r="HBF553"/>
      <c r="HBG553"/>
      <c r="HBH553"/>
      <c r="HBI553"/>
      <c r="HBJ553"/>
      <c r="HBK553"/>
      <c r="HBL553"/>
      <c r="HBM553"/>
      <c r="HBN553"/>
      <c r="HBO553"/>
      <c r="HBP553"/>
      <c r="HBQ553"/>
      <c r="HBR553"/>
      <c r="HBS553"/>
      <c r="HBT553"/>
      <c r="HBU553"/>
      <c r="HBV553"/>
      <c r="HBW553"/>
      <c r="HBX553"/>
      <c r="HBY553"/>
      <c r="HBZ553"/>
      <c r="HCA553"/>
      <c r="HCB553"/>
      <c r="HCC553"/>
      <c r="HCD553"/>
      <c r="HCE553"/>
      <c r="HCF553"/>
      <c r="HCG553"/>
      <c r="HCH553"/>
      <c r="HCI553"/>
      <c r="HCJ553"/>
      <c r="HCK553"/>
      <c r="HCL553"/>
      <c r="HCM553"/>
      <c r="HCN553"/>
      <c r="HCO553"/>
      <c r="HCP553"/>
      <c r="HCQ553"/>
      <c r="HCR553"/>
      <c r="HCS553"/>
      <c r="HCT553"/>
      <c r="HCU553"/>
      <c r="HCV553"/>
      <c r="HCW553"/>
      <c r="HCX553"/>
      <c r="HCY553"/>
      <c r="HCZ553"/>
      <c r="HDA553"/>
      <c r="HDB553"/>
      <c r="HDC553"/>
      <c r="HDD553"/>
      <c r="HDE553"/>
      <c r="HDF553"/>
      <c r="HDG553"/>
      <c r="HDH553"/>
      <c r="HDI553"/>
      <c r="HDJ553"/>
      <c r="HDK553"/>
      <c r="HDL553"/>
      <c r="HDM553"/>
      <c r="HDN553"/>
      <c r="HDO553"/>
      <c r="HDP553"/>
      <c r="HDQ553"/>
      <c r="HDR553"/>
      <c r="HDS553"/>
      <c r="HDT553"/>
      <c r="HDU553"/>
      <c r="HDV553"/>
      <c r="HDW553"/>
      <c r="HDX553"/>
      <c r="HDY553"/>
      <c r="HDZ553"/>
      <c r="HEA553"/>
      <c r="HEB553"/>
      <c r="HEC553"/>
      <c r="HED553"/>
      <c r="HEE553"/>
      <c r="HEF553"/>
      <c r="HEG553"/>
      <c r="HEH553"/>
      <c r="HEI553"/>
      <c r="HEJ553"/>
      <c r="HEK553"/>
      <c r="HEL553"/>
      <c r="HEM553"/>
      <c r="HEN553"/>
      <c r="HEO553"/>
      <c r="HEP553"/>
      <c r="HEQ553"/>
      <c r="HER553"/>
      <c r="HES553"/>
      <c r="HET553"/>
      <c r="HEU553"/>
      <c r="HEV553"/>
      <c r="HEW553"/>
      <c r="HEX553"/>
      <c r="HEY553"/>
      <c r="HEZ553"/>
      <c r="HFA553"/>
      <c r="HFB553"/>
      <c r="HFC553"/>
      <c r="HFD553"/>
      <c r="HFE553"/>
      <c r="HFF553"/>
      <c r="HFG553"/>
      <c r="HFH553"/>
      <c r="HFI553"/>
      <c r="HFJ553"/>
      <c r="HFK553"/>
      <c r="HFL553"/>
      <c r="HFM553"/>
      <c r="HFN553"/>
      <c r="HFO553"/>
      <c r="HFP553"/>
      <c r="HFQ553"/>
      <c r="HFR553"/>
      <c r="HFS553"/>
      <c r="HFT553"/>
      <c r="HFU553"/>
      <c r="HFV553"/>
      <c r="HFW553"/>
      <c r="HFX553"/>
      <c r="HFY553"/>
      <c r="HFZ553"/>
      <c r="HGA553"/>
      <c r="HGB553"/>
      <c r="HGC553"/>
      <c r="HGD553"/>
      <c r="HGE553"/>
      <c r="HGF553"/>
      <c r="HGG553"/>
      <c r="HGH553"/>
      <c r="HGI553"/>
      <c r="HGJ553"/>
      <c r="HGK553"/>
      <c r="HGL553"/>
      <c r="HGM553"/>
      <c r="HGN553"/>
      <c r="HGO553"/>
      <c r="HGP553"/>
      <c r="HGQ553"/>
      <c r="HGR553"/>
      <c r="HGS553"/>
      <c r="HGT553"/>
      <c r="HGU553"/>
      <c r="HGV553"/>
      <c r="HGW553"/>
      <c r="HGX553"/>
      <c r="HGY553"/>
      <c r="HGZ553"/>
      <c r="HHA553"/>
      <c r="HHB553"/>
      <c r="HHC553"/>
      <c r="HHD553"/>
      <c r="HHE553"/>
      <c r="HHF553"/>
      <c r="HHG553"/>
      <c r="HHH553"/>
      <c r="HHI553"/>
      <c r="HHJ553"/>
      <c r="HHK553"/>
      <c r="HHL553"/>
      <c r="HHM553"/>
      <c r="HHN553"/>
      <c r="HHO553"/>
      <c r="HHP553"/>
      <c r="HHQ553"/>
      <c r="HHR553"/>
      <c r="HHS553"/>
      <c r="HHT553"/>
      <c r="HHU553"/>
      <c r="HHV553"/>
      <c r="HHW553"/>
      <c r="HHX553"/>
      <c r="HHY553"/>
      <c r="HHZ553"/>
      <c r="HIA553"/>
      <c r="HIB553"/>
      <c r="HIC553"/>
      <c r="HID553"/>
      <c r="HIE553"/>
      <c r="HIF553"/>
      <c r="HIG553"/>
      <c r="HIH553"/>
      <c r="HII553"/>
      <c r="HIJ553"/>
      <c r="HIK553"/>
      <c r="HIL553"/>
      <c r="HIM553"/>
      <c r="HIN553"/>
      <c r="HIO553"/>
      <c r="HIP553"/>
      <c r="HIQ553"/>
      <c r="HIR553"/>
      <c r="HIS553"/>
      <c r="HIT553"/>
      <c r="HIU553"/>
      <c r="HIV553"/>
      <c r="HIW553"/>
      <c r="HIX553"/>
      <c r="HIY553"/>
      <c r="HIZ553"/>
      <c r="HJA553"/>
      <c r="HJB553"/>
      <c r="HJC553"/>
      <c r="HJD553"/>
      <c r="HJE553"/>
      <c r="HJF553"/>
      <c r="HJG553"/>
      <c r="HJH553"/>
      <c r="HJI553"/>
      <c r="HJJ553"/>
      <c r="HJK553"/>
      <c r="HJL553"/>
      <c r="HJM553"/>
      <c r="HJN553"/>
      <c r="HJO553"/>
      <c r="HJP553"/>
      <c r="HJQ553"/>
      <c r="HJR553"/>
      <c r="HJS553"/>
      <c r="HJT553"/>
      <c r="HJU553"/>
      <c r="HJV553"/>
      <c r="HJW553"/>
      <c r="HJX553"/>
      <c r="HJY553"/>
      <c r="HJZ553"/>
      <c r="HKA553"/>
      <c r="HKB553"/>
      <c r="HKC553"/>
      <c r="HKD553"/>
      <c r="HKE553"/>
      <c r="HKF553"/>
      <c r="HKG553"/>
      <c r="HKH553"/>
      <c r="HKI553"/>
      <c r="HKJ553"/>
      <c r="HKK553"/>
      <c r="HKL553"/>
      <c r="HKM553"/>
      <c r="HKN553"/>
      <c r="HKO553"/>
      <c r="HKP553"/>
      <c r="HKQ553"/>
      <c r="HKR553"/>
      <c r="HKS553"/>
      <c r="HKT553"/>
      <c r="HKU553"/>
      <c r="HKV553"/>
      <c r="HKW553"/>
      <c r="HKX553"/>
      <c r="HKY553"/>
      <c r="HKZ553"/>
      <c r="HLA553"/>
      <c r="HLB553"/>
      <c r="HLC553"/>
      <c r="HLD553"/>
      <c r="HLE553"/>
      <c r="HLF553"/>
      <c r="HLG553"/>
      <c r="HLH553"/>
      <c r="HLI553"/>
      <c r="HLJ553"/>
      <c r="HLK553"/>
      <c r="HLL553"/>
      <c r="HLM553"/>
      <c r="HLN553"/>
      <c r="HLO553"/>
      <c r="HLP553"/>
      <c r="HLQ553"/>
      <c r="HLR553"/>
      <c r="HLS553"/>
      <c r="HLT553"/>
      <c r="HLU553"/>
      <c r="HLV553"/>
      <c r="HLW553"/>
      <c r="HLX553"/>
      <c r="HLY553"/>
      <c r="HLZ553"/>
      <c r="HMA553"/>
      <c r="HMB553"/>
      <c r="HMC553"/>
      <c r="HMD553"/>
      <c r="HME553"/>
      <c r="HMF553"/>
      <c r="HMG553"/>
      <c r="HMH553"/>
      <c r="HMI553"/>
      <c r="HMJ553"/>
      <c r="HMK553"/>
      <c r="HML553"/>
      <c r="HMM553"/>
      <c r="HMN553"/>
      <c r="HMO553"/>
      <c r="HMP553"/>
      <c r="HMQ553"/>
      <c r="HMR553"/>
      <c r="HMS553"/>
      <c r="HMT553"/>
      <c r="HMU553"/>
      <c r="HMV553"/>
      <c r="HMW553"/>
      <c r="HMX553"/>
      <c r="HMY553"/>
      <c r="HMZ553"/>
      <c r="HNA553"/>
      <c r="HNB553"/>
      <c r="HNC553"/>
      <c r="HND553"/>
      <c r="HNE553"/>
      <c r="HNF553"/>
      <c r="HNG553"/>
      <c r="HNH553"/>
      <c r="HNI553"/>
      <c r="HNJ553"/>
      <c r="HNK553"/>
      <c r="HNL553"/>
      <c r="HNM553"/>
      <c r="HNN553"/>
      <c r="HNO553"/>
      <c r="HNP553"/>
      <c r="HNQ553"/>
      <c r="HNR553"/>
      <c r="HNS553"/>
      <c r="HNT553"/>
      <c r="HNU553"/>
      <c r="HNV553"/>
      <c r="HNW553"/>
      <c r="HNX553"/>
      <c r="HNY553"/>
      <c r="HNZ553"/>
      <c r="HOA553"/>
      <c r="HOB553"/>
      <c r="HOC553"/>
      <c r="HOD553"/>
      <c r="HOE553"/>
      <c r="HOF553"/>
      <c r="HOG553"/>
      <c r="HOH553"/>
      <c r="HOI553"/>
      <c r="HOJ553"/>
      <c r="HOK553"/>
      <c r="HOL553"/>
      <c r="HOM553"/>
      <c r="HON553"/>
      <c r="HOO553"/>
      <c r="HOP553"/>
      <c r="HOQ553"/>
      <c r="HOR553"/>
      <c r="HOS553"/>
      <c r="HOT553"/>
      <c r="HOU553"/>
      <c r="HOV553"/>
      <c r="HOW553"/>
      <c r="HOX553"/>
      <c r="HOY553"/>
      <c r="HOZ553"/>
      <c r="HPA553"/>
      <c r="HPB553"/>
      <c r="HPC553"/>
      <c r="HPD553"/>
      <c r="HPE553"/>
      <c r="HPF553"/>
      <c r="HPG553"/>
      <c r="HPH553"/>
      <c r="HPI553"/>
      <c r="HPJ553"/>
      <c r="HPK553"/>
      <c r="HPL553"/>
      <c r="HPM553"/>
      <c r="HPN553"/>
      <c r="HPO553"/>
      <c r="HPP553"/>
      <c r="HPQ553"/>
      <c r="HPR553"/>
      <c r="HPS553"/>
      <c r="HPT553"/>
      <c r="HPU553"/>
      <c r="HPV553"/>
      <c r="HPW553"/>
      <c r="HPX553"/>
      <c r="HPY553"/>
      <c r="HPZ553"/>
      <c r="HQA553"/>
      <c r="HQB553"/>
      <c r="HQC553"/>
      <c r="HQD553"/>
      <c r="HQE553"/>
      <c r="HQF553"/>
      <c r="HQG553"/>
      <c r="HQH553"/>
      <c r="HQI553"/>
      <c r="HQJ553"/>
      <c r="HQK553"/>
      <c r="HQL553"/>
      <c r="HQM553"/>
      <c r="HQN553"/>
      <c r="HQO553"/>
      <c r="HQP553"/>
      <c r="HQQ553"/>
      <c r="HQR553"/>
      <c r="HQS553"/>
      <c r="HQT553"/>
      <c r="HQU553"/>
      <c r="HQV553"/>
      <c r="HQW553"/>
      <c r="HQX553"/>
      <c r="HQY553"/>
      <c r="HQZ553"/>
      <c r="HRA553"/>
      <c r="HRB553"/>
      <c r="HRC553"/>
      <c r="HRD553"/>
      <c r="HRE553"/>
      <c r="HRF553"/>
      <c r="HRG553"/>
      <c r="HRH553"/>
      <c r="HRI553"/>
      <c r="HRJ553"/>
      <c r="HRK553"/>
      <c r="HRL553"/>
      <c r="HRM553"/>
      <c r="HRN553"/>
      <c r="HRO553"/>
      <c r="HRP553"/>
      <c r="HRQ553"/>
      <c r="HRR553"/>
      <c r="HRS553"/>
      <c r="HRT553"/>
      <c r="HRU553"/>
      <c r="HRV553"/>
      <c r="HRW553"/>
      <c r="HRX553"/>
      <c r="HRY553"/>
      <c r="HRZ553"/>
      <c r="HSA553"/>
      <c r="HSB553"/>
      <c r="HSC553"/>
      <c r="HSD553"/>
      <c r="HSE553"/>
      <c r="HSF553"/>
      <c r="HSG553"/>
      <c r="HSH553"/>
      <c r="HSI553"/>
      <c r="HSJ553"/>
      <c r="HSK553"/>
      <c r="HSL553"/>
      <c r="HSM553"/>
      <c r="HSN553"/>
      <c r="HSO553"/>
      <c r="HSP553"/>
      <c r="HSQ553"/>
      <c r="HSR553"/>
      <c r="HSS553"/>
      <c r="HST553"/>
      <c r="HSU553"/>
      <c r="HSV553"/>
      <c r="HSW553"/>
      <c r="HSX553"/>
      <c r="HSY553"/>
      <c r="HSZ553"/>
      <c r="HTA553"/>
      <c r="HTB553"/>
      <c r="HTC553"/>
      <c r="HTD553"/>
      <c r="HTE553"/>
      <c r="HTF553"/>
      <c r="HTG553"/>
      <c r="HTH553"/>
      <c r="HTI553"/>
      <c r="HTJ553"/>
      <c r="HTK553"/>
      <c r="HTL553"/>
      <c r="HTM553"/>
      <c r="HTN553"/>
      <c r="HTO553"/>
      <c r="HTP553"/>
      <c r="HTQ553"/>
      <c r="HTR553"/>
      <c r="HTS553"/>
      <c r="HTT553"/>
      <c r="HTU553"/>
      <c r="HTV553"/>
      <c r="HTW553"/>
      <c r="HTX553"/>
      <c r="HTY553"/>
      <c r="HTZ553"/>
      <c r="HUA553"/>
      <c r="HUB553"/>
      <c r="HUC553"/>
      <c r="HUD553"/>
      <c r="HUE553"/>
      <c r="HUF553"/>
      <c r="HUG553"/>
      <c r="HUH553"/>
      <c r="HUI553"/>
      <c r="HUJ553"/>
      <c r="HUK553"/>
      <c r="HUL553"/>
      <c r="HUM553"/>
      <c r="HUN553"/>
      <c r="HUO553"/>
      <c r="HUP553"/>
      <c r="HUQ553"/>
      <c r="HUR553"/>
      <c r="HUS553"/>
      <c r="HUT553"/>
      <c r="HUU553"/>
      <c r="HUV553"/>
      <c r="HUW553"/>
      <c r="HUX553"/>
      <c r="HUY553"/>
      <c r="HUZ553"/>
      <c r="HVA553"/>
      <c r="HVB553"/>
      <c r="HVC553"/>
      <c r="HVD553"/>
      <c r="HVE553"/>
      <c r="HVF553"/>
      <c r="HVG553"/>
      <c r="HVH553"/>
      <c r="HVI553"/>
      <c r="HVJ553"/>
      <c r="HVK553"/>
      <c r="HVL553"/>
      <c r="HVM553"/>
      <c r="HVN553"/>
      <c r="HVO553"/>
      <c r="HVP553"/>
      <c r="HVQ553"/>
      <c r="HVR553"/>
      <c r="HVS553"/>
      <c r="HVT553"/>
      <c r="HVU553"/>
      <c r="HVV553"/>
      <c r="HVW553"/>
      <c r="HVX553"/>
      <c r="HVY553"/>
      <c r="HVZ553"/>
      <c r="HWA553"/>
      <c r="HWB553"/>
      <c r="HWC553"/>
      <c r="HWD553"/>
      <c r="HWE553"/>
      <c r="HWF553"/>
      <c r="HWG553"/>
      <c r="HWH553"/>
      <c r="HWI553"/>
      <c r="HWJ553"/>
      <c r="HWK553"/>
      <c r="HWL553"/>
      <c r="HWM553"/>
      <c r="HWN553"/>
      <c r="HWO553"/>
      <c r="HWP553"/>
      <c r="HWQ553"/>
      <c r="HWR553"/>
      <c r="HWS553"/>
      <c r="HWT553"/>
      <c r="HWU553"/>
      <c r="HWV553"/>
      <c r="HWW553"/>
      <c r="HWX553"/>
      <c r="HWY553"/>
      <c r="HWZ553"/>
      <c r="HXA553"/>
      <c r="HXB553"/>
      <c r="HXC553"/>
      <c r="HXD553"/>
      <c r="HXE553"/>
      <c r="HXF553"/>
      <c r="HXG553"/>
      <c r="HXH553"/>
      <c r="HXI553"/>
      <c r="HXJ553"/>
      <c r="HXK553"/>
      <c r="HXL553"/>
      <c r="HXM553"/>
      <c r="HXN553"/>
      <c r="HXO553"/>
      <c r="HXP553"/>
      <c r="HXQ553"/>
      <c r="HXR553"/>
      <c r="HXS553"/>
      <c r="HXT553"/>
      <c r="HXU553"/>
      <c r="HXV553"/>
      <c r="HXW553"/>
      <c r="HXX553"/>
      <c r="HXY553"/>
      <c r="HXZ553"/>
      <c r="HYA553"/>
      <c r="HYB553"/>
      <c r="HYC553"/>
      <c r="HYD553"/>
      <c r="HYE553"/>
      <c r="HYF553"/>
      <c r="HYG553"/>
      <c r="HYH553"/>
      <c r="HYI553"/>
      <c r="HYJ553"/>
      <c r="HYK553"/>
      <c r="HYL553"/>
      <c r="HYM553"/>
      <c r="HYN553"/>
      <c r="HYO553"/>
      <c r="HYP553"/>
      <c r="HYQ553"/>
      <c r="HYR553"/>
      <c r="HYS553"/>
      <c r="HYT553"/>
      <c r="HYU553"/>
      <c r="HYV553"/>
      <c r="HYW553"/>
      <c r="HYX553"/>
      <c r="HYY553"/>
      <c r="HYZ553"/>
      <c r="HZA553"/>
      <c r="HZB553"/>
      <c r="HZC553"/>
      <c r="HZD553"/>
      <c r="HZE553"/>
      <c r="HZF553"/>
      <c r="HZG553"/>
      <c r="HZH553"/>
      <c r="HZI553"/>
      <c r="HZJ553"/>
      <c r="HZK553"/>
      <c r="HZL553"/>
      <c r="HZM553"/>
      <c r="HZN553"/>
      <c r="HZO553"/>
      <c r="HZP553"/>
      <c r="HZQ553"/>
      <c r="HZR553"/>
      <c r="HZS553"/>
      <c r="HZT553"/>
      <c r="HZU553"/>
      <c r="HZV553"/>
      <c r="HZW553"/>
      <c r="HZX553"/>
      <c r="HZY553"/>
      <c r="HZZ553"/>
      <c r="IAA553"/>
      <c r="IAB553"/>
      <c r="IAC553"/>
      <c r="IAD553"/>
      <c r="IAE553"/>
      <c r="IAF553"/>
      <c r="IAG553"/>
      <c r="IAH553"/>
      <c r="IAI553"/>
      <c r="IAJ553"/>
      <c r="IAK553"/>
      <c r="IAL553"/>
      <c r="IAM553"/>
      <c r="IAN553"/>
      <c r="IAO553"/>
      <c r="IAP553"/>
      <c r="IAQ553"/>
      <c r="IAR553"/>
      <c r="IAS553"/>
      <c r="IAT553"/>
      <c r="IAU553"/>
      <c r="IAV553"/>
      <c r="IAW553"/>
      <c r="IAX553"/>
      <c r="IAY553"/>
      <c r="IAZ553"/>
      <c r="IBA553"/>
      <c r="IBB553"/>
      <c r="IBC553"/>
      <c r="IBD553"/>
      <c r="IBE553"/>
      <c r="IBF553"/>
      <c r="IBG553"/>
      <c r="IBH553"/>
      <c r="IBI553"/>
      <c r="IBJ553"/>
      <c r="IBK553"/>
      <c r="IBL553"/>
      <c r="IBM553"/>
      <c r="IBN553"/>
      <c r="IBO553"/>
      <c r="IBP553"/>
      <c r="IBQ553"/>
      <c r="IBR553"/>
      <c r="IBS553"/>
      <c r="IBT553"/>
      <c r="IBU553"/>
      <c r="IBV553"/>
      <c r="IBW553"/>
      <c r="IBX553"/>
      <c r="IBY553"/>
      <c r="IBZ553"/>
      <c r="ICA553"/>
      <c r="ICB553"/>
      <c r="ICC553"/>
      <c r="ICD553"/>
      <c r="ICE553"/>
      <c r="ICF553"/>
      <c r="ICG553"/>
      <c r="ICH553"/>
      <c r="ICI553"/>
      <c r="ICJ553"/>
      <c r="ICK553"/>
      <c r="ICL553"/>
      <c r="ICM553"/>
      <c r="ICN553"/>
      <c r="ICO553"/>
      <c r="ICP553"/>
      <c r="ICQ553"/>
      <c r="ICR553"/>
      <c r="ICS553"/>
      <c r="ICT553"/>
      <c r="ICU553"/>
      <c r="ICV553"/>
      <c r="ICW553"/>
      <c r="ICX553"/>
      <c r="ICY553"/>
      <c r="ICZ553"/>
      <c r="IDA553"/>
      <c r="IDB553"/>
      <c r="IDC553"/>
      <c r="IDD553"/>
      <c r="IDE553"/>
      <c r="IDF553"/>
      <c r="IDG553"/>
      <c r="IDH553"/>
      <c r="IDI553"/>
      <c r="IDJ553"/>
      <c r="IDK553"/>
      <c r="IDL553"/>
      <c r="IDM553"/>
      <c r="IDN553"/>
      <c r="IDO553"/>
      <c r="IDP553"/>
      <c r="IDQ553"/>
      <c r="IDR553"/>
      <c r="IDS553"/>
      <c r="IDT553"/>
      <c r="IDU553"/>
      <c r="IDV553"/>
      <c r="IDW553"/>
      <c r="IDX553"/>
      <c r="IDY553"/>
      <c r="IDZ553"/>
      <c r="IEA553"/>
      <c r="IEB553"/>
      <c r="IEC553"/>
      <c r="IED553"/>
      <c r="IEE553"/>
      <c r="IEF553"/>
      <c r="IEG553"/>
      <c r="IEH553"/>
      <c r="IEI553"/>
      <c r="IEJ553"/>
      <c r="IEK553"/>
      <c r="IEL553"/>
      <c r="IEM553"/>
      <c r="IEN553"/>
      <c r="IEO553"/>
      <c r="IEP553"/>
      <c r="IEQ553"/>
      <c r="IER553"/>
      <c r="IES553"/>
      <c r="IET553"/>
      <c r="IEU553"/>
      <c r="IEV553"/>
      <c r="IEW553"/>
      <c r="IEX553"/>
      <c r="IEY553"/>
      <c r="IEZ553"/>
      <c r="IFA553"/>
      <c r="IFB553"/>
      <c r="IFC553"/>
      <c r="IFD553"/>
      <c r="IFE553"/>
      <c r="IFF553"/>
      <c r="IFG553"/>
      <c r="IFH553"/>
      <c r="IFI553"/>
      <c r="IFJ553"/>
      <c r="IFK553"/>
      <c r="IFL553"/>
      <c r="IFM553"/>
      <c r="IFN553"/>
      <c r="IFO553"/>
      <c r="IFP553"/>
      <c r="IFQ553"/>
      <c r="IFR553"/>
      <c r="IFS553"/>
      <c r="IFT553"/>
      <c r="IFU553"/>
      <c r="IFV553"/>
      <c r="IFW553"/>
      <c r="IFX553"/>
      <c r="IFY553"/>
      <c r="IFZ553"/>
      <c r="IGA553"/>
      <c r="IGB553"/>
      <c r="IGC553"/>
      <c r="IGD553"/>
      <c r="IGE553"/>
      <c r="IGF553"/>
      <c r="IGG553"/>
      <c r="IGH553"/>
      <c r="IGI553"/>
      <c r="IGJ553"/>
      <c r="IGK553"/>
      <c r="IGL553"/>
      <c r="IGM553"/>
      <c r="IGN553"/>
      <c r="IGO553"/>
      <c r="IGP553"/>
      <c r="IGQ553"/>
      <c r="IGR553"/>
      <c r="IGS553"/>
      <c r="IGT553"/>
      <c r="IGU553"/>
      <c r="IGV553"/>
      <c r="IGW553"/>
      <c r="IGX553"/>
      <c r="IGY553"/>
      <c r="IGZ553"/>
      <c r="IHA553"/>
      <c r="IHB553"/>
      <c r="IHC553"/>
      <c r="IHD553"/>
      <c r="IHE553"/>
      <c r="IHF553"/>
      <c r="IHG553"/>
      <c r="IHH553"/>
      <c r="IHI553"/>
      <c r="IHJ553"/>
      <c r="IHK553"/>
      <c r="IHL553"/>
      <c r="IHM553"/>
      <c r="IHN553"/>
      <c r="IHO553"/>
      <c r="IHP553"/>
      <c r="IHQ553"/>
      <c r="IHR553"/>
      <c r="IHS553"/>
      <c r="IHT553"/>
      <c r="IHU553"/>
      <c r="IHV553"/>
      <c r="IHW553"/>
      <c r="IHX553"/>
      <c r="IHY553"/>
      <c r="IHZ553"/>
      <c r="IIA553"/>
      <c r="IIB553"/>
      <c r="IIC553"/>
      <c r="IID553"/>
      <c r="IIE553"/>
      <c r="IIF553"/>
      <c r="IIG553"/>
      <c r="IIH553"/>
      <c r="III553"/>
      <c r="IIJ553"/>
      <c r="IIK553"/>
      <c r="IIL553"/>
      <c r="IIM553"/>
      <c r="IIN553"/>
      <c r="IIO553"/>
      <c r="IIP553"/>
      <c r="IIQ553"/>
      <c r="IIR553"/>
      <c r="IIS553"/>
      <c r="IIT553"/>
      <c r="IIU553"/>
      <c r="IIV553"/>
      <c r="IIW553"/>
      <c r="IIX553"/>
      <c r="IIY553"/>
      <c r="IIZ553"/>
      <c r="IJA553"/>
      <c r="IJB553"/>
      <c r="IJC553"/>
      <c r="IJD553"/>
      <c r="IJE553"/>
      <c r="IJF553"/>
      <c r="IJG553"/>
      <c r="IJH553"/>
      <c r="IJI553"/>
      <c r="IJJ553"/>
      <c r="IJK553"/>
      <c r="IJL553"/>
      <c r="IJM553"/>
      <c r="IJN553"/>
      <c r="IJO553"/>
      <c r="IJP553"/>
      <c r="IJQ553"/>
      <c r="IJR553"/>
      <c r="IJS553"/>
      <c r="IJT553"/>
      <c r="IJU553"/>
      <c r="IJV553"/>
      <c r="IJW553"/>
      <c r="IJX553"/>
      <c r="IJY553"/>
      <c r="IJZ553"/>
      <c r="IKA553"/>
      <c r="IKB553"/>
      <c r="IKC553"/>
      <c r="IKD553"/>
      <c r="IKE553"/>
      <c r="IKF553"/>
      <c r="IKG553"/>
      <c r="IKH553"/>
      <c r="IKI553"/>
      <c r="IKJ553"/>
      <c r="IKK553"/>
      <c r="IKL553"/>
      <c r="IKM553"/>
      <c r="IKN553"/>
      <c r="IKO553"/>
      <c r="IKP553"/>
      <c r="IKQ553"/>
      <c r="IKR553"/>
      <c r="IKS553"/>
      <c r="IKT553"/>
      <c r="IKU553"/>
      <c r="IKV553"/>
      <c r="IKW553"/>
      <c r="IKX553"/>
      <c r="IKY553"/>
      <c r="IKZ553"/>
      <c r="ILA553"/>
      <c r="ILB553"/>
      <c r="ILC553"/>
      <c r="ILD553"/>
      <c r="ILE553"/>
      <c r="ILF553"/>
      <c r="ILG553"/>
      <c r="ILH553"/>
      <c r="ILI553"/>
      <c r="ILJ553"/>
      <c r="ILK553"/>
      <c r="ILL553"/>
      <c r="ILM553"/>
      <c r="ILN553"/>
      <c r="ILO553"/>
      <c r="ILP553"/>
      <c r="ILQ553"/>
      <c r="ILR553"/>
      <c r="ILS553"/>
      <c r="ILT553"/>
      <c r="ILU553"/>
      <c r="ILV553"/>
      <c r="ILW553"/>
      <c r="ILX553"/>
      <c r="ILY553"/>
      <c r="ILZ553"/>
      <c r="IMA553"/>
      <c r="IMB553"/>
      <c r="IMC553"/>
      <c r="IMD553"/>
      <c r="IME553"/>
      <c r="IMF553"/>
      <c r="IMG553"/>
      <c r="IMH553"/>
      <c r="IMI553"/>
      <c r="IMJ553"/>
      <c r="IMK553"/>
      <c r="IML553"/>
      <c r="IMM553"/>
      <c r="IMN553"/>
      <c r="IMO553"/>
      <c r="IMP553"/>
      <c r="IMQ553"/>
      <c r="IMR553"/>
      <c r="IMS553"/>
      <c r="IMT553"/>
      <c r="IMU553"/>
      <c r="IMV553"/>
      <c r="IMW553"/>
      <c r="IMX553"/>
      <c r="IMY553"/>
      <c r="IMZ553"/>
      <c r="INA553"/>
      <c r="INB553"/>
      <c r="INC553"/>
      <c r="IND553"/>
      <c r="INE553"/>
      <c r="INF553"/>
      <c r="ING553"/>
      <c r="INH553"/>
      <c r="INI553"/>
      <c r="INJ553"/>
      <c r="INK553"/>
      <c r="INL553"/>
      <c r="INM553"/>
      <c r="INN553"/>
      <c r="INO553"/>
      <c r="INP553"/>
      <c r="INQ553"/>
      <c r="INR553"/>
      <c r="INS553"/>
      <c r="INT553"/>
      <c r="INU553"/>
      <c r="INV553"/>
      <c r="INW553"/>
      <c r="INX553"/>
      <c r="INY553"/>
      <c r="INZ553"/>
      <c r="IOA553"/>
      <c r="IOB553"/>
      <c r="IOC553"/>
      <c r="IOD553"/>
      <c r="IOE553"/>
      <c r="IOF553"/>
      <c r="IOG553"/>
      <c r="IOH553"/>
      <c r="IOI553"/>
      <c r="IOJ553"/>
      <c r="IOK553"/>
      <c r="IOL553"/>
      <c r="IOM553"/>
      <c r="ION553"/>
      <c r="IOO553"/>
      <c r="IOP553"/>
      <c r="IOQ553"/>
      <c r="IOR553"/>
      <c r="IOS553"/>
      <c r="IOT553"/>
      <c r="IOU553"/>
      <c r="IOV553"/>
      <c r="IOW553"/>
      <c r="IOX553"/>
      <c r="IOY553"/>
      <c r="IOZ553"/>
      <c r="IPA553"/>
      <c r="IPB553"/>
      <c r="IPC553"/>
      <c r="IPD553"/>
      <c r="IPE553"/>
      <c r="IPF553"/>
      <c r="IPG553"/>
      <c r="IPH553"/>
      <c r="IPI553"/>
      <c r="IPJ553"/>
      <c r="IPK553"/>
      <c r="IPL553"/>
      <c r="IPM553"/>
      <c r="IPN553"/>
      <c r="IPO553"/>
      <c r="IPP553"/>
      <c r="IPQ553"/>
      <c r="IPR553"/>
      <c r="IPS553"/>
      <c r="IPT553"/>
      <c r="IPU553"/>
      <c r="IPV553"/>
      <c r="IPW553"/>
      <c r="IPX553"/>
      <c r="IPY553"/>
      <c r="IPZ553"/>
      <c r="IQA553"/>
      <c r="IQB553"/>
      <c r="IQC553"/>
      <c r="IQD553"/>
      <c r="IQE553"/>
      <c r="IQF553"/>
      <c r="IQG553"/>
      <c r="IQH553"/>
      <c r="IQI553"/>
      <c r="IQJ553"/>
      <c r="IQK553"/>
      <c r="IQL553"/>
      <c r="IQM553"/>
      <c r="IQN553"/>
      <c r="IQO553"/>
      <c r="IQP553"/>
      <c r="IQQ553"/>
      <c r="IQR553"/>
      <c r="IQS553"/>
      <c r="IQT553"/>
      <c r="IQU553"/>
      <c r="IQV553"/>
      <c r="IQW553"/>
      <c r="IQX553"/>
      <c r="IQY553"/>
      <c r="IQZ553"/>
      <c r="IRA553"/>
      <c r="IRB553"/>
      <c r="IRC553"/>
      <c r="IRD553"/>
      <c r="IRE553"/>
      <c r="IRF553"/>
      <c r="IRG553"/>
      <c r="IRH553"/>
      <c r="IRI553"/>
      <c r="IRJ553"/>
      <c r="IRK553"/>
      <c r="IRL553"/>
      <c r="IRM553"/>
      <c r="IRN553"/>
      <c r="IRO553"/>
      <c r="IRP553"/>
      <c r="IRQ553"/>
      <c r="IRR553"/>
      <c r="IRS553"/>
      <c r="IRT553"/>
      <c r="IRU553"/>
      <c r="IRV553"/>
      <c r="IRW553"/>
      <c r="IRX553"/>
      <c r="IRY553"/>
      <c r="IRZ553"/>
      <c r="ISA553"/>
      <c r="ISB553"/>
      <c r="ISC553"/>
      <c r="ISD553"/>
      <c r="ISE553"/>
      <c r="ISF553"/>
      <c r="ISG553"/>
      <c r="ISH553"/>
      <c r="ISI553"/>
      <c r="ISJ553"/>
      <c r="ISK553"/>
      <c r="ISL553"/>
      <c r="ISM553"/>
      <c r="ISN553"/>
      <c r="ISO553"/>
      <c r="ISP553"/>
      <c r="ISQ553"/>
      <c r="ISR553"/>
      <c r="ISS553"/>
      <c r="IST553"/>
      <c r="ISU553"/>
      <c r="ISV553"/>
      <c r="ISW553"/>
      <c r="ISX553"/>
      <c r="ISY553"/>
      <c r="ISZ553"/>
      <c r="ITA553"/>
      <c r="ITB553"/>
      <c r="ITC553"/>
      <c r="ITD553"/>
      <c r="ITE553"/>
      <c r="ITF553"/>
      <c r="ITG553"/>
      <c r="ITH553"/>
      <c r="ITI553"/>
      <c r="ITJ553"/>
      <c r="ITK553"/>
      <c r="ITL553"/>
      <c r="ITM553"/>
      <c r="ITN553"/>
      <c r="ITO553"/>
      <c r="ITP553"/>
      <c r="ITQ553"/>
      <c r="ITR553"/>
      <c r="ITS553"/>
      <c r="ITT553"/>
      <c r="ITU553"/>
      <c r="ITV553"/>
      <c r="ITW553"/>
      <c r="ITX553"/>
      <c r="ITY553"/>
      <c r="ITZ553"/>
      <c r="IUA553"/>
      <c r="IUB553"/>
      <c r="IUC553"/>
      <c r="IUD553"/>
      <c r="IUE553"/>
      <c r="IUF553"/>
      <c r="IUG553"/>
      <c r="IUH553"/>
      <c r="IUI553"/>
      <c r="IUJ553"/>
      <c r="IUK553"/>
      <c r="IUL553"/>
      <c r="IUM553"/>
      <c r="IUN553"/>
      <c r="IUO553"/>
      <c r="IUP553"/>
      <c r="IUQ553"/>
      <c r="IUR553"/>
      <c r="IUS553"/>
      <c r="IUT553"/>
      <c r="IUU553"/>
      <c r="IUV553"/>
      <c r="IUW553"/>
      <c r="IUX553"/>
      <c r="IUY553"/>
      <c r="IUZ553"/>
      <c r="IVA553"/>
      <c r="IVB553"/>
      <c r="IVC553"/>
      <c r="IVD553"/>
      <c r="IVE553"/>
      <c r="IVF553"/>
      <c r="IVG553"/>
      <c r="IVH553"/>
      <c r="IVI553"/>
      <c r="IVJ553"/>
      <c r="IVK553"/>
      <c r="IVL553"/>
      <c r="IVM553"/>
      <c r="IVN553"/>
      <c r="IVO553"/>
      <c r="IVP553"/>
      <c r="IVQ553"/>
      <c r="IVR553"/>
      <c r="IVS553"/>
      <c r="IVT553"/>
      <c r="IVU553"/>
      <c r="IVV553"/>
      <c r="IVW553"/>
      <c r="IVX553"/>
      <c r="IVY553"/>
      <c r="IVZ553"/>
      <c r="IWA553"/>
      <c r="IWB553"/>
      <c r="IWC553"/>
      <c r="IWD553"/>
      <c r="IWE553"/>
      <c r="IWF553"/>
      <c r="IWG553"/>
      <c r="IWH553"/>
      <c r="IWI553"/>
      <c r="IWJ553"/>
      <c r="IWK553"/>
      <c r="IWL553"/>
      <c r="IWM553"/>
      <c r="IWN553"/>
      <c r="IWO553"/>
      <c r="IWP553"/>
      <c r="IWQ553"/>
      <c r="IWR553"/>
      <c r="IWS553"/>
      <c r="IWT553"/>
      <c r="IWU553"/>
      <c r="IWV553"/>
      <c r="IWW553"/>
      <c r="IWX553"/>
      <c r="IWY553"/>
      <c r="IWZ553"/>
      <c r="IXA553"/>
      <c r="IXB553"/>
      <c r="IXC553"/>
      <c r="IXD553"/>
      <c r="IXE553"/>
      <c r="IXF553"/>
      <c r="IXG553"/>
      <c r="IXH553"/>
      <c r="IXI553"/>
      <c r="IXJ553"/>
      <c r="IXK553"/>
      <c r="IXL553"/>
      <c r="IXM553"/>
      <c r="IXN553"/>
      <c r="IXO553"/>
      <c r="IXP553"/>
      <c r="IXQ553"/>
      <c r="IXR553"/>
      <c r="IXS553"/>
      <c r="IXT553"/>
      <c r="IXU553"/>
      <c r="IXV553"/>
      <c r="IXW553"/>
      <c r="IXX553"/>
      <c r="IXY553"/>
      <c r="IXZ553"/>
      <c r="IYA553"/>
      <c r="IYB553"/>
      <c r="IYC553"/>
      <c r="IYD553"/>
      <c r="IYE553"/>
      <c r="IYF553"/>
      <c r="IYG553"/>
      <c r="IYH553"/>
      <c r="IYI553"/>
      <c r="IYJ553"/>
      <c r="IYK553"/>
      <c r="IYL553"/>
      <c r="IYM553"/>
      <c r="IYN553"/>
      <c r="IYO553"/>
      <c r="IYP553"/>
      <c r="IYQ553"/>
      <c r="IYR553"/>
      <c r="IYS553"/>
      <c r="IYT553"/>
      <c r="IYU553"/>
      <c r="IYV553"/>
      <c r="IYW553"/>
      <c r="IYX553"/>
      <c r="IYY553"/>
      <c r="IYZ553"/>
      <c r="IZA553"/>
      <c r="IZB553"/>
      <c r="IZC553"/>
      <c r="IZD553"/>
      <c r="IZE553"/>
      <c r="IZF553"/>
      <c r="IZG553"/>
      <c r="IZH553"/>
      <c r="IZI553"/>
      <c r="IZJ553"/>
      <c r="IZK553"/>
      <c r="IZL553"/>
      <c r="IZM553"/>
      <c r="IZN553"/>
      <c r="IZO553"/>
      <c r="IZP553"/>
      <c r="IZQ553"/>
      <c r="IZR553"/>
      <c r="IZS553"/>
      <c r="IZT553"/>
      <c r="IZU553"/>
      <c r="IZV553"/>
      <c r="IZW553"/>
      <c r="IZX553"/>
      <c r="IZY553"/>
      <c r="IZZ553"/>
      <c r="JAA553"/>
      <c r="JAB553"/>
      <c r="JAC553"/>
      <c r="JAD553"/>
      <c r="JAE553"/>
      <c r="JAF553"/>
      <c r="JAG553"/>
      <c r="JAH553"/>
      <c r="JAI553"/>
      <c r="JAJ553"/>
      <c r="JAK553"/>
      <c r="JAL553"/>
      <c r="JAM553"/>
      <c r="JAN553"/>
      <c r="JAO553"/>
      <c r="JAP553"/>
      <c r="JAQ553"/>
      <c r="JAR553"/>
      <c r="JAS553"/>
      <c r="JAT553"/>
      <c r="JAU553"/>
      <c r="JAV553"/>
      <c r="JAW553"/>
      <c r="JAX553"/>
      <c r="JAY553"/>
      <c r="JAZ553"/>
      <c r="JBA553"/>
      <c r="JBB553"/>
      <c r="JBC553"/>
      <c r="JBD553"/>
      <c r="JBE553"/>
      <c r="JBF553"/>
      <c r="JBG553"/>
      <c r="JBH553"/>
      <c r="JBI553"/>
      <c r="JBJ553"/>
      <c r="JBK553"/>
      <c r="JBL553"/>
      <c r="JBM553"/>
      <c r="JBN553"/>
      <c r="JBO553"/>
      <c r="JBP553"/>
      <c r="JBQ553"/>
      <c r="JBR553"/>
      <c r="JBS553"/>
      <c r="JBT553"/>
      <c r="JBU553"/>
      <c r="JBV553"/>
      <c r="JBW553"/>
      <c r="JBX553"/>
      <c r="JBY553"/>
      <c r="JBZ553"/>
      <c r="JCA553"/>
      <c r="JCB553"/>
      <c r="JCC553"/>
      <c r="JCD553"/>
      <c r="JCE553"/>
      <c r="JCF553"/>
      <c r="JCG553"/>
      <c r="JCH553"/>
      <c r="JCI553"/>
      <c r="JCJ553"/>
      <c r="JCK553"/>
      <c r="JCL553"/>
      <c r="JCM553"/>
      <c r="JCN553"/>
      <c r="JCO553"/>
      <c r="JCP553"/>
      <c r="JCQ553"/>
      <c r="JCR553"/>
      <c r="JCS553"/>
      <c r="JCT553"/>
      <c r="JCU553"/>
      <c r="JCV553"/>
      <c r="JCW553"/>
      <c r="JCX553"/>
      <c r="JCY553"/>
      <c r="JCZ553"/>
      <c r="JDA553"/>
      <c r="JDB553"/>
      <c r="JDC553"/>
      <c r="JDD553"/>
      <c r="JDE553"/>
      <c r="JDF553"/>
      <c r="JDG553"/>
      <c r="JDH553"/>
      <c r="JDI553"/>
      <c r="JDJ553"/>
      <c r="JDK553"/>
      <c r="JDL553"/>
      <c r="JDM553"/>
      <c r="JDN553"/>
      <c r="JDO553"/>
      <c r="JDP553"/>
      <c r="JDQ553"/>
      <c r="JDR553"/>
      <c r="JDS553"/>
      <c r="JDT553"/>
      <c r="JDU553"/>
      <c r="JDV553"/>
      <c r="JDW553"/>
      <c r="JDX553"/>
      <c r="JDY553"/>
      <c r="JDZ553"/>
      <c r="JEA553"/>
      <c r="JEB553"/>
      <c r="JEC553"/>
      <c r="JED553"/>
      <c r="JEE553"/>
      <c r="JEF553"/>
      <c r="JEG553"/>
      <c r="JEH553"/>
      <c r="JEI553"/>
      <c r="JEJ553"/>
      <c r="JEK553"/>
      <c r="JEL553"/>
      <c r="JEM553"/>
      <c r="JEN553"/>
      <c r="JEO553"/>
      <c r="JEP553"/>
      <c r="JEQ553"/>
      <c r="JER553"/>
      <c r="JES553"/>
      <c r="JET553"/>
      <c r="JEU553"/>
      <c r="JEV553"/>
      <c r="JEW553"/>
      <c r="JEX553"/>
      <c r="JEY553"/>
      <c r="JEZ553"/>
      <c r="JFA553"/>
      <c r="JFB553"/>
      <c r="JFC553"/>
      <c r="JFD553"/>
      <c r="JFE553"/>
      <c r="JFF553"/>
      <c r="JFG553"/>
      <c r="JFH553"/>
      <c r="JFI553"/>
      <c r="JFJ553"/>
      <c r="JFK553"/>
      <c r="JFL553"/>
      <c r="JFM553"/>
      <c r="JFN553"/>
      <c r="JFO553"/>
      <c r="JFP553"/>
      <c r="JFQ553"/>
      <c r="JFR553"/>
      <c r="JFS553"/>
      <c r="JFT553"/>
      <c r="JFU553"/>
      <c r="JFV553"/>
      <c r="JFW553"/>
      <c r="JFX553"/>
      <c r="JFY553"/>
      <c r="JFZ553"/>
      <c r="JGA553"/>
      <c r="JGB553"/>
      <c r="JGC553"/>
      <c r="JGD553"/>
      <c r="JGE553"/>
      <c r="JGF553"/>
      <c r="JGG553"/>
      <c r="JGH553"/>
      <c r="JGI553"/>
      <c r="JGJ553"/>
      <c r="JGK553"/>
      <c r="JGL553"/>
      <c r="JGM553"/>
      <c r="JGN553"/>
      <c r="JGO553"/>
      <c r="JGP553"/>
      <c r="JGQ553"/>
      <c r="JGR553"/>
      <c r="JGS553"/>
      <c r="JGT553"/>
      <c r="JGU553"/>
      <c r="JGV553"/>
      <c r="JGW553"/>
      <c r="JGX553"/>
      <c r="JGY553"/>
      <c r="JGZ553"/>
      <c r="JHA553"/>
      <c r="JHB553"/>
      <c r="JHC553"/>
      <c r="JHD553"/>
      <c r="JHE553"/>
      <c r="JHF553"/>
      <c r="JHG553"/>
      <c r="JHH553"/>
      <c r="JHI553"/>
      <c r="JHJ553"/>
      <c r="JHK553"/>
      <c r="JHL553"/>
      <c r="JHM553"/>
      <c r="JHN553"/>
      <c r="JHO553"/>
      <c r="JHP553"/>
      <c r="JHQ553"/>
      <c r="JHR553"/>
      <c r="JHS553"/>
      <c r="JHT553"/>
      <c r="JHU553"/>
      <c r="JHV553"/>
      <c r="JHW553"/>
      <c r="JHX553"/>
      <c r="JHY553"/>
      <c r="JHZ553"/>
      <c r="JIA553"/>
      <c r="JIB553"/>
      <c r="JIC553"/>
      <c r="JID553"/>
      <c r="JIE553"/>
      <c r="JIF553"/>
      <c r="JIG553"/>
      <c r="JIH553"/>
      <c r="JII553"/>
      <c r="JIJ553"/>
      <c r="JIK553"/>
      <c r="JIL553"/>
      <c r="JIM553"/>
      <c r="JIN553"/>
      <c r="JIO553"/>
      <c r="JIP553"/>
      <c r="JIQ553"/>
      <c r="JIR553"/>
      <c r="JIS553"/>
      <c r="JIT553"/>
      <c r="JIU553"/>
      <c r="JIV553"/>
      <c r="JIW553"/>
      <c r="JIX553"/>
      <c r="JIY553"/>
      <c r="JIZ553"/>
      <c r="JJA553"/>
      <c r="JJB553"/>
      <c r="JJC553"/>
      <c r="JJD553"/>
      <c r="JJE553"/>
      <c r="JJF553"/>
      <c r="JJG553"/>
      <c r="JJH553"/>
      <c r="JJI553"/>
      <c r="JJJ553"/>
      <c r="JJK553"/>
      <c r="JJL553"/>
      <c r="JJM553"/>
      <c r="JJN553"/>
      <c r="JJO553"/>
      <c r="JJP553"/>
      <c r="JJQ553"/>
      <c r="JJR553"/>
      <c r="JJS553"/>
      <c r="JJT553"/>
      <c r="JJU553"/>
      <c r="JJV553"/>
      <c r="JJW553"/>
      <c r="JJX553"/>
      <c r="JJY553"/>
      <c r="JJZ553"/>
      <c r="JKA553"/>
      <c r="JKB553"/>
      <c r="JKC553"/>
      <c r="JKD553"/>
      <c r="JKE553"/>
      <c r="JKF553"/>
      <c r="JKG553"/>
      <c r="JKH553"/>
      <c r="JKI553"/>
      <c r="JKJ553"/>
      <c r="JKK553"/>
      <c r="JKL553"/>
      <c r="JKM553"/>
      <c r="JKN553"/>
      <c r="JKO553"/>
      <c r="JKP553"/>
      <c r="JKQ553"/>
      <c r="JKR553"/>
      <c r="JKS553"/>
      <c r="JKT553"/>
      <c r="JKU553"/>
      <c r="JKV553"/>
      <c r="JKW553"/>
      <c r="JKX553"/>
      <c r="JKY553"/>
      <c r="JKZ553"/>
      <c r="JLA553"/>
      <c r="JLB553"/>
      <c r="JLC553"/>
      <c r="JLD553"/>
      <c r="JLE553"/>
      <c r="JLF553"/>
      <c r="JLG553"/>
      <c r="JLH553"/>
      <c r="JLI553"/>
      <c r="JLJ553"/>
      <c r="JLK553"/>
      <c r="JLL553"/>
      <c r="JLM553"/>
      <c r="JLN553"/>
      <c r="JLO553"/>
      <c r="JLP553"/>
      <c r="JLQ553"/>
      <c r="JLR553"/>
      <c r="JLS553"/>
      <c r="JLT553"/>
      <c r="JLU553"/>
      <c r="JLV553"/>
      <c r="JLW553"/>
      <c r="JLX553"/>
      <c r="JLY553"/>
      <c r="JLZ553"/>
      <c r="JMA553"/>
      <c r="JMB553"/>
      <c r="JMC553"/>
      <c r="JMD553"/>
      <c r="JME553"/>
      <c r="JMF553"/>
      <c r="JMG553"/>
      <c r="JMH553"/>
      <c r="JMI553"/>
      <c r="JMJ553"/>
      <c r="JMK553"/>
      <c r="JML553"/>
      <c r="JMM553"/>
      <c r="JMN553"/>
      <c r="JMO553"/>
      <c r="JMP553"/>
      <c r="JMQ553"/>
      <c r="JMR553"/>
      <c r="JMS553"/>
      <c r="JMT553"/>
      <c r="JMU553"/>
      <c r="JMV553"/>
      <c r="JMW553"/>
      <c r="JMX553"/>
      <c r="JMY553"/>
      <c r="JMZ553"/>
      <c r="JNA553"/>
      <c r="JNB553"/>
      <c r="JNC553"/>
      <c r="JND553"/>
      <c r="JNE553"/>
      <c r="JNF553"/>
      <c r="JNG553"/>
      <c r="JNH553"/>
      <c r="JNI553"/>
      <c r="JNJ553"/>
      <c r="JNK553"/>
      <c r="JNL553"/>
      <c r="JNM553"/>
      <c r="JNN553"/>
      <c r="JNO553"/>
      <c r="JNP553"/>
      <c r="JNQ553"/>
      <c r="JNR553"/>
      <c r="JNS553"/>
      <c r="JNT553"/>
      <c r="JNU553"/>
      <c r="JNV553"/>
      <c r="JNW553"/>
      <c r="JNX553"/>
      <c r="JNY553"/>
      <c r="JNZ553"/>
      <c r="JOA553"/>
      <c r="JOB553"/>
      <c r="JOC553"/>
      <c r="JOD553"/>
      <c r="JOE553"/>
      <c r="JOF553"/>
      <c r="JOG553"/>
      <c r="JOH553"/>
      <c r="JOI553"/>
      <c r="JOJ553"/>
      <c r="JOK553"/>
      <c r="JOL553"/>
      <c r="JOM553"/>
      <c r="JON553"/>
      <c r="JOO553"/>
      <c r="JOP553"/>
      <c r="JOQ553"/>
      <c r="JOR553"/>
      <c r="JOS553"/>
      <c r="JOT553"/>
      <c r="JOU553"/>
      <c r="JOV553"/>
      <c r="JOW553"/>
      <c r="JOX553"/>
      <c r="JOY553"/>
      <c r="JOZ553"/>
      <c r="JPA553"/>
      <c r="JPB553"/>
      <c r="JPC553"/>
      <c r="JPD553"/>
      <c r="JPE553"/>
      <c r="JPF553"/>
      <c r="JPG553"/>
      <c r="JPH553"/>
      <c r="JPI553"/>
      <c r="JPJ553"/>
      <c r="JPK553"/>
      <c r="JPL553"/>
      <c r="JPM553"/>
      <c r="JPN553"/>
      <c r="JPO553"/>
      <c r="JPP553"/>
      <c r="JPQ553"/>
      <c r="JPR553"/>
      <c r="JPS553"/>
      <c r="JPT553"/>
      <c r="JPU553"/>
      <c r="JPV553"/>
      <c r="JPW553"/>
      <c r="JPX553"/>
      <c r="JPY553"/>
      <c r="JPZ553"/>
      <c r="JQA553"/>
      <c r="JQB553"/>
      <c r="JQC553"/>
      <c r="JQD553"/>
      <c r="JQE553"/>
      <c r="JQF553"/>
      <c r="JQG553"/>
      <c r="JQH553"/>
      <c r="JQI553"/>
      <c r="JQJ553"/>
      <c r="JQK553"/>
      <c r="JQL553"/>
      <c r="JQM553"/>
      <c r="JQN553"/>
      <c r="JQO553"/>
      <c r="JQP553"/>
      <c r="JQQ553"/>
      <c r="JQR553"/>
      <c r="JQS553"/>
      <c r="JQT553"/>
      <c r="JQU553"/>
      <c r="JQV553"/>
      <c r="JQW553"/>
      <c r="JQX553"/>
      <c r="JQY553"/>
      <c r="JQZ553"/>
      <c r="JRA553"/>
      <c r="JRB553"/>
      <c r="JRC553"/>
      <c r="JRD553"/>
      <c r="JRE553"/>
      <c r="JRF553"/>
      <c r="JRG553"/>
      <c r="JRH553"/>
      <c r="JRI553"/>
      <c r="JRJ553"/>
      <c r="JRK553"/>
      <c r="JRL553"/>
      <c r="JRM553"/>
      <c r="JRN553"/>
      <c r="JRO553"/>
      <c r="JRP553"/>
      <c r="JRQ553"/>
      <c r="JRR553"/>
      <c r="JRS553"/>
      <c r="JRT553"/>
      <c r="JRU553"/>
      <c r="JRV553"/>
      <c r="JRW553"/>
      <c r="JRX553"/>
      <c r="JRY553"/>
      <c r="JRZ553"/>
      <c r="JSA553"/>
      <c r="JSB553"/>
      <c r="JSC553"/>
      <c r="JSD553"/>
      <c r="JSE553"/>
      <c r="JSF553"/>
      <c r="JSG553"/>
      <c r="JSH553"/>
      <c r="JSI553"/>
      <c r="JSJ553"/>
      <c r="JSK553"/>
      <c r="JSL553"/>
      <c r="JSM553"/>
      <c r="JSN553"/>
      <c r="JSO553"/>
      <c r="JSP553"/>
      <c r="JSQ553"/>
      <c r="JSR553"/>
      <c r="JSS553"/>
      <c r="JST553"/>
      <c r="JSU553"/>
      <c r="JSV553"/>
      <c r="JSW553"/>
      <c r="JSX553"/>
      <c r="JSY553"/>
      <c r="JSZ553"/>
      <c r="JTA553"/>
      <c r="JTB553"/>
      <c r="JTC553"/>
      <c r="JTD553"/>
      <c r="JTE553"/>
      <c r="JTF553"/>
      <c r="JTG553"/>
      <c r="JTH553"/>
      <c r="JTI553"/>
      <c r="JTJ553"/>
      <c r="JTK553"/>
      <c r="JTL553"/>
      <c r="JTM553"/>
      <c r="JTN553"/>
      <c r="JTO553"/>
      <c r="JTP553"/>
      <c r="JTQ553"/>
      <c r="JTR553"/>
      <c r="JTS553"/>
      <c r="JTT553"/>
      <c r="JTU553"/>
      <c r="JTV553"/>
      <c r="JTW553"/>
      <c r="JTX553"/>
      <c r="JTY553"/>
      <c r="JTZ553"/>
      <c r="JUA553"/>
      <c r="JUB553"/>
      <c r="JUC553"/>
      <c r="JUD553"/>
      <c r="JUE553"/>
      <c r="JUF553"/>
      <c r="JUG553"/>
      <c r="JUH553"/>
      <c r="JUI553"/>
      <c r="JUJ553"/>
      <c r="JUK553"/>
      <c r="JUL553"/>
      <c r="JUM553"/>
      <c r="JUN553"/>
      <c r="JUO553"/>
      <c r="JUP553"/>
      <c r="JUQ553"/>
      <c r="JUR553"/>
      <c r="JUS553"/>
      <c r="JUT553"/>
      <c r="JUU553"/>
      <c r="JUV553"/>
      <c r="JUW553"/>
      <c r="JUX553"/>
      <c r="JUY553"/>
      <c r="JUZ553"/>
      <c r="JVA553"/>
      <c r="JVB553"/>
      <c r="JVC553"/>
      <c r="JVD553"/>
      <c r="JVE553"/>
      <c r="JVF553"/>
      <c r="JVG553"/>
      <c r="JVH553"/>
      <c r="JVI553"/>
      <c r="JVJ553"/>
      <c r="JVK553"/>
      <c r="JVL553"/>
      <c r="JVM553"/>
      <c r="JVN553"/>
      <c r="JVO553"/>
      <c r="JVP553"/>
      <c r="JVQ553"/>
      <c r="JVR553"/>
      <c r="JVS553"/>
      <c r="JVT553"/>
      <c r="JVU553"/>
      <c r="JVV553"/>
      <c r="JVW553"/>
      <c r="JVX553"/>
      <c r="JVY553"/>
      <c r="JVZ553"/>
      <c r="JWA553"/>
      <c r="JWB553"/>
      <c r="JWC553"/>
      <c r="JWD553"/>
      <c r="JWE553"/>
      <c r="JWF553"/>
      <c r="JWG553"/>
      <c r="JWH553"/>
      <c r="JWI553"/>
      <c r="JWJ553"/>
      <c r="JWK553"/>
      <c r="JWL553"/>
      <c r="JWM553"/>
      <c r="JWN553"/>
      <c r="JWO553"/>
      <c r="JWP553"/>
      <c r="JWQ553"/>
      <c r="JWR553"/>
      <c r="JWS553"/>
      <c r="JWT553"/>
      <c r="JWU553"/>
      <c r="JWV553"/>
      <c r="JWW553"/>
      <c r="JWX553"/>
      <c r="JWY553"/>
      <c r="JWZ553"/>
      <c r="JXA553"/>
      <c r="JXB553"/>
      <c r="JXC553"/>
      <c r="JXD553"/>
      <c r="JXE553"/>
      <c r="JXF553"/>
      <c r="JXG553"/>
      <c r="JXH553"/>
      <c r="JXI553"/>
      <c r="JXJ553"/>
      <c r="JXK553"/>
      <c r="JXL553"/>
      <c r="JXM553"/>
      <c r="JXN553"/>
      <c r="JXO553"/>
      <c r="JXP553"/>
      <c r="JXQ553"/>
      <c r="JXR553"/>
      <c r="JXS553"/>
      <c r="JXT553"/>
      <c r="JXU553"/>
      <c r="JXV553"/>
      <c r="JXW553"/>
      <c r="JXX553"/>
      <c r="JXY553"/>
      <c r="JXZ553"/>
      <c r="JYA553"/>
      <c r="JYB553"/>
      <c r="JYC553"/>
      <c r="JYD553"/>
      <c r="JYE553"/>
      <c r="JYF553"/>
      <c r="JYG553"/>
      <c r="JYH553"/>
      <c r="JYI553"/>
      <c r="JYJ553"/>
      <c r="JYK553"/>
      <c r="JYL553"/>
      <c r="JYM553"/>
      <c r="JYN553"/>
      <c r="JYO553"/>
      <c r="JYP553"/>
      <c r="JYQ553"/>
      <c r="JYR553"/>
      <c r="JYS553"/>
      <c r="JYT553"/>
      <c r="JYU553"/>
      <c r="JYV553"/>
      <c r="JYW553"/>
      <c r="JYX553"/>
      <c r="JYY553"/>
      <c r="JYZ553"/>
      <c r="JZA553"/>
      <c r="JZB553"/>
      <c r="JZC553"/>
      <c r="JZD553"/>
      <c r="JZE553"/>
      <c r="JZF553"/>
      <c r="JZG553"/>
      <c r="JZH553"/>
      <c r="JZI553"/>
      <c r="JZJ553"/>
      <c r="JZK553"/>
      <c r="JZL553"/>
      <c r="JZM553"/>
      <c r="JZN553"/>
      <c r="JZO553"/>
      <c r="JZP553"/>
      <c r="JZQ553"/>
      <c r="JZR553"/>
      <c r="JZS553"/>
      <c r="JZT553"/>
      <c r="JZU553"/>
      <c r="JZV553"/>
      <c r="JZW553"/>
      <c r="JZX553"/>
      <c r="JZY553"/>
      <c r="JZZ553"/>
      <c r="KAA553"/>
      <c r="KAB553"/>
      <c r="KAC553"/>
      <c r="KAD553"/>
      <c r="KAE553"/>
      <c r="KAF553"/>
      <c r="KAG553"/>
      <c r="KAH553"/>
      <c r="KAI553"/>
      <c r="KAJ553"/>
      <c r="KAK553"/>
      <c r="KAL553"/>
      <c r="KAM553"/>
      <c r="KAN553"/>
      <c r="KAO553"/>
      <c r="KAP553"/>
      <c r="KAQ553"/>
      <c r="KAR553"/>
      <c r="KAS553"/>
      <c r="KAT553"/>
      <c r="KAU553"/>
      <c r="KAV553"/>
      <c r="KAW553"/>
      <c r="KAX553"/>
      <c r="KAY553"/>
      <c r="KAZ553"/>
      <c r="KBA553"/>
      <c r="KBB553"/>
      <c r="KBC553"/>
      <c r="KBD553"/>
      <c r="KBE553"/>
      <c r="KBF553"/>
      <c r="KBG553"/>
      <c r="KBH553"/>
      <c r="KBI553"/>
      <c r="KBJ553"/>
      <c r="KBK553"/>
      <c r="KBL553"/>
      <c r="KBM553"/>
      <c r="KBN553"/>
      <c r="KBO553"/>
      <c r="KBP553"/>
      <c r="KBQ553"/>
      <c r="KBR553"/>
      <c r="KBS553"/>
      <c r="KBT553"/>
      <c r="KBU553"/>
      <c r="KBV553"/>
      <c r="KBW553"/>
      <c r="KBX553"/>
      <c r="KBY553"/>
      <c r="KBZ553"/>
      <c r="KCA553"/>
      <c r="KCB553"/>
      <c r="KCC553"/>
      <c r="KCD553"/>
      <c r="KCE553"/>
      <c r="KCF553"/>
      <c r="KCG553"/>
      <c r="KCH553"/>
      <c r="KCI553"/>
      <c r="KCJ553"/>
      <c r="KCK553"/>
      <c r="KCL553"/>
      <c r="KCM553"/>
      <c r="KCN553"/>
      <c r="KCO553"/>
      <c r="KCP553"/>
      <c r="KCQ553"/>
      <c r="KCR553"/>
      <c r="KCS553"/>
      <c r="KCT553"/>
      <c r="KCU553"/>
      <c r="KCV553"/>
      <c r="KCW553"/>
      <c r="KCX553"/>
      <c r="KCY553"/>
      <c r="KCZ553"/>
      <c r="KDA553"/>
      <c r="KDB553"/>
      <c r="KDC553"/>
      <c r="KDD553"/>
      <c r="KDE553"/>
      <c r="KDF553"/>
      <c r="KDG553"/>
      <c r="KDH553"/>
      <c r="KDI553"/>
      <c r="KDJ553"/>
      <c r="KDK553"/>
      <c r="KDL553"/>
      <c r="KDM553"/>
      <c r="KDN553"/>
      <c r="KDO553"/>
      <c r="KDP553"/>
      <c r="KDQ553"/>
      <c r="KDR553"/>
      <c r="KDS553"/>
      <c r="KDT553"/>
      <c r="KDU553"/>
      <c r="KDV553"/>
      <c r="KDW553"/>
      <c r="KDX553"/>
      <c r="KDY553"/>
      <c r="KDZ553"/>
      <c r="KEA553"/>
      <c r="KEB553"/>
      <c r="KEC553"/>
      <c r="KED553"/>
      <c r="KEE553"/>
      <c r="KEF553"/>
      <c r="KEG553"/>
      <c r="KEH553"/>
      <c r="KEI553"/>
      <c r="KEJ553"/>
      <c r="KEK553"/>
      <c r="KEL553"/>
      <c r="KEM553"/>
      <c r="KEN553"/>
      <c r="KEO553"/>
      <c r="KEP553"/>
      <c r="KEQ553"/>
      <c r="KER553"/>
      <c r="KES553"/>
      <c r="KET553"/>
      <c r="KEU553"/>
      <c r="KEV553"/>
      <c r="KEW553"/>
      <c r="KEX553"/>
      <c r="KEY553"/>
      <c r="KEZ553"/>
      <c r="KFA553"/>
      <c r="KFB553"/>
      <c r="KFC553"/>
      <c r="KFD553"/>
      <c r="KFE553"/>
      <c r="KFF553"/>
      <c r="KFG553"/>
      <c r="KFH553"/>
      <c r="KFI553"/>
      <c r="KFJ553"/>
      <c r="KFK553"/>
      <c r="KFL553"/>
      <c r="KFM553"/>
      <c r="KFN553"/>
      <c r="KFO553"/>
      <c r="KFP553"/>
      <c r="KFQ553"/>
      <c r="KFR553"/>
      <c r="KFS553"/>
      <c r="KFT553"/>
      <c r="KFU553"/>
      <c r="KFV553"/>
      <c r="KFW553"/>
      <c r="KFX553"/>
      <c r="KFY553"/>
      <c r="KFZ553"/>
      <c r="KGA553"/>
      <c r="KGB553"/>
      <c r="KGC553"/>
      <c r="KGD553"/>
      <c r="KGE553"/>
      <c r="KGF553"/>
      <c r="KGG553"/>
      <c r="KGH553"/>
      <c r="KGI553"/>
      <c r="KGJ553"/>
      <c r="KGK553"/>
      <c r="KGL553"/>
      <c r="KGM553"/>
      <c r="KGN553"/>
      <c r="KGO553"/>
      <c r="KGP553"/>
      <c r="KGQ553"/>
      <c r="KGR553"/>
      <c r="KGS553"/>
      <c r="KGT553"/>
      <c r="KGU553"/>
      <c r="KGV553"/>
      <c r="KGW553"/>
      <c r="KGX553"/>
      <c r="KGY553"/>
      <c r="KGZ553"/>
      <c r="KHA553"/>
      <c r="KHB553"/>
      <c r="KHC553"/>
      <c r="KHD553"/>
      <c r="KHE553"/>
      <c r="KHF553"/>
      <c r="KHG553"/>
      <c r="KHH553"/>
      <c r="KHI553"/>
      <c r="KHJ553"/>
      <c r="KHK553"/>
      <c r="KHL553"/>
      <c r="KHM553"/>
      <c r="KHN553"/>
      <c r="KHO553"/>
      <c r="KHP553"/>
      <c r="KHQ553"/>
      <c r="KHR553"/>
      <c r="KHS553"/>
      <c r="KHT553"/>
      <c r="KHU553"/>
      <c r="KHV553"/>
      <c r="KHW553"/>
      <c r="KHX553"/>
      <c r="KHY553"/>
      <c r="KHZ553"/>
      <c r="KIA553"/>
      <c r="KIB553"/>
      <c r="KIC553"/>
      <c r="KID553"/>
      <c r="KIE553"/>
      <c r="KIF553"/>
      <c r="KIG553"/>
      <c r="KIH553"/>
      <c r="KII553"/>
      <c r="KIJ553"/>
      <c r="KIK553"/>
      <c r="KIL553"/>
      <c r="KIM553"/>
      <c r="KIN553"/>
      <c r="KIO553"/>
      <c r="KIP553"/>
      <c r="KIQ553"/>
      <c r="KIR553"/>
      <c r="KIS553"/>
      <c r="KIT553"/>
      <c r="KIU553"/>
      <c r="KIV553"/>
      <c r="KIW553"/>
      <c r="KIX553"/>
      <c r="KIY553"/>
      <c r="KIZ553"/>
      <c r="KJA553"/>
      <c r="KJB553"/>
      <c r="KJC553"/>
      <c r="KJD553"/>
      <c r="KJE553"/>
      <c r="KJF553"/>
      <c r="KJG553"/>
      <c r="KJH553"/>
      <c r="KJI553"/>
      <c r="KJJ553"/>
      <c r="KJK553"/>
      <c r="KJL553"/>
      <c r="KJM553"/>
      <c r="KJN553"/>
      <c r="KJO553"/>
      <c r="KJP553"/>
      <c r="KJQ553"/>
      <c r="KJR553"/>
      <c r="KJS553"/>
      <c r="KJT553"/>
      <c r="KJU553"/>
      <c r="KJV553"/>
      <c r="KJW553"/>
      <c r="KJX553"/>
      <c r="KJY553"/>
      <c r="KJZ553"/>
      <c r="KKA553"/>
      <c r="KKB553"/>
      <c r="KKC553"/>
      <c r="KKD553"/>
      <c r="KKE553"/>
      <c r="KKF553"/>
      <c r="KKG553"/>
      <c r="KKH553"/>
      <c r="KKI553"/>
      <c r="KKJ553"/>
      <c r="KKK553"/>
      <c r="KKL553"/>
      <c r="KKM553"/>
      <c r="KKN553"/>
      <c r="KKO553"/>
      <c r="KKP553"/>
      <c r="KKQ553"/>
      <c r="KKR553"/>
      <c r="KKS553"/>
      <c r="KKT553"/>
      <c r="KKU553"/>
      <c r="KKV553"/>
      <c r="KKW553"/>
      <c r="KKX553"/>
      <c r="KKY553"/>
      <c r="KKZ553"/>
      <c r="KLA553"/>
      <c r="KLB553"/>
      <c r="KLC553"/>
      <c r="KLD553"/>
      <c r="KLE553"/>
      <c r="KLF553"/>
      <c r="KLG553"/>
      <c r="KLH553"/>
      <c r="KLI553"/>
      <c r="KLJ553"/>
      <c r="KLK553"/>
      <c r="KLL553"/>
      <c r="KLM553"/>
      <c r="KLN553"/>
      <c r="KLO553"/>
      <c r="KLP553"/>
      <c r="KLQ553"/>
      <c r="KLR553"/>
      <c r="KLS553"/>
      <c r="KLT553"/>
      <c r="KLU553"/>
      <c r="KLV553"/>
      <c r="KLW553"/>
      <c r="KLX553"/>
      <c r="KLY553"/>
      <c r="KLZ553"/>
      <c r="KMA553"/>
      <c r="KMB553"/>
      <c r="KMC553"/>
      <c r="KMD553"/>
      <c r="KME553"/>
      <c r="KMF553"/>
      <c r="KMG553"/>
      <c r="KMH553"/>
      <c r="KMI553"/>
      <c r="KMJ553"/>
      <c r="KMK553"/>
      <c r="KML553"/>
      <c r="KMM553"/>
      <c r="KMN553"/>
      <c r="KMO553"/>
      <c r="KMP553"/>
      <c r="KMQ553"/>
      <c r="KMR553"/>
      <c r="KMS553"/>
      <c r="KMT553"/>
      <c r="KMU553"/>
      <c r="KMV553"/>
      <c r="KMW553"/>
      <c r="KMX553"/>
      <c r="KMY553"/>
      <c r="KMZ553"/>
      <c r="KNA553"/>
      <c r="KNB553"/>
      <c r="KNC553"/>
      <c r="KND553"/>
      <c r="KNE553"/>
      <c r="KNF553"/>
      <c r="KNG553"/>
      <c r="KNH553"/>
      <c r="KNI553"/>
      <c r="KNJ553"/>
      <c r="KNK553"/>
      <c r="KNL553"/>
      <c r="KNM553"/>
      <c r="KNN553"/>
      <c r="KNO553"/>
      <c r="KNP553"/>
      <c r="KNQ553"/>
      <c r="KNR553"/>
      <c r="KNS553"/>
      <c r="KNT553"/>
      <c r="KNU553"/>
      <c r="KNV553"/>
      <c r="KNW553"/>
      <c r="KNX553"/>
      <c r="KNY553"/>
      <c r="KNZ553"/>
      <c r="KOA553"/>
      <c r="KOB553"/>
      <c r="KOC553"/>
      <c r="KOD553"/>
      <c r="KOE553"/>
      <c r="KOF553"/>
      <c r="KOG553"/>
      <c r="KOH553"/>
      <c r="KOI553"/>
      <c r="KOJ553"/>
      <c r="KOK553"/>
      <c r="KOL553"/>
      <c r="KOM553"/>
      <c r="KON553"/>
      <c r="KOO553"/>
      <c r="KOP553"/>
      <c r="KOQ553"/>
      <c r="KOR553"/>
      <c r="KOS553"/>
      <c r="KOT553"/>
      <c r="KOU553"/>
      <c r="KOV553"/>
      <c r="KOW553"/>
      <c r="KOX553"/>
      <c r="KOY553"/>
      <c r="KOZ553"/>
      <c r="KPA553"/>
      <c r="KPB553"/>
      <c r="KPC553"/>
      <c r="KPD553"/>
      <c r="KPE553"/>
      <c r="KPF553"/>
      <c r="KPG553"/>
      <c r="KPH553"/>
      <c r="KPI553"/>
      <c r="KPJ553"/>
      <c r="KPK553"/>
      <c r="KPL553"/>
      <c r="KPM553"/>
      <c r="KPN553"/>
      <c r="KPO553"/>
      <c r="KPP553"/>
      <c r="KPQ553"/>
      <c r="KPR553"/>
      <c r="KPS553"/>
      <c r="KPT553"/>
      <c r="KPU553"/>
      <c r="KPV553"/>
      <c r="KPW553"/>
      <c r="KPX553"/>
      <c r="KPY553"/>
      <c r="KPZ553"/>
      <c r="KQA553"/>
      <c r="KQB553"/>
      <c r="KQC553"/>
      <c r="KQD553"/>
      <c r="KQE553"/>
      <c r="KQF553"/>
      <c r="KQG553"/>
      <c r="KQH553"/>
      <c r="KQI553"/>
      <c r="KQJ553"/>
      <c r="KQK553"/>
      <c r="KQL553"/>
      <c r="KQM553"/>
      <c r="KQN553"/>
      <c r="KQO553"/>
      <c r="KQP553"/>
      <c r="KQQ553"/>
      <c r="KQR553"/>
      <c r="KQS553"/>
      <c r="KQT553"/>
      <c r="KQU553"/>
      <c r="KQV553"/>
      <c r="KQW553"/>
      <c r="KQX553"/>
      <c r="KQY553"/>
      <c r="KQZ553"/>
      <c r="KRA553"/>
      <c r="KRB553"/>
      <c r="KRC553"/>
      <c r="KRD553"/>
      <c r="KRE553"/>
      <c r="KRF553"/>
      <c r="KRG553"/>
      <c r="KRH553"/>
      <c r="KRI553"/>
      <c r="KRJ553"/>
      <c r="KRK553"/>
      <c r="KRL553"/>
      <c r="KRM553"/>
      <c r="KRN553"/>
      <c r="KRO553"/>
      <c r="KRP553"/>
      <c r="KRQ553"/>
      <c r="KRR553"/>
      <c r="KRS553"/>
      <c r="KRT553"/>
      <c r="KRU553"/>
      <c r="KRV553"/>
      <c r="KRW553"/>
      <c r="KRX553"/>
      <c r="KRY553"/>
      <c r="KRZ553"/>
      <c r="KSA553"/>
      <c r="KSB553"/>
      <c r="KSC553"/>
      <c r="KSD553"/>
      <c r="KSE553"/>
      <c r="KSF553"/>
      <c r="KSG553"/>
      <c r="KSH553"/>
      <c r="KSI553"/>
      <c r="KSJ553"/>
      <c r="KSK553"/>
      <c r="KSL553"/>
      <c r="KSM553"/>
      <c r="KSN553"/>
      <c r="KSO553"/>
      <c r="KSP553"/>
      <c r="KSQ553"/>
      <c r="KSR553"/>
      <c r="KSS553"/>
      <c r="KST553"/>
      <c r="KSU553"/>
      <c r="KSV553"/>
      <c r="KSW553"/>
      <c r="KSX553"/>
      <c r="KSY553"/>
      <c r="KSZ553"/>
      <c r="KTA553"/>
      <c r="KTB553"/>
      <c r="KTC553"/>
      <c r="KTD553"/>
      <c r="KTE553"/>
      <c r="KTF553"/>
      <c r="KTG553"/>
      <c r="KTH553"/>
      <c r="KTI553"/>
      <c r="KTJ553"/>
      <c r="KTK553"/>
      <c r="KTL553"/>
      <c r="KTM553"/>
      <c r="KTN553"/>
      <c r="KTO553"/>
      <c r="KTP553"/>
      <c r="KTQ553"/>
      <c r="KTR553"/>
      <c r="KTS553"/>
      <c r="KTT553"/>
      <c r="KTU553"/>
      <c r="KTV553"/>
      <c r="KTW553"/>
      <c r="KTX553"/>
      <c r="KTY553"/>
      <c r="KTZ553"/>
      <c r="KUA553"/>
      <c r="KUB553"/>
      <c r="KUC553"/>
      <c r="KUD553"/>
      <c r="KUE553"/>
      <c r="KUF553"/>
      <c r="KUG553"/>
      <c r="KUH553"/>
      <c r="KUI553"/>
      <c r="KUJ553"/>
      <c r="KUK553"/>
      <c r="KUL553"/>
      <c r="KUM553"/>
      <c r="KUN553"/>
      <c r="KUO553"/>
      <c r="KUP553"/>
      <c r="KUQ553"/>
      <c r="KUR553"/>
      <c r="KUS553"/>
      <c r="KUT553"/>
      <c r="KUU553"/>
      <c r="KUV553"/>
      <c r="KUW553"/>
      <c r="KUX553"/>
      <c r="KUY553"/>
      <c r="KUZ553"/>
      <c r="KVA553"/>
      <c r="KVB553"/>
      <c r="KVC553"/>
      <c r="KVD553"/>
      <c r="KVE553"/>
      <c r="KVF553"/>
      <c r="KVG553"/>
      <c r="KVH553"/>
      <c r="KVI553"/>
      <c r="KVJ553"/>
      <c r="KVK553"/>
      <c r="KVL553"/>
      <c r="KVM553"/>
      <c r="KVN553"/>
      <c r="KVO553"/>
      <c r="KVP553"/>
      <c r="KVQ553"/>
      <c r="KVR553"/>
      <c r="KVS553"/>
      <c r="KVT553"/>
      <c r="KVU553"/>
      <c r="KVV553"/>
      <c r="KVW553"/>
      <c r="KVX553"/>
      <c r="KVY553"/>
      <c r="KVZ553"/>
      <c r="KWA553"/>
      <c r="KWB553"/>
      <c r="KWC553"/>
      <c r="KWD553"/>
      <c r="KWE553"/>
      <c r="KWF553"/>
      <c r="KWG553"/>
      <c r="KWH553"/>
      <c r="KWI553"/>
      <c r="KWJ553"/>
      <c r="KWK553"/>
      <c r="KWL553"/>
      <c r="KWM553"/>
      <c r="KWN553"/>
      <c r="KWO553"/>
      <c r="KWP553"/>
      <c r="KWQ553"/>
      <c r="KWR553"/>
      <c r="KWS553"/>
      <c r="KWT553"/>
      <c r="KWU553"/>
      <c r="KWV553"/>
      <c r="KWW553"/>
      <c r="KWX553"/>
      <c r="KWY553"/>
      <c r="KWZ553"/>
      <c r="KXA553"/>
      <c r="KXB553"/>
      <c r="KXC553"/>
      <c r="KXD553"/>
      <c r="KXE553"/>
      <c r="KXF553"/>
      <c r="KXG553"/>
      <c r="KXH553"/>
      <c r="KXI553"/>
      <c r="KXJ553"/>
      <c r="KXK553"/>
      <c r="KXL553"/>
      <c r="KXM553"/>
      <c r="KXN553"/>
      <c r="KXO553"/>
      <c r="KXP553"/>
      <c r="KXQ553"/>
      <c r="KXR553"/>
      <c r="KXS553"/>
      <c r="KXT553"/>
      <c r="KXU553"/>
      <c r="KXV553"/>
      <c r="KXW553"/>
      <c r="KXX553"/>
      <c r="KXY553"/>
      <c r="KXZ553"/>
      <c r="KYA553"/>
      <c r="KYB553"/>
      <c r="KYC553"/>
      <c r="KYD553"/>
      <c r="KYE553"/>
      <c r="KYF553"/>
      <c r="KYG553"/>
      <c r="KYH553"/>
      <c r="KYI553"/>
      <c r="KYJ553"/>
      <c r="KYK553"/>
      <c r="KYL553"/>
      <c r="KYM553"/>
      <c r="KYN553"/>
      <c r="KYO553"/>
      <c r="KYP553"/>
      <c r="KYQ553"/>
      <c r="KYR553"/>
      <c r="KYS553"/>
      <c r="KYT553"/>
      <c r="KYU553"/>
      <c r="KYV553"/>
      <c r="KYW553"/>
      <c r="KYX553"/>
      <c r="KYY553"/>
      <c r="KYZ553"/>
      <c r="KZA553"/>
      <c r="KZB553"/>
      <c r="KZC553"/>
      <c r="KZD553"/>
      <c r="KZE553"/>
      <c r="KZF553"/>
      <c r="KZG553"/>
      <c r="KZH553"/>
      <c r="KZI553"/>
      <c r="KZJ553"/>
      <c r="KZK553"/>
      <c r="KZL553"/>
      <c r="KZM553"/>
      <c r="KZN553"/>
      <c r="KZO553"/>
      <c r="KZP553"/>
      <c r="KZQ553"/>
      <c r="KZR553"/>
      <c r="KZS553"/>
      <c r="KZT553"/>
      <c r="KZU553"/>
      <c r="KZV553"/>
      <c r="KZW553"/>
      <c r="KZX553"/>
      <c r="KZY553"/>
      <c r="KZZ553"/>
      <c r="LAA553"/>
      <c r="LAB553"/>
      <c r="LAC553"/>
      <c r="LAD553"/>
      <c r="LAE553"/>
      <c r="LAF553"/>
      <c r="LAG553"/>
      <c r="LAH553"/>
      <c r="LAI553"/>
      <c r="LAJ553"/>
      <c r="LAK553"/>
      <c r="LAL553"/>
      <c r="LAM553"/>
      <c r="LAN553"/>
      <c r="LAO553"/>
      <c r="LAP553"/>
      <c r="LAQ553"/>
      <c r="LAR553"/>
      <c r="LAS553"/>
      <c r="LAT553"/>
      <c r="LAU553"/>
      <c r="LAV553"/>
      <c r="LAW553"/>
      <c r="LAX553"/>
      <c r="LAY553"/>
      <c r="LAZ553"/>
      <c r="LBA553"/>
      <c r="LBB553"/>
      <c r="LBC553"/>
      <c r="LBD553"/>
      <c r="LBE553"/>
      <c r="LBF553"/>
      <c r="LBG553"/>
      <c r="LBH553"/>
      <c r="LBI553"/>
      <c r="LBJ553"/>
      <c r="LBK553"/>
      <c r="LBL553"/>
      <c r="LBM553"/>
      <c r="LBN553"/>
      <c r="LBO553"/>
      <c r="LBP553"/>
      <c r="LBQ553"/>
      <c r="LBR553"/>
      <c r="LBS553"/>
      <c r="LBT553"/>
      <c r="LBU553"/>
      <c r="LBV553"/>
      <c r="LBW553"/>
      <c r="LBX553"/>
      <c r="LBY553"/>
      <c r="LBZ553"/>
      <c r="LCA553"/>
      <c r="LCB553"/>
      <c r="LCC553"/>
      <c r="LCD553"/>
      <c r="LCE553"/>
      <c r="LCF553"/>
      <c r="LCG553"/>
      <c r="LCH553"/>
      <c r="LCI553"/>
      <c r="LCJ553"/>
      <c r="LCK553"/>
      <c r="LCL553"/>
      <c r="LCM553"/>
      <c r="LCN553"/>
      <c r="LCO553"/>
      <c r="LCP553"/>
      <c r="LCQ553"/>
      <c r="LCR553"/>
      <c r="LCS553"/>
      <c r="LCT553"/>
      <c r="LCU553"/>
      <c r="LCV553"/>
      <c r="LCW553"/>
      <c r="LCX553"/>
      <c r="LCY553"/>
      <c r="LCZ553"/>
      <c r="LDA553"/>
      <c r="LDB553"/>
      <c r="LDC553"/>
      <c r="LDD553"/>
      <c r="LDE553"/>
      <c r="LDF553"/>
      <c r="LDG553"/>
      <c r="LDH553"/>
      <c r="LDI553"/>
      <c r="LDJ553"/>
      <c r="LDK553"/>
      <c r="LDL553"/>
      <c r="LDM553"/>
      <c r="LDN553"/>
      <c r="LDO553"/>
      <c r="LDP553"/>
      <c r="LDQ553"/>
      <c r="LDR553"/>
      <c r="LDS553"/>
      <c r="LDT553"/>
      <c r="LDU553"/>
      <c r="LDV553"/>
      <c r="LDW553"/>
      <c r="LDX553"/>
      <c r="LDY553"/>
      <c r="LDZ553"/>
      <c r="LEA553"/>
      <c r="LEB553"/>
      <c r="LEC553"/>
      <c r="LED553"/>
      <c r="LEE553"/>
      <c r="LEF553"/>
      <c r="LEG553"/>
      <c r="LEH553"/>
      <c r="LEI553"/>
      <c r="LEJ553"/>
      <c r="LEK553"/>
      <c r="LEL553"/>
      <c r="LEM553"/>
      <c r="LEN553"/>
      <c r="LEO553"/>
      <c r="LEP553"/>
      <c r="LEQ553"/>
      <c r="LER553"/>
      <c r="LES553"/>
      <c r="LET553"/>
      <c r="LEU553"/>
      <c r="LEV553"/>
      <c r="LEW553"/>
      <c r="LEX553"/>
      <c r="LEY553"/>
      <c r="LEZ553"/>
      <c r="LFA553"/>
      <c r="LFB553"/>
      <c r="LFC553"/>
      <c r="LFD553"/>
      <c r="LFE553"/>
      <c r="LFF553"/>
      <c r="LFG553"/>
      <c r="LFH553"/>
      <c r="LFI553"/>
      <c r="LFJ553"/>
      <c r="LFK553"/>
      <c r="LFL553"/>
      <c r="LFM553"/>
      <c r="LFN553"/>
      <c r="LFO553"/>
      <c r="LFP553"/>
      <c r="LFQ553"/>
      <c r="LFR553"/>
      <c r="LFS553"/>
      <c r="LFT553"/>
      <c r="LFU553"/>
      <c r="LFV553"/>
      <c r="LFW553"/>
      <c r="LFX553"/>
      <c r="LFY553"/>
      <c r="LFZ553"/>
      <c r="LGA553"/>
      <c r="LGB553"/>
      <c r="LGC553"/>
      <c r="LGD553"/>
      <c r="LGE553"/>
      <c r="LGF553"/>
      <c r="LGG553"/>
      <c r="LGH553"/>
      <c r="LGI553"/>
      <c r="LGJ553"/>
      <c r="LGK553"/>
      <c r="LGL553"/>
      <c r="LGM553"/>
      <c r="LGN553"/>
      <c r="LGO553"/>
      <c r="LGP553"/>
      <c r="LGQ553"/>
      <c r="LGR553"/>
      <c r="LGS553"/>
      <c r="LGT553"/>
      <c r="LGU553"/>
      <c r="LGV553"/>
      <c r="LGW553"/>
      <c r="LGX553"/>
      <c r="LGY553"/>
      <c r="LGZ553"/>
      <c r="LHA553"/>
      <c r="LHB553"/>
      <c r="LHC553"/>
      <c r="LHD553"/>
      <c r="LHE553"/>
      <c r="LHF553"/>
      <c r="LHG553"/>
      <c r="LHH553"/>
      <c r="LHI553"/>
      <c r="LHJ553"/>
      <c r="LHK553"/>
      <c r="LHL553"/>
      <c r="LHM553"/>
      <c r="LHN553"/>
      <c r="LHO553"/>
      <c r="LHP553"/>
      <c r="LHQ553"/>
      <c r="LHR553"/>
      <c r="LHS553"/>
      <c r="LHT553"/>
      <c r="LHU553"/>
      <c r="LHV553"/>
      <c r="LHW553"/>
      <c r="LHX553"/>
      <c r="LHY553"/>
      <c r="LHZ553"/>
      <c r="LIA553"/>
      <c r="LIB553"/>
      <c r="LIC553"/>
      <c r="LID553"/>
      <c r="LIE553"/>
      <c r="LIF553"/>
      <c r="LIG553"/>
      <c r="LIH553"/>
      <c r="LII553"/>
      <c r="LIJ553"/>
      <c r="LIK553"/>
      <c r="LIL553"/>
      <c r="LIM553"/>
      <c r="LIN553"/>
      <c r="LIO553"/>
      <c r="LIP553"/>
      <c r="LIQ553"/>
      <c r="LIR553"/>
      <c r="LIS553"/>
      <c r="LIT553"/>
      <c r="LIU553"/>
      <c r="LIV553"/>
      <c r="LIW553"/>
      <c r="LIX553"/>
      <c r="LIY553"/>
      <c r="LIZ553"/>
      <c r="LJA553"/>
      <c r="LJB553"/>
      <c r="LJC553"/>
      <c r="LJD553"/>
      <c r="LJE553"/>
      <c r="LJF553"/>
      <c r="LJG553"/>
      <c r="LJH553"/>
      <c r="LJI553"/>
      <c r="LJJ553"/>
      <c r="LJK553"/>
      <c r="LJL553"/>
      <c r="LJM553"/>
      <c r="LJN553"/>
      <c r="LJO553"/>
      <c r="LJP553"/>
      <c r="LJQ553"/>
      <c r="LJR553"/>
      <c r="LJS553"/>
      <c r="LJT553"/>
      <c r="LJU553"/>
      <c r="LJV553"/>
      <c r="LJW553"/>
      <c r="LJX553"/>
      <c r="LJY553"/>
      <c r="LJZ553"/>
      <c r="LKA553"/>
      <c r="LKB553"/>
      <c r="LKC553"/>
      <c r="LKD553"/>
      <c r="LKE553"/>
      <c r="LKF553"/>
      <c r="LKG553"/>
      <c r="LKH553"/>
      <c r="LKI553"/>
      <c r="LKJ553"/>
      <c r="LKK553"/>
      <c r="LKL553"/>
      <c r="LKM553"/>
      <c r="LKN553"/>
      <c r="LKO553"/>
      <c r="LKP553"/>
      <c r="LKQ553"/>
      <c r="LKR553"/>
      <c r="LKS553"/>
      <c r="LKT553"/>
      <c r="LKU553"/>
      <c r="LKV553"/>
      <c r="LKW553"/>
      <c r="LKX553"/>
      <c r="LKY553"/>
      <c r="LKZ553"/>
      <c r="LLA553"/>
      <c r="LLB553"/>
      <c r="LLC553"/>
      <c r="LLD553"/>
      <c r="LLE553"/>
      <c r="LLF553"/>
      <c r="LLG553"/>
      <c r="LLH553"/>
      <c r="LLI553"/>
      <c r="LLJ553"/>
      <c r="LLK553"/>
      <c r="LLL553"/>
      <c r="LLM553"/>
      <c r="LLN553"/>
      <c r="LLO553"/>
      <c r="LLP553"/>
      <c r="LLQ553"/>
      <c r="LLR553"/>
      <c r="LLS553"/>
      <c r="LLT553"/>
      <c r="LLU553"/>
      <c r="LLV553"/>
      <c r="LLW553"/>
      <c r="LLX553"/>
      <c r="LLY553"/>
      <c r="LLZ553"/>
      <c r="LMA553"/>
      <c r="LMB553"/>
      <c r="LMC553"/>
      <c r="LMD553"/>
      <c r="LME553"/>
      <c r="LMF553"/>
      <c r="LMG553"/>
      <c r="LMH553"/>
      <c r="LMI553"/>
      <c r="LMJ553"/>
      <c r="LMK553"/>
      <c r="LML553"/>
      <c r="LMM553"/>
      <c r="LMN553"/>
      <c r="LMO553"/>
      <c r="LMP553"/>
      <c r="LMQ553"/>
      <c r="LMR553"/>
      <c r="LMS553"/>
      <c r="LMT553"/>
      <c r="LMU553"/>
      <c r="LMV553"/>
      <c r="LMW553"/>
      <c r="LMX553"/>
      <c r="LMY553"/>
      <c r="LMZ553"/>
      <c r="LNA553"/>
      <c r="LNB553"/>
      <c r="LNC553"/>
      <c r="LND553"/>
      <c r="LNE553"/>
      <c r="LNF553"/>
      <c r="LNG553"/>
      <c r="LNH553"/>
      <c r="LNI553"/>
      <c r="LNJ553"/>
      <c r="LNK553"/>
      <c r="LNL553"/>
      <c r="LNM553"/>
      <c r="LNN553"/>
      <c r="LNO553"/>
      <c r="LNP553"/>
      <c r="LNQ553"/>
      <c r="LNR553"/>
      <c r="LNS553"/>
      <c r="LNT553"/>
      <c r="LNU553"/>
      <c r="LNV553"/>
      <c r="LNW553"/>
      <c r="LNX553"/>
      <c r="LNY553"/>
      <c r="LNZ553"/>
      <c r="LOA553"/>
      <c r="LOB553"/>
      <c r="LOC553"/>
      <c r="LOD553"/>
      <c r="LOE553"/>
      <c r="LOF553"/>
      <c r="LOG553"/>
      <c r="LOH553"/>
      <c r="LOI553"/>
      <c r="LOJ553"/>
      <c r="LOK553"/>
      <c r="LOL553"/>
      <c r="LOM553"/>
      <c r="LON553"/>
      <c r="LOO553"/>
      <c r="LOP553"/>
      <c r="LOQ553"/>
      <c r="LOR553"/>
      <c r="LOS553"/>
      <c r="LOT553"/>
      <c r="LOU553"/>
      <c r="LOV553"/>
      <c r="LOW553"/>
      <c r="LOX553"/>
      <c r="LOY553"/>
      <c r="LOZ553"/>
      <c r="LPA553"/>
      <c r="LPB553"/>
      <c r="LPC553"/>
      <c r="LPD553"/>
      <c r="LPE553"/>
      <c r="LPF553"/>
      <c r="LPG553"/>
      <c r="LPH553"/>
      <c r="LPI553"/>
      <c r="LPJ553"/>
      <c r="LPK553"/>
      <c r="LPL553"/>
      <c r="LPM553"/>
      <c r="LPN553"/>
      <c r="LPO553"/>
      <c r="LPP553"/>
      <c r="LPQ553"/>
      <c r="LPR553"/>
      <c r="LPS553"/>
      <c r="LPT553"/>
      <c r="LPU553"/>
      <c r="LPV553"/>
      <c r="LPW553"/>
      <c r="LPX553"/>
      <c r="LPY553"/>
      <c r="LPZ553"/>
      <c r="LQA553"/>
      <c r="LQB553"/>
      <c r="LQC553"/>
      <c r="LQD553"/>
      <c r="LQE553"/>
      <c r="LQF553"/>
      <c r="LQG553"/>
      <c r="LQH553"/>
      <c r="LQI553"/>
      <c r="LQJ553"/>
      <c r="LQK553"/>
      <c r="LQL553"/>
      <c r="LQM553"/>
      <c r="LQN553"/>
      <c r="LQO553"/>
      <c r="LQP553"/>
      <c r="LQQ553"/>
      <c r="LQR553"/>
      <c r="LQS553"/>
      <c r="LQT553"/>
      <c r="LQU553"/>
      <c r="LQV553"/>
      <c r="LQW553"/>
      <c r="LQX553"/>
      <c r="LQY553"/>
      <c r="LQZ553"/>
      <c r="LRA553"/>
      <c r="LRB553"/>
      <c r="LRC553"/>
      <c r="LRD553"/>
      <c r="LRE553"/>
      <c r="LRF553"/>
      <c r="LRG553"/>
      <c r="LRH553"/>
      <c r="LRI553"/>
      <c r="LRJ553"/>
      <c r="LRK553"/>
      <c r="LRL553"/>
      <c r="LRM553"/>
      <c r="LRN553"/>
      <c r="LRO553"/>
      <c r="LRP553"/>
      <c r="LRQ553"/>
      <c r="LRR553"/>
      <c r="LRS553"/>
      <c r="LRT553"/>
      <c r="LRU553"/>
      <c r="LRV553"/>
      <c r="LRW553"/>
      <c r="LRX553"/>
      <c r="LRY553"/>
      <c r="LRZ553"/>
      <c r="LSA553"/>
      <c r="LSB553"/>
      <c r="LSC553"/>
      <c r="LSD553"/>
      <c r="LSE553"/>
      <c r="LSF553"/>
      <c r="LSG553"/>
      <c r="LSH553"/>
      <c r="LSI553"/>
      <c r="LSJ553"/>
      <c r="LSK553"/>
      <c r="LSL553"/>
      <c r="LSM553"/>
      <c r="LSN553"/>
      <c r="LSO553"/>
      <c r="LSP553"/>
      <c r="LSQ553"/>
      <c r="LSR553"/>
      <c r="LSS553"/>
      <c r="LST553"/>
      <c r="LSU553"/>
      <c r="LSV553"/>
      <c r="LSW553"/>
      <c r="LSX553"/>
      <c r="LSY553"/>
      <c r="LSZ553"/>
      <c r="LTA553"/>
      <c r="LTB553"/>
      <c r="LTC553"/>
      <c r="LTD553"/>
      <c r="LTE553"/>
      <c r="LTF553"/>
      <c r="LTG553"/>
      <c r="LTH553"/>
      <c r="LTI553"/>
      <c r="LTJ553"/>
      <c r="LTK553"/>
      <c r="LTL553"/>
      <c r="LTM553"/>
      <c r="LTN553"/>
      <c r="LTO553"/>
      <c r="LTP553"/>
      <c r="LTQ553"/>
      <c r="LTR553"/>
      <c r="LTS553"/>
      <c r="LTT553"/>
      <c r="LTU553"/>
      <c r="LTV553"/>
      <c r="LTW553"/>
      <c r="LTX553"/>
      <c r="LTY553"/>
      <c r="LTZ553"/>
      <c r="LUA553"/>
      <c r="LUB553"/>
      <c r="LUC553"/>
      <c r="LUD553"/>
      <c r="LUE553"/>
      <c r="LUF553"/>
      <c r="LUG553"/>
      <c r="LUH553"/>
      <c r="LUI553"/>
      <c r="LUJ553"/>
      <c r="LUK553"/>
      <c r="LUL553"/>
      <c r="LUM553"/>
      <c r="LUN553"/>
      <c r="LUO553"/>
      <c r="LUP553"/>
      <c r="LUQ553"/>
      <c r="LUR553"/>
      <c r="LUS553"/>
      <c r="LUT553"/>
      <c r="LUU553"/>
      <c r="LUV553"/>
      <c r="LUW553"/>
      <c r="LUX553"/>
      <c r="LUY553"/>
      <c r="LUZ553"/>
      <c r="LVA553"/>
      <c r="LVB553"/>
      <c r="LVC553"/>
      <c r="LVD553"/>
      <c r="LVE553"/>
      <c r="LVF553"/>
      <c r="LVG553"/>
      <c r="LVH553"/>
      <c r="LVI553"/>
      <c r="LVJ553"/>
      <c r="LVK553"/>
      <c r="LVL553"/>
      <c r="LVM553"/>
      <c r="LVN553"/>
      <c r="LVO553"/>
      <c r="LVP553"/>
      <c r="LVQ553"/>
      <c r="LVR553"/>
      <c r="LVS553"/>
      <c r="LVT553"/>
      <c r="LVU553"/>
      <c r="LVV553"/>
      <c r="LVW553"/>
      <c r="LVX553"/>
      <c r="LVY553"/>
      <c r="LVZ553"/>
      <c r="LWA553"/>
      <c r="LWB553"/>
      <c r="LWC553"/>
      <c r="LWD553"/>
      <c r="LWE553"/>
      <c r="LWF553"/>
      <c r="LWG553"/>
      <c r="LWH553"/>
      <c r="LWI553"/>
      <c r="LWJ553"/>
      <c r="LWK553"/>
      <c r="LWL553"/>
      <c r="LWM553"/>
      <c r="LWN553"/>
      <c r="LWO553"/>
      <c r="LWP553"/>
      <c r="LWQ553"/>
      <c r="LWR553"/>
      <c r="LWS553"/>
      <c r="LWT553"/>
      <c r="LWU553"/>
      <c r="LWV553"/>
      <c r="LWW553"/>
      <c r="LWX553"/>
      <c r="LWY553"/>
      <c r="LWZ553"/>
      <c r="LXA553"/>
      <c r="LXB553"/>
      <c r="LXC553"/>
      <c r="LXD553"/>
      <c r="LXE553"/>
      <c r="LXF553"/>
      <c r="LXG553"/>
      <c r="LXH553"/>
      <c r="LXI553"/>
      <c r="LXJ553"/>
      <c r="LXK553"/>
      <c r="LXL553"/>
      <c r="LXM553"/>
      <c r="LXN553"/>
      <c r="LXO553"/>
      <c r="LXP553"/>
      <c r="LXQ553"/>
      <c r="LXR553"/>
      <c r="LXS553"/>
      <c r="LXT553"/>
      <c r="LXU553"/>
      <c r="LXV553"/>
      <c r="LXW553"/>
      <c r="LXX553"/>
      <c r="LXY553"/>
      <c r="LXZ553"/>
      <c r="LYA553"/>
      <c r="LYB553"/>
      <c r="LYC553"/>
      <c r="LYD553"/>
      <c r="LYE553"/>
      <c r="LYF553"/>
      <c r="LYG553"/>
      <c r="LYH553"/>
      <c r="LYI553"/>
      <c r="LYJ553"/>
      <c r="LYK553"/>
      <c r="LYL553"/>
      <c r="LYM553"/>
      <c r="LYN553"/>
      <c r="LYO553"/>
      <c r="LYP553"/>
      <c r="LYQ553"/>
      <c r="LYR553"/>
      <c r="LYS553"/>
      <c r="LYT553"/>
      <c r="LYU553"/>
      <c r="LYV553"/>
      <c r="LYW553"/>
      <c r="LYX553"/>
      <c r="LYY553"/>
      <c r="LYZ553"/>
      <c r="LZA553"/>
      <c r="LZB553"/>
      <c r="LZC553"/>
      <c r="LZD553"/>
      <c r="LZE553"/>
      <c r="LZF553"/>
      <c r="LZG553"/>
      <c r="LZH553"/>
      <c r="LZI553"/>
      <c r="LZJ553"/>
      <c r="LZK553"/>
      <c r="LZL553"/>
      <c r="LZM553"/>
      <c r="LZN553"/>
      <c r="LZO553"/>
      <c r="LZP553"/>
      <c r="LZQ553"/>
      <c r="LZR553"/>
      <c r="LZS553"/>
      <c r="LZT553"/>
      <c r="LZU553"/>
      <c r="LZV553"/>
      <c r="LZW553"/>
      <c r="LZX553"/>
      <c r="LZY553"/>
      <c r="LZZ553"/>
      <c r="MAA553"/>
      <c r="MAB553"/>
      <c r="MAC553"/>
      <c r="MAD553"/>
      <c r="MAE553"/>
      <c r="MAF553"/>
      <c r="MAG553"/>
      <c r="MAH553"/>
      <c r="MAI553"/>
      <c r="MAJ553"/>
      <c r="MAK553"/>
      <c r="MAL553"/>
      <c r="MAM553"/>
      <c r="MAN553"/>
      <c r="MAO553"/>
      <c r="MAP553"/>
      <c r="MAQ553"/>
      <c r="MAR553"/>
      <c r="MAS553"/>
      <c r="MAT553"/>
      <c r="MAU553"/>
      <c r="MAV553"/>
      <c r="MAW553"/>
      <c r="MAX553"/>
      <c r="MAY553"/>
      <c r="MAZ553"/>
      <c r="MBA553"/>
      <c r="MBB553"/>
      <c r="MBC553"/>
      <c r="MBD553"/>
      <c r="MBE553"/>
      <c r="MBF553"/>
      <c r="MBG553"/>
      <c r="MBH553"/>
      <c r="MBI553"/>
      <c r="MBJ553"/>
      <c r="MBK553"/>
      <c r="MBL553"/>
      <c r="MBM553"/>
      <c r="MBN553"/>
      <c r="MBO553"/>
      <c r="MBP553"/>
      <c r="MBQ553"/>
      <c r="MBR553"/>
      <c r="MBS553"/>
      <c r="MBT553"/>
      <c r="MBU553"/>
      <c r="MBV553"/>
      <c r="MBW553"/>
      <c r="MBX553"/>
      <c r="MBY553"/>
      <c r="MBZ553"/>
      <c r="MCA553"/>
      <c r="MCB553"/>
      <c r="MCC553"/>
      <c r="MCD553"/>
      <c r="MCE553"/>
      <c r="MCF553"/>
      <c r="MCG553"/>
      <c r="MCH553"/>
      <c r="MCI553"/>
      <c r="MCJ553"/>
      <c r="MCK553"/>
      <c r="MCL553"/>
      <c r="MCM553"/>
      <c r="MCN553"/>
      <c r="MCO553"/>
      <c r="MCP553"/>
      <c r="MCQ553"/>
      <c r="MCR553"/>
      <c r="MCS553"/>
      <c r="MCT553"/>
      <c r="MCU553"/>
      <c r="MCV553"/>
      <c r="MCW553"/>
      <c r="MCX553"/>
      <c r="MCY553"/>
      <c r="MCZ553"/>
      <c r="MDA553"/>
      <c r="MDB553"/>
      <c r="MDC553"/>
      <c r="MDD553"/>
      <c r="MDE553"/>
      <c r="MDF553"/>
      <c r="MDG553"/>
      <c r="MDH553"/>
      <c r="MDI553"/>
      <c r="MDJ553"/>
      <c r="MDK553"/>
      <c r="MDL553"/>
      <c r="MDM553"/>
      <c r="MDN553"/>
      <c r="MDO553"/>
      <c r="MDP553"/>
      <c r="MDQ553"/>
      <c r="MDR553"/>
      <c r="MDS553"/>
      <c r="MDT553"/>
      <c r="MDU553"/>
      <c r="MDV553"/>
      <c r="MDW553"/>
      <c r="MDX553"/>
      <c r="MDY553"/>
      <c r="MDZ553"/>
      <c r="MEA553"/>
      <c r="MEB553"/>
      <c r="MEC553"/>
      <c r="MED553"/>
      <c r="MEE553"/>
      <c r="MEF553"/>
      <c r="MEG553"/>
      <c r="MEH553"/>
      <c r="MEI553"/>
      <c r="MEJ553"/>
      <c r="MEK553"/>
      <c r="MEL553"/>
      <c r="MEM553"/>
      <c r="MEN553"/>
      <c r="MEO553"/>
      <c r="MEP553"/>
      <c r="MEQ553"/>
      <c r="MER553"/>
      <c r="MES553"/>
      <c r="MET553"/>
      <c r="MEU553"/>
      <c r="MEV553"/>
      <c r="MEW553"/>
      <c r="MEX553"/>
      <c r="MEY553"/>
      <c r="MEZ553"/>
      <c r="MFA553"/>
      <c r="MFB553"/>
      <c r="MFC553"/>
      <c r="MFD553"/>
      <c r="MFE553"/>
      <c r="MFF553"/>
      <c r="MFG553"/>
      <c r="MFH553"/>
      <c r="MFI553"/>
      <c r="MFJ553"/>
      <c r="MFK553"/>
      <c r="MFL553"/>
      <c r="MFM553"/>
      <c r="MFN553"/>
      <c r="MFO553"/>
      <c r="MFP553"/>
      <c r="MFQ553"/>
      <c r="MFR553"/>
      <c r="MFS553"/>
      <c r="MFT553"/>
      <c r="MFU553"/>
      <c r="MFV553"/>
      <c r="MFW553"/>
      <c r="MFX553"/>
      <c r="MFY553"/>
      <c r="MFZ553"/>
      <c r="MGA553"/>
      <c r="MGB553"/>
      <c r="MGC553"/>
      <c r="MGD553"/>
      <c r="MGE553"/>
      <c r="MGF553"/>
      <c r="MGG553"/>
      <c r="MGH553"/>
      <c r="MGI553"/>
      <c r="MGJ553"/>
      <c r="MGK553"/>
      <c r="MGL553"/>
      <c r="MGM553"/>
      <c r="MGN553"/>
      <c r="MGO553"/>
      <c r="MGP553"/>
      <c r="MGQ553"/>
      <c r="MGR553"/>
      <c r="MGS553"/>
      <c r="MGT553"/>
      <c r="MGU553"/>
      <c r="MGV553"/>
      <c r="MGW553"/>
      <c r="MGX553"/>
      <c r="MGY553"/>
      <c r="MGZ553"/>
      <c r="MHA553"/>
      <c r="MHB553"/>
      <c r="MHC553"/>
      <c r="MHD553"/>
      <c r="MHE553"/>
      <c r="MHF553"/>
      <c r="MHG553"/>
      <c r="MHH553"/>
      <c r="MHI553"/>
      <c r="MHJ553"/>
      <c r="MHK553"/>
      <c r="MHL553"/>
      <c r="MHM553"/>
      <c r="MHN553"/>
      <c r="MHO553"/>
      <c r="MHP553"/>
      <c r="MHQ553"/>
      <c r="MHR553"/>
      <c r="MHS553"/>
      <c r="MHT553"/>
      <c r="MHU553"/>
      <c r="MHV553"/>
      <c r="MHW553"/>
      <c r="MHX553"/>
      <c r="MHY553"/>
      <c r="MHZ553"/>
      <c r="MIA553"/>
      <c r="MIB553"/>
      <c r="MIC553"/>
      <c r="MID553"/>
      <c r="MIE553"/>
      <c r="MIF553"/>
      <c r="MIG553"/>
      <c r="MIH553"/>
      <c r="MII553"/>
      <c r="MIJ553"/>
      <c r="MIK553"/>
      <c r="MIL553"/>
      <c r="MIM553"/>
      <c r="MIN553"/>
      <c r="MIO553"/>
      <c r="MIP553"/>
      <c r="MIQ553"/>
      <c r="MIR553"/>
      <c r="MIS553"/>
      <c r="MIT553"/>
      <c r="MIU553"/>
      <c r="MIV553"/>
      <c r="MIW553"/>
      <c r="MIX553"/>
      <c r="MIY553"/>
      <c r="MIZ553"/>
      <c r="MJA553"/>
      <c r="MJB553"/>
      <c r="MJC553"/>
      <c r="MJD553"/>
      <c r="MJE553"/>
      <c r="MJF553"/>
      <c r="MJG553"/>
      <c r="MJH553"/>
      <c r="MJI553"/>
      <c r="MJJ553"/>
      <c r="MJK553"/>
      <c r="MJL553"/>
      <c r="MJM553"/>
      <c r="MJN553"/>
      <c r="MJO553"/>
      <c r="MJP553"/>
      <c r="MJQ553"/>
      <c r="MJR553"/>
      <c r="MJS553"/>
      <c r="MJT553"/>
      <c r="MJU553"/>
      <c r="MJV553"/>
      <c r="MJW553"/>
      <c r="MJX553"/>
      <c r="MJY553"/>
      <c r="MJZ553"/>
      <c r="MKA553"/>
      <c r="MKB553"/>
      <c r="MKC553"/>
      <c r="MKD553"/>
      <c r="MKE553"/>
      <c r="MKF553"/>
      <c r="MKG553"/>
      <c r="MKH553"/>
      <c r="MKI553"/>
      <c r="MKJ553"/>
      <c r="MKK553"/>
      <c r="MKL553"/>
      <c r="MKM553"/>
      <c r="MKN553"/>
      <c r="MKO553"/>
      <c r="MKP553"/>
      <c r="MKQ553"/>
      <c r="MKR553"/>
      <c r="MKS553"/>
      <c r="MKT553"/>
      <c r="MKU553"/>
      <c r="MKV553"/>
      <c r="MKW553"/>
      <c r="MKX553"/>
      <c r="MKY553"/>
      <c r="MKZ553"/>
      <c r="MLA553"/>
      <c r="MLB553"/>
      <c r="MLC553"/>
      <c r="MLD553"/>
      <c r="MLE553"/>
      <c r="MLF553"/>
      <c r="MLG553"/>
      <c r="MLH553"/>
      <c r="MLI553"/>
      <c r="MLJ553"/>
      <c r="MLK553"/>
      <c r="MLL553"/>
      <c r="MLM553"/>
      <c r="MLN553"/>
      <c r="MLO553"/>
      <c r="MLP553"/>
      <c r="MLQ553"/>
      <c r="MLR553"/>
      <c r="MLS553"/>
      <c r="MLT553"/>
      <c r="MLU553"/>
      <c r="MLV553"/>
      <c r="MLW553"/>
      <c r="MLX553"/>
      <c r="MLY553"/>
      <c r="MLZ553"/>
      <c r="MMA553"/>
      <c r="MMB553"/>
      <c r="MMC553"/>
      <c r="MMD553"/>
      <c r="MME553"/>
      <c r="MMF553"/>
      <c r="MMG553"/>
      <c r="MMH553"/>
      <c r="MMI553"/>
      <c r="MMJ553"/>
      <c r="MMK553"/>
      <c r="MML553"/>
      <c r="MMM553"/>
      <c r="MMN553"/>
      <c r="MMO553"/>
      <c r="MMP553"/>
      <c r="MMQ553"/>
      <c r="MMR553"/>
      <c r="MMS553"/>
      <c r="MMT553"/>
      <c r="MMU553"/>
      <c r="MMV553"/>
      <c r="MMW553"/>
      <c r="MMX553"/>
      <c r="MMY553"/>
      <c r="MMZ553"/>
      <c r="MNA553"/>
      <c r="MNB553"/>
      <c r="MNC553"/>
      <c r="MND553"/>
      <c r="MNE553"/>
      <c r="MNF553"/>
      <c r="MNG553"/>
      <c r="MNH553"/>
      <c r="MNI553"/>
      <c r="MNJ553"/>
      <c r="MNK553"/>
      <c r="MNL553"/>
      <c r="MNM553"/>
      <c r="MNN553"/>
      <c r="MNO553"/>
      <c r="MNP553"/>
      <c r="MNQ553"/>
      <c r="MNR553"/>
      <c r="MNS553"/>
      <c r="MNT553"/>
      <c r="MNU553"/>
      <c r="MNV553"/>
      <c r="MNW553"/>
      <c r="MNX553"/>
      <c r="MNY553"/>
      <c r="MNZ553"/>
      <c r="MOA553"/>
      <c r="MOB553"/>
      <c r="MOC553"/>
      <c r="MOD553"/>
      <c r="MOE553"/>
      <c r="MOF553"/>
      <c r="MOG553"/>
      <c r="MOH553"/>
      <c r="MOI553"/>
      <c r="MOJ553"/>
      <c r="MOK553"/>
      <c r="MOL553"/>
      <c r="MOM553"/>
      <c r="MON553"/>
      <c r="MOO553"/>
      <c r="MOP553"/>
      <c r="MOQ553"/>
      <c r="MOR553"/>
      <c r="MOS553"/>
      <c r="MOT553"/>
      <c r="MOU553"/>
      <c r="MOV553"/>
      <c r="MOW553"/>
      <c r="MOX553"/>
      <c r="MOY553"/>
      <c r="MOZ553"/>
      <c r="MPA553"/>
      <c r="MPB553"/>
      <c r="MPC553"/>
      <c r="MPD553"/>
      <c r="MPE553"/>
      <c r="MPF553"/>
      <c r="MPG553"/>
      <c r="MPH553"/>
      <c r="MPI553"/>
      <c r="MPJ553"/>
      <c r="MPK553"/>
      <c r="MPL553"/>
      <c r="MPM553"/>
      <c r="MPN553"/>
      <c r="MPO553"/>
      <c r="MPP553"/>
      <c r="MPQ553"/>
      <c r="MPR553"/>
      <c r="MPS553"/>
      <c r="MPT553"/>
      <c r="MPU553"/>
      <c r="MPV553"/>
      <c r="MPW553"/>
      <c r="MPX553"/>
      <c r="MPY553"/>
      <c r="MPZ553"/>
      <c r="MQA553"/>
      <c r="MQB553"/>
      <c r="MQC553"/>
      <c r="MQD553"/>
      <c r="MQE553"/>
      <c r="MQF553"/>
      <c r="MQG553"/>
      <c r="MQH553"/>
      <c r="MQI553"/>
      <c r="MQJ553"/>
      <c r="MQK553"/>
      <c r="MQL553"/>
      <c r="MQM553"/>
      <c r="MQN553"/>
      <c r="MQO553"/>
      <c r="MQP553"/>
      <c r="MQQ553"/>
      <c r="MQR553"/>
      <c r="MQS553"/>
      <c r="MQT553"/>
      <c r="MQU553"/>
      <c r="MQV553"/>
      <c r="MQW553"/>
      <c r="MQX553"/>
      <c r="MQY553"/>
      <c r="MQZ553"/>
      <c r="MRA553"/>
      <c r="MRB553"/>
      <c r="MRC553"/>
      <c r="MRD553"/>
      <c r="MRE553"/>
      <c r="MRF553"/>
      <c r="MRG553"/>
      <c r="MRH553"/>
      <c r="MRI553"/>
      <c r="MRJ553"/>
      <c r="MRK553"/>
      <c r="MRL553"/>
      <c r="MRM553"/>
      <c r="MRN553"/>
      <c r="MRO553"/>
      <c r="MRP553"/>
      <c r="MRQ553"/>
      <c r="MRR553"/>
      <c r="MRS553"/>
      <c r="MRT553"/>
      <c r="MRU553"/>
      <c r="MRV553"/>
      <c r="MRW553"/>
      <c r="MRX553"/>
      <c r="MRY553"/>
      <c r="MRZ553"/>
      <c r="MSA553"/>
      <c r="MSB553"/>
      <c r="MSC553"/>
      <c r="MSD553"/>
      <c r="MSE553"/>
      <c r="MSF553"/>
      <c r="MSG553"/>
      <c r="MSH553"/>
      <c r="MSI553"/>
      <c r="MSJ553"/>
      <c r="MSK553"/>
      <c r="MSL553"/>
      <c r="MSM553"/>
      <c r="MSN553"/>
      <c r="MSO553"/>
      <c r="MSP553"/>
      <c r="MSQ553"/>
      <c r="MSR553"/>
      <c r="MSS553"/>
      <c r="MST553"/>
      <c r="MSU553"/>
      <c r="MSV553"/>
      <c r="MSW553"/>
      <c r="MSX553"/>
      <c r="MSY553"/>
      <c r="MSZ553"/>
      <c r="MTA553"/>
      <c r="MTB553"/>
      <c r="MTC553"/>
      <c r="MTD553"/>
      <c r="MTE553"/>
      <c r="MTF553"/>
      <c r="MTG553"/>
      <c r="MTH553"/>
      <c r="MTI553"/>
      <c r="MTJ553"/>
      <c r="MTK553"/>
      <c r="MTL553"/>
      <c r="MTM553"/>
      <c r="MTN553"/>
      <c r="MTO553"/>
      <c r="MTP553"/>
      <c r="MTQ553"/>
      <c r="MTR553"/>
      <c r="MTS553"/>
      <c r="MTT553"/>
      <c r="MTU553"/>
      <c r="MTV553"/>
      <c r="MTW553"/>
      <c r="MTX553"/>
      <c r="MTY553"/>
      <c r="MTZ553"/>
      <c r="MUA553"/>
      <c r="MUB553"/>
      <c r="MUC553"/>
      <c r="MUD553"/>
      <c r="MUE553"/>
      <c r="MUF553"/>
      <c r="MUG553"/>
      <c r="MUH553"/>
      <c r="MUI553"/>
      <c r="MUJ553"/>
      <c r="MUK553"/>
      <c r="MUL553"/>
      <c r="MUM553"/>
      <c r="MUN553"/>
      <c r="MUO553"/>
      <c r="MUP553"/>
      <c r="MUQ553"/>
      <c r="MUR553"/>
      <c r="MUS553"/>
      <c r="MUT553"/>
      <c r="MUU553"/>
      <c r="MUV553"/>
      <c r="MUW553"/>
      <c r="MUX553"/>
      <c r="MUY553"/>
      <c r="MUZ553"/>
      <c r="MVA553"/>
      <c r="MVB553"/>
      <c r="MVC553"/>
      <c r="MVD553"/>
      <c r="MVE553"/>
      <c r="MVF553"/>
      <c r="MVG553"/>
      <c r="MVH553"/>
      <c r="MVI553"/>
      <c r="MVJ553"/>
      <c r="MVK553"/>
      <c r="MVL553"/>
      <c r="MVM553"/>
      <c r="MVN553"/>
      <c r="MVO553"/>
      <c r="MVP553"/>
      <c r="MVQ553"/>
      <c r="MVR553"/>
      <c r="MVS553"/>
      <c r="MVT553"/>
      <c r="MVU553"/>
      <c r="MVV553"/>
      <c r="MVW553"/>
      <c r="MVX553"/>
      <c r="MVY553"/>
      <c r="MVZ553"/>
      <c r="MWA553"/>
      <c r="MWB553"/>
      <c r="MWC553"/>
      <c r="MWD553"/>
      <c r="MWE553"/>
      <c r="MWF553"/>
      <c r="MWG553"/>
      <c r="MWH553"/>
      <c r="MWI553"/>
      <c r="MWJ553"/>
      <c r="MWK553"/>
      <c r="MWL553"/>
      <c r="MWM553"/>
      <c r="MWN553"/>
      <c r="MWO553"/>
      <c r="MWP553"/>
      <c r="MWQ553"/>
      <c r="MWR553"/>
      <c r="MWS553"/>
      <c r="MWT553"/>
      <c r="MWU553"/>
      <c r="MWV553"/>
      <c r="MWW553"/>
      <c r="MWX553"/>
      <c r="MWY553"/>
      <c r="MWZ553"/>
      <c r="MXA553"/>
      <c r="MXB553"/>
      <c r="MXC553"/>
      <c r="MXD553"/>
      <c r="MXE553"/>
      <c r="MXF553"/>
      <c r="MXG553"/>
      <c r="MXH553"/>
      <c r="MXI553"/>
      <c r="MXJ553"/>
      <c r="MXK553"/>
      <c r="MXL553"/>
      <c r="MXM553"/>
      <c r="MXN553"/>
      <c r="MXO553"/>
      <c r="MXP553"/>
      <c r="MXQ553"/>
      <c r="MXR553"/>
      <c r="MXS553"/>
      <c r="MXT553"/>
      <c r="MXU553"/>
      <c r="MXV553"/>
      <c r="MXW553"/>
      <c r="MXX553"/>
      <c r="MXY553"/>
      <c r="MXZ553"/>
      <c r="MYA553"/>
      <c r="MYB553"/>
      <c r="MYC553"/>
      <c r="MYD553"/>
      <c r="MYE553"/>
      <c r="MYF553"/>
      <c r="MYG553"/>
      <c r="MYH553"/>
      <c r="MYI553"/>
      <c r="MYJ553"/>
      <c r="MYK553"/>
      <c r="MYL553"/>
      <c r="MYM553"/>
      <c r="MYN553"/>
      <c r="MYO553"/>
      <c r="MYP553"/>
      <c r="MYQ553"/>
      <c r="MYR553"/>
      <c r="MYS553"/>
      <c r="MYT553"/>
      <c r="MYU553"/>
      <c r="MYV553"/>
      <c r="MYW553"/>
      <c r="MYX553"/>
      <c r="MYY553"/>
      <c r="MYZ553"/>
      <c r="MZA553"/>
      <c r="MZB553"/>
      <c r="MZC553"/>
      <c r="MZD553"/>
      <c r="MZE553"/>
      <c r="MZF553"/>
      <c r="MZG553"/>
      <c r="MZH553"/>
      <c r="MZI553"/>
      <c r="MZJ553"/>
      <c r="MZK553"/>
      <c r="MZL553"/>
      <c r="MZM553"/>
      <c r="MZN553"/>
      <c r="MZO553"/>
      <c r="MZP553"/>
      <c r="MZQ553"/>
      <c r="MZR553"/>
      <c r="MZS553"/>
      <c r="MZT553"/>
      <c r="MZU553"/>
      <c r="MZV553"/>
      <c r="MZW553"/>
      <c r="MZX553"/>
      <c r="MZY553"/>
      <c r="MZZ553"/>
      <c r="NAA553"/>
      <c r="NAB553"/>
      <c r="NAC553"/>
      <c r="NAD553"/>
      <c r="NAE553"/>
      <c r="NAF553"/>
      <c r="NAG553"/>
      <c r="NAH553"/>
      <c r="NAI553"/>
      <c r="NAJ553"/>
      <c r="NAK553"/>
      <c r="NAL553"/>
      <c r="NAM553"/>
      <c r="NAN553"/>
      <c r="NAO553"/>
      <c r="NAP553"/>
      <c r="NAQ553"/>
      <c r="NAR553"/>
      <c r="NAS553"/>
      <c r="NAT553"/>
      <c r="NAU553"/>
      <c r="NAV553"/>
      <c r="NAW553"/>
      <c r="NAX553"/>
      <c r="NAY553"/>
      <c r="NAZ553"/>
      <c r="NBA553"/>
      <c r="NBB553"/>
      <c r="NBC553"/>
      <c r="NBD553"/>
      <c r="NBE553"/>
      <c r="NBF553"/>
      <c r="NBG553"/>
      <c r="NBH553"/>
      <c r="NBI553"/>
      <c r="NBJ553"/>
      <c r="NBK553"/>
      <c r="NBL553"/>
      <c r="NBM553"/>
      <c r="NBN553"/>
      <c r="NBO553"/>
      <c r="NBP553"/>
      <c r="NBQ553"/>
      <c r="NBR553"/>
      <c r="NBS553"/>
      <c r="NBT553"/>
      <c r="NBU553"/>
      <c r="NBV553"/>
      <c r="NBW553"/>
      <c r="NBX553"/>
      <c r="NBY553"/>
      <c r="NBZ553"/>
      <c r="NCA553"/>
      <c r="NCB553"/>
      <c r="NCC553"/>
      <c r="NCD553"/>
      <c r="NCE553"/>
      <c r="NCF553"/>
      <c r="NCG553"/>
      <c r="NCH553"/>
      <c r="NCI553"/>
      <c r="NCJ553"/>
      <c r="NCK553"/>
      <c r="NCL553"/>
      <c r="NCM553"/>
      <c r="NCN553"/>
      <c r="NCO553"/>
      <c r="NCP553"/>
      <c r="NCQ553"/>
      <c r="NCR553"/>
      <c r="NCS553"/>
      <c r="NCT553"/>
      <c r="NCU553"/>
      <c r="NCV553"/>
      <c r="NCW553"/>
      <c r="NCX553"/>
      <c r="NCY553"/>
      <c r="NCZ553"/>
      <c r="NDA553"/>
      <c r="NDB553"/>
      <c r="NDC553"/>
      <c r="NDD553"/>
      <c r="NDE553"/>
      <c r="NDF553"/>
      <c r="NDG553"/>
      <c r="NDH553"/>
      <c r="NDI553"/>
      <c r="NDJ553"/>
      <c r="NDK553"/>
      <c r="NDL553"/>
      <c r="NDM553"/>
      <c r="NDN553"/>
      <c r="NDO553"/>
      <c r="NDP553"/>
      <c r="NDQ553"/>
      <c r="NDR553"/>
      <c r="NDS553"/>
      <c r="NDT553"/>
      <c r="NDU553"/>
      <c r="NDV553"/>
      <c r="NDW553"/>
      <c r="NDX553"/>
      <c r="NDY553"/>
      <c r="NDZ553"/>
      <c r="NEA553"/>
      <c r="NEB553"/>
      <c r="NEC553"/>
      <c r="NED553"/>
      <c r="NEE553"/>
      <c r="NEF553"/>
      <c r="NEG553"/>
      <c r="NEH553"/>
      <c r="NEI553"/>
      <c r="NEJ553"/>
      <c r="NEK553"/>
      <c r="NEL553"/>
      <c r="NEM553"/>
      <c r="NEN553"/>
      <c r="NEO553"/>
      <c r="NEP553"/>
      <c r="NEQ553"/>
      <c r="NER553"/>
      <c r="NES553"/>
      <c r="NET553"/>
      <c r="NEU553"/>
      <c r="NEV553"/>
      <c r="NEW553"/>
      <c r="NEX553"/>
      <c r="NEY553"/>
      <c r="NEZ553"/>
      <c r="NFA553"/>
      <c r="NFB553"/>
      <c r="NFC553"/>
      <c r="NFD553"/>
      <c r="NFE553"/>
      <c r="NFF553"/>
      <c r="NFG553"/>
      <c r="NFH553"/>
      <c r="NFI553"/>
      <c r="NFJ553"/>
      <c r="NFK553"/>
      <c r="NFL553"/>
      <c r="NFM553"/>
      <c r="NFN553"/>
      <c r="NFO553"/>
      <c r="NFP553"/>
      <c r="NFQ553"/>
      <c r="NFR553"/>
      <c r="NFS553"/>
      <c r="NFT553"/>
      <c r="NFU553"/>
      <c r="NFV553"/>
      <c r="NFW553"/>
      <c r="NFX553"/>
      <c r="NFY553"/>
      <c r="NFZ553"/>
      <c r="NGA553"/>
      <c r="NGB553"/>
      <c r="NGC553"/>
      <c r="NGD553"/>
      <c r="NGE553"/>
      <c r="NGF553"/>
      <c r="NGG553"/>
      <c r="NGH553"/>
      <c r="NGI553"/>
      <c r="NGJ553"/>
      <c r="NGK553"/>
      <c r="NGL553"/>
      <c r="NGM553"/>
      <c r="NGN553"/>
      <c r="NGO553"/>
      <c r="NGP553"/>
      <c r="NGQ553"/>
      <c r="NGR553"/>
      <c r="NGS553"/>
      <c r="NGT553"/>
      <c r="NGU553"/>
      <c r="NGV553"/>
      <c r="NGW553"/>
      <c r="NGX553"/>
      <c r="NGY553"/>
      <c r="NGZ553"/>
      <c r="NHA553"/>
      <c r="NHB553"/>
      <c r="NHC553"/>
      <c r="NHD553"/>
      <c r="NHE553"/>
      <c r="NHF553"/>
      <c r="NHG553"/>
      <c r="NHH553"/>
      <c r="NHI553"/>
      <c r="NHJ553"/>
      <c r="NHK553"/>
      <c r="NHL553"/>
      <c r="NHM553"/>
      <c r="NHN553"/>
      <c r="NHO553"/>
      <c r="NHP553"/>
      <c r="NHQ553"/>
      <c r="NHR553"/>
      <c r="NHS553"/>
      <c r="NHT553"/>
      <c r="NHU553"/>
      <c r="NHV553"/>
      <c r="NHW553"/>
      <c r="NHX553"/>
      <c r="NHY553"/>
      <c r="NHZ553"/>
      <c r="NIA553"/>
      <c r="NIB553"/>
      <c r="NIC553"/>
      <c r="NID553"/>
      <c r="NIE553"/>
      <c r="NIF553"/>
      <c r="NIG553"/>
      <c r="NIH553"/>
      <c r="NII553"/>
      <c r="NIJ553"/>
      <c r="NIK553"/>
      <c r="NIL553"/>
      <c r="NIM553"/>
      <c r="NIN553"/>
      <c r="NIO553"/>
      <c r="NIP553"/>
      <c r="NIQ553"/>
      <c r="NIR553"/>
      <c r="NIS553"/>
      <c r="NIT553"/>
      <c r="NIU553"/>
      <c r="NIV553"/>
      <c r="NIW553"/>
      <c r="NIX553"/>
      <c r="NIY553"/>
      <c r="NIZ553"/>
      <c r="NJA553"/>
      <c r="NJB553"/>
      <c r="NJC553"/>
      <c r="NJD553"/>
      <c r="NJE553"/>
      <c r="NJF553"/>
      <c r="NJG553"/>
      <c r="NJH553"/>
      <c r="NJI553"/>
      <c r="NJJ553"/>
      <c r="NJK553"/>
      <c r="NJL553"/>
      <c r="NJM553"/>
      <c r="NJN553"/>
      <c r="NJO553"/>
      <c r="NJP553"/>
      <c r="NJQ553"/>
      <c r="NJR553"/>
      <c r="NJS553"/>
      <c r="NJT553"/>
      <c r="NJU553"/>
      <c r="NJV553"/>
      <c r="NJW553"/>
      <c r="NJX553"/>
      <c r="NJY553"/>
      <c r="NJZ553"/>
      <c r="NKA553"/>
      <c r="NKB553"/>
      <c r="NKC553"/>
      <c r="NKD553"/>
      <c r="NKE553"/>
      <c r="NKF553"/>
      <c r="NKG553"/>
      <c r="NKH553"/>
      <c r="NKI553"/>
      <c r="NKJ553"/>
      <c r="NKK553"/>
      <c r="NKL553"/>
      <c r="NKM553"/>
      <c r="NKN553"/>
      <c r="NKO553"/>
      <c r="NKP553"/>
      <c r="NKQ553"/>
      <c r="NKR553"/>
      <c r="NKS553"/>
      <c r="NKT553"/>
      <c r="NKU553"/>
      <c r="NKV553"/>
      <c r="NKW553"/>
      <c r="NKX553"/>
      <c r="NKY553"/>
      <c r="NKZ553"/>
      <c r="NLA553"/>
      <c r="NLB553"/>
      <c r="NLC553"/>
      <c r="NLD553"/>
      <c r="NLE553"/>
      <c r="NLF553"/>
      <c r="NLG553"/>
      <c r="NLH553"/>
      <c r="NLI553"/>
      <c r="NLJ553"/>
      <c r="NLK553"/>
      <c r="NLL553"/>
      <c r="NLM553"/>
      <c r="NLN553"/>
      <c r="NLO553"/>
      <c r="NLP553"/>
      <c r="NLQ553"/>
      <c r="NLR553"/>
      <c r="NLS553"/>
      <c r="NLT553"/>
      <c r="NLU553"/>
      <c r="NLV553"/>
      <c r="NLW553"/>
      <c r="NLX553"/>
      <c r="NLY553"/>
      <c r="NLZ553"/>
      <c r="NMA553"/>
      <c r="NMB553"/>
      <c r="NMC553"/>
      <c r="NMD553"/>
      <c r="NME553"/>
      <c r="NMF553"/>
      <c r="NMG553"/>
      <c r="NMH553"/>
      <c r="NMI553"/>
      <c r="NMJ553"/>
      <c r="NMK553"/>
      <c r="NML553"/>
      <c r="NMM553"/>
      <c r="NMN553"/>
      <c r="NMO553"/>
      <c r="NMP553"/>
      <c r="NMQ553"/>
      <c r="NMR553"/>
      <c r="NMS553"/>
      <c r="NMT553"/>
      <c r="NMU553"/>
      <c r="NMV553"/>
      <c r="NMW553"/>
      <c r="NMX553"/>
      <c r="NMY553"/>
      <c r="NMZ553"/>
      <c r="NNA553"/>
      <c r="NNB553"/>
      <c r="NNC553"/>
      <c r="NND553"/>
      <c r="NNE553"/>
      <c r="NNF553"/>
      <c r="NNG553"/>
      <c r="NNH553"/>
      <c r="NNI553"/>
      <c r="NNJ553"/>
      <c r="NNK553"/>
      <c r="NNL553"/>
      <c r="NNM553"/>
      <c r="NNN553"/>
      <c r="NNO553"/>
      <c r="NNP553"/>
      <c r="NNQ553"/>
      <c r="NNR553"/>
      <c r="NNS553"/>
      <c r="NNT553"/>
      <c r="NNU553"/>
      <c r="NNV553"/>
      <c r="NNW553"/>
      <c r="NNX553"/>
      <c r="NNY553"/>
      <c r="NNZ553"/>
      <c r="NOA553"/>
      <c r="NOB553"/>
      <c r="NOC553"/>
      <c r="NOD553"/>
      <c r="NOE553"/>
      <c r="NOF553"/>
      <c r="NOG553"/>
      <c r="NOH553"/>
      <c r="NOI553"/>
      <c r="NOJ553"/>
      <c r="NOK553"/>
      <c r="NOL553"/>
      <c r="NOM553"/>
      <c r="NON553"/>
      <c r="NOO553"/>
      <c r="NOP553"/>
      <c r="NOQ553"/>
      <c r="NOR553"/>
      <c r="NOS553"/>
      <c r="NOT553"/>
      <c r="NOU553"/>
      <c r="NOV553"/>
      <c r="NOW553"/>
      <c r="NOX553"/>
      <c r="NOY553"/>
      <c r="NOZ553"/>
      <c r="NPA553"/>
      <c r="NPB553"/>
      <c r="NPC553"/>
      <c r="NPD553"/>
      <c r="NPE553"/>
      <c r="NPF553"/>
      <c r="NPG553"/>
      <c r="NPH553"/>
      <c r="NPI553"/>
      <c r="NPJ553"/>
      <c r="NPK553"/>
      <c r="NPL553"/>
      <c r="NPM553"/>
      <c r="NPN553"/>
      <c r="NPO553"/>
      <c r="NPP553"/>
      <c r="NPQ553"/>
      <c r="NPR553"/>
      <c r="NPS553"/>
      <c r="NPT553"/>
      <c r="NPU553"/>
      <c r="NPV553"/>
      <c r="NPW553"/>
      <c r="NPX553"/>
      <c r="NPY553"/>
      <c r="NPZ553"/>
      <c r="NQA553"/>
      <c r="NQB553"/>
      <c r="NQC553"/>
      <c r="NQD553"/>
      <c r="NQE553"/>
      <c r="NQF553"/>
      <c r="NQG553"/>
      <c r="NQH553"/>
      <c r="NQI553"/>
      <c r="NQJ553"/>
      <c r="NQK553"/>
      <c r="NQL553"/>
      <c r="NQM553"/>
      <c r="NQN553"/>
      <c r="NQO553"/>
      <c r="NQP553"/>
      <c r="NQQ553"/>
      <c r="NQR553"/>
      <c r="NQS553"/>
      <c r="NQT553"/>
      <c r="NQU553"/>
      <c r="NQV553"/>
      <c r="NQW553"/>
      <c r="NQX553"/>
      <c r="NQY553"/>
      <c r="NQZ553"/>
      <c r="NRA553"/>
      <c r="NRB553"/>
      <c r="NRC553"/>
      <c r="NRD553"/>
      <c r="NRE553"/>
      <c r="NRF553"/>
      <c r="NRG553"/>
      <c r="NRH553"/>
      <c r="NRI553"/>
      <c r="NRJ553"/>
      <c r="NRK553"/>
      <c r="NRL553"/>
      <c r="NRM553"/>
      <c r="NRN553"/>
      <c r="NRO553"/>
      <c r="NRP553"/>
      <c r="NRQ553"/>
      <c r="NRR553"/>
      <c r="NRS553"/>
      <c r="NRT553"/>
      <c r="NRU553"/>
      <c r="NRV553"/>
      <c r="NRW553"/>
      <c r="NRX553"/>
      <c r="NRY553"/>
      <c r="NRZ553"/>
      <c r="NSA553"/>
      <c r="NSB553"/>
      <c r="NSC553"/>
      <c r="NSD553"/>
      <c r="NSE553"/>
      <c r="NSF553"/>
      <c r="NSG553"/>
      <c r="NSH553"/>
      <c r="NSI553"/>
      <c r="NSJ553"/>
      <c r="NSK553"/>
      <c r="NSL553"/>
      <c r="NSM553"/>
      <c r="NSN553"/>
      <c r="NSO553"/>
      <c r="NSP553"/>
      <c r="NSQ553"/>
      <c r="NSR553"/>
      <c r="NSS553"/>
      <c r="NST553"/>
      <c r="NSU553"/>
      <c r="NSV553"/>
      <c r="NSW553"/>
      <c r="NSX553"/>
      <c r="NSY553"/>
      <c r="NSZ553"/>
      <c r="NTA553"/>
      <c r="NTB553"/>
      <c r="NTC553"/>
      <c r="NTD553"/>
      <c r="NTE553"/>
      <c r="NTF553"/>
      <c r="NTG553"/>
      <c r="NTH553"/>
      <c r="NTI553"/>
      <c r="NTJ553"/>
      <c r="NTK553"/>
      <c r="NTL553"/>
      <c r="NTM553"/>
      <c r="NTN553"/>
      <c r="NTO553"/>
      <c r="NTP553"/>
      <c r="NTQ553"/>
      <c r="NTR553"/>
      <c r="NTS553"/>
      <c r="NTT553"/>
      <c r="NTU553"/>
      <c r="NTV553"/>
      <c r="NTW553"/>
      <c r="NTX553"/>
      <c r="NTY553"/>
      <c r="NTZ553"/>
      <c r="NUA553"/>
      <c r="NUB553"/>
      <c r="NUC553"/>
      <c r="NUD553"/>
      <c r="NUE553"/>
      <c r="NUF553"/>
      <c r="NUG553"/>
      <c r="NUH553"/>
      <c r="NUI553"/>
      <c r="NUJ553"/>
      <c r="NUK553"/>
      <c r="NUL553"/>
      <c r="NUM553"/>
      <c r="NUN553"/>
      <c r="NUO553"/>
      <c r="NUP553"/>
      <c r="NUQ553"/>
      <c r="NUR553"/>
      <c r="NUS553"/>
      <c r="NUT553"/>
      <c r="NUU553"/>
      <c r="NUV553"/>
      <c r="NUW553"/>
      <c r="NUX553"/>
      <c r="NUY553"/>
      <c r="NUZ553"/>
      <c r="NVA553"/>
      <c r="NVB553"/>
      <c r="NVC553"/>
      <c r="NVD553"/>
      <c r="NVE553"/>
      <c r="NVF553"/>
      <c r="NVG553"/>
      <c r="NVH553"/>
      <c r="NVI553"/>
      <c r="NVJ553"/>
      <c r="NVK553"/>
      <c r="NVL553"/>
      <c r="NVM553"/>
      <c r="NVN553"/>
      <c r="NVO553"/>
      <c r="NVP553"/>
      <c r="NVQ553"/>
      <c r="NVR553"/>
      <c r="NVS553"/>
      <c r="NVT553"/>
      <c r="NVU553"/>
      <c r="NVV553"/>
      <c r="NVW553"/>
      <c r="NVX553"/>
      <c r="NVY553"/>
      <c r="NVZ553"/>
      <c r="NWA553"/>
      <c r="NWB553"/>
      <c r="NWC553"/>
      <c r="NWD553"/>
      <c r="NWE553"/>
      <c r="NWF553"/>
      <c r="NWG553"/>
      <c r="NWH553"/>
      <c r="NWI553"/>
      <c r="NWJ553"/>
      <c r="NWK553"/>
      <c r="NWL553"/>
      <c r="NWM553"/>
      <c r="NWN553"/>
      <c r="NWO553"/>
      <c r="NWP553"/>
      <c r="NWQ553"/>
      <c r="NWR553"/>
      <c r="NWS553"/>
      <c r="NWT553"/>
      <c r="NWU553"/>
      <c r="NWV553"/>
      <c r="NWW553"/>
      <c r="NWX553"/>
      <c r="NWY553"/>
      <c r="NWZ553"/>
      <c r="NXA553"/>
      <c r="NXB553"/>
      <c r="NXC553"/>
      <c r="NXD553"/>
      <c r="NXE553"/>
      <c r="NXF553"/>
      <c r="NXG553"/>
      <c r="NXH553"/>
      <c r="NXI553"/>
      <c r="NXJ553"/>
      <c r="NXK553"/>
      <c r="NXL553"/>
      <c r="NXM553"/>
      <c r="NXN553"/>
      <c r="NXO553"/>
      <c r="NXP553"/>
      <c r="NXQ553"/>
      <c r="NXR553"/>
      <c r="NXS553"/>
      <c r="NXT553"/>
      <c r="NXU553"/>
      <c r="NXV553"/>
      <c r="NXW553"/>
      <c r="NXX553"/>
      <c r="NXY553"/>
      <c r="NXZ553"/>
      <c r="NYA553"/>
      <c r="NYB553"/>
      <c r="NYC553"/>
      <c r="NYD553"/>
      <c r="NYE553"/>
      <c r="NYF553"/>
      <c r="NYG553"/>
      <c r="NYH553"/>
      <c r="NYI553"/>
      <c r="NYJ553"/>
      <c r="NYK553"/>
      <c r="NYL553"/>
      <c r="NYM553"/>
      <c r="NYN553"/>
      <c r="NYO553"/>
      <c r="NYP553"/>
      <c r="NYQ553"/>
      <c r="NYR553"/>
      <c r="NYS553"/>
      <c r="NYT553"/>
      <c r="NYU553"/>
      <c r="NYV553"/>
      <c r="NYW553"/>
      <c r="NYX553"/>
      <c r="NYY553"/>
      <c r="NYZ553"/>
      <c r="NZA553"/>
      <c r="NZB553"/>
      <c r="NZC553"/>
      <c r="NZD553"/>
      <c r="NZE553"/>
      <c r="NZF553"/>
      <c r="NZG553"/>
      <c r="NZH553"/>
      <c r="NZI553"/>
      <c r="NZJ553"/>
      <c r="NZK553"/>
      <c r="NZL553"/>
      <c r="NZM553"/>
      <c r="NZN553"/>
      <c r="NZO553"/>
      <c r="NZP553"/>
      <c r="NZQ553"/>
      <c r="NZR553"/>
      <c r="NZS553"/>
      <c r="NZT553"/>
      <c r="NZU553"/>
      <c r="NZV553"/>
      <c r="NZW553"/>
      <c r="NZX553"/>
      <c r="NZY553"/>
      <c r="NZZ553"/>
      <c r="OAA553"/>
      <c r="OAB553"/>
      <c r="OAC553"/>
      <c r="OAD553"/>
      <c r="OAE553"/>
      <c r="OAF553"/>
      <c r="OAG553"/>
      <c r="OAH553"/>
      <c r="OAI553"/>
      <c r="OAJ553"/>
      <c r="OAK553"/>
      <c r="OAL553"/>
      <c r="OAM553"/>
      <c r="OAN553"/>
      <c r="OAO553"/>
      <c r="OAP553"/>
      <c r="OAQ553"/>
      <c r="OAR553"/>
      <c r="OAS553"/>
      <c r="OAT553"/>
      <c r="OAU553"/>
      <c r="OAV553"/>
      <c r="OAW553"/>
      <c r="OAX553"/>
      <c r="OAY553"/>
      <c r="OAZ553"/>
      <c r="OBA553"/>
      <c r="OBB553"/>
      <c r="OBC553"/>
      <c r="OBD553"/>
      <c r="OBE553"/>
      <c r="OBF553"/>
      <c r="OBG553"/>
      <c r="OBH553"/>
      <c r="OBI553"/>
      <c r="OBJ553"/>
      <c r="OBK553"/>
      <c r="OBL553"/>
      <c r="OBM553"/>
      <c r="OBN553"/>
      <c r="OBO553"/>
      <c r="OBP553"/>
      <c r="OBQ553"/>
      <c r="OBR553"/>
      <c r="OBS553"/>
      <c r="OBT553"/>
      <c r="OBU553"/>
      <c r="OBV553"/>
      <c r="OBW553"/>
      <c r="OBX553"/>
      <c r="OBY553"/>
      <c r="OBZ553"/>
      <c r="OCA553"/>
      <c r="OCB553"/>
      <c r="OCC553"/>
      <c r="OCD553"/>
      <c r="OCE553"/>
      <c r="OCF553"/>
      <c r="OCG553"/>
      <c r="OCH553"/>
      <c r="OCI553"/>
      <c r="OCJ553"/>
      <c r="OCK553"/>
      <c r="OCL553"/>
      <c r="OCM553"/>
      <c r="OCN553"/>
      <c r="OCO553"/>
      <c r="OCP553"/>
      <c r="OCQ553"/>
      <c r="OCR553"/>
      <c r="OCS553"/>
      <c r="OCT553"/>
      <c r="OCU553"/>
      <c r="OCV553"/>
      <c r="OCW553"/>
      <c r="OCX553"/>
      <c r="OCY553"/>
      <c r="OCZ553"/>
      <c r="ODA553"/>
      <c r="ODB553"/>
      <c r="ODC553"/>
      <c r="ODD553"/>
      <c r="ODE553"/>
      <c r="ODF553"/>
      <c r="ODG553"/>
      <c r="ODH553"/>
      <c r="ODI553"/>
      <c r="ODJ553"/>
      <c r="ODK553"/>
      <c r="ODL553"/>
      <c r="ODM553"/>
      <c r="ODN553"/>
      <c r="ODO553"/>
      <c r="ODP553"/>
      <c r="ODQ553"/>
      <c r="ODR553"/>
      <c r="ODS553"/>
      <c r="ODT553"/>
      <c r="ODU553"/>
      <c r="ODV553"/>
      <c r="ODW553"/>
      <c r="ODX553"/>
      <c r="ODY553"/>
      <c r="ODZ553"/>
      <c r="OEA553"/>
      <c r="OEB553"/>
      <c r="OEC553"/>
      <c r="OED553"/>
      <c r="OEE553"/>
      <c r="OEF553"/>
      <c r="OEG553"/>
      <c r="OEH553"/>
      <c r="OEI553"/>
      <c r="OEJ553"/>
      <c r="OEK553"/>
      <c r="OEL553"/>
      <c r="OEM553"/>
      <c r="OEN553"/>
      <c r="OEO553"/>
      <c r="OEP553"/>
      <c r="OEQ553"/>
      <c r="OER553"/>
      <c r="OES553"/>
      <c r="OET553"/>
      <c r="OEU553"/>
      <c r="OEV553"/>
      <c r="OEW553"/>
      <c r="OEX553"/>
      <c r="OEY553"/>
      <c r="OEZ553"/>
      <c r="OFA553"/>
      <c r="OFB553"/>
      <c r="OFC553"/>
      <c r="OFD553"/>
      <c r="OFE553"/>
      <c r="OFF553"/>
      <c r="OFG553"/>
      <c r="OFH553"/>
      <c r="OFI553"/>
      <c r="OFJ553"/>
      <c r="OFK553"/>
      <c r="OFL553"/>
      <c r="OFM553"/>
      <c r="OFN553"/>
      <c r="OFO553"/>
      <c r="OFP553"/>
      <c r="OFQ553"/>
      <c r="OFR553"/>
      <c r="OFS553"/>
      <c r="OFT553"/>
      <c r="OFU553"/>
      <c r="OFV553"/>
      <c r="OFW553"/>
      <c r="OFX553"/>
      <c r="OFY553"/>
      <c r="OFZ553"/>
      <c r="OGA553"/>
      <c r="OGB553"/>
      <c r="OGC553"/>
      <c r="OGD553"/>
      <c r="OGE553"/>
      <c r="OGF553"/>
      <c r="OGG553"/>
      <c r="OGH553"/>
      <c r="OGI553"/>
      <c r="OGJ553"/>
      <c r="OGK553"/>
      <c r="OGL553"/>
      <c r="OGM553"/>
      <c r="OGN553"/>
      <c r="OGO553"/>
      <c r="OGP553"/>
      <c r="OGQ553"/>
      <c r="OGR553"/>
      <c r="OGS553"/>
      <c r="OGT553"/>
      <c r="OGU553"/>
      <c r="OGV553"/>
      <c r="OGW553"/>
      <c r="OGX553"/>
      <c r="OGY553"/>
      <c r="OGZ553"/>
      <c r="OHA553"/>
      <c r="OHB553"/>
      <c r="OHC553"/>
      <c r="OHD553"/>
      <c r="OHE553"/>
      <c r="OHF553"/>
      <c r="OHG553"/>
      <c r="OHH553"/>
      <c r="OHI553"/>
      <c r="OHJ553"/>
      <c r="OHK553"/>
      <c r="OHL553"/>
      <c r="OHM553"/>
      <c r="OHN553"/>
      <c r="OHO553"/>
      <c r="OHP553"/>
      <c r="OHQ553"/>
      <c r="OHR553"/>
      <c r="OHS553"/>
      <c r="OHT553"/>
      <c r="OHU553"/>
      <c r="OHV553"/>
      <c r="OHW553"/>
      <c r="OHX553"/>
      <c r="OHY553"/>
      <c r="OHZ553"/>
      <c r="OIA553"/>
      <c r="OIB553"/>
      <c r="OIC553"/>
      <c r="OID553"/>
      <c r="OIE553"/>
      <c r="OIF553"/>
      <c r="OIG553"/>
      <c r="OIH553"/>
      <c r="OII553"/>
      <c r="OIJ553"/>
      <c r="OIK553"/>
      <c r="OIL553"/>
      <c r="OIM553"/>
      <c r="OIN553"/>
      <c r="OIO553"/>
      <c r="OIP553"/>
      <c r="OIQ553"/>
      <c r="OIR553"/>
      <c r="OIS553"/>
      <c r="OIT553"/>
      <c r="OIU553"/>
      <c r="OIV553"/>
      <c r="OIW553"/>
      <c r="OIX553"/>
      <c r="OIY553"/>
      <c r="OIZ553"/>
      <c r="OJA553"/>
      <c r="OJB553"/>
      <c r="OJC553"/>
      <c r="OJD553"/>
      <c r="OJE553"/>
      <c r="OJF553"/>
      <c r="OJG553"/>
      <c r="OJH553"/>
      <c r="OJI553"/>
      <c r="OJJ553"/>
      <c r="OJK553"/>
      <c r="OJL553"/>
      <c r="OJM553"/>
      <c r="OJN553"/>
      <c r="OJO553"/>
      <c r="OJP553"/>
      <c r="OJQ553"/>
      <c r="OJR553"/>
      <c r="OJS553"/>
      <c r="OJT553"/>
      <c r="OJU553"/>
      <c r="OJV553"/>
      <c r="OJW553"/>
      <c r="OJX553"/>
      <c r="OJY553"/>
      <c r="OJZ553"/>
      <c r="OKA553"/>
      <c r="OKB553"/>
      <c r="OKC553"/>
      <c r="OKD553"/>
      <c r="OKE553"/>
      <c r="OKF553"/>
      <c r="OKG553"/>
      <c r="OKH553"/>
      <c r="OKI553"/>
      <c r="OKJ553"/>
      <c r="OKK553"/>
      <c r="OKL553"/>
      <c r="OKM553"/>
      <c r="OKN553"/>
      <c r="OKO553"/>
      <c r="OKP553"/>
      <c r="OKQ553"/>
      <c r="OKR553"/>
      <c r="OKS553"/>
      <c r="OKT553"/>
      <c r="OKU553"/>
      <c r="OKV553"/>
      <c r="OKW553"/>
      <c r="OKX553"/>
      <c r="OKY553"/>
      <c r="OKZ553"/>
      <c r="OLA553"/>
      <c r="OLB553"/>
      <c r="OLC553"/>
      <c r="OLD553"/>
      <c r="OLE553"/>
      <c r="OLF553"/>
      <c r="OLG553"/>
      <c r="OLH553"/>
      <c r="OLI553"/>
      <c r="OLJ553"/>
      <c r="OLK553"/>
      <c r="OLL553"/>
      <c r="OLM553"/>
      <c r="OLN553"/>
      <c r="OLO553"/>
      <c r="OLP553"/>
      <c r="OLQ553"/>
      <c r="OLR553"/>
      <c r="OLS553"/>
      <c r="OLT553"/>
      <c r="OLU553"/>
      <c r="OLV553"/>
      <c r="OLW553"/>
      <c r="OLX553"/>
      <c r="OLY553"/>
      <c r="OLZ553"/>
      <c r="OMA553"/>
      <c r="OMB553"/>
      <c r="OMC553"/>
      <c r="OMD553"/>
      <c r="OME553"/>
      <c r="OMF553"/>
      <c r="OMG553"/>
      <c r="OMH553"/>
      <c r="OMI553"/>
      <c r="OMJ553"/>
      <c r="OMK553"/>
      <c r="OML553"/>
      <c r="OMM553"/>
      <c r="OMN553"/>
      <c r="OMO553"/>
      <c r="OMP553"/>
      <c r="OMQ553"/>
      <c r="OMR553"/>
      <c r="OMS553"/>
      <c r="OMT553"/>
      <c r="OMU553"/>
      <c r="OMV553"/>
      <c r="OMW553"/>
      <c r="OMX553"/>
      <c r="OMY553"/>
      <c r="OMZ553"/>
      <c r="ONA553"/>
      <c r="ONB553"/>
      <c r="ONC553"/>
      <c r="OND553"/>
      <c r="ONE553"/>
      <c r="ONF553"/>
      <c r="ONG553"/>
      <c r="ONH553"/>
      <c r="ONI553"/>
      <c r="ONJ553"/>
      <c r="ONK553"/>
      <c r="ONL553"/>
      <c r="ONM553"/>
      <c r="ONN553"/>
      <c r="ONO553"/>
      <c r="ONP553"/>
      <c r="ONQ553"/>
      <c r="ONR553"/>
      <c r="ONS553"/>
      <c r="ONT553"/>
      <c r="ONU553"/>
      <c r="ONV553"/>
      <c r="ONW553"/>
      <c r="ONX553"/>
      <c r="ONY553"/>
      <c r="ONZ553"/>
      <c r="OOA553"/>
      <c r="OOB553"/>
      <c r="OOC553"/>
      <c r="OOD553"/>
      <c r="OOE553"/>
      <c r="OOF553"/>
      <c r="OOG553"/>
      <c r="OOH553"/>
      <c r="OOI553"/>
      <c r="OOJ553"/>
      <c r="OOK553"/>
      <c r="OOL553"/>
      <c r="OOM553"/>
      <c r="OON553"/>
      <c r="OOO553"/>
      <c r="OOP553"/>
      <c r="OOQ553"/>
      <c r="OOR553"/>
      <c r="OOS553"/>
      <c r="OOT553"/>
      <c r="OOU553"/>
      <c r="OOV553"/>
      <c r="OOW553"/>
      <c r="OOX553"/>
      <c r="OOY553"/>
      <c r="OOZ553"/>
      <c r="OPA553"/>
      <c r="OPB553"/>
      <c r="OPC553"/>
      <c r="OPD553"/>
      <c r="OPE553"/>
      <c r="OPF553"/>
      <c r="OPG553"/>
      <c r="OPH553"/>
      <c r="OPI553"/>
      <c r="OPJ553"/>
      <c r="OPK553"/>
      <c r="OPL553"/>
      <c r="OPM553"/>
      <c r="OPN553"/>
      <c r="OPO553"/>
      <c r="OPP553"/>
      <c r="OPQ553"/>
      <c r="OPR553"/>
      <c r="OPS553"/>
      <c r="OPT553"/>
      <c r="OPU553"/>
      <c r="OPV553"/>
      <c r="OPW553"/>
      <c r="OPX553"/>
      <c r="OPY553"/>
      <c r="OPZ553"/>
      <c r="OQA553"/>
      <c r="OQB553"/>
      <c r="OQC553"/>
      <c r="OQD553"/>
      <c r="OQE553"/>
      <c r="OQF553"/>
      <c r="OQG553"/>
      <c r="OQH553"/>
      <c r="OQI553"/>
      <c r="OQJ553"/>
      <c r="OQK553"/>
      <c r="OQL553"/>
      <c r="OQM553"/>
      <c r="OQN553"/>
      <c r="OQO553"/>
      <c r="OQP553"/>
      <c r="OQQ553"/>
      <c r="OQR553"/>
      <c r="OQS553"/>
      <c r="OQT553"/>
      <c r="OQU553"/>
      <c r="OQV553"/>
      <c r="OQW553"/>
      <c r="OQX553"/>
      <c r="OQY553"/>
      <c r="OQZ553"/>
      <c r="ORA553"/>
      <c r="ORB553"/>
      <c r="ORC553"/>
      <c r="ORD553"/>
      <c r="ORE553"/>
      <c r="ORF553"/>
      <c r="ORG553"/>
      <c r="ORH553"/>
      <c r="ORI553"/>
      <c r="ORJ553"/>
      <c r="ORK553"/>
      <c r="ORL553"/>
      <c r="ORM553"/>
      <c r="ORN553"/>
      <c r="ORO553"/>
      <c r="ORP553"/>
      <c r="ORQ553"/>
      <c r="ORR553"/>
      <c r="ORS553"/>
      <c r="ORT553"/>
      <c r="ORU553"/>
      <c r="ORV553"/>
      <c r="ORW553"/>
      <c r="ORX553"/>
      <c r="ORY553"/>
      <c r="ORZ553"/>
      <c r="OSA553"/>
      <c r="OSB553"/>
      <c r="OSC553"/>
      <c r="OSD553"/>
      <c r="OSE553"/>
      <c r="OSF553"/>
      <c r="OSG553"/>
      <c r="OSH553"/>
      <c r="OSI553"/>
      <c r="OSJ553"/>
      <c r="OSK553"/>
      <c r="OSL553"/>
      <c r="OSM553"/>
      <c r="OSN553"/>
      <c r="OSO553"/>
      <c r="OSP553"/>
      <c r="OSQ553"/>
      <c r="OSR553"/>
      <c r="OSS553"/>
      <c r="OST553"/>
      <c r="OSU553"/>
      <c r="OSV553"/>
      <c r="OSW553"/>
      <c r="OSX553"/>
      <c r="OSY553"/>
      <c r="OSZ553"/>
      <c r="OTA553"/>
      <c r="OTB553"/>
      <c r="OTC553"/>
      <c r="OTD553"/>
      <c r="OTE553"/>
      <c r="OTF553"/>
      <c r="OTG553"/>
      <c r="OTH553"/>
      <c r="OTI553"/>
      <c r="OTJ553"/>
      <c r="OTK553"/>
      <c r="OTL553"/>
      <c r="OTM553"/>
      <c r="OTN553"/>
      <c r="OTO553"/>
      <c r="OTP553"/>
      <c r="OTQ553"/>
      <c r="OTR553"/>
      <c r="OTS553"/>
      <c r="OTT553"/>
      <c r="OTU553"/>
      <c r="OTV553"/>
      <c r="OTW553"/>
      <c r="OTX553"/>
      <c r="OTY553"/>
      <c r="OTZ553"/>
      <c r="OUA553"/>
      <c r="OUB553"/>
      <c r="OUC553"/>
      <c r="OUD553"/>
      <c r="OUE553"/>
      <c r="OUF553"/>
      <c r="OUG553"/>
      <c r="OUH553"/>
      <c r="OUI553"/>
      <c r="OUJ553"/>
      <c r="OUK553"/>
      <c r="OUL553"/>
      <c r="OUM553"/>
      <c r="OUN553"/>
      <c r="OUO553"/>
      <c r="OUP553"/>
      <c r="OUQ553"/>
      <c r="OUR553"/>
      <c r="OUS553"/>
      <c r="OUT553"/>
      <c r="OUU553"/>
      <c r="OUV553"/>
      <c r="OUW553"/>
      <c r="OUX553"/>
      <c r="OUY553"/>
      <c r="OUZ553"/>
      <c r="OVA553"/>
      <c r="OVB553"/>
      <c r="OVC553"/>
      <c r="OVD553"/>
      <c r="OVE553"/>
      <c r="OVF553"/>
      <c r="OVG553"/>
      <c r="OVH553"/>
      <c r="OVI553"/>
      <c r="OVJ553"/>
      <c r="OVK553"/>
      <c r="OVL553"/>
      <c r="OVM553"/>
      <c r="OVN553"/>
      <c r="OVO553"/>
      <c r="OVP553"/>
      <c r="OVQ553"/>
      <c r="OVR553"/>
      <c r="OVS553"/>
      <c r="OVT553"/>
      <c r="OVU553"/>
      <c r="OVV553"/>
      <c r="OVW553"/>
      <c r="OVX553"/>
      <c r="OVY553"/>
      <c r="OVZ553"/>
      <c r="OWA553"/>
      <c r="OWB553"/>
      <c r="OWC553"/>
      <c r="OWD553"/>
      <c r="OWE553"/>
      <c r="OWF553"/>
      <c r="OWG553"/>
      <c r="OWH553"/>
      <c r="OWI553"/>
      <c r="OWJ553"/>
      <c r="OWK553"/>
      <c r="OWL553"/>
      <c r="OWM553"/>
      <c r="OWN553"/>
      <c r="OWO553"/>
      <c r="OWP553"/>
      <c r="OWQ553"/>
      <c r="OWR553"/>
      <c r="OWS553"/>
      <c r="OWT553"/>
      <c r="OWU553"/>
      <c r="OWV553"/>
      <c r="OWW553"/>
      <c r="OWX553"/>
      <c r="OWY553"/>
      <c r="OWZ553"/>
      <c r="OXA553"/>
      <c r="OXB553"/>
      <c r="OXC553"/>
      <c r="OXD553"/>
      <c r="OXE553"/>
      <c r="OXF553"/>
      <c r="OXG553"/>
      <c r="OXH553"/>
      <c r="OXI553"/>
      <c r="OXJ553"/>
      <c r="OXK553"/>
      <c r="OXL553"/>
      <c r="OXM553"/>
      <c r="OXN553"/>
      <c r="OXO553"/>
      <c r="OXP553"/>
      <c r="OXQ553"/>
      <c r="OXR553"/>
      <c r="OXS553"/>
      <c r="OXT553"/>
      <c r="OXU553"/>
      <c r="OXV553"/>
      <c r="OXW553"/>
      <c r="OXX553"/>
      <c r="OXY553"/>
      <c r="OXZ553"/>
      <c r="OYA553"/>
      <c r="OYB553"/>
      <c r="OYC553"/>
      <c r="OYD553"/>
      <c r="OYE553"/>
      <c r="OYF553"/>
      <c r="OYG553"/>
      <c r="OYH553"/>
      <c r="OYI553"/>
      <c r="OYJ553"/>
      <c r="OYK553"/>
      <c r="OYL553"/>
      <c r="OYM553"/>
      <c r="OYN553"/>
      <c r="OYO553"/>
      <c r="OYP553"/>
      <c r="OYQ553"/>
      <c r="OYR553"/>
      <c r="OYS553"/>
      <c r="OYT553"/>
      <c r="OYU553"/>
      <c r="OYV553"/>
      <c r="OYW553"/>
      <c r="OYX553"/>
      <c r="OYY553"/>
      <c r="OYZ553"/>
      <c r="OZA553"/>
      <c r="OZB553"/>
      <c r="OZC553"/>
      <c r="OZD553"/>
      <c r="OZE553"/>
      <c r="OZF553"/>
      <c r="OZG553"/>
      <c r="OZH553"/>
      <c r="OZI553"/>
      <c r="OZJ553"/>
      <c r="OZK553"/>
      <c r="OZL553"/>
      <c r="OZM553"/>
      <c r="OZN553"/>
      <c r="OZO553"/>
      <c r="OZP553"/>
      <c r="OZQ553"/>
      <c r="OZR553"/>
      <c r="OZS553"/>
      <c r="OZT553"/>
      <c r="OZU553"/>
      <c r="OZV553"/>
      <c r="OZW553"/>
      <c r="OZX553"/>
      <c r="OZY553"/>
      <c r="OZZ553"/>
      <c r="PAA553"/>
      <c r="PAB553"/>
      <c r="PAC553"/>
      <c r="PAD553"/>
      <c r="PAE553"/>
      <c r="PAF553"/>
      <c r="PAG553"/>
      <c r="PAH553"/>
      <c r="PAI553"/>
      <c r="PAJ553"/>
      <c r="PAK553"/>
      <c r="PAL553"/>
      <c r="PAM553"/>
      <c r="PAN553"/>
      <c r="PAO553"/>
      <c r="PAP553"/>
      <c r="PAQ553"/>
      <c r="PAR553"/>
      <c r="PAS553"/>
      <c r="PAT553"/>
      <c r="PAU553"/>
      <c r="PAV553"/>
      <c r="PAW553"/>
      <c r="PAX553"/>
      <c r="PAY553"/>
      <c r="PAZ553"/>
      <c r="PBA553"/>
      <c r="PBB553"/>
      <c r="PBC553"/>
      <c r="PBD553"/>
      <c r="PBE553"/>
      <c r="PBF553"/>
      <c r="PBG553"/>
      <c r="PBH553"/>
      <c r="PBI553"/>
      <c r="PBJ553"/>
      <c r="PBK553"/>
      <c r="PBL553"/>
      <c r="PBM553"/>
      <c r="PBN553"/>
      <c r="PBO553"/>
      <c r="PBP553"/>
      <c r="PBQ553"/>
      <c r="PBR553"/>
      <c r="PBS553"/>
      <c r="PBT553"/>
      <c r="PBU553"/>
      <c r="PBV553"/>
      <c r="PBW553"/>
      <c r="PBX553"/>
      <c r="PBY553"/>
      <c r="PBZ553"/>
      <c r="PCA553"/>
      <c r="PCB553"/>
      <c r="PCC553"/>
      <c r="PCD553"/>
      <c r="PCE553"/>
      <c r="PCF553"/>
      <c r="PCG553"/>
      <c r="PCH553"/>
      <c r="PCI553"/>
      <c r="PCJ553"/>
      <c r="PCK553"/>
      <c r="PCL553"/>
      <c r="PCM553"/>
      <c r="PCN553"/>
      <c r="PCO553"/>
      <c r="PCP553"/>
      <c r="PCQ553"/>
      <c r="PCR553"/>
      <c r="PCS553"/>
      <c r="PCT553"/>
      <c r="PCU553"/>
      <c r="PCV553"/>
      <c r="PCW553"/>
      <c r="PCX553"/>
      <c r="PCY553"/>
      <c r="PCZ553"/>
      <c r="PDA553"/>
      <c r="PDB553"/>
      <c r="PDC553"/>
      <c r="PDD553"/>
      <c r="PDE553"/>
      <c r="PDF553"/>
      <c r="PDG553"/>
      <c r="PDH553"/>
      <c r="PDI553"/>
      <c r="PDJ553"/>
      <c r="PDK553"/>
      <c r="PDL553"/>
      <c r="PDM553"/>
      <c r="PDN553"/>
      <c r="PDO553"/>
      <c r="PDP553"/>
      <c r="PDQ553"/>
      <c r="PDR553"/>
      <c r="PDS553"/>
      <c r="PDT553"/>
      <c r="PDU553"/>
      <c r="PDV553"/>
      <c r="PDW553"/>
      <c r="PDX553"/>
      <c r="PDY553"/>
      <c r="PDZ553"/>
      <c r="PEA553"/>
      <c r="PEB553"/>
      <c r="PEC553"/>
      <c r="PED553"/>
      <c r="PEE553"/>
      <c r="PEF553"/>
      <c r="PEG553"/>
      <c r="PEH553"/>
      <c r="PEI553"/>
      <c r="PEJ553"/>
      <c r="PEK553"/>
      <c r="PEL553"/>
      <c r="PEM553"/>
      <c r="PEN553"/>
      <c r="PEO553"/>
      <c r="PEP553"/>
      <c r="PEQ553"/>
      <c r="PER553"/>
      <c r="PES553"/>
      <c r="PET553"/>
      <c r="PEU553"/>
      <c r="PEV553"/>
      <c r="PEW553"/>
      <c r="PEX553"/>
      <c r="PEY553"/>
      <c r="PEZ553"/>
      <c r="PFA553"/>
      <c r="PFB553"/>
      <c r="PFC553"/>
      <c r="PFD553"/>
      <c r="PFE553"/>
      <c r="PFF553"/>
      <c r="PFG553"/>
      <c r="PFH553"/>
      <c r="PFI553"/>
      <c r="PFJ553"/>
      <c r="PFK553"/>
      <c r="PFL553"/>
      <c r="PFM553"/>
      <c r="PFN553"/>
      <c r="PFO553"/>
      <c r="PFP553"/>
      <c r="PFQ553"/>
      <c r="PFR553"/>
      <c r="PFS553"/>
      <c r="PFT553"/>
      <c r="PFU553"/>
      <c r="PFV553"/>
      <c r="PFW553"/>
      <c r="PFX553"/>
      <c r="PFY553"/>
      <c r="PFZ553"/>
      <c r="PGA553"/>
      <c r="PGB553"/>
      <c r="PGC553"/>
      <c r="PGD553"/>
      <c r="PGE553"/>
      <c r="PGF553"/>
      <c r="PGG553"/>
      <c r="PGH553"/>
      <c r="PGI553"/>
      <c r="PGJ553"/>
      <c r="PGK553"/>
      <c r="PGL553"/>
      <c r="PGM553"/>
      <c r="PGN553"/>
      <c r="PGO553"/>
      <c r="PGP553"/>
      <c r="PGQ553"/>
      <c r="PGR553"/>
      <c r="PGS553"/>
      <c r="PGT553"/>
      <c r="PGU553"/>
      <c r="PGV553"/>
      <c r="PGW553"/>
      <c r="PGX553"/>
      <c r="PGY553"/>
      <c r="PGZ553"/>
      <c r="PHA553"/>
      <c r="PHB553"/>
      <c r="PHC553"/>
      <c r="PHD553"/>
      <c r="PHE553"/>
      <c r="PHF553"/>
      <c r="PHG553"/>
      <c r="PHH553"/>
      <c r="PHI553"/>
      <c r="PHJ553"/>
      <c r="PHK553"/>
      <c r="PHL553"/>
      <c r="PHM553"/>
      <c r="PHN553"/>
      <c r="PHO553"/>
      <c r="PHP553"/>
      <c r="PHQ553"/>
      <c r="PHR553"/>
      <c r="PHS553"/>
      <c r="PHT553"/>
      <c r="PHU553"/>
      <c r="PHV553"/>
      <c r="PHW553"/>
      <c r="PHX553"/>
      <c r="PHY553"/>
      <c r="PHZ553"/>
      <c r="PIA553"/>
      <c r="PIB553"/>
      <c r="PIC553"/>
      <c r="PID553"/>
      <c r="PIE553"/>
      <c r="PIF553"/>
      <c r="PIG553"/>
      <c r="PIH553"/>
      <c r="PII553"/>
      <c r="PIJ553"/>
      <c r="PIK553"/>
      <c r="PIL553"/>
      <c r="PIM553"/>
      <c r="PIN553"/>
      <c r="PIO553"/>
      <c r="PIP553"/>
      <c r="PIQ553"/>
      <c r="PIR553"/>
      <c r="PIS553"/>
      <c r="PIT553"/>
      <c r="PIU553"/>
      <c r="PIV553"/>
      <c r="PIW553"/>
      <c r="PIX553"/>
      <c r="PIY553"/>
      <c r="PIZ553"/>
      <c r="PJA553"/>
      <c r="PJB553"/>
      <c r="PJC553"/>
      <c r="PJD553"/>
      <c r="PJE553"/>
      <c r="PJF553"/>
      <c r="PJG553"/>
      <c r="PJH553"/>
      <c r="PJI553"/>
      <c r="PJJ553"/>
      <c r="PJK553"/>
      <c r="PJL553"/>
      <c r="PJM553"/>
      <c r="PJN553"/>
      <c r="PJO553"/>
      <c r="PJP553"/>
      <c r="PJQ553"/>
      <c r="PJR553"/>
      <c r="PJS553"/>
      <c r="PJT553"/>
      <c r="PJU553"/>
      <c r="PJV553"/>
      <c r="PJW553"/>
      <c r="PJX553"/>
      <c r="PJY553"/>
      <c r="PJZ553"/>
      <c r="PKA553"/>
      <c r="PKB553"/>
      <c r="PKC553"/>
      <c r="PKD553"/>
      <c r="PKE553"/>
      <c r="PKF553"/>
      <c r="PKG553"/>
      <c r="PKH553"/>
      <c r="PKI553"/>
      <c r="PKJ553"/>
      <c r="PKK553"/>
      <c r="PKL553"/>
      <c r="PKM553"/>
      <c r="PKN553"/>
      <c r="PKO553"/>
      <c r="PKP553"/>
      <c r="PKQ553"/>
      <c r="PKR553"/>
      <c r="PKS553"/>
      <c r="PKT553"/>
      <c r="PKU553"/>
      <c r="PKV553"/>
      <c r="PKW553"/>
      <c r="PKX553"/>
      <c r="PKY553"/>
      <c r="PKZ553"/>
      <c r="PLA553"/>
      <c r="PLB553"/>
      <c r="PLC553"/>
      <c r="PLD553"/>
      <c r="PLE553"/>
      <c r="PLF553"/>
      <c r="PLG553"/>
      <c r="PLH553"/>
      <c r="PLI553"/>
      <c r="PLJ553"/>
      <c r="PLK553"/>
      <c r="PLL553"/>
      <c r="PLM553"/>
      <c r="PLN553"/>
      <c r="PLO553"/>
      <c r="PLP553"/>
      <c r="PLQ553"/>
      <c r="PLR553"/>
      <c r="PLS553"/>
      <c r="PLT553"/>
      <c r="PLU553"/>
      <c r="PLV553"/>
      <c r="PLW553"/>
      <c r="PLX553"/>
      <c r="PLY553"/>
      <c r="PLZ553"/>
      <c r="PMA553"/>
      <c r="PMB553"/>
      <c r="PMC553"/>
      <c r="PMD553"/>
      <c r="PME553"/>
      <c r="PMF553"/>
      <c r="PMG553"/>
      <c r="PMH553"/>
      <c r="PMI553"/>
      <c r="PMJ553"/>
      <c r="PMK553"/>
      <c r="PML553"/>
      <c r="PMM553"/>
      <c r="PMN553"/>
      <c r="PMO553"/>
      <c r="PMP553"/>
      <c r="PMQ553"/>
      <c r="PMR553"/>
      <c r="PMS553"/>
      <c r="PMT553"/>
      <c r="PMU553"/>
      <c r="PMV553"/>
      <c r="PMW553"/>
      <c r="PMX553"/>
      <c r="PMY553"/>
      <c r="PMZ553"/>
      <c r="PNA553"/>
      <c r="PNB553"/>
      <c r="PNC553"/>
      <c r="PND553"/>
      <c r="PNE553"/>
      <c r="PNF553"/>
      <c r="PNG553"/>
      <c r="PNH553"/>
      <c r="PNI553"/>
      <c r="PNJ553"/>
      <c r="PNK553"/>
      <c r="PNL553"/>
      <c r="PNM553"/>
      <c r="PNN553"/>
      <c r="PNO553"/>
      <c r="PNP553"/>
      <c r="PNQ553"/>
      <c r="PNR553"/>
      <c r="PNS553"/>
      <c r="PNT553"/>
      <c r="PNU553"/>
      <c r="PNV553"/>
      <c r="PNW553"/>
      <c r="PNX553"/>
      <c r="PNY553"/>
      <c r="PNZ553"/>
      <c r="POA553"/>
      <c r="POB553"/>
      <c r="POC553"/>
      <c r="POD553"/>
      <c r="POE553"/>
      <c r="POF553"/>
      <c r="POG553"/>
      <c r="POH553"/>
      <c r="POI553"/>
      <c r="POJ553"/>
      <c r="POK553"/>
      <c r="POL553"/>
      <c r="POM553"/>
      <c r="PON553"/>
      <c r="POO553"/>
      <c r="POP553"/>
      <c r="POQ553"/>
      <c r="POR553"/>
      <c r="POS553"/>
      <c r="POT553"/>
      <c r="POU553"/>
      <c r="POV553"/>
      <c r="POW553"/>
      <c r="POX553"/>
      <c r="POY553"/>
      <c r="POZ553"/>
      <c r="PPA553"/>
      <c r="PPB553"/>
      <c r="PPC553"/>
      <c r="PPD553"/>
      <c r="PPE553"/>
      <c r="PPF553"/>
      <c r="PPG553"/>
      <c r="PPH553"/>
      <c r="PPI553"/>
      <c r="PPJ553"/>
      <c r="PPK553"/>
      <c r="PPL553"/>
      <c r="PPM553"/>
      <c r="PPN553"/>
      <c r="PPO553"/>
      <c r="PPP553"/>
      <c r="PPQ553"/>
      <c r="PPR553"/>
      <c r="PPS553"/>
      <c r="PPT553"/>
      <c r="PPU553"/>
      <c r="PPV553"/>
      <c r="PPW553"/>
      <c r="PPX553"/>
      <c r="PPY553"/>
      <c r="PPZ553"/>
      <c r="PQA553"/>
      <c r="PQB553"/>
      <c r="PQC553"/>
      <c r="PQD553"/>
      <c r="PQE553"/>
      <c r="PQF553"/>
      <c r="PQG553"/>
      <c r="PQH553"/>
      <c r="PQI553"/>
      <c r="PQJ553"/>
      <c r="PQK553"/>
      <c r="PQL553"/>
      <c r="PQM553"/>
      <c r="PQN553"/>
      <c r="PQO553"/>
      <c r="PQP553"/>
      <c r="PQQ553"/>
      <c r="PQR553"/>
      <c r="PQS553"/>
      <c r="PQT553"/>
      <c r="PQU553"/>
      <c r="PQV553"/>
      <c r="PQW553"/>
      <c r="PQX553"/>
      <c r="PQY553"/>
      <c r="PQZ553"/>
      <c r="PRA553"/>
      <c r="PRB553"/>
      <c r="PRC553"/>
      <c r="PRD553"/>
      <c r="PRE553"/>
      <c r="PRF553"/>
      <c r="PRG553"/>
      <c r="PRH553"/>
      <c r="PRI553"/>
      <c r="PRJ553"/>
      <c r="PRK553"/>
      <c r="PRL553"/>
      <c r="PRM553"/>
      <c r="PRN553"/>
      <c r="PRO553"/>
      <c r="PRP553"/>
      <c r="PRQ553"/>
      <c r="PRR553"/>
      <c r="PRS553"/>
      <c r="PRT553"/>
      <c r="PRU553"/>
      <c r="PRV553"/>
      <c r="PRW553"/>
      <c r="PRX553"/>
      <c r="PRY553"/>
      <c r="PRZ553"/>
      <c r="PSA553"/>
      <c r="PSB553"/>
      <c r="PSC553"/>
      <c r="PSD553"/>
      <c r="PSE553"/>
      <c r="PSF553"/>
      <c r="PSG553"/>
      <c r="PSH553"/>
      <c r="PSI553"/>
      <c r="PSJ553"/>
      <c r="PSK553"/>
      <c r="PSL553"/>
      <c r="PSM553"/>
      <c r="PSN553"/>
      <c r="PSO553"/>
      <c r="PSP553"/>
      <c r="PSQ553"/>
      <c r="PSR553"/>
      <c r="PSS553"/>
      <c r="PST553"/>
      <c r="PSU553"/>
      <c r="PSV553"/>
      <c r="PSW553"/>
      <c r="PSX553"/>
      <c r="PSY553"/>
      <c r="PSZ553"/>
      <c r="PTA553"/>
      <c r="PTB553"/>
      <c r="PTC553"/>
      <c r="PTD553"/>
      <c r="PTE553"/>
      <c r="PTF553"/>
      <c r="PTG553"/>
      <c r="PTH553"/>
      <c r="PTI553"/>
      <c r="PTJ553"/>
      <c r="PTK553"/>
      <c r="PTL553"/>
      <c r="PTM553"/>
      <c r="PTN553"/>
      <c r="PTO553"/>
      <c r="PTP553"/>
      <c r="PTQ553"/>
      <c r="PTR553"/>
      <c r="PTS553"/>
      <c r="PTT553"/>
      <c r="PTU553"/>
      <c r="PTV553"/>
      <c r="PTW553"/>
      <c r="PTX553"/>
      <c r="PTY553"/>
      <c r="PTZ553"/>
      <c r="PUA553"/>
      <c r="PUB553"/>
      <c r="PUC553"/>
      <c r="PUD553"/>
      <c r="PUE553"/>
      <c r="PUF553"/>
      <c r="PUG553"/>
      <c r="PUH553"/>
      <c r="PUI553"/>
      <c r="PUJ553"/>
      <c r="PUK553"/>
      <c r="PUL553"/>
      <c r="PUM553"/>
      <c r="PUN553"/>
      <c r="PUO553"/>
      <c r="PUP553"/>
      <c r="PUQ553"/>
      <c r="PUR553"/>
      <c r="PUS553"/>
      <c r="PUT553"/>
      <c r="PUU553"/>
      <c r="PUV553"/>
      <c r="PUW553"/>
      <c r="PUX553"/>
      <c r="PUY553"/>
      <c r="PUZ553"/>
      <c r="PVA553"/>
      <c r="PVB553"/>
      <c r="PVC553"/>
      <c r="PVD553"/>
      <c r="PVE553"/>
      <c r="PVF553"/>
      <c r="PVG553"/>
      <c r="PVH553"/>
      <c r="PVI553"/>
      <c r="PVJ553"/>
      <c r="PVK553"/>
      <c r="PVL553"/>
      <c r="PVM553"/>
      <c r="PVN553"/>
      <c r="PVO553"/>
      <c r="PVP553"/>
      <c r="PVQ553"/>
      <c r="PVR553"/>
      <c r="PVS553"/>
      <c r="PVT553"/>
      <c r="PVU553"/>
      <c r="PVV553"/>
      <c r="PVW553"/>
      <c r="PVX553"/>
      <c r="PVY553"/>
      <c r="PVZ553"/>
      <c r="PWA553"/>
      <c r="PWB553"/>
      <c r="PWC553"/>
      <c r="PWD553"/>
      <c r="PWE553"/>
      <c r="PWF553"/>
      <c r="PWG553"/>
      <c r="PWH553"/>
      <c r="PWI553"/>
      <c r="PWJ553"/>
      <c r="PWK553"/>
      <c r="PWL553"/>
      <c r="PWM553"/>
      <c r="PWN553"/>
      <c r="PWO553"/>
      <c r="PWP553"/>
      <c r="PWQ553"/>
      <c r="PWR553"/>
      <c r="PWS553"/>
      <c r="PWT553"/>
      <c r="PWU553"/>
      <c r="PWV553"/>
      <c r="PWW553"/>
      <c r="PWX553"/>
      <c r="PWY553"/>
      <c r="PWZ553"/>
      <c r="PXA553"/>
      <c r="PXB553"/>
      <c r="PXC553"/>
      <c r="PXD553"/>
      <c r="PXE553"/>
      <c r="PXF553"/>
      <c r="PXG553"/>
      <c r="PXH553"/>
      <c r="PXI553"/>
      <c r="PXJ553"/>
      <c r="PXK553"/>
      <c r="PXL553"/>
      <c r="PXM553"/>
      <c r="PXN553"/>
      <c r="PXO553"/>
      <c r="PXP553"/>
      <c r="PXQ553"/>
      <c r="PXR553"/>
      <c r="PXS553"/>
      <c r="PXT553"/>
      <c r="PXU553"/>
      <c r="PXV553"/>
      <c r="PXW553"/>
      <c r="PXX553"/>
      <c r="PXY553"/>
      <c r="PXZ553"/>
      <c r="PYA553"/>
      <c r="PYB553"/>
      <c r="PYC553"/>
      <c r="PYD553"/>
      <c r="PYE553"/>
      <c r="PYF553"/>
      <c r="PYG553"/>
      <c r="PYH553"/>
      <c r="PYI553"/>
      <c r="PYJ553"/>
      <c r="PYK553"/>
      <c r="PYL553"/>
      <c r="PYM553"/>
      <c r="PYN553"/>
      <c r="PYO553"/>
      <c r="PYP553"/>
      <c r="PYQ553"/>
      <c r="PYR553"/>
      <c r="PYS553"/>
      <c r="PYT553"/>
      <c r="PYU553"/>
      <c r="PYV553"/>
      <c r="PYW553"/>
      <c r="PYX553"/>
      <c r="PYY553"/>
      <c r="PYZ553"/>
      <c r="PZA553"/>
      <c r="PZB553"/>
      <c r="PZC553"/>
      <c r="PZD553"/>
      <c r="PZE553"/>
      <c r="PZF553"/>
      <c r="PZG553"/>
      <c r="PZH553"/>
      <c r="PZI553"/>
      <c r="PZJ553"/>
      <c r="PZK553"/>
      <c r="PZL553"/>
      <c r="PZM553"/>
      <c r="PZN553"/>
      <c r="PZO553"/>
      <c r="PZP553"/>
      <c r="PZQ553"/>
      <c r="PZR553"/>
      <c r="PZS553"/>
      <c r="PZT553"/>
      <c r="PZU553"/>
      <c r="PZV553"/>
      <c r="PZW553"/>
      <c r="PZX553"/>
      <c r="PZY553"/>
      <c r="PZZ553"/>
      <c r="QAA553"/>
      <c r="QAB553"/>
      <c r="QAC553"/>
      <c r="QAD553"/>
      <c r="QAE553"/>
      <c r="QAF553"/>
      <c r="QAG553"/>
      <c r="QAH553"/>
      <c r="QAI553"/>
      <c r="QAJ553"/>
      <c r="QAK553"/>
      <c r="QAL553"/>
      <c r="QAM553"/>
      <c r="QAN553"/>
      <c r="QAO553"/>
      <c r="QAP553"/>
      <c r="QAQ553"/>
      <c r="QAR553"/>
      <c r="QAS553"/>
      <c r="QAT553"/>
      <c r="QAU553"/>
      <c r="QAV553"/>
      <c r="QAW553"/>
      <c r="QAX553"/>
      <c r="QAY553"/>
      <c r="QAZ553"/>
      <c r="QBA553"/>
      <c r="QBB553"/>
      <c r="QBC553"/>
      <c r="QBD553"/>
      <c r="QBE553"/>
      <c r="QBF553"/>
      <c r="QBG553"/>
      <c r="QBH553"/>
      <c r="QBI553"/>
      <c r="QBJ553"/>
      <c r="QBK553"/>
      <c r="QBL553"/>
      <c r="QBM553"/>
      <c r="QBN553"/>
      <c r="QBO553"/>
      <c r="QBP553"/>
      <c r="QBQ553"/>
      <c r="QBR553"/>
      <c r="QBS553"/>
      <c r="QBT553"/>
      <c r="QBU553"/>
      <c r="QBV553"/>
      <c r="QBW553"/>
      <c r="QBX553"/>
      <c r="QBY553"/>
      <c r="QBZ553"/>
      <c r="QCA553"/>
      <c r="QCB553"/>
      <c r="QCC553"/>
      <c r="QCD553"/>
      <c r="QCE553"/>
      <c r="QCF553"/>
      <c r="QCG553"/>
      <c r="QCH553"/>
      <c r="QCI553"/>
      <c r="QCJ553"/>
      <c r="QCK553"/>
      <c r="QCL553"/>
      <c r="QCM553"/>
      <c r="QCN553"/>
      <c r="QCO553"/>
      <c r="QCP553"/>
      <c r="QCQ553"/>
      <c r="QCR553"/>
      <c r="QCS553"/>
      <c r="QCT553"/>
      <c r="QCU553"/>
      <c r="QCV553"/>
      <c r="QCW553"/>
      <c r="QCX553"/>
      <c r="QCY553"/>
      <c r="QCZ553"/>
      <c r="QDA553"/>
      <c r="QDB553"/>
      <c r="QDC553"/>
      <c r="QDD553"/>
      <c r="QDE553"/>
      <c r="QDF553"/>
      <c r="QDG553"/>
      <c r="QDH553"/>
      <c r="QDI553"/>
      <c r="QDJ553"/>
      <c r="QDK553"/>
      <c r="QDL553"/>
      <c r="QDM553"/>
      <c r="QDN553"/>
      <c r="QDO553"/>
      <c r="QDP553"/>
      <c r="QDQ553"/>
      <c r="QDR553"/>
      <c r="QDS553"/>
      <c r="QDT553"/>
      <c r="QDU553"/>
      <c r="QDV553"/>
      <c r="QDW553"/>
      <c r="QDX553"/>
      <c r="QDY553"/>
      <c r="QDZ553"/>
      <c r="QEA553"/>
      <c r="QEB553"/>
      <c r="QEC553"/>
      <c r="QED553"/>
      <c r="QEE553"/>
      <c r="QEF553"/>
      <c r="QEG553"/>
      <c r="QEH553"/>
      <c r="QEI553"/>
      <c r="QEJ553"/>
      <c r="QEK553"/>
      <c r="QEL553"/>
      <c r="QEM553"/>
      <c r="QEN553"/>
      <c r="QEO553"/>
      <c r="QEP553"/>
      <c r="QEQ553"/>
      <c r="QER553"/>
      <c r="QES553"/>
      <c r="QET553"/>
      <c r="QEU553"/>
      <c r="QEV553"/>
      <c r="QEW553"/>
      <c r="QEX553"/>
      <c r="QEY553"/>
      <c r="QEZ553"/>
      <c r="QFA553"/>
      <c r="QFB553"/>
      <c r="QFC553"/>
      <c r="QFD553"/>
      <c r="QFE553"/>
      <c r="QFF553"/>
      <c r="QFG553"/>
      <c r="QFH553"/>
      <c r="QFI553"/>
      <c r="QFJ553"/>
      <c r="QFK553"/>
      <c r="QFL553"/>
      <c r="QFM553"/>
      <c r="QFN553"/>
      <c r="QFO553"/>
      <c r="QFP553"/>
      <c r="QFQ553"/>
      <c r="QFR553"/>
      <c r="QFS553"/>
      <c r="QFT553"/>
      <c r="QFU553"/>
      <c r="QFV553"/>
      <c r="QFW553"/>
      <c r="QFX553"/>
      <c r="QFY553"/>
      <c r="QFZ553"/>
      <c r="QGA553"/>
      <c r="QGB553"/>
      <c r="QGC553"/>
      <c r="QGD553"/>
      <c r="QGE553"/>
      <c r="QGF553"/>
      <c r="QGG553"/>
      <c r="QGH553"/>
      <c r="QGI553"/>
      <c r="QGJ553"/>
      <c r="QGK553"/>
      <c r="QGL553"/>
      <c r="QGM553"/>
      <c r="QGN553"/>
      <c r="QGO553"/>
      <c r="QGP553"/>
      <c r="QGQ553"/>
      <c r="QGR553"/>
      <c r="QGS553"/>
      <c r="QGT553"/>
      <c r="QGU553"/>
      <c r="QGV553"/>
      <c r="QGW553"/>
      <c r="QGX553"/>
      <c r="QGY553"/>
      <c r="QGZ553"/>
      <c r="QHA553"/>
      <c r="QHB553"/>
      <c r="QHC553"/>
      <c r="QHD553"/>
      <c r="QHE553"/>
      <c r="QHF553"/>
      <c r="QHG553"/>
      <c r="QHH553"/>
      <c r="QHI553"/>
      <c r="QHJ553"/>
      <c r="QHK553"/>
      <c r="QHL553"/>
      <c r="QHM553"/>
      <c r="QHN553"/>
      <c r="QHO553"/>
      <c r="QHP553"/>
      <c r="QHQ553"/>
      <c r="QHR553"/>
      <c r="QHS553"/>
      <c r="QHT553"/>
      <c r="QHU553"/>
      <c r="QHV553"/>
      <c r="QHW553"/>
      <c r="QHX553"/>
      <c r="QHY553"/>
      <c r="QHZ553"/>
      <c r="QIA553"/>
      <c r="QIB553"/>
      <c r="QIC553"/>
      <c r="QID553"/>
      <c r="QIE553"/>
      <c r="QIF553"/>
      <c r="QIG553"/>
      <c r="QIH553"/>
      <c r="QII553"/>
      <c r="QIJ553"/>
      <c r="QIK553"/>
      <c r="QIL553"/>
      <c r="QIM553"/>
      <c r="QIN553"/>
      <c r="QIO553"/>
      <c r="QIP553"/>
      <c r="QIQ553"/>
      <c r="QIR553"/>
      <c r="QIS553"/>
      <c r="QIT553"/>
      <c r="QIU553"/>
      <c r="QIV553"/>
      <c r="QIW553"/>
      <c r="QIX553"/>
      <c r="QIY553"/>
      <c r="QIZ553"/>
      <c r="QJA553"/>
      <c r="QJB553"/>
      <c r="QJC553"/>
      <c r="QJD553"/>
      <c r="QJE553"/>
      <c r="QJF553"/>
      <c r="QJG553"/>
      <c r="QJH553"/>
      <c r="QJI553"/>
      <c r="QJJ553"/>
      <c r="QJK553"/>
      <c r="QJL553"/>
      <c r="QJM553"/>
      <c r="QJN553"/>
      <c r="QJO553"/>
      <c r="QJP553"/>
      <c r="QJQ553"/>
      <c r="QJR553"/>
      <c r="QJS553"/>
      <c r="QJT553"/>
      <c r="QJU553"/>
      <c r="QJV553"/>
      <c r="QJW553"/>
      <c r="QJX553"/>
      <c r="QJY553"/>
      <c r="QJZ553"/>
      <c r="QKA553"/>
      <c r="QKB553"/>
      <c r="QKC553"/>
      <c r="QKD553"/>
      <c r="QKE553"/>
      <c r="QKF553"/>
      <c r="QKG553"/>
      <c r="QKH553"/>
      <c r="QKI553"/>
      <c r="QKJ553"/>
      <c r="QKK553"/>
      <c r="QKL553"/>
      <c r="QKM553"/>
      <c r="QKN553"/>
      <c r="QKO553"/>
      <c r="QKP553"/>
      <c r="QKQ553"/>
      <c r="QKR553"/>
      <c r="QKS553"/>
      <c r="QKT553"/>
      <c r="QKU553"/>
      <c r="QKV553"/>
      <c r="QKW553"/>
      <c r="QKX553"/>
      <c r="QKY553"/>
      <c r="QKZ553"/>
      <c r="QLA553"/>
      <c r="QLB553"/>
      <c r="QLC553"/>
      <c r="QLD553"/>
      <c r="QLE553"/>
      <c r="QLF553"/>
      <c r="QLG553"/>
      <c r="QLH553"/>
      <c r="QLI553"/>
      <c r="QLJ553"/>
      <c r="QLK553"/>
      <c r="QLL553"/>
      <c r="QLM553"/>
      <c r="QLN553"/>
      <c r="QLO553"/>
      <c r="QLP553"/>
      <c r="QLQ553"/>
      <c r="QLR553"/>
      <c r="QLS553"/>
      <c r="QLT553"/>
      <c r="QLU553"/>
      <c r="QLV553"/>
      <c r="QLW553"/>
      <c r="QLX553"/>
      <c r="QLY553"/>
      <c r="QLZ553"/>
      <c r="QMA553"/>
      <c r="QMB553"/>
      <c r="QMC553"/>
      <c r="QMD553"/>
      <c r="QME553"/>
      <c r="QMF553"/>
      <c r="QMG553"/>
      <c r="QMH553"/>
      <c r="QMI553"/>
      <c r="QMJ553"/>
      <c r="QMK553"/>
      <c r="QML553"/>
      <c r="QMM553"/>
      <c r="QMN553"/>
      <c r="QMO553"/>
      <c r="QMP553"/>
      <c r="QMQ553"/>
      <c r="QMR553"/>
      <c r="QMS553"/>
      <c r="QMT553"/>
      <c r="QMU553"/>
      <c r="QMV553"/>
      <c r="QMW553"/>
      <c r="QMX553"/>
      <c r="QMY553"/>
      <c r="QMZ553"/>
      <c r="QNA553"/>
      <c r="QNB553"/>
      <c r="QNC553"/>
      <c r="QND553"/>
      <c r="QNE553"/>
      <c r="QNF553"/>
      <c r="QNG553"/>
      <c r="QNH553"/>
      <c r="QNI553"/>
      <c r="QNJ553"/>
      <c r="QNK553"/>
      <c r="QNL553"/>
      <c r="QNM553"/>
      <c r="QNN553"/>
      <c r="QNO553"/>
      <c r="QNP553"/>
      <c r="QNQ553"/>
      <c r="QNR553"/>
      <c r="QNS553"/>
      <c r="QNT553"/>
      <c r="QNU553"/>
      <c r="QNV553"/>
      <c r="QNW553"/>
      <c r="QNX553"/>
      <c r="QNY553"/>
      <c r="QNZ553"/>
      <c r="QOA553"/>
      <c r="QOB553"/>
      <c r="QOC553"/>
      <c r="QOD553"/>
      <c r="QOE553"/>
      <c r="QOF553"/>
      <c r="QOG553"/>
      <c r="QOH553"/>
      <c r="QOI553"/>
      <c r="QOJ553"/>
      <c r="QOK553"/>
      <c r="QOL553"/>
      <c r="QOM553"/>
      <c r="QON553"/>
      <c r="QOO553"/>
      <c r="QOP553"/>
      <c r="QOQ553"/>
      <c r="QOR553"/>
      <c r="QOS553"/>
      <c r="QOT553"/>
      <c r="QOU553"/>
      <c r="QOV553"/>
      <c r="QOW553"/>
      <c r="QOX553"/>
      <c r="QOY553"/>
      <c r="QOZ553"/>
      <c r="QPA553"/>
      <c r="QPB553"/>
      <c r="QPC553"/>
      <c r="QPD553"/>
      <c r="QPE553"/>
      <c r="QPF553"/>
      <c r="QPG553"/>
      <c r="QPH553"/>
      <c r="QPI553"/>
      <c r="QPJ553"/>
      <c r="QPK553"/>
      <c r="QPL553"/>
      <c r="QPM553"/>
      <c r="QPN553"/>
      <c r="QPO553"/>
      <c r="QPP553"/>
      <c r="QPQ553"/>
      <c r="QPR553"/>
      <c r="QPS553"/>
      <c r="QPT553"/>
      <c r="QPU553"/>
      <c r="QPV553"/>
      <c r="QPW553"/>
      <c r="QPX553"/>
      <c r="QPY553"/>
      <c r="QPZ553"/>
      <c r="QQA553"/>
      <c r="QQB553"/>
      <c r="QQC553"/>
      <c r="QQD553"/>
      <c r="QQE553"/>
      <c r="QQF553"/>
      <c r="QQG553"/>
      <c r="QQH553"/>
      <c r="QQI553"/>
      <c r="QQJ553"/>
      <c r="QQK553"/>
      <c r="QQL553"/>
      <c r="QQM553"/>
      <c r="QQN553"/>
      <c r="QQO553"/>
      <c r="QQP553"/>
      <c r="QQQ553"/>
      <c r="QQR553"/>
      <c r="QQS553"/>
      <c r="QQT553"/>
      <c r="QQU553"/>
      <c r="QQV553"/>
      <c r="QQW553"/>
      <c r="QQX553"/>
      <c r="QQY553"/>
      <c r="QQZ553"/>
      <c r="QRA553"/>
      <c r="QRB553"/>
      <c r="QRC553"/>
      <c r="QRD553"/>
      <c r="QRE553"/>
      <c r="QRF553"/>
      <c r="QRG553"/>
      <c r="QRH553"/>
      <c r="QRI553"/>
      <c r="QRJ553"/>
      <c r="QRK553"/>
      <c r="QRL553"/>
      <c r="QRM553"/>
      <c r="QRN553"/>
      <c r="QRO553"/>
      <c r="QRP553"/>
      <c r="QRQ553"/>
      <c r="QRR553"/>
      <c r="QRS553"/>
      <c r="QRT553"/>
      <c r="QRU553"/>
      <c r="QRV553"/>
      <c r="QRW553"/>
      <c r="QRX553"/>
      <c r="QRY553"/>
      <c r="QRZ553"/>
      <c r="QSA553"/>
      <c r="QSB553"/>
      <c r="QSC553"/>
      <c r="QSD553"/>
      <c r="QSE553"/>
      <c r="QSF553"/>
      <c r="QSG553"/>
      <c r="QSH553"/>
      <c r="QSI553"/>
      <c r="QSJ553"/>
      <c r="QSK553"/>
      <c r="QSL553"/>
      <c r="QSM553"/>
      <c r="QSN553"/>
      <c r="QSO553"/>
      <c r="QSP553"/>
      <c r="QSQ553"/>
      <c r="QSR553"/>
      <c r="QSS553"/>
      <c r="QST553"/>
      <c r="QSU553"/>
      <c r="QSV553"/>
      <c r="QSW553"/>
      <c r="QSX553"/>
      <c r="QSY553"/>
      <c r="QSZ553"/>
      <c r="QTA553"/>
      <c r="QTB553"/>
      <c r="QTC553"/>
      <c r="QTD553"/>
      <c r="QTE553"/>
      <c r="QTF553"/>
      <c r="QTG553"/>
      <c r="QTH553"/>
      <c r="QTI553"/>
      <c r="QTJ553"/>
      <c r="QTK553"/>
      <c r="QTL553"/>
      <c r="QTM553"/>
      <c r="QTN553"/>
      <c r="QTO553"/>
      <c r="QTP553"/>
      <c r="QTQ553"/>
      <c r="QTR553"/>
      <c r="QTS553"/>
      <c r="QTT553"/>
      <c r="QTU553"/>
      <c r="QTV553"/>
      <c r="QTW553"/>
      <c r="QTX553"/>
      <c r="QTY553"/>
      <c r="QTZ553"/>
      <c r="QUA553"/>
      <c r="QUB553"/>
      <c r="QUC553"/>
      <c r="QUD553"/>
      <c r="QUE553"/>
      <c r="QUF553"/>
      <c r="QUG553"/>
      <c r="QUH553"/>
      <c r="QUI553"/>
      <c r="QUJ553"/>
      <c r="QUK553"/>
      <c r="QUL553"/>
      <c r="QUM553"/>
      <c r="QUN553"/>
      <c r="QUO553"/>
      <c r="QUP553"/>
      <c r="QUQ553"/>
      <c r="QUR553"/>
      <c r="QUS553"/>
      <c r="QUT553"/>
      <c r="QUU553"/>
      <c r="QUV553"/>
      <c r="QUW553"/>
      <c r="QUX553"/>
      <c r="QUY553"/>
      <c r="QUZ553"/>
      <c r="QVA553"/>
      <c r="QVB553"/>
      <c r="QVC553"/>
      <c r="QVD553"/>
      <c r="QVE553"/>
      <c r="QVF553"/>
      <c r="QVG553"/>
      <c r="QVH553"/>
      <c r="QVI553"/>
      <c r="QVJ553"/>
      <c r="QVK553"/>
      <c r="QVL553"/>
      <c r="QVM553"/>
      <c r="QVN553"/>
      <c r="QVO553"/>
      <c r="QVP553"/>
      <c r="QVQ553"/>
      <c r="QVR553"/>
      <c r="QVS553"/>
      <c r="QVT553"/>
      <c r="QVU553"/>
      <c r="QVV553"/>
      <c r="QVW553"/>
      <c r="QVX553"/>
      <c r="QVY553"/>
      <c r="QVZ553"/>
      <c r="QWA553"/>
      <c r="QWB553"/>
      <c r="QWC553"/>
      <c r="QWD553"/>
      <c r="QWE553"/>
      <c r="QWF553"/>
      <c r="QWG553"/>
      <c r="QWH553"/>
      <c r="QWI553"/>
      <c r="QWJ553"/>
      <c r="QWK553"/>
      <c r="QWL553"/>
      <c r="QWM553"/>
      <c r="QWN553"/>
      <c r="QWO553"/>
      <c r="QWP553"/>
      <c r="QWQ553"/>
      <c r="QWR553"/>
      <c r="QWS553"/>
      <c r="QWT553"/>
      <c r="QWU553"/>
      <c r="QWV553"/>
      <c r="QWW553"/>
      <c r="QWX553"/>
      <c r="QWY553"/>
      <c r="QWZ553"/>
      <c r="QXA553"/>
      <c r="QXB553"/>
      <c r="QXC553"/>
      <c r="QXD553"/>
      <c r="QXE553"/>
      <c r="QXF553"/>
      <c r="QXG553"/>
      <c r="QXH553"/>
      <c r="QXI553"/>
      <c r="QXJ553"/>
      <c r="QXK553"/>
      <c r="QXL553"/>
      <c r="QXM553"/>
      <c r="QXN553"/>
      <c r="QXO553"/>
      <c r="QXP553"/>
      <c r="QXQ553"/>
      <c r="QXR553"/>
      <c r="QXS553"/>
      <c r="QXT553"/>
      <c r="QXU553"/>
      <c r="QXV553"/>
      <c r="QXW553"/>
      <c r="QXX553"/>
      <c r="QXY553"/>
      <c r="QXZ553"/>
      <c r="QYA553"/>
      <c r="QYB553"/>
      <c r="QYC553"/>
      <c r="QYD553"/>
      <c r="QYE553"/>
      <c r="QYF553"/>
      <c r="QYG553"/>
      <c r="QYH553"/>
      <c r="QYI553"/>
      <c r="QYJ553"/>
      <c r="QYK553"/>
      <c r="QYL553"/>
      <c r="QYM553"/>
      <c r="QYN553"/>
      <c r="QYO553"/>
      <c r="QYP553"/>
      <c r="QYQ553"/>
      <c r="QYR553"/>
      <c r="QYS553"/>
      <c r="QYT553"/>
      <c r="QYU553"/>
      <c r="QYV553"/>
      <c r="QYW553"/>
      <c r="QYX553"/>
      <c r="QYY553"/>
      <c r="QYZ553"/>
      <c r="QZA553"/>
      <c r="QZB553"/>
      <c r="QZC553"/>
      <c r="QZD553"/>
      <c r="QZE553"/>
      <c r="QZF553"/>
      <c r="QZG553"/>
      <c r="QZH553"/>
      <c r="QZI553"/>
      <c r="QZJ553"/>
      <c r="QZK553"/>
      <c r="QZL553"/>
      <c r="QZM553"/>
      <c r="QZN553"/>
      <c r="QZO553"/>
      <c r="QZP553"/>
      <c r="QZQ553"/>
      <c r="QZR553"/>
      <c r="QZS553"/>
      <c r="QZT553"/>
      <c r="QZU553"/>
      <c r="QZV553"/>
      <c r="QZW553"/>
      <c r="QZX553"/>
      <c r="QZY553"/>
      <c r="QZZ553"/>
      <c r="RAA553"/>
      <c r="RAB553"/>
      <c r="RAC553"/>
      <c r="RAD553"/>
      <c r="RAE553"/>
      <c r="RAF553"/>
      <c r="RAG553"/>
      <c r="RAH553"/>
      <c r="RAI553"/>
      <c r="RAJ553"/>
      <c r="RAK553"/>
      <c r="RAL553"/>
      <c r="RAM553"/>
      <c r="RAN553"/>
      <c r="RAO553"/>
      <c r="RAP553"/>
      <c r="RAQ553"/>
      <c r="RAR553"/>
      <c r="RAS553"/>
      <c r="RAT553"/>
      <c r="RAU553"/>
      <c r="RAV553"/>
      <c r="RAW553"/>
      <c r="RAX553"/>
      <c r="RAY553"/>
      <c r="RAZ553"/>
      <c r="RBA553"/>
      <c r="RBB553"/>
      <c r="RBC553"/>
      <c r="RBD553"/>
      <c r="RBE553"/>
      <c r="RBF553"/>
      <c r="RBG553"/>
      <c r="RBH553"/>
      <c r="RBI553"/>
      <c r="RBJ553"/>
      <c r="RBK553"/>
      <c r="RBL553"/>
      <c r="RBM553"/>
      <c r="RBN553"/>
      <c r="RBO553"/>
      <c r="RBP553"/>
      <c r="RBQ553"/>
      <c r="RBR553"/>
      <c r="RBS553"/>
      <c r="RBT553"/>
      <c r="RBU553"/>
      <c r="RBV553"/>
      <c r="RBW553"/>
      <c r="RBX553"/>
      <c r="RBY553"/>
      <c r="RBZ553"/>
      <c r="RCA553"/>
      <c r="RCB553"/>
      <c r="RCC553"/>
      <c r="RCD553"/>
      <c r="RCE553"/>
      <c r="RCF553"/>
      <c r="RCG553"/>
      <c r="RCH553"/>
      <c r="RCI553"/>
      <c r="RCJ553"/>
      <c r="RCK553"/>
      <c r="RCL553"/>
      <c r="RCM553"/>
      <c r="RCN553"/>
      <c r="RCO553"/>
      <c r="RCP553"/>
      <c r="RCQ553"/>
      <c r="RCR553"/>
      <c r="RCS553"/>
      <c r="RCT553"/>
      <c r="RCU553"/>
      <c r="RCV553"/>
      <c r="RCW553"/>
      <c r="RCX553"/>
      <c r="RCY553"/>
      <c r="RCZ553"/>
      <c r="RDA553"/>
      <c r="RDB553"/>
      <c r="RDC553"/>
      <c r="RDD553"/>
      <c r="RDE553"/>
      <c r="RDF553"/>
      <c r="RDG553"/>
      <c r="RDH553"/>
      <c r="RDI553"/>
      <c r="RDJ553"/>
      <c r="RDK553"/>
      <c r="RDL553"/>
      <c r="RDM553"/>
      <c r="RDN553"/>
      <c r="RDO553"/>
      <c r="RDP553"/>
      <c r="RDQ553"/>
      <c r="RDR553"/>
      <c r="RDS553"/>
      <c r="RDT553"/>
      <c r="RDU553"/>
      <c r="RDV553"/>
      <c r="RDW553"/>
      <c r="RDX553"/>
      <c r="RDY553"/>
      <c r="RDZ553"/>
      <c r="REA553"/>
      <c r="REB553"/>
      <c r="REC553"/>
      <c r="RED553"/>
      <c r="REE553"/>
      <c r="REF553"/>
      <c r="REG553"/>
      <c r="REH553"/>
      <c r="REI553"/>
      <c r="REJ553"/>
      <c r="REK553"/>
      <c r="REL553"/>
      <c r="REM553"/>
      <c r="REN553"/>
      <c r="REO553"/>
      <c r="REP553"/>
      <c r="REQ553"/>
      <c r="RER553"/>
      <c r="RES553"/>
      <c r="RET553"/>
      <c r="REU553"/>
      <c r="REV553"/>
      <c r="REW553"/>
      <c r="REX553"/>
      <c r="REY553"/>
      <c r="REZ553"/>
      <c r="RFA553"/>
      <c r="RFB553"/>
      <c r="RFC553"/>
      <c r="RFD553"/>
      <c r="RFE553"/>
      <c r="RFF553"/>
      <c r="RFG553"/>
      <c r="RFH553"/>
      <c r="RFI553"/>
      <c r="RFJ553"/>
      <c r="RFK553"/>
      <c r="RFL553"/>
      <c r="RFM553"/>
      <c r="RFN553"/>
      <c r="RFO553"/>
      <c r="RFP553"/>
      <c r="RFQ553"/>
      <c r="RFR553"/>
      <c r="RFS553"/>
      <c r="RFT553"/>
      <c r="RFU553"/>
      <c r="RFV553"/>
      <c r="RFW553"/>
      <c r="RFX553"/>
      <c r="RFY553"/>
      <c r="RFZ553"/>
      <c r="RGA553"/>
      <c r="RGB553"/>
      <c r="RGC553"/>
      <c r="RGD553"/>
      <c r="RGE553"/>
      <c r="RGF553"/>
      <c r="RGG553"/>
      <c r="RGH553"/>
      <c r="RGI553"/>
      <c r="RGJ553"/>
      <c r="RGK553"/>
      <c r="RGL553"/>
      <c r="RGM553"/>
      <c r="RGN553"/>
      <c r="RGO553"/>
      <c r="RGP553"/>
      <c r="RGQ553"/>
      <c r="RGR553"/>
      <c r="RGS553"/>
      <c r="RGT553"/>
      <c r="RGU553"/>
      <c r="RGV553"/>
      <c r="RGW553"/>
      <c r="RGX553"/>
      <c r="RGY553"/>
      <c r="RGZ553"/>
      <c r="RHA553"/>
      <c r="RHB553"/>
      <c r="RHC553"/>
      <c r="RHD553"/>
      <c r="RHE553"/>
      <c r="RHF553"/>
      <c r="RHG553"/>
      <c r="RHH553"/>
      <c r="RHI553"/>
      <c r="RHJ553"/>
      <c r="RHK553"/>
      <c r="RHL553"/>
      <c r="RHM553"/>
      <c r="RHN553"/>
      <c r="RHO553"/>
      <c r="RHP553"/>
      <c r="RHQ553"/>
      <c r="RHR553"/>
      <c r="RHS553"/>
      <c r="RHT553"/>
      <c r="RHU553"/>
      <c r="RHV553"/>
      <c r="RHW553"/>
      <c r="RHX553"/>
      <c r="RHY553"/>
      <c r="RHZ553"/>
      <c r="RIA553"/>
      <c r="RIB553"/>
      <c r="RIC553"/>
      <c r="RID553"/>
      <c r="RIE553"/>
      <c r="RIF553"/>
      <c r="RIG553"/>
      <c r="RIH553"/>
      <c r="RII553"/>
      <c r="RIJ553"/>
      <c r="RIK553"/>
      <c r="RIL553"/>
      <c r="RIM553"/>
      <c r="RIN553"/>
      <c r="RIO553"/>
      <c r="RIP553"/>
      <c r="RIQ553"/>
      <c r="RIR553"/>
      <c r="RIS553"/>
      <c r="RIT553"/>
      <c r="RIU553"/>
      <c r="RIV553"/>
      <c r="RIW553"/>
      <c r="RIX553"/>
      <c r="RIY553"/>
      <c r="RIZ553"/>
      <c r="RJA553"/>
      <c r="RJB553"/>
      <c r="RJC553"/>
      <c r="RJD553"/>
      <c r="RJE553"/>
      <c r="RJF553"/>
      <c r="RJG553"/>
      <c r="RJH553"/>
      <c r="RJI553"/>
      <c r="RJJ553"/>
      <c r="RJK553"/>
      <c r="RJL553"/>
      <c r="RJM553"/>
      <c r="RJN553"/>
      <c r="RJO553"/>
      <c r="RJP553"/>
      <c r="RJQ553"/>
      <c r="RJR553"/>
      <c r="RJS553"/>
      <c r="RJT553"/>
      <c r="RJU553"/>
      <c r="RJV553"/>
      <c r="RJW553"/>
      <c r="RJX553"/>
      <c r="RJY553"/>
      <c r="RJZ553"/>
      <c r="RKA553"/>
      <c r="RKB553"/>
      <c r="RKC553"/>
      <c r="RKD553"/>
      <c r="RKE553"/>
      <c r="RKF553"/>
      <c r="RKG553"/>
      <c r="RKH553"/>
      <c r="RKI553"/>
      <c r="RKJ553"/>
      <c r="RKK553"/>
      <c r="RKL553"/>
      <c r="RKM553"/>
      <c r="RKN553"/>
      <c r="RKO553"/>
      <c r="RKP553"/>
      <c r="RKQ553"/>
      <c r="RKR553"/>
      <c r="RKS553"/>
      <c r="RKT553"/>
      <c r="RKU553"/>
      <c r="RKV553"/>
      <c r="RKW553"/>
      <c r="RKX553"/>
      <c r="RKY553"/>
      <c r="RKZ553"/>
      <c r="RLA553"/>
      <c r="RLB553"/>
      <c r="RLC553"/>
      <c r="RLD553"/>
      <c r="RLE553"/>
      <c r="RLF553"/>
      <c r="RLG553"/>
      <c r="RLH553"/>
      <c r="RLI553"/>
      <c r="RLJ553"/>
      <c r="RLK553"/>
      <c r="RLL553"/>
      <c r="RLM553"/>
      <c r="RLN553"/>
      <c r="RLO553"/>
      <c r="RLP553"/>
      <c r="RLQ553"/>
      <c r="RLR553"/>
      <c r="RLS553"/>
      <c r="RLT553"/>
      <c r="RLU553"/>
      <c r="RLV553"/>
      <c r="RLW553"/>
      <c r="RLX553"/>
      <c r="RLY553"/>
      <c r="RLZ553"/>
      <c r="RMA553"/>
      <c r="RMB553"/>
      <c r="RMC553"/>
      <c r="RMD553"/>
      <c r="RME553"/>
      <c r="RMF553"/>
      <c r="RMG553"/>
      <c r="RMH553"/>
      <c r="RMI553"/>
      <c r="RMJ553"/>
      <c r="RMK553"/>
      <c r="RML553"/>
      <c r="RMM553"/>
      <c r="RMN553"/>
      <c r="RMO553"/>
      <c r="RMP553"/>
      <c r="RMQ553"/>
      <c r="RMR553"/>
      <c r="RMS553"/>
      <c r="RMT553"/>
      <c r="RMU553"/>
      <c r="RMV553"/>
      <c r="RMW553"/>
      <c r="RMX553"/>
      <c r="RMY553"/>
      <c r="RMZ553"/>
      <c r="RNA553"/>
      <c r="RNB553"/>
      <c r="RNC553"/>
      <c r="RND553"/>
      <c r="RNE553"/>
      <c r="RNF553"/>
      <c r="RNG553"/>
      <c r="RNH553"/>
      <c r="RNI553"/>
      <c r="RNJ553"/>
      <c r="RNK553"/>
      <c r="RNL553"/>
      <c r="RNM553"/>
      <c r="RNN553"/>
      <c r="RNO553"/>
      <c r="RNP553"/>
      <c r="RNQ553"/>
      <c r="RNR553"/>
      <c r="RNS553"/>
      <c r="RNT553"/>
      <c r="RNU553"/>
      <c r="RNV553"/>
      <c r="RNW553"/>
      <c r="RNX553"/>
      <c r="RNY553"/>
      <c r="RNZ553"/>
      <c r="ROA553"/>
      <c r="ROB553"/>
      <c r="ROC553"/>
      <c r="ROD553"/>
      <c r="ROE553"/>
      <c r="ROF553"/>
      <c r="ROG553"/>
      <c r="ROH553"/>
      <c r="ROI553"/>
      <c r="ROJ553"/>
      <c r="ROK553"/>
      <c r="ROL553"/>
      <c r="ROM553"/>
      <c r="RON553"/>
      <c r="ROO553"/>
      <c r="ROP553"/>
      <c r="ROQ553"/>
      <c r="ROR553"/>
      <c r="ROS553"/>
      <c r="ROT553"/>
      <c r="ROU553"/>
      <c r="ROV553"/>
      <c r="ROW553"/>
      <c r="ROX553"/>
      <c r="ROY553"/>
      <c r="ROZ553"/>
      <c r="RPA553"/>
      <c r="RPB553"/>
      <c r="RPC553"/>
      <c r="RPD553"/>
      <c r="RPE553"/>
      <c r="RPF553"/>
      <c r="RPG553"/>
      <c r="RPH553"/>
      <c r="RPI553"/>
      <c r="RPJ553"/>
      <c r="RPK553"/>
      <c r="RPL553"/>
      <c r="RPM553"/>
      <c r="RPN553"/>
      <c r="RPO553"/>
      <c r="RPP553"/>
      <c r="RPQ553"/>
      <c r="RPR553"/>
      <c r="RPS553"/>
      <c r="RPT553"/>
      <c r="RPU553"/>
      <c r="RPV553"/>
      <c r="RPW553"/>
      <c r="RPX553"/>
      <c r="RPY553"/>
      <c r="RPZ553"/>
      <c r="RQA553"/>
      <c r="RQB553"/>
      <c r="RQC553"/>
      <c r="RQD553"/>
      <c r="RQE553"/>
      <c r="RQF553"/>
      <c r="RQG553"/>
      <c r="RQH553"/>
      <c r="RQI553"/>
      <c r="RQJ553"/>
      <c r="RQK553"/>
      <c r="RQL553"/>
      <c r="RQM553"/>
      <c r="RQN553"/>
      <c r="RQO553"/>
      <c r="RQP553"/>
      <c r="RQQ553"/>
      <c r="RQR553"/>
      <c r="RQS553"/>
      <c r="RQT553"/>
      <c r="RQU553"/>
      <c r="RQV553"/>
      <c r="RQW553"/>
      <c r="RQX553"/>
      <c r="RQY553"/>
      <c r="RQZ553"/>
      <c r="RRA553"/>
      <c r="RRB553"/>
      <c r="RRC553"/>
      <c r="RRD553"/>
      <c r="RRE553"/>
      <c r="RRF553"/>
      <c r="RRG553"/>
      <c r="RRH553"/>
      <c r="RRI553"/>
      <c r="RRJ553"/>
      <c r="RRK553"/>
      <c r="RRL553"/>
      <c r="RRM553"/>
      <c r="RRN553"/>
      <c r="RRO553"/>
      <c r="RRP553"/>
      <c r="RRQ553"/>
      <c r="RRR553"/>
      <c r="RRS553"/>
      <c r="RRT553"/>
      <c r="RRU553"/>
      <c r="RRV553"/>
      <c r="RRW553"/>
      <c r="RRX553"/>
      <c r="RRY553"/>
      <c r="RRZ553"/>
      <c r="RSA553"/>
      <c r="RSB553"/>
      <c r="RSC553"/>
      <c r="RSD553"/>
      <c r="RSE553"/>
      <c r="RSF553"/>
      <c r="RSG553"/>
      <c r="RSH553"/>
      <c r="RSI553"/>
      <c r="RSJ553"/>
      <c r="RSK553"/>
      <c r="RSL553"/>
      <c r="RSM553"/>
      <c r="RSN553"/>
      <c r="RSO553"/>
      <c r="RSP553"/>
      <c r="RSQ553"/>
      <c r="RSR553"/>
      <c r="RSS553"/>
      <c r="RST553"/>
      <c r="RSU553"/>
      <c r="RSV553"/>
      <c r="RSW553"/>
      <c r="RSX553"/>
      <c r="RSY553"/>
      <c r="RSZ553"/>
      <c r="RTA553"/>
      <c r="RTB553"/>
      <c r="RTC553"/>
      <c r="RTD553"/>
      <c r="RTE553"/>
      <c r="RTF553"/>
      <c r="RTG553"/>
      <c r="RTH553"/>
      <c r="RTI553"/>
      <c r="RTJ553"/>
      <c r="RTK553"/>
      <c r="RTL553"/>
      <c r="RTM553"/>
      <c r="RTN553"/>
      <c r="RTO553"/>
      <c r="RTP553"/>
      <c r="RTQ553"/>
      <c r="RTR553"/>
      <c r="RTS553"/>
      <c r="RTT553"/>
      <c r="RTU553"/>
      <c r="RTV553"/>
      <c r="RTW553"/>
      <c r="RTX553"/>
      <c r="RTY553"/>
      <c r="RTZ553"/>
      <c r="RUA553"/>
      <c r="RUB553"/>
      <c r="RUC553"/>
      <c r="RUD553"/>
      <c r="RUE553"/>
      <c r="RUF553"/>
      <c r="RUG553"/>
      <c r="RUH553"/>
      <c r="RUI553"/>
      <c r="RUJ553"/>
      <c r="RUK553"/>
      <c r="RUL553"/>
      <c r="RUM553"/>
      <c r="RUN553"/>
      <c r="RUO553"/>
      <c r="RUP553"/>
      <c r="RUQ553"/>
      <c r="RUR553"/>
      <c r="RUS553"/>
      <c r="RUT553"/>
      <c r="RUU553"/>
      <c r="RUV553"/>
      <c r="RUW553"/>
      <c r="RUX553"/>
      <c r="RUY553"/>
      <c r="RUZ553"/>
      <c r="RVA553"/>
      <c r="RVB553"/>
      <c r="RVC553"/>
      <c r="RVD553"/>
      <c r="RVE553"/>
      <c r="RVF553"/>
      <c r="RVG553"/>
      <c r="RVH553"/>
      <c r="RVI553"/>
      <c r="RVJ553"/>
      <c r="RVK553"/>
      <c r="RVL553"/>
      <c r="RVM553"/>
      <c r="RVN553"/>
      <c r="RVO553"/>
      <c r="RVP553"/>
      <c r="RVQ553"/>
      <c r="RVR553"/>
      <c r="RVS553"/>
      <c r="RVT553"/>
      <c r="RVU553"/>
      <c r="RVV553"/>
      <c r="RVW553"/>
      <c r="RVX553"/>
      <c r="RVY553"/>
      <c r="RVZ553"/>
      <c r="RWA553"/>
      <c r="RWB553"/>
      <c r="RWC553"/>
      <c r="RWD553"/>
      <c r="RWE553"/>
      <c r="RWF553"/>
      <c r="RWG553"/>
      <c r="RWH553"/>
      <c r="RWI553"/>
      <c r="RWJ553"/>
      <c r="RWK553"/>
      <c r="RWL553"/>
      <c r="RWM553"/>
      <c r="RWN553"/>
      <c r="RWO553"/>
      <c r="RWP553"/>
      <c r="RWQ553"/>
      <c r="RWR553"/>
      <c r="RWS553"/>
      <c r="RWT553"/>
      <c r="RWU553"/>
      <c r="RWV553"/>
      <c r="RWW553"/>
      <c r="RWX553"/>
      <c r="RWY553"/>
      <c r="RWZ553"/>
      <c r="RXA553"/>
      <c r="RXB553"/>
      <c r="RXC553"/>
      <c r="RXD553"/>
      <c r="RXE553"/>
      <c r="RXF553"/>
      <c r="RXG553"/>
      <c r="RXH553"/>
      <c r="RXI553"/>
      <c r="RXJ553"/>
      <c r="RXK553"/>
      <c r="RXL553"/>
      <c r="RXM553"/>
      <c r="RXN553"/>
      <c r="RXO553"/>
      <c r="RXP553"/>
      <c r="RXQ553"/>
      <c r="RXR553"/>
      <c r="RXS553"/>
      <c r="RXT553"/>
      <c r="RXU553"/>
      <c r="RXV553"/>
      <c r="RXW553"/>
      <c r="RXX553"/>
      <c r="RXY553"/>
      <c r="RXZ553"/>
      <c r="RYA553"/>
      <c r="RYB553"/>
      <c r="RYC553"/>
      <c r="RYD553"/>
      <c r="RYE553"/>
      <c r="RYF553"/>
      <c r="RYG553"/>
      <c r="RYH553"/>
      <c r="RYI553"/>
      <c r="RYJ553"/>
      <c r="RYK553"/>
      <c r="RYL553"/>
      <c r="RYM553"/>
      <c r="RYN553"/>
      <c r="RYO553"/>
      <c r="RYP553"/>
      <c r="RYQ553"/>
      <c r="RYR553"/>
      <c r="RYS553"/>
      <c r="RYT553"/>
      <c r="RYU553"/>
      <c r="RYV553"/>
      <c r="RYW553"/>
      <c r="RYX553"/>
      <c r="RYY553"/>
      <c r="RYZ553"/>
      <c r="RZA553"/>
      <c r="RZB553"/>
      <c r="RZC553"/>
      <c r="RZD553"/>
      <c r="RZE553"/>
      <c r="RZF553"/>
      <c r="RZG553"/>
      <c r="RZH553"/>
      <c r="RZI553"/>
      <c r="RZJ553"/>
      <c r="RZK553"/>
      <c r="RZL553"/>
      <c r="RZM553"/>
      <c r="RZN553"/>
      <c r="RZO553"/>
      <c r="RZP553"/>
      <c r="RZQ553"/>
      <c r="RZR553"/>
      <c r="RZS553"/>
      <c r="RZT553"/>
      <c r="RZU553"/>
      <c r="RZV553"/>
      <c r="RZW553"/>
      <c r="RZX553"/>
      <c r="RZY553"/>
      <c r="RZZ553"/>
      <c r="SAA553"/>
      <c r="SAB553"/>
      <c r="SAC553"/>
      <c r="SAD553"/>
      <c r="SAE553"/>
      <c r="SAF553"/>
      <c r="SAG553"/>
      <c r="SAH553"/>
      <c r="SAI553"/>
      <c r="SAJ553"/>
      <c r="SAK553"/>
      <c r="SAL553"/>
      <c r="SAM553"/>
      <c r="SAN553"/>
      <c r="SAO553"/>
      <c r="SAP553"/>
      <c r="SAQ553"/>
      <c r="SAR553"/>
      <c r="SAS553"/>
      <c r="SAT553"/>
      <c r="SAU553"/>
      <c r="SAV553"/>
      <c r="SAW553"/>
      <c r="SAX553"/>
      <c r="SAY553"/>
      <c r="SAZ553"/>
      <c r="SBA553"/>
      <c r="SBB553"/>
      <c r="SBC553"/>
      <c r="SBD553"/>
      <c r="SBE553"/>
      <c r="SBF553"/>
      <c r="SBG553"/>
      <c r="SBH553"/>
      <c r="SBI553"/>
      <c r="SBJ553"/>
      <c r="SBK553"/>
      <c r="SBL553"/>
      <c r="SBM553"/>
      <c r="SBN553"/>
      <c r="SBO553"/>
      <c r="SBP553"/>
      <c r="SBQ553"/>
      <c r="SBR553"/>
      <c r="SBS553"/>
      <c r="SBT553"/>
      <c r="SBU553"/>
      <c r="SBV553"/>
      <c r="SBW553"/>
      <c r="SBX553"/>
      <c r="SBY553"/>
      <c r="SBZ553"/>
      <c r="SCA553"/>
      <c r="SCB553"/>
      <c r="SCC553"/>
      <c r="SCD553"/>
      <c r="SCE553"/>
      <c r="SCF553"/>
      <c r="SCG553"/>
      <c r="SCH553"/>
      <c r="SCI553"/>
      <c r="SCJ553"/>
      <c r="SCK553"/>
      <c r="SCL553"/>
      <c r="SCM553"/>
      <c r="SCN553"/>
      <c r="SCO553"/>
      <c r="SCP553"/>
      <c r="SCQ553"/>
      <c r="SCR553"/>
      <c r="SCS553"/>
      <c r="SCT553"/>
      <c r="SCU553"/>
      <c r="SCV553"/>
      <c r="SCW553"/>
      <c r="SCX553"/>
      <c r="SCY553"/>
      <c r="SCZ553"/>
      <c r="SDA553"/>
      <c r="SDB553"/>
      <c r="SDC553"/>
      <c r="SDD553"/>
      <c r="SDE553"/>
      <c r="SDF553"/>
      <c r="SDG553"/>
      <c r="SDH553"/>
      <c r="SDI553"/>
      <c r="SDJ553"/>
      <c r="SDK553"/>
      <c r="SDL553"/>
      <c r="SDM553"/>
      <c r="SDN553"/>
      <c r="SDO553"/>
      <c r="SDP553"/>
      <c r="SDQ553"/>
      <c r="SDR553"/>
      <c r="SDS553"/>
      <c r="SDT553"/>
      <c r="SDU553"/>
      <c r="SDV553"/>
      <c r="SDW553"/>
      <c r="SDX553"/>
      <c r="SDY553"/>
      <c r="SDZ553"/>
      <c r="SEA553"/>
      <c r="SEB553"/>
      <c r="SEC553"/>
      <c r="SED553"/>
      <c r="SEE553"/>
      <c r="SEF553"/>
      <c r="SEG553"/>
      <c r="SEH553"/>
      <c r="SEI553"/>
      <c r="SEJ553"/>
      <c r="SEK553"/>
      <c r="SEL553"/>
      <c r="SEM553"/>
      <c r="SEN553"/>
      <c r="SEO553"/>
      <c r="SEP553"/>
      <c r="SEQ553"/>
      <c r="SER553"/>
      <c r="SES553"/>
      <c r="SET553"/>
      <c r="SEU553"/>
      <c r="SEV553"/>
      <c r="SEW553"/>
      <c r="SEX553"/>
      <c r="SEY553"/>
      <c r="SEZ553"/>
      <c r="SFA553"/>
      <c r="SFB553"/>
      <c r="SFC553"/>
      <c r="SFD553"/>
      <c r="SFE553"/>
      <c r="SFF553"/>
      <c r="SFG553"/>
      <c r="SFH553"/>
      <c r="SFI553"/>
      <c r="SFJ553"/>
      <c r="SFK553"/>
      <c r="SFL553"/>
      <c r="SFM553"/>
      <c r="SFN553"/>
      <c r="SFO553"/>
      <c r="SFP553"/>
      <c r="SFQ553"/>
      <c r="SFR553"/>
      <c r="SFS553"/>
      <c r="SFT553"/>
      <c r="SFU553"/>
      <c r="SFV553"/>
      <c r="SFW553"/>
      <c r="SFX553"/>
      <c r="SFY553"/>
      <c r="SFZ553"/>
      <c r="SGA553"/>
      <c r="SGB553"/>
      <c r="SGC553"/>
      <c r="SGD553"/>
      <c r="SGE553"/>
      <c r="SGF553"/>
      <c r="SGG553"/>
      <c r="SGH553"/>
      <c r="SGI553"/>
      <c r="SGJ553"/>
      <c r="SGK553"/>
      <c r="SGL553"/>
      <c r="SGM553"/>
      <c r="SGN553"/>
      <c r="SGO553"/>
      <c r="SGP553"/>
      <c r="SGQ553"/>
      <c r="SGR553"/>
      <c r="SGS553"/>
      <c r="SGT553"/>
      <c r="SGU553"/>
      <c r="SGV553"/>
      <c r="SGW553"/>
      <c r="SGX553"/>
      <c r="SGY553"/>
      <c r="SGZ553"/>
      <c r="SHA553"/>
      <c r="SHB553"/>
      <c r="SHC553"/>
      <c r="SHD553"/>
      <c r="SHE553"/>
      <c r="SHF553"/>
      <c r="SHG553"/>
      <c r="SHH553"/>
      <c r="SHI553"/>
      <c r="SHJ553"/>
      <c r="SHK553"/>
      <c r="SHL553"/>
      <c r="SHM553"/>
      <c r="SHN553"/>
      <c r="SHO553"/>
      <c r="SHP553"/>
      <c r="SHQ553"/>
      <c r="SHR553"/>
      <c r="SHS553"/>
      <c r="SHT553"/>
      <c r="SHU553"/>
      <c r="SHV553"/>
      <c r="SHW553"/>
      <c r="SHX553"/>
      <c r="SHY553"/>
      <c r="SHZ553"/>
      <c r="SIA553"/>
      <c r="SIB553"/>
      <c r="SIC553"/>
      <c r="SID553"/>
      <c r="SIE553"/>
      <c r="SIF553"/>
      <c r="SIG553"/>
      <c r="SIH553"/>
      <c r="SII553"/>
      <c r="SIJ553"/>
      <c r="SIK553"/>
      <c r="SIL553"/>
      <c r="SIM553"/>
      <c r="SIN553"/>
      <c r="SIO553"/>
      <c r="SIP553"/>
      <c r="SIQ553"/>
      <c r="SIR553"/>
      <c r="SIS553"/>
      <c r="SIT553"/>
      <c r="SIU553"/>
      <c r="SIV553"/>
      <c r="SIW553"/>
      <c r="SIX553"/>
      <c r="SIY553"/>
      <c r="SIZ553"/>
      <c r="SJA553"/>
      <c r="SJB553"/>
      <c r="SJC553"/>
      <c r="SJD553"/>
      <c r="SJE553"/>
      <c r="SJF553"/>
      <c r="SJG553"/>
      <c r="SJH553"/>
      <c r="SJI553"/>
      <c r="SJJ553"/>
      <c r="SJK553"/>
      <c r="SJL553"/>
      <c r="SJM553"/>
      <c r="SJN553"/>
      <c r="SJO553"/>
      <c r="SJP553"/>
      <c r="SJQ553"/>
      <c r="SJR553"/>
      <c r="SJS553"/>
      <c r="SJT553"/>
      <c r="SJU553"/>
      <c r="SJV553"/>
      <c r="SJW553"/>
      <c r="SJX553"/>
      <c r="SJY553"/>
      <c r="SJZ553"/>
      <c r="SKA553"/>
      <c r="SKB553"/>
      <c r="SKC553"/>
      <c r="SKD553"/>
      <c r="SKE553"/>
      <c r="SKF553"/>
      <c r="SKG553"/>
      <c r="SKH553"/>
      <c r="SKI553"/>
      <c r="SKJ553"/>
      <c r="SKK553"/>
      <c r="SKL553"/>
      <c r="SKM553"/>
      <c r="SKN553"/>
      <c r="SKO553"/>
      <c r="SKP553"/>
      <c r="SKQ553"/>
      <c r="SKR553"/>
      <c r="SKS553"/>
      <c r="SKT553"/>
      <c r="SKU553"/>
      <c r="SKV553"/>
      <c r="SKW553"/>
      <c r="SKX553"/>
      <c r="SKY553"/>
      <c r="SKZ553"/>
      <c r="SLA553"/>
      <c r="SLB553"/>
      <c r="SLC553"/>
      <c r="SLD553"/>
      <c r="SLE553"/>
      <c r="SLF553"/>
      <c r="SLG553"/>
      <c r="SLH553"/>
      <c r="SLI553"/>
      <c r="SLJ553"/>
      <c r="SLK553"/>
      <c r="SLL553"/>
      <c r="SLM553"/>
      <c r="SLN553"/>
      <c r="SLO553"/>
      <c r="SLP553"/>
      <c r="SLQ553"/>
      <c r="SLR553"/>
      <c r="SLS553"/>
      <c r="SLT553"/>
      <c r="SLU553"/>
      <c r="SLV553"/>
      <c r="SLW553"/>
      <c r="SLX553"/>
      <c r="SLY553"/>
      <c r="SLZ553"/>
      <c r="SMA553"/>
      <c r="SMB553"/>
      <c r="SMC553"/>
      <c r="SMD553"/>
      <c r="SME553"/>
      <c r="SMF553"/>
      <c r="SMG553"/>
      <c r="SMH553"/>
      <c r="SMI553"/>
      <c r="SMJ553"/>
      <c r="SMK553"/>
      <c r="SML553"/>
      <c r="SMM553"/>
      <c r="SMN553"/>
      <c r="SMO553"/>
      <c r="SMP553"/>
      <c r="SMQ553"/>
      <c r="SMR553"/>
      <c r="SMS553"/>
      <c r="SMT553"/>
      <c r="SMU553"/>
      <c r="SMV553"/>
      <c r="SMW553"/>
      <c r="SMX553"/>
      <c r="SMY553"/>
      <c r="SMZ553"/>
      <c r="SNA553"/>
      <c r="SNB553"/>
      <c r="SNC553"/>
      <c r="SND553"/>
      <c r="SNE553"/>
      <c r="SNF553"/>
      <c r="SNG553"/>
      <c r="SNH553"/>
      <c r="SNI553"/>
      <c r="SNJ553"/>
      <c r="SNK553"/>
      <c r="SNL553"/>
      <c r="SNM553"/>
      <c r="SNN553"/>
      <c r="SNO553"/>
      <c r="SNP553"/>
      <c r="SNQ553"/>
      <c r="SNR553"/>
      <c r="SNS553"/>
      <c r="SNT553"/>
      <c r="SNU553"/>
      <c r="SNV553"/>
      <c r="SNW553"/>
      <c r="SNX553"/>
      <c r="SNY553"/>
      <c r="SNZ553"/>
      <c r="SOA553"/>
      <c r="SOB553"/>
      <c r="SOC553"/>
      <c r="SOD553"/>
      <c r="SOE553"/>
      <c r="SOF553"/>
      <c r="SOG553"/>
      <c r="SOH553"/>
      <c r="SOI553"/>
      <c r="SOJ553"/>
      <c r="SOK553"/>
      <c r="SOL553"/>
      <c r="SOM553"/>
      <c r="SON553"/>
      <c r="SOO553"/>
      <c r="SOP553"/>
      <c r="SOQ553"/>
      <c r="SOR553"/>
      <c r="SOS553"/>
      <c r="SOT553"/>
      <c r="SOU553"/>
      <c r="SOV553"/>
      <c r="SOW553"/>
      <c r="SOX553"/>
      <c r="SOY553"/>
      <c r="SOZ553"/>
      <c r="SPA553"/>
      <c r="SPB553"/>
      <c r="SPC553"/>
      <c r="SPD553"/>
      <c r="SPE553"/>
      <c r="SPF553"/>
      <c r="SPG553"/>
      <c r="SPH553"/>
      <c r="SPI553"/>
      <c r="SPJ553"/>
      <c r="SPK553"/>
      <c r="SPL553"/>
      <c r="SPM553"/>
      <c r="SPN553"/>
      <c r="SPO553"/>
      <c r="SPP553"/>
      <c r="SPQ553"/>
      <c r="SPR553"/>
      <c r="SPS553"/>
      <c r="SPT553"/>
      <c r="SPU553"/>
      <c r="SPV553"/>
      <c r="SPW553"/>
      <c r="SPX553"/>
      <c r="SPY553"/>
      <c r="SPZ553"/>
      <c r="SQA553"/>
      <c r="SQB553"/>
      <c r="SQC553"/>
      <c r="SQD553"/>
      <c r="SQE553"/>
      <c r="SQF553"/>
      <c r="SQG553"/>
      <c r="SQH553"/>
      <c r="SQI553"/>
      <c r="SQJ553"/>
      <c r="SQK553"/>
      <c r="SQL553"/>
      <c r="SQM553"/>
      <c r="SQN553"/>
      <c r="SQO553"/>
      <c r="SQP553"/>
      <c r="SQQ553"/>
      <c r="SQR553"/>
      <c r="SQS553"/>
      <c r="SQT553"/>
      <c r="SQU553"/>
      <c r="SQV553"/>
      <c r="SQW553"/>
      <c r="SQX553"/>
      <c r="SQY553"/>
      <c r="SQZ553"/>
      <c r="SRA553"/>
      <c r="SRB553"/>
      <c r="SRC553"/>
      <c r="SRD553"/>
      <c r="SRE553"/>
      <c r="SRF553"/>
      <c r="SRG553"/>
      <c r="SRH553"/>
      <c r="SRI553"/>
      <c r="SRJ553"/>
      <c r="SRK553"/>
      <c r="SRL553"/>
      <c r="SRM553"/>
      <c r="SRN553"/>
      <c r="SRO553"/>
      <c r="SRP553"/>
      <c r="SRQ553"/>
      <c r="SRR553"/>
      <c r="SRS553"/>
      <c r="SRT553"/>
      <c r="SRU553"/>
      <c r="SRV553"/>
      <c r="SRW553"/>
      <c r="SRX553"/>
      <c r="SRY553"/>
      <c r="SRZ553"/>
      <c r="SSA553"/>
      <c r="SSB553"/>
      <c r="SSC553"/>
      <c r="SSD553"/>
      <c r="SSE553"/>
      <c r="SSF553"/>
      <c r="SSG553"/>
      <c r="SSH553"/>
      <c r="SSI553"/>
      <c r="SSJ553"/>
      <c r="SSK553"/>
      <c r="SSL553"/>
      <c r="SSM553"/>
      <c r="SSN553"/>
      <c r="SSO553"/>
      <c r="SSP553"/>
      <c r="SSQ553"/>
      <c r="SSR553"/>
      <c r="SSS553"/>
      <c r="SST553"/>
      <c r="SSU553"/>
      <c r="SSV553"/>
      <c r="SSW553"/>
      <c r="SSX553"/>
      <c r="SSY553"/>
      <c r="SSZ553"/>
      <c r="STA553"/>
      <c r="STB553"/>
      <c r="STC553"/>
      <c r="STD553"/>
      <c r="STE553"/>
      <c r="STF553"/>
      <c r="STG553"/>
      <c r="STH553"/>
      <c r="STI553"/>
      <c r="STJ553"/>
      <c r="STK553"/>
      <c r="STL553"/>
      <c r="STM553"/>
      <c r="STN553"/>
      <c r="STO553"/>
      <c r="STP553"/>
      <c r="STQ553"/>
      <c r="STR553"/>
      <c r="STS553"/>
      <c r="STT553"/>
      <c r="STU553"/>
      <c r="STV553"/>
      <c r="STW553"/>
      <c r="STX553"/>
      <c r="STY553"/>
      <c r="STZ553"/>
      <c r="SUA553"/>
      <c r="SUB553"/>
      <c r="SUC553"/>
      <c r="SUD553"/>
      <c r="SUE553"/>
      <c r="SUF553"/>
      <c r="SUG553"/>
      <c r="SUH553"/>
      <c r="SUI553"/>
      <c r="SUJ553"/>
      <c r="SUK553"/>
      <c r="SUL553"/>
      <c r="SUM553"/>
      <c r="SUN553"/>
      <c r="SUO553"/>
      <c r="SUP553"/>
      <c r="SUQ553"/>
      <c r="SUR553"/>
      <c r="SUS553"/>
      <c r="SUT553"/>
      <c r="SUU553"/>
      <c r="SUV553"/>
      <c r="SUW553"/>
      <c r="SUX553"/>
      <c r="SUY553"/>
      <c r="SUZ553"/>
      <c r="SVA553"/>
      <c r="SVB553"/>
      <c r="SVC553"/>
      <c r="SVD553"/>
      <c r="SVE553"/>
      <c r="SVF553"/>
      <c r="SVG553"/>
      <c r="SVH553"/>
      <c r="SVI553"/>
      <c r="SVJ553"/>
      <c r="SVK553"/>
      <c r="SVL553"/>
      <c r="SVM553"/>
      <c r="SVN553"/>
      <c r="SVO553"/>
      <c r="SVP553"/>
      <c r="SVQ553"/>
      <c r="SVR553"/>
      <c r="SVS553"/>
      <c r="SVT553"/>
      <c r="SVU553"/>
      <c r="SVV553"/>
      <c r="SVW553"/>
      <c r="SVX553"/>
      <c r="SVY553"/>
      <c r="SVZ553"/>
      <c r="SWA553"/>
      <c r="SWB553"/>
      <c r="SWC553"/>
      <c r="SWD553"/>
      <c r="SWE553"/>
      <c r="SWF553"/>
      <c r="SWG553"/>
      <c r="SWH553"/>
      <c r="SWI553"/>
      <c r="SWJ553"/>
      <c r="SWK553"/>
      <c r="SWL553"/>
      <c r="SWM553"/>
      <c r="SWN553"/>
      <c r="SWO553"/>
      <c r="SWP553"/>
      <c r="SWQ553"/>
      <c r="SWR553"/>
      <c r="SWS553"/>
      <c r="SWT553"/>
      <c r="SWU553"/>
      <c r="SWV553"/>
      <c r="SWW553"/>
      <c r="SWX553"/>
      <c r="SWY553"/>
      <c r="SWZ553"/>
      <c r="SXA553"/>
      <c r="SXB553"/>
      <c r="SXC553"/>
      <c r="SXD553"/>
      <c r="SXE553"/>
      <c r="SXF553"/>
      <c r="SXG553"/>
      <c r="SXH553"/>
      <c r="SXI553"/>
      <c r="SXJ553"/>
      <c r="SXK553"/>
      <c r="SXL553"/>
      <c r="SXM553"/>
      <c r="SXN553"/>
      <c r="SXO553"/>
      <c r="SXP553"/>
      <c r="SXQ553"/>
      <c r="SXR553"/>
      <c r="SXS553"/>
      <c r="SXT553"/>
      <c r="SXU553"/>
      <c r="SXV553"/>
      <c r="SXW553"/>
      <c r="SXX553"/>
      <c r="SXY553"/>
      <c r="SXZ553"/>
      <c r="SYA553"/>
      <c r="SYB553"/>
      <c r="SYC553"/>
      <c r="SYD553"/>
      <c r="SYE553"/>
      <c r="SYF553"/>
      <c r="SYG553"/>
      <c r="SYH553"/>
      <c r="SYI553"/>
      <c r="SYJ553"/>
      <c r="SYK553"/>
      <c r="SYL553"/>
      <c r="SYM553"/>
      <c r="SYN553"/>
      <c r="SYO553"/>
      <c r="SYP553"/>
      <c r="SYQ553"/>
      <c r="SYR553"/>
      <c r="SYS553"/>
      <c r="SYT553"/>
      <c r="SYU553"/>
      <c r="SYV553"/>
      <c r="SYW553"/>
      <c r="SYX553"/>
      <c r="SYY553"/>
      <c r="SYZ553"/>
      <c r="SZA553"/>
      <c r="SZB553"/>
      <c r="SZC553"/>
      <c r="SZD553"/>
      <c r="SZE553"/>
      <c r="SZF553"/>
      <c r="SZG553"/>
      <c r="SZH553"/>
      <c r="SZI553"/>
      <c r="SZJ553"/>
      <c r="SZK553"/>
      <c r="SZL553"/>
      <c r="SZM553"/>
      <c r="SZN553"/>
      <c r="SZO553"/>
      <c r="SZP553"/>
      <c r="SZQ553"/>
      <c r="SZR553"/>
      <c r="SZS553"/>
      <c r="SZT553"/>
      <c r="SZU553"/>
      <c r="SZV553"/>
      <c r="SZW553"/>
      <c r="SZX553"/>
      <c r="SZY553"/>
      <c r="SZZ553"/>
      <c r="TAA553"/>
      <c r="TAB553"/>
      <c r="TAC553"/>
      <c r="TAD553"/>
      <c r="TAE553"/>
      <c r="TAF553"/>
      <c r="TAG553"/>
      <c r="TAH553"/>
      <c r="TAI553"/>
      <c r="TAJ553"/>
      <c r="TAK553"/>
      <c r="TAL553"/>
      <c r="TAM553"/>
      <c r="TAN553"/>
      <c r="TAO553"/>
      <c r="TAP553"/>
      <c r="TAQ553"/>
      <c r="TAR553"/>
      <c r="TAS553"/>
      <c r="TAT553"/>
      <c r="TAU553"/>
      <c r="TAV553"/>
      <c r="TAW553"/>
      <c r="TAX553"/>
      <c r="TAY553"/>
      <c r="TAZ553"/>
      <c r="TBA553"/>
      <c r="TBB553"/>
      <c r="TBC553"/>
      <c r="TBD553"/>
      <c r="TBE553"/>
      <c r="TBF553"/>
      <c r="TBG553"/>
      <c r="TBH553"/>
      <c r="TBI553"/>
      <c r="TBJ553"/>
      <c r="TBK553"/>
      <c r="TBL553"/>
      <c r="TBM553"/>
      <c r="TBN553"/>
      <c r="TBO553"/>
      <c r="TBP553"/>
      <c r="TBQ553"/>
      <c r="TBR553"/>
      <c r="TBS553"/>
      <c r="TBT553"/>
      <c r="TBU553"/>
      <c r="TBV553"/>
      <c r="TBW553"/>
      <c r="TBX553"/>
      <c r="TBY553"/>
      <c r="TBZ553"/>
      <c r="TCA553"/>
      <c r="TCB553"/>
      <c r="TCC553"/>
      <c r="TCD553"/>
      <c r="TCE553"/>
      <c r="TCF553"/>
      <c r="TCG553"/>
      <c r="TCH553"/>
      <c r="TCI553"/>
      <c r="TCJ553"/>
      <c r="TCK553"/>
      <c r="TCL553"/>
      <c r="TCM553"/>
      <c r="TCN553"/>
      <c r="TCO553"/>
      <c r="TCP553"/>
      <c r="TCQ553"/>
      <c r="TCR553"/>
      <c r="TCS553"/>
      <c r="TCT553"/>
      <c r="TCU553"/>
      <c r="TCV553"/>
      <c r="TCW553"/>
      <c r="TCX553"/>
      <c r="TCY553"/>
      <c r="TCZ553"/>
      <c r="TDA553"/>
      <c r="TDB553"/>
      <c r="TDC553"/>
      <c r="TDD553"/>
      <c r="TDE553"/>
      <c r="TDF553"/>
      <c r="TDG553"/>
      <c r="TDH553"/>
      <c r="TDI553"/>
      <c r="TDJ553"/>
      <c r="TDK553"/>
      <c r="TDL553"/>
      <c r="TDM553"/>
      <c r="TDN553"/>
      <c r="TDO553"/>
      <c r="TDP553"/>
      <c r="TDQ553"/>
      <c r="TDR553"/>
      <c r="TDS553"/>
      <c r="TDT553"/>
      <c r="TDU553"/>
      <c r="TDV553"/>
      <c r="TDW553"/>
      <c r="TDX553"/>
      <c r="TDY553"/>
      <c r="TDZ553"/>
      <c r="TEA553"/>
      <c r="TEB553"/>
      <c r="TEC553"/>
      <c r="TED553"/>
      <c r="TEE553"/>
      <c r="TEF553"/>
      <c r="TEG553"/>
      <c r="TEH553"/>
      <c r="TEI553"/>
      <c r="TEJ553"/>
      <c r="TEK553"/>
      <c r="TEL553"/>
      <c r="TEM553"/>
      <c r="TEN553"/>
      <c r="TEO553"/>
      <c r="TEP553"/>
      <c r="TEQ553"/>
      <c r="TER553"/>
      <c r="TES553"/>
      <c r="TET553"/>
      <c r="TEU553"/>
      <c r="TEV553"/>
      <c r="TEW553"/>
      <c r="TEX553"/>
      <c r="TEY553"/>
      <c r="TEZ553"/>
      <c r="TFA553"/>
      <c r="TFB553"/>
      <c r="TFC553"/>
      <c r="TFD553"/>
      <c r="TFE553"/>
      <c r="TFF553"/>
      <c r="TFG553"/>
      <c r="TFH553"/>
      <c r="TFI553"/>
      <c r="TFJ553"/>
      <c r="TFK553"/>
      <c r="TFL553"/>
      <c r="TFM553"/>
      <c r="TFN553"/>
      <c r="TFO553"/>
      <c r="TFP553"/>
      <c r="TFQ553"/>
      <c r="TFR553"/>
      <c r="TFS553"/>
      <c r="TFT553"/>
      <c r="TFU553"/>
      <c r="TFV553"/>
      <c r="TFW553"/>
      <c r="TFX553"/>
      <c r="TFY553"/>
      <c r="TFZ553"/>
      <c r="TGA553"/>
      <c r="TGB553"/>
      <c r="TGC553"/>
      <c r="TGD553"/>
      <c r="TGE553"/>
      <c r="TGF553"/>
      <c r="TGG553"/>
      <c r="TGH553"/>
      <c r="TGI553"/>
      <c r="TGJ553"/>
      <c r="TGK553"/>
      <c r="TGL553"/>
      <c r="TGM553"/>
      <c r="TGN553"/>
      <c r="TGO553"/>
      <c r="TGP553"/>
      <c r="TGQ553"/>
      <c r="TGR553"/>
      <c r="TGS553"/>
      <c r="TGT553"/>
      <c r="TGU553"/>
      <c r="TGV553"/>
      <c r="TGW553"/>
      <c r="TGX553"/>
      <c r="TGY553"/>
      <c r="TGZ553"/>
      <c r="THA553"/>
      <c r="THB553"/>
      <c r="THC553"/>
      <c r="THD553"/>
      <c r="THE553"/>
      <c r="THF553"/>
      <c r="THG553"/>
      <c r="THH553"/>
      <c r="THI553"/>
      <c r="THJ553"/>
      <c r="THK553"/>
      <c r="THL553"/>
      <c r="THM553"/>
      <c r="THN553"/>
      <c r="THO553"/>
      <c r="THP553"/>
      <c r="THQ553"/>
      <c r="THR553"/>
      <c r="THS553"/>
      <c r="THT553"/>
      <c r="THU553"/>
      <c r="THV553"/>
      <c r="THW553"/>
      <c r="THX553"/>
      <c r="THY553"/>
      <c r="THZ553"/>
      <c r="TIA553"/>
      <c r="TIB553"/>
      <c r="TIC553"/>
      <c r="TID553"/>
      <c r="TIE553"/>
      <c r="TIF553"/>
      <c r="TIG553"/>
      <c r="TIH553"/>
      <c r="TII553"/>
      <c r="TIJ553"/>
      <c r="TIK553"/>
      <c r="TIL553"/>
      <c r="TIM553"/>
      <c r="TIN553"/>
      <c r="TIO553"/>
      <c r="TIP553"/>
      <c r="TIQ553"/>
      <c r="TIR553"/>
      <c r="TIS553"/>
      <c r="TIT553"/>
      <c r="TIU553"/>
      <c r="TIV553"/>
      <c r="TIW553"/>
      <c r="TIX553"/>
      <c r="TIY553"/>
      <c r="TIZ553"/>
      <c r="TJA553"/>
      <c r="TJB553"/>
      <c r="TJC553"/>
      <c r="TJD553"/>
      <c r="TJE553"/>
      <c r="TJF553"/>
      <c r="TJG553"/>
      <c r="TJH553"/>
      <c r="TJI553"/>
      <c r="TJJ553"/>
      <c r="TJK553"/>
      <c r="TJL553"/>
      <c r="TJM553"/>
      <c r="TJN553"/>
      <c r="TJO553"/>
      <c r="TJP553"/>
      <c r="TJQ553"/>
      <c r="TJR553"/>
      <c r="TJS553"/>
      <c r="TJT553"/>
      <c r="TJU553"/>
      <c r="TJV553"/>
      <c r="TJW553"/>
      <c r="TJX553"/>
      <c r="TJY553"/>
      <c r="TJZ553"/>
      <c r="TKA553"/>
      <c r="TKB553"/>
      <c r="TKC553"/>
      <c r="TKD553"/>
      <c r="TKE553"/>
      <c r="TKF553"/>
      <c r="TKG553"/>
      <c r="TKH553"/>
      <c r="TKI553"/>
      <c r="TKJ553"/>
      <c r="TKK553"/>
      <c r="TKL553"/>
      <c r="TKM553"/>
      <c r="TKN553"/>
      <c r="TKO553"/>
      <c r="TKP553"/>
      <c r="TKQ553"/>
      <c r="TKR553"/>
      <c r="TKS553"/>
      <c r="TKT553"/>
      <c r="TKU553"/>
      <c r="TKV553"/>
      <c r="TKW553"/>
      <c r="TKX553"/>
      <c r="TKY553"/>
      <c r="TKZ553"/>
      <c r="TLA553"/>
      <c r="TLB553"/>
      <c r="TLC553"/>
      <c r="TLD553"/>
      <c r="TLE553"/>
      <c r="TLF553"/>
      <c r="TLG553"/>
      <c r="TLH553"/>
      <c r="TLI553"/>
      <c r="TLJ553"/>
      <c r="TLK553"/>
      <c r="TLL553"/>
      <c r="TLM553"/>
      <c r="TLN553"/>
      <c r="TLO553"/>
      <c r="TLP553"/>
      <c r="TLQ553"/>
      <c r="TLR553"/>
      <c r="TLS553"/>
      <c r="TLT553"/>
      <c r="TLU553"/>
      <c r="TLV553"/>
      <c r="TLW553"/>
      <c r="TLX553"/>
      <c r="TLY553"/>
      <c r="TLZ553"/>
      <c r="TMA553"/>
      <c r="TMB553"/>
      <c r="TMC553"/>
      <c r="TMD553"/>
      <c r="TME553"/>
      <c r="TMF553"/>
      <c r="TMG553"/>
      <c r="TMH553"/>
      <c r="TMI553"/>
      <c r="TMJ553"/>
      <c r="TMK553"/>
      <c r="TML553"/>
      <c r="TMM553"/>
      <c r="TMN553"/>
      <c r="TMO553"/>
      <c r="TMP553"/>
      <c r="TMQ553"/>
      <c r="TMR553"/>
      <c r="TMS553"/>
      <c r="TMT553"/>
      <c r="TMU553"/>
      <c r="TMV553"/>
      <c r="TMW553"/>
      <c r="TMX553"/>
      <c r="TMY553"/>
      <c r="TMZ553"/>
      <c r="TNA553"/>
      <c r="TNB553"/>
      <c r="TNC553"/>
      <c r="TND553"/>
      <c r="TNE553"/>
      <c r="TNF553"/>
      <c r="TNG553"/>
      <c r="TNH553"/>
      <c r="TNI553"/>
      <c r="TNJ553"/>
      <c r="TNK553"/>
      <c r="TNL553"/>
      <c r="TNM553"/>
      <c r="TNN553"/>
      <c r="TNO553"/>
      <c r="TNP553"/>
      <c r="TNQ553"/>
      <c r="TNR553"/>
      <c r="TNS553"/>
      <c r="TNT553"/>
      <c r="TNU553"/>
      <c r="TNV553"/>
      <c r="TNW553"/>
      <c r="TNX553"/>
      <c r="TNY553"/>
      <c r="TNZ553"/>
      <c r="TOA553"/>
      <c r="TOB553"/>
      <c r="TOC553"/>
      <c r="TOD553"/>
      <c r="TOE553"/>
      <c r="TOF553"/>
      <c r="TOG553"/>
      <c r="TOH553"/>
      <c r="TOI553"/>
      <c r="TOJ553"/>
      <c r="TOK553"/>
      <c r="TOL553"/>
      <c r="TOM553"/>
      <c r="TON553"/>
      <c r="TOO553"/>
      <c r="TOP553"/>
      <c r="TOQ553"/>
      <c r="TOR553"/>
      <c r="TOS553"/>
      <c r="TOT553"/>
      <c r="TOU553"/>
      <c r="TOV553"/>
      <c r="TOW553"/>
      <c r="TOX553"/>
      <c r="TOY553"/>
      <c r="TOZ553"/>
      <c r="TPA553"/>
      <c r="TPB553"/>
      <c r="TPC553"/>
      <c r="TPD553"/>
      <c r="TPE553"/>
      <c r="TPF553"/>
      <c r="TPG553"/>
      <c r="TPH553"/>
      <c r="TPI553"/>
      <c r="TPJ553"/>
      <c r="TPK553"/>
      <c r="TPL553"/>
      <c r="TPM553"/>
      <c r="TPN553"/>
      <c r="TPO553"/>
      <c r="TPP553"/>
      <c r="TPQ553"/>
      <c r="TPR553"/>
      <c r="TPS553"/>
      <c r="TPT553"/>
      <c r="TPU553"/>
      <c r="TPV553"/>
      <c r="TPW553"/>
      <c r="TPX553"/>
      <c r="TPY553"/>
      <c r="TPZ553"/>
      <c r="TQA553"/>
      <c r="TQB553"/>
      <c r="TQC553"/>
      <c r="TQD553"/>
      <c r="TQE553"/>
      <c r="TQF553"/>
      <c r="TQG553"/>
      <c r="TQH553"/>
      <c r="TQI553"/>
      <c r="TQJ553"/>
      <c r="TQK553"/>
      <c r="TQL553"/>
      <c r="TQM553"/>
      <c r="TQN553"/>
      <c r="TQO553"/>
      <c r="TQP553"/>
      <c r="TQQ553"/>
      <c r="TQR553"/>
      <c r="TQS553"/>
      <c r="TQT553"/>
      <c r="TQU553"/>
      <c r="TQV553"/>
      <c r="TQW553"/>
      <c r="TQX553"/>
      <c r="TQY553"/>
      <c r="TQZ553"/>
      <c r="TRA553"/>
      <c r="TRB553"/>
      <c r="TRC553"/>
      <c r="TRD553"/>
      <c r="TRE553"/>
      <c r="TRF553"/>
      <c r="TRG553"/>
      <c r="TRH553"/>
      <c r="TRI553"/>
      <c r="TRJ553"/>
      <c r="TRK553"/>
      <c r="TRL553"/>
      <c r="TRM553"/>
      <c r="TRN553"/>
      <c r="TRO553"/>
      <c r="TRP553"/>
      <c r="TRQ553"/>
      <c r="TRR553"/>
      <c r="TRS553"/>
      <c r="TRT553"/>
      <c r="TRU553"/>
      <c r="TRV553"/>
      <c r="TRW553"/>
      <c r="TRX553"/>
      <c r="TRY553"/>
      <c r="TRZ553"/>
      <c r="TSA553"/>
      <c r="TSB553"/>
      <c r="TSC553"/>
      <c r="TSD553"/>
      <c r="TSE553"/>
      <c r="TSF553"/>
      <c r="TSG553"/>
      <c r="TSH553"/>
      <c r="TSI553"/>
      <c r="TSJ553"/>
      <c r="TSK553"/>
      <c r="TSL553"/>
      <c r="TSM553"/>
      <c r="TSN553"/>
      <c r="TSO553"/>
      <c r="TSP553"/>
      <c r="TSQ553"/>
      <c r="TSR553"/>
      <c r="TSS553"/>
      <c r="TST553"/>
      <c r="TSU553"/>
      <c r="TSV553"/>
      <c r="TSW553"/>
      <c r="TSX553"/>
      <c r="TSY553"/>
      <c r="TSZ553"/>
      <c r="TTA553"/>
      <c r="TTB553"/>
      <c r="TTC553"/>
      <c r="TTD553"/>
      <c r="TTE553"/>
      <c r="TTF553"/>
      <c r="TTG553"/>
      <c r="TTH553"/>
      <c r="TTI553"/>
      <c r="TTJ553"/>
      <c r="TTK553"/>
      <c r="TTL553"/>
      <c r="TTM553"/>
      <c r="TTN553"/>
      <c r="TTO553"/>
      <c r="TTP553"/>
      <c r="TTQ553"/>
      <c r="TTR553"/>
      <c r="TTS553"/>
      <c r="TTT553"/>
      <c r="TTU553"/>
      <c r="TTV553"/>
      <c r="TTW553"/>
      <c r="TTX553"/>
      <c r="TTY553"/>
      <c r="TTZ553"/>
      <c r="TUA553"/>
      <c r="TUB553"/>
      <c r="TUC553"/>
      <c r="TUD553"/>
      <c r="TUE553"/>
      <c r="TUF553"/>
      <c r="TUG553"/>
      <c r="TUH553"/>
      <c r="TUI553"/>
      <c r="TUJ553"/>
      <c r="TUK553"/>
      <c r="TUL553"/>
      <c r="TUM553"/>
      <c r="TUN553"/>
      <c r="TUO553"/>
      <c r="TUP553"/>
      <c r="TUQ553"/>
      <c r="TUR553"/>
      <c r="TUS553"/>
      <c r="TUT553"/>
      <c r="TUU553"/>
      <c r="TUV553"/>
      <c r="TUW553"/>
      <c r="TUX553"/>
      <c r="TUY553"/>
      <c r="TUZ553"/>
      <c r="TVA553"/>
      <c r="TVB553"/>
      <c r="TVC553"/>
      <c r="TVD553"/>
      <c r="TVE553"/>
      <c r="TVF553"/>
      <c r="TVG553"/>
      <c r="TVH553"/>
      <c r="TVI553"/>
      <c r="TVJ553"/>
      <c r="TVK553"/>
      <c r="TVL553"/>
      <c r="TVM553"/>
      <c r="TVN553"/>
      <c r="TVO553"/>
      <c r="TVP553"/>
      <c r="TVQ553"/>
      <c r="TVR553"/>
      <c r="TVS553"/>
      <c r="TVT553"/>
      <c r="TVU553"/>
      <c r="TVV553"/>
      <c r="TVW553"/>
      <c r="TVX553"/>
      <c r="TVY553"/>
      <c r="TVZ553"/>
      <c r="TWA553"/>
      <c r="TWB553"/>
      <c r="TWC553"/>
      <c r="TWD553"/>
      <c r="TWE553"/>
      <c r="TWF553"/>
      <c r="TWG553"/>
      <c r="TWH553"/>
      <c r="TWI553"/>
      <c r="TWJ553"/>
      <c r="TWK553"/>
      <c r="TWL553"/>
      <c r="TWM553"/>
      <c r="TWN553"/>
      <c r="TWO553"/>
      <c r="TWP553"/>
      <c r="TWQ553"/>
      <c r="TWR553"/>
      <c r="TWS553"/>
      <c r="TWT553"/>
      <c r="TWU553"/>
      <c r="TWV553"/>
      <c r="TWW553"/>
      <c r="TWX553"/>
      <c r="TWY553"/>
      <c r="TWZ553"/>
      <c r="TXA553"/>
      <c r="TXB553"/>
      <c r="TXC553"/>
      <c r="TXD553"/>
      <c r="TXE553"/>
      <c r="TXF553"/>
      <c r="TXG553"/>
      <c r="TXH553"/>
      <c r="TXI553"/>
      <c r="TXJ553"/>
      <c r="TXK553"/>
      <c r="TXL553"/>
      <c r="TXM553"/>
      <c r="TXN553"/>
      <c r="TXO553"/>
      <c r="TXP553"/>
      <c r="TXQ553"/>
      <c r="TXR553"/>
      <c r="TXS553"/>
      <c r="TXT553"/>
      <c r="TXU553"/>
      <c r="TXV553"/>
      <c r="TXW553"/>
      <c r="TXX553"/>
      <c r="TXY553"/>
      <c r="TXZ553"/>
      <c r="TYA553"/>
      <c r="TYB553"/>
      <c r="TYC553"/>
      <c r="TYD553"/>
      <c r="TYE553"/>
      <c r="TYF553"/>
      <c r="TYG553"/>
      <c r="TYH553"/>
      <c r="TYI553"/>
      <c r="TYJ553"/>
      <c r="TYK553"/>
      <c r="TYL553"/>
      <c r="TYM553"/>
      <c r="TYN553"/>
      <c r="TYO553"/>
      <c r="TYP553"/>
      <c r="TYQ553"/>
      <c r="TYR553"/>
      <c r="TYS553"/>
      <c r="TYT553"/>
      <c r="TYU553"/>
      <c r="TYV553"/>
      <c r="TYW553"/>
      <c r="TYX553"/>
      <c r="TYY553"/>
      <c r="TYZ553"/>
      <c r="TZA553"/>
      <c r="TZB553"/>
      <c r="TZC553"/>
      <c r="TZD553"/>
      <c r="TZE553"/>
      <c r="TZF553"/>
      <c r="TZG553"/>
      <c r="TZH553"/>
      <c r="TZI553"/>
      <c r="TZJ553"/>
      <c r="TZK553"/>
      <c r="TZL553"/>
      <c r="TZM553"/>
      <c r="TZN553"/>
      <c r="TZO553"/>
      <c r="TZP553"/>
      <c r="TZQ553"/>
      <c r="TZR553"/>
      <c r="TZS553"/>
      <c r="TZT553"/>
      <c r="TZU553"/>
      <c r="TZV553"/>
      <c r="TZW553"/>
      <c r="TZX553"/>
      <c r="TZY553"/>
      <c r="TZZ553"/>
      <c r="UAA553"/>
      <c r="UAB553"/>
      <c r="UAC553"/>
      <c r="UAD553"/>
      <c r="UAE553"/>
      <c r="UAF553"/>
      <c r="UAG553"/>
      <c r="UAH553"/>
      <c r="UAI553"/>
      <c r="UAJ553"/>
      <c r="UAK553"/>
      <c r="UAL553"/>
      <c r="UAM553"/>
      <c r="UAN553"/>
      <c r="UAO553"/>
      <c r="UAP553"/>
      <c r="UAQ553"/>
      <c r="UAR553"/>
      <c r="UAS553"/>
      <c r="UAT553"/>
      <c r="UAU553"/>
      <c r="UAV553"/>
      <c r="UAW553"/>
      <c r="UAX553"/>
      <c r="UAY553"/>
      <c r="UAZ553"/>
      <c r="UBA553"/>
      <c r="UBB553"/>
      <c r="UBC553"/>
      <c r="UBD553"/>
      <c r="UBE553"/>
      <c r="UBF553"/>
      <c r="UBG553"/>
      <c r="UBH553"/>
      <c r="UBI553"/>
      <c r="UBJ553"/>
      <c r="UBK553"/>
      <c r="UBL553"/>
      <c r="UBM553"/>
      <c r="UBN553"/>
      <c r="UBO553"/>
      <c r="UBP553"/>
      <c r="UBQ553"/>
      <c r="UBR553"/>
      <c r="UBS553"/>
      <c r="UBT553"/>
      <c r="UBU553"/>
      <c r="UBV553"/>
      <c r="UBW553"/>
      <c r="UBX553"/>
      <c r="UBY553"/>
      <c r="UBZ553"/>
      <c r="UCA553"/>
      <c r="UCB553"/>
      <c r="UCC553"/>
      <c r="UCD553"/>
      <c r="UCE553"/>
      <c r="UCF553"/>
      <c r="UCG553"/>
      <c r="UCH553"/>
      <c r="UCI553"/>
      <c r="UCJ553"/>
      <c r="UCK553"/>
      <c r="UCL553"/>
      <c r="UCM553"/>
      <c r="UCN553"/>
      <c r="UCO553"/>
      <c r="UCP553"/>
      <c r="UCQ553"/>
      <c r="UCR553"/>
      <c r="UCS553"/>
      <c r="UCT553"/>
      <c r="UCU553"/>
      <c r="UCV553"/>
      <c r="UCW553"/>
      <c r="UCX553"/>
      <c r="UCY553"/>
      <c r="UCZ553"/>
      <c r="UDA553"/>
      <c r="UDB553"/>
      <c r="UDC553"/>
      <c r="UDD553"/>
      <c r="UDE553"/>
      <c r="UDF553"/>
      <c r="UDG553"/>
      <c r="UDH553"/>
      <c r="UDI553"/>
      <c r="UDJ553"/>
      <c r="UDK553"/>
      <c r="UDL553"/>
      <c r="UDM553"/>
      <c r="UDN553"/>
      <c r="UDO553"/>
      <c r="UDP553"/>
      <c r="UDQ553"/>
      <c r="UDR553"/>
      <c r="UDS553"/>
      <c r="UDT553"/>
      <c r="UDU553"/>
      <c r="UDV553"/>
      <c r="UDW553"/>
      <c r="UDX553"/>
      <c r="UDY553"/>
      <c r="UDZ553"/>
      <c r="UEA553"/>
      <c r="UEB553"/>
      <c r="UEC553"/>
      <c r="UED553"/>
      <c r="UEE553"/>
      <c r="UEF553"/>
      <c r="UEG553"/>
      <c r="UEH553"/>
      <c r="UEI553"/>
      <c r="UEJ553"/>
      <c r="UEK553"/>
      <c r="UEL553"/>
      <c r="UEM553"/>
      <c r="UEN553"/>
      <c r="UEO553"/>
      <c r="UEP553"/>
      <c r="UEQ553"/>
      <c r="UER553"/>
      <c r="UES553"/>
      <c r="UET553"/>
      <c r="UEU553"/>
      <c r="UEV553"/>
      <c r="UEW553"/>
      <c r="UEX553"/>
      <c r="UEY553"/>
      <c r="UEZ553"/>
      <c r="UFA553"/>
      <c r="UFB553"/>
      <c r="UFC553"/>
      <c r="UFD553"/>
      <c r="UFE553"/>
      <c r="UFF553"/>
      <c r="UFG553"/>
      <c r="UFH553"/>
      <c r="UFI553"/>
      <c r="UFJ553"/>
      <c r="UFK553"/>
      <c r="UFL553"/>
      <c r="UFM553"/>
      <c r="UFN553"/>
      <c r="UFO553"/>
      <c r="UFP553"/>
      <c r="UFQ553"/>
      <c r="UFR553"/>
      <c r="UFS553"/>
      <c r="UFT553"/>
      <c r="UFU553"/>
      <c r="UFV553"/>
      <c r="UFW553"/>
      <c r="UFX553"/>
      <c r="UFY553"/>
      <c r="UFZ553"/>
      <c r="UGA553"/>
      <c r="UGB553"/>
      <c r="UGC553"/>
      <c r="UGD553"/>
      <c r="UGE553"/>
      <c r="UGF553"/>
      <c r="UGG553"/>
      <c r="UGH553"/>
      <c r="UGI553"/>
      <c r="UGJ553"/>
      <c r="UGK553"/>
      <c r="UGL553"/>
      <c r="UGM553"/>
      <c r="UGN553"/>
      <c r="UGO553"/>
      <c r="UGP553"/>
      <c r="UGQ553"/>
      <c r="UGR553"/>
      <c r="UGS553"/>
      <c r="UGT553"/>
      <c r="UGU553"/>
      <c r="UGV553"/>
      <c r="UGW553"/>
      <c r="UGX553"/>
      <c r="UGY553"/>
      <c r="UGZ553"/>
      <c r="UHA553"/>
      <c r="UHB553"/>
      <c r="UHC553"/>
      <c r="UHD553"/>
      <c r="UHE553"/>
      <c r="UHF553"/>
      <c r="UHG553"/>
      <c r="UHH553"/>
      <c r="UHI553"/>
      <c r="UHJ553"/>
      <c r="UHK553"/>
      <c r="UHL553"/>
      <c r="UHM553"/>
      <c r="UHN553"/>
      <c r="UHO553"/>
      <c r="UHP553"/>
      <c r="UHQ553"/>
      <c r="UHR553"/>
      <c r="UHS553"/>
      <c r="UHT553"/>
      <c r="UHU553"/>
      <c r="UHV553"/>
      <c r="UHW553"/>
      <c r="UHX553"/>
      <c r="UHY553"/>
      <c r="UHZ553"/>
      <c r="UIA553"/>
      <c r="UIB553"/>
      <c r="UIC553"/>
      <c r="UID553"/>
      <c r="UIE553"/>
      <c r="UIF553"/>
      <c r="UIG553"/>
      <c r="UIH553"/>
      <c r="UII553"/>
      <c r="UIJ553"/>
      <c r="UIK553"/>
      <c r="UIL553"/>
      <c r="UIM553"/>
      <c r="UIN553"/>
      <c r="UIO553"/>
      <c r="UIP553"/>
      <c r="UIQ553"/>
      <c r="UIR553"/>
      <c r="UIS553"/>
      <c r="UIT553"/>
      <c r="UIU553"/>
      <c r="UIV553"/>
      <c r="UIW553"/>
      <c r="UIX553"/>
      <c r="UIY553"/>
      <c r="UIZ553"/>
      <c r="UJA553"/>
      <c r="UJB553"/>
      <c r="UJC553"/>
      <c r="UJD553"/>
      <c r="UJE553"/>
      <c r="UJF553"/>
      <c r="UJG553"/>
      <c r="UJH553"/>
      <c r="UJI553"/>
      <c r="UJJ553"/>
      <c r="UJK553"/>
      <c r="UJL553"/>
      <c r="UJM553"/>
      <c r="UJN553"/>
      <c r="UJO553"/>
      <c r="UJP553"/>
      <c r="UJQ553"/>
      <c r="UJR553"/>
      <c r="UJS553"/>
      <c r="UJT553"/>
      <c r="UJU553"/>
      <c r="UJV553"/>
      <c r="UJW553"/>
      <c r="UJX553"/>
      <c r="UJY553"/>
      <c r="UJZ553"/>
      <c r="UKA553"/>
      <c r="UKB553"/>
      <c r="UKC553"/>
      <c r="UKD553"/>
      <c r="UKE553"/>
      <c r="UKF553"/>
      <c r="UKG553"/>
      <c r="UKH553"/>
      <c r="UKI553"/>
      <c r="UKJ553"/>
      <c r="UKK553"/>
      <c r="UKL553"/>
      <c r="UKM553"/>
      <c r="UKN553"/>
      <c r="UKO553"/>
      <c r="UKP553"/>
      <c r="UKQ553"/>
      <c r="UKR553"/>
      <c r="UKS553"/>
      <c r="UKT553"/>
      <c r="UKU553"/>
      <c r="UKV553"/>
      <c r="UKW553"/>
      <c r="UKX553"/>
      <c r="UKY553"/>
      <c r="UKZ553"/>
      <c r="ULA553"/>
      <c r="ULB553"/>
      <c r="ULC553"/>
      <c r="ULD553"/>
      <c r="ULE553"/>
      <c r="ULF553"/>
      <c r="ULG553"/>
      <c r="ULH553"/>
      <c r="ULI553"/>
      <c r="ULJ553"/>
      <c r="ULK553"/>
      <c r="ULL553"/>
      <c r="ULM553"/>
      <c r="ULN553"/>
      <c r="ULO553"/>
      <c r="ULP553"/>
      <c r="ULQ553"/>
      <c r="ULR553"/>
      <c r="ULS553"/>
      <c r="ULT553"/>
      <c r="ULU553"/>
      <c r="ULV553"/>
      <c r="ULW553"/>
      <c r="ULX553"/>
      <c r="ULY553"/>
      <c r="ULZ553"/>
      <c r="UMA553"/>
      <c r="UMB553"/>
      <c r="UMC553"/>
      <c r="UMD553"/>
      <c r="UME553"/>
      <c r="UMF553"/>
      <c r="UMG553"/>
      <c r="UMH553"/>
      <c r="UMI553"/>
      <c r="UMJ553"/>
      <c r="UMK553"/>
      <c r="UML553"/>
      <c r="UMM553"/>
      <c r="UMN553"/>
      <c r="UMO553"/>
      <c r="UMP553"/>
      <c r="UMQ553"/>
      <c r="UMR553"/>
      <c r="UMS553"/>
      <c r="UMT553"/>
      <c r="UMU553"/>
      <c r="UMV553"/>
      <c r="UMW553"/>
      <c r="UMX553"/>
      <c r="UMY553"/>
      <c r="UMZ553"/>
      <c r="UNA553"/>
      <c r="UNB553"/>
      <c r="UNC553"/>
      <c r="UND553"/>
      <c r="UNE553"/>
      <c r="UNF553"/>
      <c r="UNG553"/>
      <c r="UNH553"/>
      <c r="UNI553"/>
      <c r="UNJ553"/>
      <c r="UNK553"/>
      <c r="UNL553"/>
      <c r="UNM553"/>
      <c r="UNN553"/>
      <c r="UNO553"/>
      <c r="UNP553"/>
      <c r="UNQ553"/>
      <c r="UNR553"/>
      <c r="UNS553"/>
      <c r="UNT553"/>
      <c r="UNU553"/>
      <c r="UNV553"/>
      <c r="UNW553"/>
      <c r="UNX553"/>
      <c r="UNY553"/>
      <c r="UNZ553"/>
      <c r="UOA553"/>
      <c r="UOB553"/>
      <c r="UOC553"/>
      <c r="UOD553"/>
      <c r="UOE553"/>
      <c r="UOF553"/>
      <c r="UOG553"/>
      <c r="UOH553"/>
      <c r="UOI553"/>
      <c r="UOJ553"/>
      <c r="UOK553"/>
      <c r="UOL553"/>
      <c r="UOM553"/>
      <c r="UON553"/>
      <c r="UOO553"/>
      <c r="UOP553"/>
      <c r="UOQ553"/>
      <c r="UOR553"/>
      <c r="UOS553"/>
      <c r="UOT553"/>
      <c r="UOU553"/>
      <c r="UOV553"/>
      <c r="UOW553"/>
      <c r="UOX553"/>
      <c r="UOY553"/>
      <c r="UOZ553"/>
      <c r="UPA553"/>
      <c r="UPB553"/>
      <c r="UPC553"/>
      <c r="UPD553"/>
      <c r="UPE553"/>
      <c r="UPF553"/>
      <c r="UPG553"/>
      <c r="UPH553"/>
      <c r="UPI553"/>
      <c r="UPJ553"/>
      <c r="UPK553"/>
      <c r="UPL553"/>
      <c r="UPM553"/>
      <c r="UPN553"/>
      <c r="UPO553"/>
      <c r="UPP553"/>
      <c r="UPQ553"/>
      <c r="UPR553"/>
      <c r="UPS553"/>
      <c r="UPT553"/>
      <c r="UPU553"/>
      <c r="UPV553"/>
      <c r="UPW553"/>
      <c r="UPX553"/>
      <c r="UPY553"/>
      <c r="UPZ553"/>
      <c r="UQA553"/>
      <c r="UQB553"/>
      <c r="UQC553"/>
      <c r="UQD553"/>
      <c r="UQE553"/>
      <c r="UQF553"/>
      <c r="UQG553"/>
      <c r="UQH553"/>
      <c r="UQI553"/>
      <c r="UQJ553"/>
      <c r="UQK553"/>
      <c r="UQL553"/>
      <c r="UQM553"/>
      <c r="UQN553"/>
      <c r="UQO553"/>
      <c r="UQP553"/>
      <c r="UQQ553"/>
      <c r="UQR553"/>
      <c r="UQS553"/>
      <c r="UQT553"/>
      <c r="UQU553"/>
      <c r="UQV553"/>
      <c r="UQW553"/>
      <c r="UQX553"/>
      <c r="UQY553"/>
      <c r="UQZ553"/>
      <c r="URA553"/>
      <c r="URB553"/>
      <c r="URC553"/>
      <c r="URD553"/>
      <c r="URE553"/>
      <c r="URF553"/>
      <c r="URG553"/>
      <c r="URH553"/>
      <c r="URI553"/>
      <c r="URJ553"/>
      <c r="URK553"/>
      <c r="URL553"/>
      <c r="URM553"/>
      <c r="URN553"/>
      <c r="URO553"/>
      <c r="URP553"/>
      <c r="URQ553"/>
      <c r="URR553"/>
      <c r="URS553"/>
      <c r="URT553"/>
      <c r="URU553"/>
      <c r="URV553"/>
      <c r="URW553"/>
      <c r="URX553"/>
      <c r="URY553"/>
      <c r="URZ553"/>
      <c r="USA553"/>
      <c r="USB553"/>
      <c r="USC553"/>
      <c r="USD553"/>
      <c r="USE553"/>
      <c r="USF553"/>
      <c r="USG553"/>
      <c r="USH553"/>
      <c r="USI553"/>
      <c r="USJ553"/>
      <c r="USK553"/>
      <c r="USL553"/>
      <c r="USM553"/>
      <c r="USN553"/>
      <c r="USO553"/>
      <c r="USP553"/>
      <c r="USQ553"/>
      <c r="USR553"/>
      <c r="USS553"/>
      <c r="UST553"/>
      <c r="USU553"/>
      <c r="USV553"/>
      <c r="USW553"/>
      <c r="USX553"/>
      <c r="USY553"/>
      <c r="USZ553"/>
      <c r="UTA553"/>
      <c r="UTB553"/>
      <c r="UTC553"/>
      <c r="UTD553"/>
      <c r="UTE553"/>
      <c r="UTF553"/>
      <c r="UTG553"/>
      <c r="UTH553"/>
      <c r="UTI553"/>
      <c r="UTJ553"/>
      <c r="UTK553"/>
      <c r="UTL553"/>
      <c r="UTM553"/>
      <c r="UTN553"/>
      <c r="UTO553"/>
      <c r="UTP553"/>
      <c r="UTQ553"/>
      <c r="UTR553"/>
      <c r="UTS553"/>
      <c r="UTT553"/>
      <c r="UTU553"/>
      <c r="UTV553"/>
      <c r="UTW553"/>
      <c r="UTX553"/>
      <c r="UTY553"/>
      <c r="UTZ553"/>
      <c r="UUA553"/>
      <c r="UUB553"/>
      <c r="UUC553"/>
      <c r="UUD553"/>
      <c r="UUE553"/>
      <c r="UUF553"/>
      <c r="UUG553"/>
      <c r="UUH553"/>
      <c r="UUI553"/>
      <c r="UUJ553"/>
      <c r="UUK553"/>
      <c r="UUL553"/>
      <c r="UUM553"/>
      <c r="UUN553"/>
      <c r="UUO553"/>
      <c r="UUP553"/>
      <c r="UUQ553"/>
      <c r="UUR553"/>
      <c r="UUS553"/>
      <c r="UUT553"/>
      <c r="UUU553"/>
      <c r="UUV553"/>
      <c r="UUW553"/>
      <c r="UUX553"/>
      <c r="UUY553"/>
      <c r="UUZ553"/>
      <c r="UVA553"/>
      <c r="UVB553"/>
      <c r="UVC553"/>
      <c r="UVD553"/>
      <c r="UVE553"/>
      <c r="UVF553"/>
      <c r="UVG553"/>
      <c r="UVH553"/>
      <c r="UVI553"/>
      <c r="UVJ553"/>
      <c r="UVK553"/>
      <c r="UVL553"/>
      <c r="UVM553"/>
      <c r="UVN553"/>
      <c r="UVO553"/>
      <c r="UVP553"/>
      <c r="UVQ553"/>
      <c r="UVR553"/>
      <c r="UVS553"/>
      <c r="UVT553"/>
      <c r="UVU553"/>
      <c r="UVV553"/>
      <c r="UVW553"/>
      <c r="UVX553"/>
      <c r="UVY553"/>
      <c r="UVZ553"/>
      <c r="UWA553"/>
      <c r="UWB553"/>
      <c r="UWC553"/>
      <c r="UWD553"/>
      <c r="UWE553"/>
      <c r="UWF553"/>
      <c r="UWG553"/>
      <c r="UWH553"/>
      <c r="UWI553"/>
      <c r="UWJ553"/>
      <c r="UWK553"/>
      <c r="UWL553"/>
      <c r="UWM553"/>
      <c r="UWN553"/>
      <c r="UWO553"/>
      <c r="UWP553"/>
      <c r="UWQ553"/>
      <c r="UWR553"/>
      <c r="UWS553"/>
      <c r="UWT553"/>
      <c r="UWU553"/>
      <c r="UWV553"/>
      <c r="UWW553"/>
      <c r="UWX553"/>
      <c r="UWY553"/>
      <c r="UWZ553"/>
      <c r="UXA553"/>
      <c r="UXB553"/>
      <c r="UXC553"/>
      <c r="UXD553"/>
      <c r="UXE553"/>
      <c r="UXF553"/>
      <c r="UXG553"/>
      <c r="UXH553"/>
      <c r="UXI553"/>
      <c r="UXJ553"/>
      <c r="UXK553"/>
      <c r="UXL553"/>
      <c r="UXM553"/>
      <c r="UXN553"/>
      <c r="UXO553"/>
      <c r="UXP553"/>
      <c r="UXQ553"/>
      <c r="UXR553"/>
      <c r="UXS553"/>
      <c r="UXT553"/>
      <c r="UXU553"/>
      <c r="UXV553"/>
      <c r="UXW553"/>
      <c r="UXX553"/>
      <c r="UXY553"/>
      <c r="UXZ553"/>
      <c r="UYA553"/>
      <c r="UYB553"/>
      <c r="UYC553"/>
      <c r="UYD553"/>
      <c r="UYE553"/>
      <c r="UYF553"/>
      <c r="UYG553"/>
      <c r="UYH553"/>
      <c r="UYI553"/>
      <c r="UYJ553"/>
      <c r="UYK553"/>
      <c r="UYL553"/>
      <c r="UYM553"/>
      <c r="UYN553"/>
      <c r="UYO553"/>
      <c r="UYP553"/>
      <c r="UYQ553"/>
      <c r="UYR553"/>
      <c r="UYS553"/>
      <c r="UYT553"/>
      <c r="UYU553"/>
      <c r="UYV553"/>
      <c r="UYW553"/>
      <c r="UYX553"/>
      <c r="UYY553"/>
      <c r="UYZ553"/>
      <c r="UZA553"/>
      <c r="UZB553"/>
      <c r="UZC553"/>
      <c r="UZD553"/>
      <c r="UZE553"/>
      <c r="UZF553"/>
      <c r="UZG553"/>
      <c r="UZH553"/>
      <c r="UZI553"/>
      <c r="UZJ553"/>
      <c r="UZK553"/>
      <c r="UZL553"/>
      <c r="UZM553"/>
      <c r="UZN553"/>
      <c r="UZO553"/>
      <c r="UZP553"/>
      <c r="UZQ553"/>
      <c r="UZR553"/>
      <c r="UZS553"/>
      <c r="UZT553"/>
      <c r="UZU553"/>
      <c r="UZV553"/>
      <c r="UZW553"/>
      <c r="UZX553"/>
      <c r="UZY553"/>
      <c r="UZZ553"/>
      <c r="VAA553"/>
      <c r="VAB553"/>
      <c r="VAC553"/>
      <c r="VAD553"/>
      <c r="VAE553"/>
      <c r="VAF553"/>
      <c r="VAG553"/>
      <c r="VAH553"/>
      <c r="VAI553"/>
      <c r="VAJ553"/>
      <c r="VAK553"/>
      <c r="VAL553"/>
      <c r="VAM553"/>
      <c r="VAN553"/>
      <c r="VAO553"/>
      <c r="VAP553"/>
      <c r="VAQ553"/>
      <c r="VAR553"/>
      <c r="VAS553"/>
      <c r="VAT553"/>
      <c r="VAU553"/>
      <c r="VAV553"/>
      <c r="VAW553"/>
      <c r="VAX553"/>
      <c r="VAY553"/>
      <c r="VAZ553"/>
      <c r="VBA553"/>
      <c r="VBB553"/>
      <c r="VBC553"/>
      <c r="VBD553"/>
      <c r="VBE553"/>
      <c r="VBF553"/>
      <c r="VBG553"/>
      <c r="VBH553"/>
      <c r="VBI553"/>
      <c r="VBJ553"/>
      <c r="VBK553"/>
      <c r="VBL553"/>
      <c r="VBM553"/>
      <c r="VBN553"/>
      <c r="VBO553"/>
      <c r="VBP553"/>
      <c r="VBQ553"/>
      <c r="VBR553"/>
      <c r="VBS553"/>
      <c r="VBT553"/>
      <c r="VBU553"/>
      <c r="VBV553"/>
      <c r="VBW553"/>
      <c r="VBX553"/>
      <c r="VBY553"/>
      <c r="VBZ553"/>
      <c r="VCA553"/>
      <c r="VCB553"/>
      <c r="VCC553"/>
      <c r="VCD553"/>
      <c r="VCE553"/>
      <c r="VCF553"/>
      <c r="VCG553"/>
      <c r="VCH553"/>
      <c r="VCI553"/>
      <c r="VCJ553"/>
      <c r="VCK553"/>
      <c r="VCL553"/>
      <c r="VCM553"/>
      <c r="VCN553"/>
      <c r="VCO553"/>
      <c r="VCP553"/>
      <c r="VCQ553"/>
      <c r="VCR553"/>
      <c r="VCS553"/>
      <c r="VCT553"/>
      <c r="VCU553"/>
      <c r="VCV553"/>
      <c r="VCW553"/>
      <c r="VCX553"/>
      <c r="VCY553"/>
      <c r="VCZ553"/>
      <c r="VDA553"/>
      <c r="VDB553"/>
      <c r="VDC553"/>
      <c r="VDD553"/>
      <c r="VDE553"/>
      <c r="VDF553"/>
      <c r="VDG553"/>
      <c r="VDH553"/>
      <c r="VDI553"/>
      <c r="VDJ553"/>
      <c r="VDK553"/>
      <c r="VDL553"/>
      <c r="VDM553"/>
      <c r="VDN553"/>
      <c r="VDO553"/>
      <c r="VDP553"/>
      <c r="VDQ553"/>
      <c r="VDR553"/>
      <c r="VDS553"/>
      <c r="VDT553"/>
      <c r="VDU553"/>
      <c r="VDV553"/>
      <c r="VDW553"/>
      <c r="VDX553"/>
      <c r="VDY553"/>
      <c r="VDZ553"/>
      <c r="VEA553"/>
      <c r="VEB553"/>
      <c r="VEC553"/>
      <c r="VED553"/>
      <c r="VEE553"/>
      <c r="VEF553"/>
      <c r="VEG553"/>
      <c r="VEH553"/>
      <c r="VEI553"/>
      <c r="VEJ553"/>
      <c r="VEK553"/>
      <c r="VEL553"/>
      <c r="VEM553"/>
      <c r="VEN553"/>
      <c r="VEO553"/>
      <c r="VEP553"/>
      <c r="VEQ553"/>
      <c r="VER553"/>
      <c r="VES553"/>
      <c r="VET553"/>
      <c r="VEU553"/>
      <c r="VEV553"/>
      <c r="VEW553"/>
      <c r="VEX553"/>
      <c r="VEY553"/>
      <c r="VEZ553"/>
      <c r="VFA553"/>
      <c r="VFB553"/>
      <c r="VFC553"/>
      <c r="VFD553"/>
      <c r="VFE553"/>
      <c r="VFF553"/>
      <c r="VFG553"/>
      <c r="VFH553"/>
      <c r="VFI553"/>
      <c r="VFJ553"/>
      <c r="VFK553"/>
      <c r="VFL553"/>
      <c r="VFM553"/>
      <c r="VFN553"/>
      <c r="VFO553"/>
      <c r="VFP553"/>
      <c r="VFQ553"/>
      <c r="VFR553"/>
      <c r="VFS553"/>
      <c r="VFT553"/>
      <c r="VFU553"/>
      <c r="VFV553"/>
      <c r="VFW553"/>
      <c r="VFX553"/>
      <c r="VFY553"/>
      <c r="VFZ553"/>
      <c r="VGA553"/>
      <c r="VGB553"/>
      <c r="VGC553"/>
      <c r="VGD553"/>
      <c r="VGE553"/>
      <c r="VGF553"/>
      <c r="VGG553"/>
      <c r="VGH553"/>
      <c r="VGI553"/>
      <c r="VGJ553"/>
      <c r="VGK553"/>
      <c r="VGL553"/>
      <c r="VGM553"/>
      <c r="VGN553"/>
      <c r="VGO553"/>
      <c r="VGP553"/>
      <c r="VGQ553"/>
      <c r="VGR553"/>
      <c r="VGS553"/>
      <c r="VGT553"/>
      <c r="VGU553"/>
      <c r="VGV553"/>
      <c r="VGW553"/>
      <c r="VGX553"/>
      <c r="VGY553"/>
      <c r="VGZ553"/>
      <c r="VHA553"/>
      <c r="VHB553"/>
      <c r="VHC553"/>
      <c r="VHD553"/>
      <c r="VHE553"/>
      <c r="VHF553"/>
      <c r="VHG553"/>
      <c r="VHH553"/>
      <c r="VHI553"/>
      <c r="VHJ553"/>
      <c r="VHK553"/>
      <c r="VHL553"/>
      <c r="VHM553"/>
      <c r="VHN553"/>
      <c r="VHO553"/>
      <c r="VHP553"/>
      <c r="VHQ553"/>
      <c r="VHR553"/>
      <c r="VHS553"/>
      <c r="VHT553"/>
      <c r="VHU553"/>
      <c r="VHV553"/>
      <c r="VHW553"/>
      <c r="VHX553"/>
      <c r="VHY553"/>
      <c r="VHZ553"/>
      <c r="VIA553"/>
      <c r="VIB553"/>
      <c r="VIC553"/>
      <c r="VID553"/>
      <c r="VIE553"/>
      <c r="VIF553"/>
      <c r="VIG553"/>
      <c r="VIH553"/>
      <c r="VII553"/>
      <c r="VIJ553"/>
      <c r="VIK553"/>
      <c r="VIL553"/>
      <c r="VIM553"/>
      <c r="VIN553"/>
      <c r="VIO553"/>
      <c r="VIP553"/>
      <c r="VIQ553"/>
      <c r="VIR553"/>
      <c r="VIS553"/>
      <c r="VIT553"/>
      <c r="VIU553"/>
      <c r="VIV553"/>
      <c r="VIW553"/>
      <c r="VIX553"/>
      <c r="VIY553"/>
      <c r="VIZ553"/>
      <c r="VJA553"/>
      <c r="VJB553"/>
      <c r="VJC553"/>
      <c r="VJD553"/>
      <c r="VJE553"/>
      <c r="VJF553"/>
      <c r="VJG553"/>
      <c r="VJH553"/>
      <c r="VJI553"/>
      <c r="VJJ553"/>
      <c r="VJK553"/>
      <c r="VJL553"/>
      <c r="VJM553"/>
      <c r="VJN553"/>
      <c r="VJO553"/>
      <c r="VJP553"/>
      <c r="VJQ553"/>
      <c r="VJR553"/>
      <c r="VJS553"/>
      <c r="VJT553"/>
      <c r="VJU553"/>
      <c r="VJV553"/>
      <c r="VJW553"/>
      <c r="VJX553"/>
      <c r="VJY553"/>
      <c r="VJZ553"/>
      <c r="VKA553"/>
      <c r="VKB553"/>
      <c r="VKC553"/>
      <c r="VKD553"/>
      <c r="VKE553"/>
      <c r="VKF553"/>
      <c r="VKG553"/>
      <c r="VKH553"/>
      <c r="VKI553"/>
      <c r="VKJ553"/>
      <c r="VKK553"/>
      <c r="VKL553"/>
      <c r="VKM553"/>
      <c r="VKN553"/>
      <c r="VKO553"/>
      <c r="VKP553"/>
      <c r="VKQ553"/>
      <c r="VKR553"/>
      <c r="VKS553"/>
      <c r="VKT553"/>
      <c r="VKU553"/>
      <c r="VKV553"/>
      <c r="VKW553"/>
      <c r="VKX553"/>
      <c r="VKY553"/>
      <c r="VKZ553"/>
      <c r="VLA553"/>
      <c r="VLB553"/>
      <c r="VLC553"/>
      <c r="VLD553"/>
      <c r="VLE553"/>
      <c r="VLF553"/>
      <c r="VLG553"/>
      <c r="VLH553"/>
      <c r="VLI553"/>
      <c r="VLJ553"/>
      <c r="VLK553"/>
      <c r="VLL553"/>
      <c r="VLM553"/>
      <c r="VLN553"/>
      <c r="VLO553"/>
      <c r="VLP553"/>
      <c r="VLQ553"/>
      <c r="VLR553"/>
      <c r="VLS553"/>
      <c r="VLT553"/>
      <c r="VLU553"/>
      <c r="VLV553"/>
      <c r="VLW553"/>
      <c r="VLX553"/>
      <c r="VLY553"/>
      <c r="VLZ553"/>
      <c r="VMA553"/>
      <c r="VMB553"/>
      <c r="VMC553"/>
      <c r="VMD553"/>
      <c r="VME553"/>
      <c r="VMF553"/>
      <c r="VMG553"/>
      <c r="VMH553"/>
      <c r="VMI553"/>
      <c r="VMJ553"/>
      <c r="VMK553"/>
      <c r="VML553"/>
      <c r="VMM553"/>
      <c r="VMN553"/>
      <c r="VMO553"/>
      <c r="VMP553"/>
      <c r="VMQ553"/>
      <c r="VMR553"/>
      <c r="VMS553"/>
      <c r="VMT553"/>
      <c r="VMU553"/>
      <c r="VMV553"/>
      <c r="VMW553"/>
      <c r="VMX553"/>
      <c r="VMY553"/>
      <c r="VMZ553"/>
      <c r="VNA553"/>
      <c r="VNB553"/>
      <c r="VNC553"/>
      <c r="VND553"/>
      <c r="VNE553"/>
      <c r="VNF553"/>
      <c r="VNG553"/>
      <c r="VNH553"/>
      <c r="VNI553"/>
      <c r="VNJ553"/>
      <c r="VNK553"/>
      <c r="VNL553"/>
      <c r="VNM553"/>
      <c r="VNN553"/>
      <c r="VNO553"/>
      <c r="VNP553"/>
      <c r="VNQ553"/>
      <c r="VNR553"/>
      <c r="VNS553"/>
      <c r="VNT553"/>
      <c r="VNU553"/>
      <c r="VNV553"/>
      <c r="VNW553"/>
      <c r="VNX553"/>
      <c r="VNY553"/>
      <c r="VNZ553"/>
      <c r="VOA553"/>
      <c r="VOB553"/>
      <c r="VOC553"/>
      <c r="VOD553"/>
      <c r="VOE553"/>
      <c r="VOF553"/>
      <c r="VOG553"/>
      <c r="VOH553"/>
      <c r="VOI553"/>
      <c r="VOJ553"/>
      <c r="VOK553"/>
      <c r="VOL553"/>
      <c r="VOM553"/>
      <c r="VON553"/>
      <c r="VOO553"/>
      <c r="VOP553"/>
      <c r="VOQ553"/>
      <c r="VOR553"/>
      <c r="VOS553"/>
      <c r="VOT553"/>
      <c r="VOU553"/>
      <c r="VOV553"/>
      <c r="VOW553"/>
      <c r="VOX553"/>
      <c r="VOY553"/>
      <c r="VOZ553"/>
      <c r="VPA553"/>
      <c r="VPB553"/>
      <c r="VPC553"/>
      <c r="VPD553"/>
      <c r="VPE553"/>
      <c r="VPF553"/>
      <c r="VPG553"/>
      <c r="VPH553"/>
      <c r="VPI553"/>
      <c r="VPJ553"/>
      <c r="VPK553"/>
      <c r="VPL553"/>
      <c r="VPM553"/>
      <c r="VPN553"/>
      <c r="VPO553"/>
      <c r="VPP553"/>
      <c r="VPQ553"/>
      <c r="VPR553"/>
      <c r="VPS553"/>
      <c r="VPT553"/>
      <c r="VPU553"/>
      <c r="VPV553"/>
      <c r="VPW553"/>
      <c r="VPX553"/>
      <c r="VPY553"/>
      <c r="VPZ553"/>
      <c r="VQA553"/>
      <c r="VQB553"/>
      <c r="VQC553"/>
      <c r="VQD553"/>
      <c r="VQE553"/>
      <c r="VQF553"/>
      <c r="VQG553"/>
      <c r="VQH553"/>
      <c r="VQI553"/>
      <c r="VQJ553"/>
      <c r="VQK553"/>
      <c r="VQL553"/>
      <c r="VQM553"/>
      <c r="VQN553"/>
      <c r="VQO553"/>
      <c r="VQP553"/>
      <c r="VQQ553"/>
      <c r="VQR553"/>
      <c r="VQS553"/>
      <c r="VQT553"/>
      <c r="VQU553"/>
      <c r="VQV553"/>
      <c r="VQW553"/>
      <c r="VQX553"/>
      <c r="VQY553"/>
      <c r="VQZ553"/>
      <c r="VRA553"/>
      <c r="VRB553"/>
      <c r="VRC553"/>
      <c r="VRD553"/>
      <c r="VRE553"/>
      <c r="VRF553"/>
      <c r="VRG553"/>
      <c r="VRH553"/>
      <c r="VRI553"/>
      <c r="VRJ553"/>
      <c r="VRK553"/>
      <c r="VRL553"/>
      <c r="VRM553"/>
      <c r="VRN553"/>
      <c r="VRO553"/>
      <c r="VRP553"/>
      <c r="VRQ553"/>
      <c r="VRR553"/>
      <c r="VRS553"/>
      <c r="VRT553"/>
      <c r="VRU553"/>
      <c r="VRV553"/>
      <c r="VRW553"/>
      <c r="VRX553"/>
      <c r="VRY553"/>
      <c r="VRZ553"/>
      <c r="VSA553"/>
      <c r="VSB553"/>
      <c r="VSC553"/>
      <c r="VSD553"/>
      <c r="VSE553"/>
      <c r="VSF553"/>
      <c r="VSG553"/>
      <c r="VSH553"/>
      <c r="VSI553"/>
      <c r="VSJ553"/>
      <c r="VSK553"/>
      <c r="VSL553"/>
      <c r="VSM553"/>
      <c r="VSN553"/>
      <c r="VSO553"/>
      <c r="VSP553"/>
      <c r="VSQ553"/>
      <c r="VSR553"/>
      <c r="VSS553"/>
      <c r="VST553"/>
      <c r="VSU553"/>
      <c r="VSV553"/>
      <c r="VSW553"/>
      <c r="VSX553"/>
      <c r="VSY553"/>
      <c r="VSZ553"/>
      <c r="VTA553"/>
      <c r="VTB553"/>
      <c r="VTC553"/>
      <c r="VTD553"/>
      <c r="VTE553"/>
      <c r="VTF553"/>
      <c r="VTG553"/>
      <c r="VTH553"/>
      <c r="VTI553"/>
      <c r="VTJ553"/>
      <c r="VTK553"/>
      <c r="VTL553"/>
      <c r="VTM553"/>
      <c r="VTN553"/>
      <c r="VTO553"/>
      <c r="VTP553"/>
      <c r="VTQ553"/>
      <c r="VTR553"/>
      <c r="VTS553"/>
      <c r="VTT553"/>
      <c r="VTU553"/>
      <c r="VTV553"/>
      <c r="VTW553"/>
      <c r="VTX553"/>
      <c r="VTY553"/>
      <c r="VTZ553"/>
      <c r="VUA553"/>
      <c r="VUB553"/>
      <c r="VUC553"/>
      <c r="VUD553"/>
      <c r="VUE553"/>
      <c r="VUF553"/>
      <c r="VUG553"/>
      <c r="VUH553"/>
      <c r="VUI553"/>
      <c r="VUJ553"/>
      <c r="VUK553"/>
      <c r="VUL553"/>
      <c r="VUM553"/>
      <c r="VUN553"/>
      <c r="VUO553"/>
      <c r="VUP553"/>
      <c r="VUQ553"/>
      <c r="VUR553"/>
      <c r="VUS553"/>
      <c r="VUT553"/>
      <c r="VUU553"/>
      <c r="VUV553"/>
      <c r="VUW553"/>
      <c r="VUX553"/>
      <c r="VUY553"/>
      <c r="VUZ553"/>
      <c r="VVA553"/>
      <c r="VVB553"/>
      <c r="VVC553"/>
      <c r="VVD553"/>
      <c r="VVE553"/>
      <c r="VVF553"/>
      <c r="VVG553"/>
      <c r="VVH553"/>
      <c r="VVI553"/>
      <c r="VVJ553"/>
      <c r="VVK553"/>
      <c r="VVL553"/>
      <c r="VVM553"/>
      <c r="VVN553"/>
      <c r="VVO553"/>
      <c r="VVP553"/>
      <c r="VVQ553"/>
      <c r="VVR553"/>
      <c r="VVS553"/>
      <c r="VVT553"/>
      <c r="VVU553"/>
      <c r="VVV553"/>
      <c r="VVW553"/>
      <c r="VVX553"/>
      <c r="VVY553"/>
      <c r="VVZ553"/>
      <c r="VWA553"/>
      <c r="VWB553"/>
      <c r="VWC553"/>
      <c r="VWD553"/>
      <c r="VWE553"/>
      <c r="VWF553"/>
      <c r="VWG553"/>
      <c r="VWH553"/>
      <c r="VWI553"/>
      <c r="VWJ553"/>
      <c r="VWK553"/>
      <c r="VWL553"/>
      <c r="VWM553"/>
      <c r="VWN553"/>
      <c r="VWO553"/>
      <c r="VWP553"/>
      <c r="VWQ553"/>
      <c r="VWR553"/>
      <c r="VWS553"/>
      <c r="VWT553"/>
      <c r="VWU553"/>
      <c r="VWV553"/>
      <c r="VWW553"/>
      <c r="VWX553"/>
      <c r="VWY553"/>
      <c r="VWZ553"/>
      <c r="VXA553"/>
      <c r="VXB553"/>
      <c r="VXC553"/>
      <c r="VXD553"/>
      <c r="VXE553"/>
      <c r="VXF553"/>
      <c r="VXG553"/>
      <c r="VXH553"/>
      <c r="VXI553"/>
      <c r="VXJ553"/>
      <c r="VXK553"/>
      <c r="VXL553"/>
      <c r="VXM553"/>
      <c r="VXN553"/>
      <c r="VXO553"/>
      <c r="VXP553"/>
      <c r="VXQ553"/>
      <c r="VXR553"/>
      <c r="VXS553"/>
      <c r="VXT553"/>
      <c r="VXU553"/>
      <c r="VXV553"/>
      <c r="VXW553"/>
      <c r="VXX553"/>
      <c r="VXY553"/>
      <c r="VXZ553"/>
      <c r="VYA553"/>
      <c r="VYB553"/>
      <c r="VYC553"/>
      <c r="VYD553"/>
      <c r="VYE553"/>
      <c r="VYF553"/>
      <c r="VYG553"/>
      <c r="VYH553"/>
      <c r="VYI553"/>
      <c r="VYJ553"/>
      <c r="VYK553"/>
      <c r="VYL553"/>
      <c r="VYM553"/>
      <c r="VYN553"/>
      <c r="VYO553"/>
      <c r="VYP553"/>
      <c r="VYQ553"/>
      <c r="VYR553"/>
      <c r="VYS553"/>
      <c r="VYT553"/>
      <c r="VYU553"/>
      <c r="VYV553"/>
      <c r="VYW553"/>
      <c r="VYX553"/>
      <c r="VYY553"/>
      <c r="VYZ553"/>
      <c r="VZA553"/>
      <c r="VZB553"/>
      <c r="VZC553"/>
      <c r="VZD553"/>
      <c r="VZE553"/>
      <c r="VZF553"/>
      <c r="VZG553"/>
      <c r="VZH553"/>
      <c r="VZI553"/>
      <c r="VZJ553"/>
      <c r="VZK553"/>
      <c r="VZL553"/>
      <c r="VZM553"/>
      <c r="VZN553"/>
      <c r="VZO553"/>
      <c r="VZP553"/>
      <c r="VZQ553"/>
      <c r="VZR553"/>
      <c r="VZS553"/>
      <c r="VZT553"/>
      <c r="VZU553"/>
      <c r="VZV553"/>
      <c r="VZW553"/>
      <c r="VZX553"/>
      <c r="VZY553"/>
      <c r="VZZ553"/>
      <c r="WAA553"/>
      <c r="WAB553"/>
      <c r="WAC553"/>
      <c r="WAD553"/>
      <c r="WAE553"/>
      <c r="WAF553"/>
      <c r="WAG553"/>
      <c r="WAH553"/>
      <c r="WAI553"/>
      <c r="WAJ553"/>
      <c r="WAK553"/>
      <c r="WAL553"/>
      <c r="WAM553"/>
      <c r="WAN553"/>
      <c r="WAO553"/>
      <c r="WAP553"/>
      <c r="WAQ553"/>
      <c r="WAR553"/>
      <c r="WAS553"/>
      <c r="WAT553"/>
      <c r="WAU553"/>
      <c r="WAV553"/>
      <c r="WAW553"/>
      <c r="WAX553"/>
      <c r="WAY553"/>
      <c r="WAZ553"/>
      <c r="WBA553"/>
      <c r="WBB553"/>
      <c r="WBC553"/>
      <c r="WBD553"/>
      <c r="WBE553"/>
      <c r="WBF553"/>
      <c r="WBG553"/>
      <c r="WBH553"/>
      <c r="WBI553"/>
      <c r="WBJ553"/>
      <c r="WBK553"/>
      <c r="WBL553"/>
      <c r="WBM553"/>
      <c r="WBN553"/>
      <c r="WBO553"/>
      <c r="WBP553"/>
      <c r="WBQ553"/>
      <c r="WBR553"/>
      <c r="WBS553"/>
      <c r="WBT553"/>
      <c r="WBU553"/>
      <c r="WBV553"/>
      <c r="WBW553"/>
      <c r="WBX553"/>
      <c r="WBY553"/>
      <c r="WBZ553"/>
      <c r="WCA553"/>
      <c r="WCB553"/>
      <c r="WCC553"/>
      <c r="WCD553"/>
      <c r="WCE553"/>
      <c r="WCF553"/>
      <c r="WCG553"/>
      <c r="WCH553"/>
      <c r="WCI553"/>
      <c r="WCJ553"/>
      <c r="WCK553"/>
      <c r="WCL553"/>
      <c r="WCM553"/>
      <c r="WCN553"/>
      <c r="WCO553"/>
      <c r="WCP553"/>
      <c r="WCQ553"/>
      <c r="WCR553"/>
      <c r="WCS553"/>
      <c r="WCT553"/>
      <c r="WCU553"/>
      <c r="WCV553"/>
      <c r="WCW553"/>
      <c r="WCX553"/>
      <c r="WCY553"/>
      <c r="WCZ553"/>
      <c r="WDA553"/>
      <c r="WDB553"/>
      <c r="WDC553"/>
      <c r="WDD553"/>
      <c r="WDE553"/>
      <c r="WDF553"/>
      <c r="WDG553"/>
      <c r="WDH553"/>
      <c r="WDI553"/>
      <c r="WDJ553"/>
      <c r="WDK553"/>
      <c r="WDL553"/>
      <c r="WDM553"/>
      <c r="WDN553"/>
      <c r="WDO553"/>
      <c r="WDP553"/>
      <c r="WDQ553"/>
      <c r="WDR553"/>
      <c r="WDS553"/>
      <c r="WDT553"/>
      <c r="WDU553"/>
      <c r="WDV553"/>
      <c r="WDW553"/>
      <c r="WDX553"/>
      <c r="WDY553"/>
      <c r="WDZ553"/>
      <c r="WEA553"/>
      <c r="WEB553"/>
      <c r="WEC553"/>
      <c r="WED553"/>
      <c r="WEE553"/>
      <c r="WEF553"/>
      <c r="WEG553"/>
      <c r="WEH553"/>
      <c r="WEI553"/>
      <c r="WEJ553"/>
      <c r="WEK553"/>
      <c r="WEL553"/>
      <c r="WEM553"/>
      <c r="WEN553"/>
      <c r="WEO553"/>
      <c r="WEP553"/>
      <c r="WEQ553"/>
      <c r="WER553"/>
      <c r="WES553"/>
      <c r="WET553"/>
      <c r="WEU553"/>
      <c r="WEV553"/>
      <c r="WEW553"/>
      <c r="WEX553"/>
      <c r="WEY553"/>
      <c r="WEZ553"/>
      <c r="WFA553"/>
      <c r="WFB553"/>
      <c r="WFC553"/>
      <c r="WFD553"/>
      <c r="WFE553"/>
      <c r="WFF553"/>
      <c r="WFG553"/>
      <c r="WFH553"/>
      <c r="WFI553"/>
      <c r="WFJ553"/>
      <c r="WFK553"/>
      <c r="WFL553"/>
      <c r="WFM553"/>
      <c r="WFN553"/>
      <c r="WFO553"/>
      <c r="WFP553"/>
      <c r="WFQ553"/>
      <c r="WFR553"/>
      <c r="WFS553"/>
      <c r="WFT553"/>
      <c r="WFU553"/>
      <c r="WFV553"/>
      <c r="WFW553"/>
      <c r="WFX553"/>
      <c r="WFY553"/>
      <c r="WFZ553"/>
      <c r="WGA553"/>
      <c r="WGB553"/>
      <c r="WGC553"/>
      <c r="WGD553"/>
      <c r="WGE553"/>
      <c r="WGF553"/>
      <c r="WGG553"/>
      <c r="WGH553"/>
      <c r="WGI553"/>
      <c r="WGJ553"/>
      <c r="WGK553"/>
      <c r="WGL553"/>
      <c r="WGM553"/>
      <c r="WGN553"/>
      <c r="WGO553"/>
      <c r="WGP553"/>
      <c r="WGQ553"/>
      <c r="WGR553"/>
      <c r="WGS553"/>
      <c r="WGT553"/>
      <c r="WGU553"/>
      <c r="WGV553"/>
      <c r="WGW553"/>
      <c r="WGX553"/>
      <c r="WGY553"/>
      <c r="WGZ553"/>
      <c r="WHA553"/>
      <c r="WHB553"/>
      <c r="WHC553"/>
      <c r="WHD553"/>
      <c r="WHE553"/>
      <c r="WHF553"/>
      <c r="WHG553"/>
      <c r="WHH553"/>
      <c r="WHI553"/>
      <c r="WHJ553"/>
      <c r="WHK553"/>
      <c r="WHL553"/>
      <c r="WHM553"/>
      <c r="WHN553"/>
      <c r="WHO553"/>
      <c r="WHP553"/>
      <c r="WHQ553"/>
      <c r="WHR553"/>
      <c r="WHS553"/>
      <c r="WHT553"/>
      <c r="WHU553"/>
      <c r="WHV553"/>
      <c r="WHW553"/>
      <c r="WHX553"/>
      <c r="WHY553"/>
      <c r="WHZ553"/>
      <c r="WIA553"/>
      <c r="WIB553"/>
      <c r="WIC553"/>
      <c r="WID553"/>
      <c r="WIE553"/>
      <c r="WIF553"/>
      <c r="WIG553"/>
      <c r="WIH553"/>
      <c r="WII553"/>
      <c r="WIJ553"/>
      <c r="WIK553"/>
      <c r="WIL553"/>
      <c r="WIM553"/>
      <c r="WIN553"/>
      <c r="WIO553"/>
      <c r="WIP553"/>
      <c r="WIQ553"/>
      <c r="WIR553"/>
      <c r="WIS553"/>
      <c r="WIT553"/>
      <c r="WIU553"/>
      <c r="WIV553"/>
      <c r="WIW553"/>
      <c r="WIX553"/>
      <c r="WIY553"/>
      <c r="WIZ553"/>
      <c r="WJA553"/>
      <c r="WJB553"/>
      <c r="WJC553"/>
      <c r="WJD553"/>
      <c r="WJE553"/>
      <c r="WJF553"/>
      <c r="WJG553"/>
      <c r="WJH553"/>
      <c r="WJI553"/>
      <c r="WJJ553"/>
      <c r="WJK553"/>
      <c r="WJL553"/>
      <c r="WJM553"/>
      <c r="WJN553"/>
      <c r="WJO553"/>
      <c r="WJP553"/>
      <c r="WJQ553"/>
      <c r="WJR553"/>
      <c r="WJS553"/>
      <c r="WJT553"/>
      <c r="WJU553"/>
      <c r="WJV553"/>
      <c r="WJW553"/>
      <c r="WJX553"/>
      <c r="WJY553"/>
      <c r="WJZ553"/>
      <c r="WKA553"/>
      <c r="WKB553"/>
      <c r="WKC553"/>
      <c r="WKD553"/>
      <c r="WKE553"/>
      <c r="WKF553"/>
      <c r="WKG553"/>
      <c r="WKH553"/>
      <c r="WKI553"/>
      <c r="WKJ553"/>
      <c r="WKK553"/>
      <c r="WKL553"/>
      <c r="WKM553"/>
      <c r="WKN553"/>
      <c r="WKO553"/>
      <c r="WKP553"/>
      <c r="WKQ553"/>
      <c r="WKR553"/>
      <c r="WKS553"/>
      <c r="WKT553"/>
      <c r="WKU553"/>
      <c r="WKV553"/>
      <c r="WKW553"/>
      <c r="WKX553"/>
      <c r="WKY553"/>
      <c r="WKZ553"/>
      <c r="WLA553"/>
      <c r="WLB553"/>
      <c r="WLC553"/>
      <c r="WLD553"/>
      <c r="WLE553"/>
      <c r="WLF553"/>
      <c r="WLG553"/>
      <c r="WLH553"/>
      <c r="WLI553"/>
      <c r="WLJ553"/>
      <c r="WLK553"/>
      <c r="WLL553"/>
      <c r="WLM553"/>
      <c r="WLN553"/>
      <c r="WLO553"/>
      <c r="WLP553"/>
      <c r="WLQ553"/>
      <c r="WLR553"/>
      <c r="WLS553"/>
      <c r="WLT553"/>
      <c r="WLU553"/>
      <c r="WLV553"/>
      <c r="WLW553"/>
      <c r="WLX553"/>
      <c r="WLY553"/>
      <c r="WLZ553"/>
      <c r="WMA553"/>
      <c r="WMB553"/>
      <c r="WMC553"/>
      <c r="WMD553"/>
      <c r="WME553"/>
      <c r="WMF553"/>
      <c r="WMG553"/>
      <c r="WMH553"/>
      <c r="WMI553"/>
      <c r="WMJ553"/>
      <c r="WMK553"/>
      <c r="WML553"/>
      <c r="WMM553"/>
      <c r="WMN553"/>
      <c r="WMO553"/>
      <c r="WMP553"/>
      <c r="WMQ553"/>
      <c r="WMR553"/>
      <c r="WMS553"/>
      <c r="WMT553"/>
      <c r="WMU553"/>
      <c r="WMV553"/>
      <c r="WMW553"/>
      <c r="WMX553"/>
      <c r="WMY553"/>
      <c r="WMZ553"/>
      <c r="WNA553"/>
      <c r="WNB553"/>
      <c r="WNC553"/>
      <c r="WND553"/>
      <c r="WNE553"/>
      <c r="WNF553"/>
      <c r="WNG553"/>
      <c r="WNH553"/>
      <c r="WNI553"/>
      <c r="WNJ553"/>
      <c r="WNK553"/>
      <c r="WNL553"/>
      <c r="WNM553"/>
      <c r="WNN553"/>
      <c r="WNO553"/>
      <c r="WNP553"/>
      <c r="WNQ553"/>
      <c r="WNR553"/>
      <c r="WNS553"/>
      <c r="WNT553"/>
      <c r="WNU553"/>
      <c r="WNV553"/>
      <c r="WNW553"/>
      <c r="WNX553"/>
      <c r="WNY553"/>
      <c r="WNZ553"/>
      <c r="WOA553"/>
      <c r="WOB553"/>
      <c r="WOC553"/>
      <c r="WOD553"/>
      <c r="WOE553"/>
      <c r="WOF553"/>
      <c r="WOG553"/>
      <c r="WOH553"/>
      <c r="WOI553"/>
      <c r="WOJ553"/>
      <c r="WOK553"/>
      <c r="WOL553"/>
      <c r="WOM553"/>
      <c r="WON553"/>
      <c r="WOO553"/>
      <c r="WOP553"/>
      <c r="WOQ553"/>
      <c r="WOR553"/>
      <c r="WOS553"/>
      <c r="WOT553"/>
      <c r="WOU553"/>
      <c r="WOV553"/>
      <c r="WOW553"/>
      <c r="WOX553"/>
      <c r="WOY553"/>
      <c r="WOZ553"/>
      <c r="WPA553"/>
      <c r="WPB553"/>
      <c r="WPC553"/>
      <c r="WPD553"/>
      <c r="WPE553"/>
      <c r="WPF553"/>
      <c r="WPG553"/>
      <c r="WPH553"/>
      <c r="WPI553"/>
      <c r="WPJ553"/>
      <c r="WPK553"/>
      <c r="WPL553"/>
      <c r="WPM553"/>
      <c r="WPN553"/>
      <c r="WPO553"/>
      <c r="WPP553"/>
      <c r="WPQ553"/>
      <c r="WPR553"/>
      <c r="WPS553"/>
      <c r="WPT553"/>
      <c r="WPU553"/>
      <c r="WPV553"/>
      <c r="WPW553"/>
      <c r="WPX553"/>
      <c r="WPY553"/>
      <c r="WPZ553"/>
      <c r="WQA553"/>
      <c r="WQB553"/>
      <c r="WQC553"/>
      <c r="WQD553"/>
      <c r="WQE553"/>
      <c r="WQF553"/>
      <c r="WQG553"/>
      <c r="WQH553"/>
      <c r="WQI553"/>
      <c r="WQJ553"/>
      <c r="WQK553"/>
      <c r="WQL553"/>
      <c r="WQM553"/>
      <c r="WQN553"/>
      <c r="WQO553"/>
      <c r="WQP553"/>
      <c r="WQQ553"/>
      <c r="WQR553"/>
      <c r="WQS553"/>
      <c r="WQT553"/>
      <c r="WQU553"/>
      <c r="WQV553"/>
      <c r="WQW553"/>
      <c r="WQX553"/>
      <c r="WQY553"/>
      <c r="WQZ553"/>
      <c r="WRA553"/>
      <c r="WRB553"/>
      <c r="WRC553"/>
      <c r="WRD553"/>
      <c r="WRE553"/>
      <c r="WRF553"/>
      <c r="WRG553"/>
      <c r="WRH553"/>
      <c r="WRI553"/>
      <c r="WRJ553"/>
      <c r="WRK553"/>
      <c r="WRL553"/>
      <c r="WRM553"/>
      <c r="WRN553"/>
      <c r="WRO553"/>
      <c r="WRP553"/>
      <c r="WRQ553"/>
      <c r="WRR553"/>
      <c r="WRS553"/>
      <c r="WRT553"/>
      <c r="WRU553"/>
      <c r="WRV553"/>
      <c r="WRW553"/>
      <c r="WRX553"/>
      <c r="WRY553"/>
      <c r="WRZ553"/>
      <c r="WSA553"/>
      <c r="WSB553"/>
      <c r="WSC553"/>
      <c r="WSD553"/>
      <c r="WSE553"/>
      <c r="WSF553"/>
      <c r="WSG553"/>
      <c r="WSH553"/>
      <c r="WSI553"/>
      <c r="WSJ553"/>
      <c r="WSK553"/>
      <c r="WSL553"/>
      <c r="WSM553"/>
      <c r="WSN553"/>
      <c r="WSO553"/>
      <c r="WSP553"/>
      <c r="WSQ553"/>
      <c r="WSR553"/>
      <c r="WSS553"/>
      <c r="WST553"/>
      <c r="WSU553"/>
      <c r="WSV553"/>
      <c r="WSW553"/>
      <c r="WSX553"/>
      <c r="WSY553"/>
      <c r="WSZ553"/>
      <c r="WTA553"/>
      <c r="WTB553"/>
      <c r="WTC553"/>
      <c r="WTD553"/>
      <c r="WTE553"/>
      <c r="WTF553"/>
      <c r="WTG553"/>
      <c r="WTH553"/>
      <c r="WTI553"/>
      <c r="WTJ553"/>
      <c r="WTK553"/>
      <c r="WTL553"/>
      <c r="WTM553"/>
      <c r="WTN553"/>
      <c r="WTO553"/>
      <c r="WTP553"/>
      <c r="WTQ553"/>
      <c r="WTR553"/>
      <c r="WTS553"/>
      <c r="WTT553"/>
      <c r="WTU553"/>
      <c r="WTV553"/>
      <c r="WTW553"/>
      <c r="WTX553"/>
      <c r="WTY553"/>
      <c r="WTZ553"/>
      <c r="WUA553"/>
      <c r="WUB553"/>
      <c r="WUC553"/>
      <c r="WUD553"/>
      <c r="WUE553"/>
      <c r="WUF553"/>
      <c r="WUG553"/>
      <c r="WUH553"/>
      <c r="WUI553"/>
      <c r="WUJ553"/>
      <c r="WUK553"/>
      <c r="WUL553"/>
      <c r="WUM553"/>
      <c r="WUN553"/>
      <c r="WUO553"/>
      <c r="WUP553"/>
      <c r="WUQ553"/>
      <c r="WUR553"/>
      <c r="WUS553"/>
      <c r="WUT553"/>
      <c r="WUU553"/>
      <c r="WUV553"/>
      <c r="WUW553"/>
      <c r="WUX553"/>
      <c r="WUY553"/>
      <c r="WUZ553"/>
      <c r="WVA553"/>
      <c r="WVB553"/>
      <c r="WVC553"/>
      <c r="WVD553"/>
      <c r="WVE553"/>
      <c r="WVF553"/>
      <c r="WVG553"/>
      <c r="WVH553"/>
      <c r="WVI553"/>
      <c r="WVJ553"/>
      <c r="WVK553"/>
      <c r="WVL553"/>
      <c r="WVM553"/>
      <c r="WVN553"/>
      <c r="WVO553"/>
      <c r="WVP553"/>
      <c r="WVQ553"/>
      <c r="WVR553"/>
      <c r="WVS553"/>
      <c r="WVT553"/>
      <c r="WVU553"/>
      <c r="WVV553"/>
      <c r="WVW553"/>
      <c r="WVX553"/>
      <c r="WVY553"/>
      <c r="WVZ553"/>
      <c r="WWA553"/>
      <c r="WWB553"/>
      <c r="WWC553"/>
      <c r="WWD553"/>
      <c r="WWE553"/>
      <c r="WWF553"/>
      <c r="WWG553"/>
      <c r="WWH553"/>
      <c r="WWI553"/>
      <c r="WWJ553"/>
      <c r="WWK553"/>
      <c r="WWL553"/>
      <c r="WWM553"/>
      <c r="WWN553"/>
      <c r="WWO553"/>
      <c r="WWP553"/>
      <c r="WWQ553"/>
      <c r="WWR553"/>
      <c r="WWS553"/>
      <c r="WWT553"/>
      <c r="WWU553"/>
      <c r="WWV553"/>
      <c r="WWW553"/>
      <c r="WWX553"/>
      <c r="WWY553"/>
      <c r="WWZ553"/>
      <c r="WXA553"/>
      <c r="WXB553"/>
      <c r="WXC553"/>
      <c r="WXD553"/>
      <c r="WXE553"/>
      <c r="WXF553"/>
      <c r="WXG553"/>
      <c r="WXH553"/>
      <c r="WXI553"/>
      <c r="WXJ553"/>
      <c r="WXK553"/>
      <c r="WXL553"/>
      <c r="WXM553"/>
      <c r="WXN553"/>
      <c r="WXO553"/>
      <c r="WXP553"/>
      <c r="WXQ553"/>
      <c r="WXR553"/>
      <c r="WXS553"/>
      <c r="WXT553"/>
      <c r="WXU553"/>
      <c r="WXV553"/>
      <c r="WXW553"/>
      <c r="WXX553"/>
      <c r="WXY553"/>
      <c r="WXZ553"/>
      <c r="WYA553"/>
      <c r="WYB553"/>
      <c r="WYC553"/>
      <c r="WYD553"/>
      <c r="WYE553"/>
      <c r="WYF553"/>
      <c r="WYG553"/>
      <c r="WYH553"/>
      <c r="WYI553"/>
      <c r="WYJ553"/>
      <c r="WYK553"/>
      <c r="WYL553"/>
      <c r="WYM553"/>
      <c r="WYN553"/>
      <c r="WYO553"/>
      <c r="WYP553"/>
      <c r="WYQ553"/>
      <c r="WYR553"/>
      <c r="WYS553"/>
      <c r="WYT553"/>
      <c r="WYU553"/>
      <c r="WYV553"/>
      <c r="WYW553"/>
      <c r="WYX553"/>
      <c r="WYY553"/>
      <c r="WYZ553"/>
      <c r="WZA553"/>
      <c r="WZB553"/>
      <c r="WZC553"/>
      <c r="WZD553"/>
      <c r="WZE553"/>
      <c r="WZF553"/>
      <c r="WZG553"/>
      <c r="WZH553"/>
      <c r="WZI553"/>
      <c r="WZJ553"/>
      <c r="WZK553"/>
      <c r="WZL553"/>
      <c r="WZM553"/>
      <c r="WZN553"/>
      <c r="WZO553"/>
      <c r="WZP553"/>
      <c r="WZQ553"/>
      <c r="WZR553"/>
      <c r="WZS553"/>
      <c r="WZT553"/>
      <c r="WZU553"/>
      <c r="WZV553"/>
      <c r="WZW553"/>
      <c r="WZX553"/>
      <c r="WZY553"/>
      <c r="WZZ553"/>
      <c r="XAA553"/>
      <c r="XAB553"/>
      <c r="XAC553"/>
      <c r="XAD553"/>
      <c r="XAE553"/>
      <c r="XAF553"/>
      <c r="XAG553"/>
      <c r="XAH553"/>
      <c r="XAI553"/>
      <c r="XAJ553"/>
      <c r="XAK553"/>
      <c r="XAL553"/>
      <c r="XAM553"/>
      <c r="XAN553"/>
      <c r="XAO553"/>
      <c r="XAP553"/>
      <c r="XAQ553"/>
      <c r="XAR553"/>
      <c r="XAS553"/>
      <c r="XAT553"/>
      <c r="XAU553"/>
      <c r="XAV553"/>
      <c r="XAW553"/>
      <c r="XAX553"/>
      <c r="XAY553"/>
      <c r="XAZ553"/>
      <c r="XBA553"/>
      <c r="XBB553"/>
      <c r="XBC553"/>
      <c r="XBD553"/>
      <c r="XBE553"/>
      <c r="XBF553"/>
      <c r="XBG553"/>
      <c r="XBH553"/>
      <c r="XBI553"/>
      <c r="XBJ553"/>
      <c r="XBK553"/>
      <c r="XBL553"/>
      <c r="XBM553"/>
      <c r="XBN553"/>
      <c r="XBO553"/>
      <c r="XBP553"/>
      <c r="XBQ553"/>
      <c r="XBR553"/>
      <c r="XBS553"/>
      <c r="XBT553"/>
      <c r="XBU553"/>
      <c r="XBV553"/>
      <c r="XBW553"/>
      <c r="XBX553"/>
      <c r="XBY553"/>
      <c r="XBZ553"/>
      <c r="XCA553"/>
      <c r="XCB553"/>
      <c r="XCC553"/>
      <c r="XCD553"/>
      <c r="XCE553"/>
      <c r="XCF553"/>
      <c r="XCG553"/>
      <c r="XCH553"/>
      <c r="XCI553"/>
      <c r="XCJ553"/>
      <c r="XCK553"/>
      <c r="XCL553"/>
      <c r="XCM553"/>
      <c r="XCN553"/>
      <c r="XCO553"/>
      <c r="XCP553"/>
      <c r="XCQ553"/>
      <c r="XCR553"/>
      <c r="XCS553"/>
      <c r="XCT553"/>
      <c r="XCU553"/>
      <c r="XCV553"/>
      <c r="XCW553"/>
      <c r="XCX553"/>
      <c r="XCY553"/>
      <c r="XCZ553"/>
      <c r="XDA553"/>
      <c r="XDB553"/>
      <c r="XDC553"/>
      <c r="XDD553"/>
      <c r="XDE553"/>
      <c r="XDF553"/>
      <c r="XDG553"/>
      <c r="XDH553"/>
      <c r="XDI553"/>
      <c r="XDJ553"/>
      <c r="XDK553"/>
      <c r="XDL553"/>
      <c r="XDM553"/>
      <c r="XDN553"/>
      <c r="XDO553"/>
      <c r="XDP553"/>
      <c r="XDQ553"/>
      <c r="XDR553"/>
      <c r="XDS553"/>
      <c r="XDT553"/>
      <c r="XDU553"/>
      <c r="XDV553"/>
      <c r="XDW553"/>
      <c r="XDX553"/>
      <c r="XDY553"/>
      <c r="XDZ553"/>
      <c r="XEA553"/>
      <c r="XEB553"/>
      <c r="XEC553"/>
      <c r="XED553"/>
      <c r="XEE553"/>
      <c r="XEF553"/>
      <c r="XEG553"/>
      <c r="XEH553"/>
      <c r="XEI553"/>
      <c r="XEJ553"/>
      <c r="XEK553"/>
      <c r="XEL553"/>
      <c r="XEM553"/>
      <c r="XEN553"/>
      <c r="XEO553"/>
      <c r="XEP553"/>
      <c r="XEQ553"/>
      <c r="XER553"/>
      <c r="XES553"/>
      <c r="XET553"/>
      <c r="XEU553"/>
      <c r="XEV553"/>
      <c r="XEW553"/>
      <c r="XEX553"/>
      <c r="XEY553"/>
      <c r="XEZ553"/>
    </row>
    <row r="554" spans="1:16380">
      <c r="A554" s="389" t="s">
        <v>1515</v>
      </c>
      <c r="B554" s="395" t="s">
        <v>2181</v>
      </c>
      <c r="C554" s="387">
        <v>177.8</v>
      </c>
      <c r="D554" s="387">
        <v>100</v>
      </c>
      <c r="E554" s="387">
        <v>152.4</v>
      </c>
      <c r="F554" s="387">
        <v>137.30000000000001</v>
      </c>
      <c r="G554" s="17">
        <f t="shared" si="57"/>
        <v>2.5754330000000003</v>
      </c>
      <c r="K554" s="59"/>
    </row>
    <row r="555" spans="1:16380">
      <c r="A555" s="389" t="s">
        <v>1516</v>
      </c>
      <c r="B555" s="395" t="s">
        <v>2181</v>
      </c>
      <c r="C555" s="387">
        <v>177.8</v>
      </c>
      <c r="D555" s="387">
        <v>100</v>
      </c>
      <c r="E555" s="387">
        <v>152.4</v>
      </c>
      <c r="F555" s="387">
        <v>127</v>
      </c>
      <c r="G555" s="17">
        <f t="shared" si="57"/>
        <v>2.4838659999999999</v>
      </c>
      <c r="K555" s="59"/>
    </row>
    <row r="556" spans="1:16380">
      <c r="A556" s="397" t="s">
        <v>1542</v>
      </c>
      <c r="B556" s="461" t="s">
        <v>2181</v>
      </c>
      <c r="C556" s="393">
        <v>203.2</v>
      </c>
      <c r="D556" s="393">
        <v>171.5</v>
      </c>
      <c r="E556" s="393">
        <v>76.2</v>
      </c>
      <c r="F556" s="393">
        <v>69.900000000000006</v>
      </c>
      <c r="G556" s="17">
        <f>((E556+F556)/2)*D556*C556/10^6</f>
        <v>2.5457048400000004</v>
      </c>
      <c r="K556" s="59"/>
    </row>
    <row r="557" spans="1:16380">
      <c r="A557" s="397" t="s">
        <v>1541</v>
      </c>
      <c r="B557" s="461" t="s">
        <v>2181</v>
      </c>
      <c r="C557" s="393">
        <v>203.2</v>
      </c>
      <c r="D557" s="393">
        <v>171.5</v>
      </c>
      <c r="E557" s="393">
        <v>76.2</v>
      </c>
      <c r="F557" s="393">
        <v>63.5</v>
      </c>
      <c r="G557" s="17">
        <f t="shared" si="57"/>
        <v>2.4341886799999997</v>
      </c>
      <c r="K557" s="59"/>
    </row>
    <row r="558" spans="1:16380">
      <c r="A558" s="397" t="s">
        <v>1543</v>
      </c>
      <c r="B558" s="461" t="s">
        <v>2181</v>
      </c>
      <c r="C558" s="393">
        <v>203.2</v>
      </c>
      <c r="D558" s="393">
        <v>171.5</v>
      </c>
      <c r="E558" s="393">
        <v>100</v>
      </c>
      <c r="F558" s="393">
        <v>95</v>
      </c>
      <c r="G558" s="17">
        <f t="shared" si="57"/>
        <v>3.3977580000000001</v>
      </c>
      <c r="K558" s="59"/>
    </row>
    <row r="559" spans="1:16380">
      <c r="A559" s="397" t="s">
        <v>1540</v>
      </c>
      <c r="B559" s="461" t="s">
        <v>2181</v>
      </c>
      <c r="C559" s="393">
        <v>203.2</v>
      </c>
      <c r="D559" s="393">
        <v>171.5</v>
      </c>
      <c r="E559" s="393">
        <v>100</v>
      </c>
      <c r="F559" s="393">
        <v>90</v>
      </c>
      <c r="G559" s="17">
        <f t="shared" si="57"/>
        <v>3.3106360000000001</v>
      </c>
      <c r="K559" s="59"/>
    </row>
    <row r="560" spans="1:16380">
      <c r="A560" s="377" t="s">
        <v>1549</v>
      </c>
      <c r="B560" s="462" t="s">
        <v>2181</v>
      </c>
      <c r="C560" s="396">
        <v>228.6</v>
      </c>
      <c r="D560" s="396">
        <v>114.3</v>
      </c>
      <c r="E560" s="396">
        <v>76.2</v>
      </c>
      <c r="F560" s="396">
        <v>73</v>
      </c>
      <c r="G560" s="17">
        <f t="shared" ref="G560:G599" si="58">((E560+F560)/2)*D560*C560/10^6</f>
        <v>1.9492219079999995</v>
      </c>
      <c r="K560" s="59"/>
    </row>
    <row r="561" spans="1:11">
      <c r="A561" s="377" t="s">
        <v>1544</v>
      </c>
      <c r="B561" s="462" t="s">
        <v>2181</v>
      </c>
      <c r="C561" s="396">
        <v>228.6</v>
      </c>
      <c r="D561" s="396">
        <v>114.3</v>
      </c>
      <c r="E561" s="396">
        <v>76.2</v>
      </c>
      <c r="F561" s="396">
        <v>69.900000000000006</v>
      </c>
      <c r="G561" s="17">
        <f t="shared" si="58"/>
        <v>1.9087219890000002</v>
      </c>
      <c r="K561" s="59"/>
    </row>
    <row r="562" spans="1:11">
      <c r="A562" s="377" t="s">
        <v>1547</v>
      </c>
      <c r="B562" s="462" t="s">
        <v>2181</v>
      </c>
      <c r="C562" s="396">
        <v>228.6</v>
      </c>
      <c r="D562" s="396">
        <v>114.3</v>
      </c>
      <c r="E562" s="396">
        <v>76.2</v>
      </c>
      <c r="F562" s="396">
        <v>63.5</v>
      </c>
      <c r="G562" s="17">
        <f t="shared" si="58"/>
        <v>1.8251092529999997</v>
      </c>
      <c r="K562" s="59"/>
    </row>
    <row r="563" spans="1:11">
      <c r="A563" s="377" t="s">
        <v>1525</v>
      </c>
      <c r="B563" s="462" t="s">
        <v>2181</v>
      </c>
      <c r="C563" s="396">
        <v>228.6</v>
      </c>
      <c r="D563" s="396">
        <v>114.3</v>
      </c>
      <c r="E563" s="396">
        <v>76.2</v>
      </c>
      <c r="F563" s="396">
        <v>50.8</v>
      </c>
      <c r="G563" s="17">
        <f t="shared" si="58"/>
        <v>1.6591902299999999</v>
      </c>
      <c r="K563" s="59"/>
    </row>
    <row r="564" spans="1:11">
      <c r="A564" s="377" t="s">
        <v>1554</v>
      </c>
      <c r="B564" s="462" t="s">
        <v>2181</v>
      </c>
      <c r="C564" s="396">
        <v>228.6</v>
      </c>
      <c r="D564" s="396">
        <v>114.3</v>
      </c>
      <c r="E564" s="396">
        <v>76.2</v>
      </c>
      <c r="F564" s="396">
        <v>38.1</v>
      </c>
      <c r="G564" s="17">
        <f t="shared" si="58"/>
        <v>1.4932712070000003</v>
      </c>
      <c r="K564" s="59"/>
    </row>
    <row r="565" spans="1:11">
      <c r="A565" s="377" t="s">
        <v>1526</v>
      </c>
      <c r="B565" s="462" t="s">
        <v>2181</v>
      </c>
      <c r="C565" s="396">
        <v>228.6</v>
      </c>
      <c r="D565" s="396">
        <v>114.3</v>
      </c>
      <c r="E565" s="396">
        <v>76.2</v>
      </c>
      <c r="F565" s="396">
        <v>25.4</v>
      </c>
      <c r="G565" s="17">
        <f t="shared" si="58"/>
        <v>1.327352184</v>
      </c>
      <c r="K565" s="59"/>
    </row>
    <row r="566" spans="1:11">
      <c r="A566" s="377" t="s">
        <v>1560</v>
      </c>
      <c r="B566" s="462" t="s">
        <v>2181</v>
      </c>
      <c r="C566" s="396">
        <v>229.6</v>
      </c>
      <c r="D566" s="396">
        <v>114.3</v>
      </c>
      <c r="E566" s="396">
        <v>100</v>
      </c>
      <c r="F566" s="396">
        <v>95</v>
      </c>
      <c r="G566" s="17">
        <f t="shared" si="58"/>
        <v>2.5587198</v>
      </c>
      <c r="K566" s="59"/>
    </row>
    <row r="567" spans="1:11">
      <c r="A567" s="377" t="s">
        <v>1556</v>
      </c>
      <c r="B567" s="462" t="s">
        <v>2181</v>
      </c>
      <c r="C567" s="396">
        <v>228.6</v>
      </c>
      <c r="D567" s="396">
        <v>114.3</v>
      </c>
      <c r="E567" s="396">
        <v>100</v>
      </c>
      <c r="F567" s="396">
        <v>90</v>
      </c>
      <c r="G567" s="17">
        <f t="shared" si="58"/>
        <v>2.4822530999999999</v>
      </c>
      <c r="K567" s="59"/>
    </row>
    <row r="568" spans="1:11">
      <c r="A568" s="377" t="s">
        <v>1530</v>
      </c>
      <c r="B568" s="462" t="s">
        <v>2181</v>
      </c>
      <c r="C568" s="396">
        <v>228.6</v>
      </c>
      <c r="D568" s="396">
        <v>114.3</v>
      </c>
      <c r="E568" s="396">
        <v>101.6</v>
      </c>
      <c r="F568" s="396">
        <v>76.2</v>
      </c>
      <c r="G568" s="17">
        <f t="shared" si="58"/>
        <v>2.3228663220000003</v>
      </c>
      <c r="K568" s="59"/>
    </row>
    <row r="569" spans="1:11">
      <c r="A569" s="377" t="s">
        <v>1557</v>
      </c>
      <c r="B569" s="462" t="s">
        <v>2181</v>
      </c>
      <c r="C569" s="396">
        <v>228.6</v>
      </c>
      <c r="D569" s="396">
        <v>114.3</v>
      </c>
      <c r="E569" s="396">
        <v>101.6</v>
      </c>
      <c r="F569" s="396">
        <v>69.900000000000006</v>
      </c>
      <c r="G569" s="17">
        <f t="shared" si="58"/>
        <v>2.2405600350000001</v>
      </c>
      <c r="K569" s="59"/>
    </row>
    <row r="570" spans="1:11">
      <c r="A570" s="377" t="s">
        <v>1558</v>
      </c>
      <c r="B570" s="462" t="s">
        <v>2181</v>
      </c>
      <c r="C570" s="396">
        <v>228.6</v>
      </c>
      <c r="D570" s="396">
        <v>114.3</v>
      </c>
      <c r="E570" s="396">
        <v>101.6</v>
      </c>
      <c r="F570" s="396">
        <v>63.5</v>
      </c>
      <c r="G570" s="17">
        <f t="shared" si="58"/>
        <v>2.156947299</v>
      </c>
      <c r="K570" s="59"/>
    </row>
    <row r="571" spans="1:11">
      <c r="A571" s="377" t="s">
        <v>1534</v>
      </c>
      <c r="B571" s="462" t="s">
        <v>2181</v>
      </c>
      <c r="C571" s="396">
        <v>228.6</v>
      </c>
      <c r="D571" s="396">
        <v>127</v>
      </c>
      <c r="E571" s="396">
        <v>76.2</v>
      </c>
      <c r="F571" s="396">
        <v>69.900000000000006</v>
      </c>
      <c r="G571" s="17">
        <f t="shared" si="58"/>
        <v>2.1208022100000004</v>
      </c>
      <c r="K571" s="59"/>
    </row>
    <row r="572" spans="1:11">
      <c r="A572" s="377" t="s">
        <v>1537</v>
      </c>
      <c r="B572" s="462" t="s">
        <v>2181</v>
      </c>
      <c r="C572" s="396">
        <v>228.6</v>
      </c>
      <c r="D572" s="396">
        <v>127</v>
      </c>
      <c r="E572" s="396">
        <v>76.2</v>
      </c>
      <c r="F572" s="396">
        <v>63.5</v>
      </c>
      <c r="G572" s="17">
        <f t="shared" si="58"/>
        <v>2.0278991699999995</v>
      </c>
      <c r="K572" s="59"/>
    </row>
    <row r="573" spans="1:11">
      <c r="A573" s="377" t="s">
        <v>1538</v>
      </c>
      <c r="B573" s="462" t="s">
        <v>2181</v>
      </c>
      <c r="C573" s="396">
        <v>228.6</v>
      </c>
      <c r="D573" s="396">
        <v>127</v>
      </c>
      <c r="E573" s="396">
        <v>76.2</v>
      </c>
      <c r="F573" s="396">
        <v>50.8</v>
      </c>
      <c r="G573" s="17">
        <f t="shared" si="58"/>
        <v>1.8435447</v>
      </c>
      <c r="K573" s="59"/>
    </row>
    <row r="574" spans="1:11">
      <c r="A574" s="377" t="s">
        <v>1539</v>
      </c>
      <c r="B574" s="462" t="s">
        <v>2181</v>
      </c>
      <c r="C574" s="396">
        <v>228.6</v>
      </c>
      <c r="D574" s="396">
        <v>127</v>
      </c>
      <c r="E574" s="396">
        <v>76.2</v>
      </c>
      <c r="F574" s="396">
        <v>38.1</v>
      </c>
      <c r="G574" s="17">
        <f t="shared" si="58"/>
        <v>1.6591902300000003</v>
      </c>
      <c r="K574" s="59"/>
    </row>
    <row r="575" spans="1:11">
      <c r="A575" s="377" t="s">
        <v>1533</v>
      </c>
      <c r="B575" s="462" t="s">
        <v>2181</v>
      </c>
      <c r="C575" s="396">
        <v>228.6</v>
      </c>
      <c r="D575" s="396">
        <v>127</v>
      </c>
      <c r="E575" s="396">
        <v>100</v>
      </c>
      <c r="F575" s="396">
        <v>95</v>
      </c>
      <c r="G575" s="17">
        <f t="shared" si="58"/>
        <v>2.8306395000000002</v>
      </c>
      <c r="K575" s="59"/>
    </row>
    <row r="576" spans="1:11">
      <c r="A576" s="377" t="s">
        <v>1536</v>
      </c>
      <c r="B576" s="462" t="s">
        <v>2181</v>
      </c>
      <c r="C576" s="396">
        <v>228.6</v>
      </c>
      <c r="D576" s="396">
        <v>127</v>
      </c>
      <c r="E576" s="396">
        <v>100</v>
      </c>
      <c r="F576" s="396">
        <v>90</v>
      </c>
      <c r="G576" s="17">
        <f t="shared" si="58"/>
        <v>2.7580589999999998</v>
      </c>
      <c r="K576" s="59"/>
    </row>
    <row r="577" spans="1:11">
      <c r="A577" s="377" t="s">
        <v>1527</v>
      </c>
      <c r="B577" s="462" t="s">
        <v>2181</v>
      </c>
      <c r="C577" s="396">
        <v>228.6</v>
      </c>
      <c r="D577" s="396">
        <v>152.4</v>
      </c>
      <c r="E577" s="396">
        <v>76.2</v>
      </c>
      <c r="F577" s="396">
        <v>73</v>
      </c>
      <c r="G577" s="17">
        <f t="shared" si="58"/>
        <v>2.5989625439999999</v>
      </c>
      <c r="K577" s="59"/>
    </row>
    <row r="578" spans="1:11">
      <c r="A578" s="377" t="s">
        <v>1523</v>
      </c>
      <c r="B578" s="462" t="s">
        <v>2181</v>
      </c>
      <c r="C578" s="396">
        <v>228.6</v>
      </c>
      <c r="D578" s="396">
        <v>152.4</v>
      </c>
      <c r="E578" s="396">
        <v>76.2</v>
      </c>
      <c r="F578" s="396">
        <v>69.900000000000006</v>
      </c>
      <c r="G578" s="17">
        <f t="shared" si="58"/>
        <v>2.5449626520000002</v>
      </c>
      <c r="K578" s="59"/>
    </row>
    <row r="579" spans="1:11">
      <c r="A579" s="377" t="s">
        <v>1519</v>
      </c>
      <c r="B579" s="462" t="s">
        <v>2181</v>
      </c>
      <c r="C579" s="396">
        <v>228.6</v>
      </c>
      <c r="D579" s="396">
        <v>152.4</v>
      </c>
      <c r="E579" s="396">
        <v>76.2</v>
      </c>
      <c r="F579" s="396">
        <v>63.5</v>
      </c>
      <c r="G579" s="17">
        <f t="shared" si="58"/>
        <v>2.4334790039999996</v>
      </c>
      <c r="K579" s="59"/>
    </row>
    <row r="580" spans="1:11">
      <c r="A580" s="377" t="s">
        <v>1520</v>
      </c>
      <c r="B580" s="462" t="s">
        <v>2181</v>
      </c>
      <c r="C580" s="396">
        <v>228.6</v>
      </c>
      <c r="D580" s="396">
        <v>152.4</v>
      </c>
      <c r="E580" s="396">
        <v>76.2</v>
      </c>
      <c r="F580" s="396">
        <v>50.8</v>
      </c>
      <c r="G580" s="17">
        <f t="shared" si="58"/>
        <v>2.2122536399999997</v>
      </c>
      <c r="K580" s="59"/>
    </row>
    <row r="581" spans="1:11">
      <c r="A581" s="377" t="s">
        <v>1532</v>
      </c>
      <c r="B581" s="462" t="s">
        <v>2181</v>
      </c>
      <c r="C581" s="396">
        <v>228.6</v>
      </c>
      <c r="D581" s="396">
        <v>152.4</v>
      </c>
      <c r="E581" s="396">
        <v>76.2</v>
      </c>
      <c r="F581" s="396">
        <v>38.1</v>
      </c>
      <c r="G581" s="17">
        <f t="shared" si="58"/>
        <v>1.9910282760000002</v>
      </c>
      <c r="K581" s="59"/>
    </row>
    <row r="582" spans="1:11">
      <c r="A582" s="377" t="s">
        <v>1531</v>
      </c>
      <c r="B582" s="462" t="s">
        <v>2181</v>
      </c>
      <c r="C582" s="396">
        <v>228.6</v>
      </c>
      <c r="D582" s="396">
        <v>152.4</v>
      </c>
      <c r="E582" s="396">
        <v>88.9</v>
      </c>
      <c r="F582" s="396">
        <v>76.2</v>
      </c>
      <c r="G582" s="17">
        <f t="shared" si="58"/>
        <v>2.8759297320000003</v>
      </c>
      <c r="K582" s="59"/>
    </row>
    <row r="583" spans="1:11">
      <c r="A583" s="377" t="s">
        <v>1551</v>
      </c>
      <c r="B583" s="462" t="s">
        <v>2181</v>
      </c>
      <c r="C583" s="396">
        <v>228.6</v>
      </c>
      <c r="D583" s="396">
        <v>152.4</v>
      </c>
      <c r="E583" s="396">
        <v>88.9</v>
      </c>
      <c r="F583" s="396">
        <v>69.900000000000006</v>
      </c>
      <c r="G583" s="17">
        <f t="shared" si="58"/>
        <v>2.7661880160000001</v>
      </c>
      <c r="K583" s="59"/>
    </row>
    <row r="584" spans="1:11">
      <c r="A584" s="377" t="s">
        <v>1552</v>
      </c>
      <c r="B584" s="462" t="s">
        <v>2181</v>
      </c>
      <c r="C584" s="396">
        <v>228.6</v>
      </c>
      <c r="D584" s="396">
        <v>152.4</v>
      </c>
      <c r="E584" s="396">
        <v>88.9</v>
      </c>
      <c r="F584" s="396">
        <v>63.5</v>
      </c>
      <c r="G584" s="17">
        <f t="shared" si="58"/>
        <v>2.6547043680000004</v>
      </c>
      <c r="K584" s="59"/>
    </row>
    <row r="585" spans="1:11">
      <c r="A585" s="377" t="s">
        <v>1555</v>
      </c>
      <c r="B585" s="462" t="s">
        <v>2181</v>
      </c>
      <c r="C585" s="396">
        <v>228.6</v>
      </c>
      <c r="D585" s="396">
        <v>171.5</v>
      </c>
      <c r="E585" s="396">
        <v>76.2</v>
      </c>
      <c r="F585" s="396">
        <v>73</v>
      </c>
      <c r="G585" s="17">
        <f t="shared" si="58"/>
        <v>2.92468554</v>
      </c>
      <c r="K585" s="59"/>
    </row>
    <row r="586" spans="1:11">
      <c r="A586" s="377" t="s">
        <v>1546</v>
      </c>
      <c r="B586" s="462" t="s">
        <v>2181</v>
      </c>
      <c r="C586" s="396">
        <v>228.6</v>
      </c>
      <c r="D586" s="396">
        <v>171.5</v>
      </c>
      <c r="E586" s="396">
        <v>76.2</v>
      </c>
      <c r="F586" s="396">
        <v>69.900000000000006</v>
      </c>
      <c r="G586" s="17">
        <f t="shared" si="58"/>
        <v>2.8639179450000003</v>
      </c>
      <c r="K586" s="59"/>
    </row>
    <row r="587" spans="1:11">
      <c r="A587" s="377" t="s">
        <v>1548</v>
      </c>
      <c r="B587" s="462" t="s">
        <v>2181</v>
      </c>
      <c r="C587" s="396">
        <v>228.6</v>
      </c>
      <c r="D587" s="396">
        <v>171.5</v>
      </c>
      <c r="E587" s="396">
        <v>76.2</v>
      </c>
      <c r="F587" s="396">
        <v>63.5</v>
      </c>
      <c r="G587" s="17">
        <f t="shared" si="58"/>
        <v>2.7384622649999995</v>
      </c>
      <c r="K587" s="59"/>
    </row>
    <row r="588" spans="1:11">
      <c r="A588" s="377" t="s">
        <v>1517</v>
      </c>
      <c r="B588" s="462" t="s">
        <v>2181</v>
      </c>
      <c r="C588" s="396">
        <v>228.6</v>
      </c>
      <c r="D588" s="396">
        <v>171.5</v>
      </c>
      <c r="E588" s="396">
        <v>76.2</v>
      </c>
      <c r="F588" s="396">
        <v>50.8</v>
      </c>
      <c r="G588" s="17">
        <f t="shared" si="58"/>
        <v>2.4895111499999998</v>
      </c>
      <c r="K588" s="59"/>
    </row>
    <row r="589" spans="1:11">
      <c r="A589" s="377" t="s">
        <v>1550</v>
      </c>
      <c r="B589" s="462" t="s">
        <v>2181</v>
      </c>
      <c r="C589" s="396">
        <v>228.6</v>
      </c>
      <c r="D589" s="396">
        <v>171.5</v>
      </c>
      <c r="E589" s="396">
        <v>63.5</v>
      </c>
      <c r="F589" s="396">
        <v>38.1</v>
      </c>
      <c r="G589" s="17">
        <f t="shared" si="58"/>
        <v>1.9916089199999998</v>
      </c>
      <c r="K589" s="59"/>
    </row>
    <row r="590" spans="1:11">
      <c r="A590" s="377" t="s">
        <v>1545</v>
      </c>
      <c r="B590" s="462" t="s">
        <v>2181</v>
      </c>
      <c r="C590" s="396">
        <v>228.6</v>
      </c>
      <c r="D590" s="396">
        <v>171.5</v>
      </c>
      <c r="E590" s="396">
        <v>100</v>
      </c>
      <c r="F590" s="396">
        <v>90</v>
      </c>
      <c r="G590" s="17">
        <f t="shared" si="58"/>
        <v>3.7244655</v>
      </c>
      <c r="K590" s="59"/>
    </row>
    <row r="591" spans="1:11">
      <c r="A591" s="377" t="s">
        <v>1528</v>
      </c>
      <c r="B591" s="462" t="s">
        <v>2181</v>
      </c>
      <c r="C591" s="396">
        <v>228.6</v>
      </c>
      <c r="D591" s="396">
        <v>228.6</v>
      </c>
      <c r="E591" s="396">
        <v>76.2</v>
      </c>
      <c r="F591" s="396">
        <v>73</v>
      </c>
      <c r="G591" s="17">
        <f t="shared" si="58"/>
        <v>3.898443815999999</v>
      </c>
      <c r="K591" s="59"/>
    </row>
    <row r="592" spans="1:11">
      <c r="A592" s="377" t="s">
        <v>1524</v>
      </c>
      <c r="B592" s="462" t="s">
        <v>2181</v>
      </c>
      <c r="C592" s="396">
        <v>228.6</v>
      </c>
      <c r="D592" s="396">
        <v>228.6</v>
      </c>
      <c r="E592" s="396">
        <v>76.2</v>
      </c>
      <c r="F592" s="396">
        <v>69.900000000000006</v>
      </c>
      <c r="G592" s="17">
        <f t="shared" si="58"/>
        <v>3.8174439780000005</v>
      </c>
      <c r="K592" s="59"/>
    </row>
    <row r="593" spans="1:11">
      <c r="A593" s="377" t="s">
        <v>1521</v>
      </c>
      <c r="B593" s="462" t="s">
        <v>2181</v>
      </c>
      <c r="C593" s="396">
        <v>228.6</v>
      </c>
      <c r="D593" s="396">
        <v>228.6</v>
      </c>
      <c r="E593" s="396">
        <v>76.2</v>
      </c>
      <c r="F593" s="396">
        <v>63.5</v>
      </c>
      <c r="G593" s="17">
        <f t="shared" si="58"/>
        <v>3.6502185059999994</v>
      </c>
      <c r="K593" s="59"/>
    </row>
    <row r="594" spans="1:11">
      <c r="A594" s="377" t="s">
        <v>1522</v>
      </c>
      <c r="B594" s="462" t="s">
        <v>2181</v>
      </c>
      <c r="C594" s="396">
        <v>228.6</v>
      </c>
      <c r="D594" s="396">
        <v>228.6</v>
      </c>
      <c r="E594" s="396">
        <v>76.2</v>
      </c>
      <c r="F594" s="396">
        <v>50.8</v>
      </c>
      <c r="G594" s="17">
        <f t="shared" si="58"/>
        <v>3.3183804599999998</v>
      </c>
      <c r="K594" s="59"/>
    </row>
    <row r="595" spans="1:11">
      <c r="A595" s="377" t="s">
        <v>1518</v>
      </c>
      <c r="B595" s="462" t="s">
        <v>2181</v>
      </c>
      <c r="C595" s="396">
        <v>228.6</v>
      </c>
      <c r="D595" s="396">
        <v>228.6</v>
      </c>
      <c r="E595" s="396">
        <v>76.2</v>
      </c>
      <c r="F595" s="396">
        <v>25.4</v>
      </c>
      <c r="G595" s="17">
        <f t="shared" si="58"/>
        <v>2.654704368</v>
      </c>
      <c r="K595" s="59"/>
    </row>
    <row r="596" spans="1:11">
      <c r="A596" s="377" t="s">
        <v>1529</v>
      </c>
      <c r="B596" s="462" t="s">
        <v>2181</v>
      </c>
      <c r="C596" s="396">
        <v>228.6</v>
      </c>
      <c r="D596" s="396">
        <v>228.6</v>
      </c>
      <c r="E596" s="396">
        <v>88.9</v>
      </c>
      <c r="F596" s="396">
        <v>76.2</v>
      </c>
      <c r="G596" s="17">
        <f t="shared" si="58"/>
        <v>4.313894598000001</v>
      </c>
      <c r="K596" s="59"/>
    </row>
    <row r="597" spans="1:11">
      <c r="A597" s="377" t="s">
        <v>1559</v>
      </c>
      <c r="B597" s="462" t="s">
        <v>2181</v>
      </c>
      <c r="C597" s="396">
        <v>228.6</v>
      </c>
      <c r="D597" s="396">
        <v>228.6</v>
      </c>
      <c r="E597" s="396">
        <v>88.9</v>
      </c>
      <c r="F597" s="396">
        <v>73</v>
      </c>
      <c r="G597" s="17">
        <f t="shared" si="58"/>
        <v>4.2302818620000009</v>
      </c>
      <c r="K597" s="59"/>
    </row>
    <row r="598" spans="1:11">
      <c r="A598" s="377" t="s">
        <v>1553</v>
      </c>
      <c r="B598" s="462" t="s">
        <v>2181</v>
      </c>
      <c r="C598" s="396">
        <v>228.6</v>
      </c>
      <c r="D598" s="396">
        <v>228.6</v>
      </c>
      <c r="E598" s="396">
        <v>88.9</v>
      </c>
      <c r="F598" s="396">
        <v>69.900000000000006</v>
      </c>
      <c r="G598" s="17">
        <f t="shared" si="58"/>
        <v>4.1492820239999997</v>
      </c>
      <c r="K598" s="59"/>
    </row>
    <row r="599" spans="1:11">
      <c r="A599" s="377" t="s">
        <v>1535</v>
      </c>
      <c r="B599" s="462" t="s">
        <v>2181</v>
      </c>
      <c r="C599" s="396">
        <v>228.6</v>
      </c>
      <c r="D599" s="396">
        <v>228.6</v>
      </c>
      <c r="E599" s="396">
        <v>100</v>
      </c>
      <c r="F599" s="396">
        <v>95</v>
      </c>
      <c r="G599" s="17">
        <f t="shared" si="58"/>
        <v>5.0951510999999998</v>
      </c>
      <c r="K599" s="59"/>
    </row>
    <row r="600" spans="1:11">
      <c r="A600" s="448" t="s">
        <v>1586</v>
      </c>
      <c r="B600" s="463" t="s">
        <v>2181</v>
      </c>
      <c r="C600" s="449">
        <v>304.8</v>
      </c>
      <c r="D600" s="449">
        <v>114.3</v>
      </c>
      <c r="E600" s="449">
        <v>76.2</v>
      </c>
      <c r="F600" s="449">
        <v>73</v>
      </c>
      <c r="G600" s="17">
        <f t="shared" ref="G600:G627" si="59">((E600+F600)/2)*D600*C600/10^6</f>
        <v>2.5989625439999999</v>
      </c>
      <c r="K600" s="59"/>
    </row>
    <row r="601" spans="1:11">
      <c r="A601" s="448" t="s">
        <v>1581</v>
      </c>
      <c r="B601" s="463" t="s">
        <v>2181</v>
      </c>
      <c r="C601" s="449">
        <v>304.8</v>
      </c>
      <c r="D601" s="449">
        <v>114.3</v>
      </c>
      <c r="E601" s="449">
        <v>76.2</v>
      </c>
      <c r="F601" s="449">
        <v>69.900000000000006</v>
      </c>
      <c r="G601" s="17">
        <f t="shared" si="59"/>
        <v>2.5449626520000006</v>
      </c>
      <c r="K601" s="59"/>
    </row>
    <row r="602" spans="1:11">
      <c r="A602" s="448" t="s">
        <v>1582</v>
      </c>
      <c r="B602" s="463" t="s">
        <v>2181</v>
      </c>
      <c r="C602" s="449">
        <v>304.8</v>
      </c>
      <c r="D602" s="449">
        <v>114.3</v>
      </c>
      <c r="E602" s="449">
        <v>76.2</v>
      </c>
      <c r="F602" s="449">
        <v>63.5</v>
      </c>
      <c r="G602" s="17">
        <f t="shared" si="59"/>
        <v>2.4334790040000001</v>
      </c>
      <c r="K602" s="59"/>
    </row>
    <row r="603" spans="1:11">
      <c r="A603" s="448" t="s">
        <v>1561</v>
      </c>
      <c r="B603" s="463" t="s">
        <v>2181</v>
      </c>
      <c r="C603" s="449">
        <v>304.8</v>
      </c>
      <c r="D603" s="449">
        <v>114.3</v>
      </c>
      <c r="E603" s="449">
        <v>76.2</v>
      </c>
      <c r="F603" s="449">
        <v>50.8</v>
      </c>
      <c r="G603" s="17">
        <f t="shared" si="59"/>
        <v>2.2122536400000001</v>
      </c>
      <c r="K603" s="59"/>
    </row>
    <row r="604" spans="1:11">
      <c r="A604" s="448" t="s">
        <v>1567</v>
      </c>
      <c r="B604" s="463" t="s">
        <v>2181</v>
      </c>
      <c r="C604" s="449">
        <v>304.8</v>
      </c>
      <c r="D604" s="449">
        <v>114.3</v>
      </c>
      <c r="E604" s="449">
        <v>76.2</v>
      </c>
      <c r="F604" s="449">
        <v>25.4</v>
      </c>
      <c r="G604" s="17">
        <f t="shared" si="59"/>
        <v>1.7698029120000001</v>
      </c>
      <c r="K604" s="59"/>
    </row>
    <row r="605" spans="1:11">
      <c r="A605" s="448" t="s">
        <v>1576</v>
      </c>
      <c r="B605" s="463" t="s">
        <v>2181</v>
      </c>
      <c r="C605" s="449">
        <v>304.8</v>
      </c>
      <c r="D605" s="449">
        <v>114.3</v>
      </c>
      <c r="E605" s="449">
        <v>102</v>
      </c>
      <c r="F605" s="449">
        <v>82</v>
      </c>
      <c r="G605" s="17">
        <f t="shared" si="59"/>
        <v>3.2051548800000003</v>
      </c>
      <c r="K605" s="59"/>
    </row>
    <row r="606" spans="1:11">
      <c r="A606" s="448" t="s">
        <v>1570</v>
      </c>
      <c r="B606" s="463" t="s">
        <v>2181</v>
      </c>
      <c r="C606" s="449">
        <v>304.8</v>
      </c>
      <c r="D606" s="449">
        <v>152.4</v>
      </c>
      <c r="E606" s="449">
        <v>76.2</v>
      </c>
      <c r="F606" s="449">
        <v>73</v>
      </c>
      <c r="G606" s="17">
        <f t="shared" si="59"/>
        <v>3.4652833919999999</v>
      </c>
      <c r="K606" s="59"/>
    </row>
    <row r="607" spans="1:11">
      <c r="A607" s="448" t="s">
        <v>1568</v>
      </c>
      <c r="B607" s="463" t="s">
        <v>2181</v>
      </c>
      <c r="C607" s="449">
        <v>304.8</v>
      </c>
      <c r="D607" s="449">
        <v>152.4</v>
      </c>
      <c r="E607" s="449">
        <v>76.2</v>
      </c>
      <c r="F607" s="449">
        <v>69.900000000000006</v>
      </c>
      <c r="G607" s="17">
        <f t="shared" si="59"/>
        <v>3.3932835360000007</v>
      </c>
      <c r="K607" s="59"/>
    </row>
    <row r="608" spans="1:11">
      <c r="A608" s="448" t="s">
        <v>1564</v>
      </c>
      <c r="B608" s="463" t="s">
        <v>2181</v>
      </c>
      <c r="C608" s="449">
        <v>304.8</v>
      </c>
      <c r="D608" s="449">
        <v>152.4</v>
      </c>
      <c r="E608" s="449">
        <v>76.2</v>
      </c>
      <c r="F608" s="449">
        <v>63.5</v>
      </c>
      <c r="G608" s="17">
        <f t="shared" si="59"/>
        <v>3.2446386719999998</v>
      </c>
      <c r="K608" s="59"/>
    </row>
    <row r="609" spans="1:11">
      <c r="A609" s="448" t="s">
        <v>1562</v>
      </c>
      <c r="B609" s="463" t="s">
        <v>2181</v>
      </c>
      <c r="C609" s="449">
        <v>304.8</v>
      </c>
      <c r="D609" s="449">
        <v>152.4</v>
      </c>
      <c r="E609" s="449">
        <v>76.2</v>
      </c>
      <c r="F609" s="449">
        <v>50.8</v>
      </c>
      <c r="G609" s="17">
        <f t="shared" si="59"/>
        <v>2.9496715199999999</v>
      </c>
      <c r="K609" s="59"/>
    </row>
    <row r="610" spans="1:11">
      <c r="A610" s="448" t="s">
        <v>1574</v>
      </c>
      <c r="B610" s="463" t="s">
        <v>2181</v>
      </c>
      <c r="C610" s="449">
        <v>304.8</v>
      </c>
      <c r="D610" s="449">
        <v>152.4</v>
      </c>
      <c r="E610" s="449">
        <v>152.4</v>
      </c>
      <c r="F610" s="449">
        <v>127</v>
      </c>
      <c r="G610" s="17">
        <f t="shared" si="59"/>
        <v>6.4892773439999996</v>
      </c>
      <c r="K610" s="59"/>
    </row>
    <row r="611" spans="1:11">
      <c r="A611" s="448" t="s">
        <v>1578</v>
      </c>
      <c r="B611" s="463" t="s">
        <v>2181</v>
      </c>
      <c r="C611" s="449">
        <v>304.8</v>
      </c>
      <c r="D611" s="449">
        <v>152.4</v>
      </c>
      <c r="E611" s="449">
        <v>102</v>
      </c>
      <c r="F611" s="449">
        <v>82</v>
      </c>
      <c r="G611" s="17">
        <f t="shared" si="59"/>
        <v>4.2735398400000006</v>
      </c>
      <c r="K611" s="59"/>
    </row>
    <row r="612" spans="1:11">
      <c r="A612" s="448" t="s">
        <v>1584</v>
      </c>
      <c r="B612" s="463" t="s">
        <v>2181</v>
      </c>
      <c r="C612" s="449">
        <v>304.8</v>
      </c>
      <c r="D612" s="449">
        <v>171.5</v>
      </c>
      <c r="E612" s="449">
        <v>76.2</v>
      </c>
      <c r="F612" s="449">
        <v>69.900000000000006</v>
      </c>
      <c r="G612" s="17">
        <f t="shared" si="59"/>
        <v>3.8185572600000008</v>
      </c>
      <c r="K612" s="59"/>
    </row>
    <row r="613" spans="1:11">
      <c r="A613" s="448" t="s">
        <v>1585</v>
      </c>
      <c r="B613" s="463" t="s">
        <v>2181</v>
      </c>
      <c r="C613" s="449">
        <v>304.8</v>
      </c>
      <c r="D613" s="449">
        <v>171.5</v>
      </c>
      <c r="E613" s="449">
        <v>76.2</v>
      </c>
      <c r="F613" s="449">
        <v>63.5</v>
      </c>
      <c r="G613" s="17">
        <f t="shared" si="59"/>
        <v>3.6512830200000002</v>
      </c>
      <c r="K613" s="59"/>
    </row>
    <row r="614" spans="1:11">
      <c r="A614" s="448" t="s">
        <v>1573</v>
      </c>
      <c r="B614" s="463" t="s">
        <v>2181</v>
      </c>
      <c r="C614" s="449">
        <v>304.8</v>
      </c>
      <c r="D614" s="449">
        <v>171.5</v>
      </c>
      <c r="E614" s="449">
        <v>76.2</v>
      </c>
      <c r="F614" s="449">
        <v>50.8</v>
      </c>
      <c r="G614" s="17">
        <f t="shared" si="59"/>
        <v>3.3193482000000003</v>
      </c>
      <c r="K614" s="59"/>
    </row>
    <row r="615" spans="1:11">
      <c r="A615" s="448" t="s">
        <v>1571</v>
      </c>
      <c r="B615" s="463" t="s">
        <v>2181</v>
      </c>
      <c r="C615" s="449">
        <v>304.8</v>
      </c>
      <c r="D615" s="449">
        <v>228.6</v>
      </c>
      <c r="E615" s="449">
        <v>76.2</v>
      </c>
      <c r="F615" s="449">
        <v>73</v>
      </c>
      <c r="G615" s="17">
        <f t="shared" si="59"/>
        <v>5.1979250879999999</v>
      </c>
      <c r="K615" s="59"/>
    </row>
    <row r="616" spans="1:11">
      <c r="A616" s="448" t="s">
        <v>1569</v>
      </c>
      <c r="B616" s="463" t="s">
        <v>2181</v>
      </c>
      <c r="C616" s="449">
        <v>304.8</v>
      </c>
      <c r="D616" s="449">
        <v>228.6</v>
      </c>
      <c r="E616" s="449">
        <v>76.2</v>
      </c>
      <c r="F616" s="449">
        <v>69.900000000000006</v>
      </c>
      <c r="G616" s="17">
        <f t="shared" si="59"/>
        <v>5.0899253040000012</v>
      </c>
      <c r="K616" s="59"/>
    </row>
    <row r="617" spans="1:11">
      <c r="A617" s="448" t="s">
        <v>1565</v>
      </c>
      <c r="B617" s="463" t="s">
        <v>2181</v>
      </c>
      <c r="C617" s="449">
        <v>304.8</v>
      </c>
      <c r="D617" s="449">
        <v>228.6</v>
      </c>
      <c r="E617" s="449">
        <v>76.2</v>
      </c>
      <c r="F617" s="449">
        <v>63.5</v>
      </c>
      <c r="G617" s="17">
        <f t="shared" si="59"/>
        <v>4.8669580080000001</v>
      </c>
      <c r="H617" s="17"/>
      <c r="K617" s="59"/>
    </row>
    <row r="618" spans="1:11">
      <c r="A618" s="448" t="s">
        <v>1563</v>
      </c>
      <c r="B618" s="463" t="s">
        <v>2181</v>
      </c>
      <c r="C618" s="449">
        <v>304.8</v>
      </c>
      <c r="D618" s="449">
        <v>228.6</v>
      </c>
      <c r="E618" s="449">
        <v>76.2</v>
      </c>
      <c r="F618" s="449">
        <v>50.8</v>
      </c>
      <c r="G618" s="17">
        <f t="shared" si="59"/>
        <v>4.4245072800000003</v>
      </c>
      <c r="K618" s="59"/>
    </row>
    <row r="619" spans="1:11">
      <c r="A619" s="448" t="s">
        <v>1580</v>
      </c>
      <c r="B619" s="463" t="s">
        <v>2181</v>
      </c>
      <c r="C619" s="449">
        <v>304.8</v>
      </c>
      <c r="D619" s="449">
        <v>228.6</v>
      </c>
      <c r="E619" s="449">
        <v>76.2</v>
      </c>
      <c r="F619" s="449">
        <v>38.1</v>
      </c>
      <c r="G619" s="17">
        <f t="shared" si="59"/>
        <v>3.9820565520000004</v>
      </c>
      <c r="K619" s="59"/>
    </row>
    <row r="620" spans="1:11">
      <c r="A620" s="448" t="s">
        <v>1575</v>
      </c>
      <c r="B620" s="463" t="s">
        <v>2181</v>
      </c>
      <c r="C620" s="449">
        <v>304.8</v>
      </c>
      <c r="D620" s="449">
        <v>228.6</v>
      </c>
      <c r="E620" s="449">
        <v>102</v>
      </c>
      <c r="F620" s="449">
        <v>92</v>
      </c>
      <c r="G620" s="17">
        <f t="shared" si="59"/>
        <v>6.7586961600000004</v>
      </c>
      <c r="K620" s="59"/>
    </row>
    <row r="621" spans="1:11">
      <c r="A621" s="448" t="s">
        <v>1577</v>
      </c>
      <c r="B621" s="463" t="s">
        <v>2181</v>
      </c>
      <c r="C621" s="449">
        <v>304.8</v>
      </c>
      <c r="D621" s="449">
        <v>228.6</v>
      </c>
      <c r="E621" s="449">
        <v>102</v>
      </c>
      <c r="F621" s="449">
        <v>82</v>
      </c>
      <c r="G621" s="17">
        <f t="shared" si="59"/>
        <v>6.4103097600000005</v>
      </c>
      <c r="K621" s="59"/>
    </row>
    <row r="622" spans="1:11">
      <c r="A622" s="448" t="s">
        <v>1579</v>
      </c>
      <c r="B622" s="463" t="s">
        <v>2181</v>
      </c>
      <c r="C622" s="449">
        <v>304.8</v>
      </c>
      <c r="D622" s="449">
        <v>228.6</v>
      </c>
      <c r="E622" s="449">
        <v>102</v>
      </c>
      <c r="F622" s="449">
        <v>62</v>
      </c>
      <c r="G622" s="17">
        <f t="shared" si="59"/>
        <v>5.7135369600000008</v>
      </c>
      <c r="K622" s="59"/>
    </row>
    <row r="623" spans="1:11">
      <c r="A623" s="448" t="s">
        <v>1566</v>
      </c>
      <c r="B623" s="463" t="s">
        <v>2181</v>
      </c>
      <c r="C623" s="449">
        <v>304.8</v>
      </c>
      <c r="D623" s="449">
        <v>228.6</v>
      </c>
      <c r="E623" s="449">
        <v>101.6</v>
      </c>
      <c r="F623" s="449">
        <v>76.2</v>
      </c>
      <c r="G623" s="17">
        <f t="shared" si="59"/>
        <v>6.1943101920000005</v>
      </c>
      <c r="K623" s="59"/>
    </row>
    <row r="624" spans="1:11">
      <c r="A624" s="448" t="s">
        <v>1587</v>
      </c>
      <c r="B624" s="463" t="s">
        <v>2181</v>
      </c>
      <c r="C624" s="449">
        <v>304.8</v>
      </c>
      <c r="D624" s="449">
        <v>304.8</v>
      </c>
      <c r="E624" s="449">
        <v>76.2</v>
      </c>
      <c r="F624" s="449">
        <v>73</v>
      </c>
      <c r="G624" s="17">
        <f t="shared" si="59"/>
        <v>6.9305667839999998</v>
      </c>
      <c r="K624" s="59"/>
    </row>
    <row r="625" spans="1:22">
      <c r="A625" s="448" t="s">
        <v>1588</v>
      </c>
      <c r="B625" s="463" t="s">
        <v>2181</v>
      </c>
      <c r="C625" s="449">
        <v>304.8</v>
      </c>
      <c r="D625" s="449">
        <v>304.8</v>
      </c>
      <c r="E625" s="449">
        <v>76.2</v>
      </c>
      <c r="F625" s="449">
        <v>69.900000000000006</v>
      </c>
      <c r="G625" s="17">
        <f t="shared" si="59"/>
        <v>6.7865670720000013</v>
      </c>
      <c r="K625" s="59"/>
    </row>
    <row r="626" spans="1:22">
      <c r="A626" s="448" t="s">
        <v>1583</v>
      </c>
      <c r="B626" s="463" t="s">
        <v>2181</v>
      </c>
      <c r="C626" s="449">
        <v>304.8</v>
      </c>
      <c r="D626" s="449">
        <v>304.8</v>
      </c>
      <c r="E626" s="449">
        <v>76.2</v>
      </c>
      <c r="F626" s="449">
        <v>63.5</v>
      </c>
      <c r="G626" s="17">
        <f t="shared" si="59"/>
        <v>6.4892773439999996</v>
      </c>
      <c r="K626" s="59"/>
    </row>
    <row r="627" spans="1:22" ht="13.8" thickBot="1">
      <c r="A627" s="448" t="s">
        <v>1572</v>
      </c>
      <c r="B627" s="463" t="s">
        <v>2181</v>
      </c>
      <c r="C627" s="449">
        <v>304.8</v>
      </c>
      <c r="D627" s="449">
        <v>304.8</v>
      </c>
      <c r="E627" s="449">
        <v>76.2</v>
      </c>
      <c r="F627" s="449">
        <v>50.8</v>
      </c>
      <c r="G627" s="17">
        <f t="shared" si="59"/>
        <v>5.8993430399999998</v>
      </c>
      <c r="K627" s="59"/>
    </row>
    <row r="628" spans="1:22" ht="25.2" thickBot="1">
      <c r="A628" s="64" t="s">
        <v>1590</v>
      </c>
      <c r="B628" s="72"/>
      <c r="C628" s="72"/>
      <c r="D628" s="72"/>
      <c r="E628" s="72"/>
      <c r="F628" s="72"/>
      <c r="G628" s="102"/>
      <c r="H628" s="72"/>
      <c r="I628" s="72"/>
      <c r="J628" s="72"/>
      <c r="K628" s="74"/>
      <c r="L628" s="20"/>
      <c r="M628" s="20"/>
      <c r="N628" s="20"/>
      <c r="O628" s="20"/>
      <c r="P628" s="20"/>
      <c r="Q628" s="21"/>
      <c r="R628" s="22"/>
      <c r="S628" s="22"/>
      <c r="T628" s="20"/>
      <c r="U628" s="22"/>
      <c r="V628" s="20"/>
    </row>
    <row r="629" spans="1:22" s="306" customFormat="1">
      <c r="A629" s="354" t="s">
        <v>1906</v>
      </c>
      <c r="B629" s="363" t="s">
        <v>2182</v>
      </c>
      <c r="C629" s="538">
        <v>171.5</v>
      </c>
      <c r="D629" s="538">
        <v>76.2</v>
      </c>
      <c r="E629" s="538">
        <v>152</v>
      </c>
      <c r="F629" s="538">
        <v>145</v>
      </c>
      <c r="G629" s="359">
        <f t="shared" ref="G629:G692" si="60">((E629+F629)/2)*D629*C629/10^6</f>
        <v>1.94064255</v>
      </c>
      <c r="H629" s="20"/>
      <c r="I629" s="20"/>
      <c r="J629" s="75"/>
      <c r="K629" s="785" t="s">
        <v>643</v>
      </c>
      <c r="L629" s="20"/>
      <c r="M629" s="20"/>
      <c r="N629" s="20"/>
      <c r="O629" s="20"/>
      <c r="P629" s="20"/>
      <c r="Q629" s="21"/>
      <c r="R629" s="22" t="s">
        <v>16</v>
      </c>
      <c r="S629" s="22"/>
      <c r="T629" s="20"/>
      <c r="U629" s="22"/>
      <c r="V629" s="20"/>
    </row>
    <row r="630" spans="1:22" s="306" customFormat="1">
      <c r="A630" s="354" t="s">
        <v>1907</v>
      </c>
      <c r="B630" s="363" t="s">
        <v>2182</v>
      </c>
      <c r="C630" s="538">
        <v>171.5</v>
      </c>
      <c r="D630" s="538">
        <v>76.2</v>
      </c>
      <c r="E630" s="538">
        <v>114.3</v>
      </c>
      <c r="F630" s="538">
        <v>101.6</v>
      </c>
      <c r="G630" s="359">
        <f t="shared" si="60"/>
        <v>1.4107229849999998</v>
      </c>
      <c r="H630" s="20"/>
      <c r="I630" s="20"/>
      <c r="J630" s="75"/>
      <c r="K630" s="786"/>
      <c r="L630" s="20"/>
      <c r="M630" s="20"/>
      <c r="N630" s="20"/>
      <c r="O630" s="20"/>
      <c r="P630" s="20"/>
      <c r="Q630" s="21"/>
      <c r="R630" s="22" t="s">
        <v>16</v>
      </c>
      <c r="S630" s="22"/>
      <c r="T630" s="20"/>
      <c r="U630" s="22"/>
      <c r="V630" s="20"/>
    </row>
    <row r="631" spans="1:22" s="306" customFormat="1">
      <c r="A631" s="354" t="s">
        <v>1908</v>
      </c>
      <c r="B631" s="363" t="s">
        <v>2182</v>
      </c>
      <c r="C631" s="538">
        <v>171.5</v>
      </c>
      <c r="D631" s="538">
        <v>76.2</v>
      </c>
      <c r="E631" s="538">
        <v>114.3</v>
      </c>
      <c r="F631" s="538">
        <v>88.9</v>
      </c>
      <c r="G631" s="359">
        <f t="shared" si="60"/>
        <v>1.3277392800000001</v>
      </c>
      <c r="H631" s="20"/>
      <c r="I631" s="20"/>
      <c r="J631" s="75"/>
      <c r="K631" s="786"/>
      <c r="L631" s="20"/>
      <c r="M631" s="20"/>
      <c r="N631" s="20"/>
      <c r="O631" s="20"/>
      <c r="P631" s="20"/>
      <c r="Q631" s="21"/>
      <c r="R631" s="22" t="s">
        <v>16</v>
      </c>
      <c r="S631" s="22"/>
      <c r="T631" s="20"/>
      <c r="U631" s="22"/>
      <c r="V631" s="20"/>
    </row>
    <row r="632" spans="1:22" s="306" customFormat="1">
      <c r="A632" s="389" t="s">
        <v>1909</v>
      </c>
      <c r="B632" s="395" t="s">
        <v>2182</v>
      </c>
      <c r="C632" s="539">
        <v>228.6</v>
      </c>
      <c r="D632" s="539">
        <v>76.2</v>
      </c>
      <c r="E632" s="539">
        <v>114.3</v>
      </c>
      <c r="F632" s="539">
        <v>112.7</v>
      </c>
      <c r="G632" s="359">
        <f t="shared" si="60"/>
        <v>1.97709282</v>
      </c>
      <c r="H632" s="20"/>
      <c r="I632" s="20"/>
      <c r="J632" s="75"/>
      <c r="K632" s="786"/>
      <c r="L632" s="20"/>
      <c r="M632" s="20"/>
      <c r="N632" s="20"/>
      <c r="O632" s="20"/>
      <c r="P632" s="20"/>
      <c r="Q632" s="21"/>
      <c r="R632" s="22" t="s">
        <v>16</v>
      </c>
      <c r="S632" s="22"/>
      <c r="T632" s="20"/>
      <c r="U632" s="22"/>
      <c r="V632" s="20"/>
    </row>
    <row r="633" spans="1:22" s="306" customFormat="1">
      <c r="A633" s="389" t="s">
        <v>1910</v>
      </c>
      <c r="B633" s="395" t="s">
        <v>2182</v>
      </c>
      <c r="C633" s="539">
        <v>228.6</v>
      </c>
      <c r="D633" s="539">
        <v>76.2</v>
      </c>
      <c r="E633" s="539">
        <v>114.3</v>
      </c>
      <c r="F633" s="539">
        <v>109.5</v>
      </c>
      <c r="G633" s="359">
        <f t="shared" si="60"/>
        <v>1.9492219079999999</v>
      </c>
      <c r="H633" s="20"/>
      <c r="I633" s="20"/>
      <c r="J633" s="75"/>
      <c r="K633" s="786"/>
      <c r="L633" s="20"/>
      <c r="M633" s="20"/>
      <c r="N633" s="20"/>
      <c r="O633" s="20"/>
      <c r="P633" s="20"/>
      <c r="Q633" s="21"/>
      <c r="R633" s="22" t="s">
        <v>16</v>
      </c>
      <c r="S633" s="22"/>
      <c r="T633" s="20"/>
      <c r="U633" s="22"/>
      <c r="V633" s="20"/>
    </row>
    <row r="634" spans="1:22" s="306" customFormat="1">
      <c r="A634" s="389" t="s">
        <v>1911</v>
      </c>
      <c r="B634" s="395" t="s">
        <v>2182</v>
      </c>
      <c r="C634" s="539">
        <v>228.6</v>
      </c>
      <c r="D634" s="539">
        <v>76.2</v>
      </c>
      <c r="E634" s="539">
        <v>114.3</v>
      </c>
      <c r="F634" s="539">
        <v>108</v>
      </c>
      <c r="G634" s="359">
        <f t="shared" si="60"/>
        <v>1.9361574180000003</v>
      </c>
      <c r="H634" s="20"/>
      <c r="I634" s="20"/>
      <c r="J634" s="75"/>
      <c r="K634" s="786"/>
      <c r="L634" s="20"/>
      <c r="M634" s="20"/>
      <c r="N634" s="20"/>
      <c r="O634" s="20"/>
      <c r="P634" s="20"/>
      <c r="Q634" s="21"/>
      <c r="R634" s="22" t="s">
        <v>16</v>
      </c>
      <c r="S634" s="22"/>
      <c r="T634" s="20"/>
      <c r="U634" s="22"/>
      <c r="V634" s="20"/>
    </row>
    <row r="635" spans="1:22" s="306" customFormat="1">
      <c r="A635" s="389" t="s">
        <v>1912</v>
      </c>
      <c r="B635" s="395" t="s">
        <v>2182</v>
      </c>
      <c r="C635" s="539">
        <v>228.6</v>
      </c>
      <c r="D635" s="539">
        <v>76.2</v>
      </c>
      <c r="E635" s="539">
        <v>114.3</v>
      </c>
      <c r="F635" s="539">
        <v>101.6</v>
      </c>
      <c r="G635" s="359">
        <f t="shared" si="60"/>
        <v>1.8804155939999998</v>
      </c>
      <c r="H635" s="20"/>
      <c r="I635" s="20"/>
      <c r="J635" s="75"/>
      <c r="K635" s="786"/>
      <c r="L635" s="20"/>
      <c r="M635" s="20"/>
      <c r="N635" s="20"/>
      <c r="O635" s="20"/>
      <c r="P635" s="20"/>
      <c r="Q635" s="21"/>
      <c r="R635" s="22" t="s">
        <v>16</v>
      </c>
      <c r="S635" s="22"/>
      <c r="T635" s="20"/>
      <c r="U635" s="22"/>
      <c r="V635" s="20"/>
    </row>
    <row r="636" spans="1:22" s="306" customFormat="1">
      <c r="A636" s="389" t="s">
        <v>1913</v>
      </c>
      <c r="B636" s="395" t="s">
        <v>2182</v>
      </c>
      <c r="C636" s="539">
        <v>228.6</v>
      </c>
      <c r="D636" s="539">
        <v>76.2</v>
      </c>
      <c r="E636" s="539">
        <v>114.3</v>
      </c>
      <c r="F636" s="539">
        <v>95.2</v>
      </c>
      <c r="G636" s="359">
        <f t="shared" si="60"/>
        <v>1.82467377</v>
      </c>
      <c r="H636" s="20"/>
      <c r="I636" s="20"/>
      <c r="J636" s="75"/>
      <c r="K636" s="786"/>
      <c r="L636" s="20"/>
      <c r="M636" s="20"/>
      <c r="N636" s="20"/>
      <c r="O636" s="20"/>
      <c r="P636" s="20"/>
      <c r="Q636" s="21"/>
      <c r="R636" s="22" t="s">
        <v>16</v>
      </c>
      <c r="S636" s="22"/>
      <c r="T636" s="20"/>
      <c r="U636" s="22"/>
      <c r="V636" s="20"/>
    </row>
    <row r="637" spans="1:22" s="306" customFormat="1">
      <c r="A637" s="389" t="s">
        <v>1914</v>
      </c>
      <c r="B637" s="395" t="s">
        <v>2182</v>
      </c>
      <c r="C637" s="539">
        <v>228.6</v>
      </c>
      <c r="D637" s="539">
        <v>76.2</v>
      </c>
      <c r="E637" s="539">
        <v>114.3</v>
      </c>
      <c r="F637" s="539">
        <v>88.9</v>
      </c>
      <c r="G637" s="359">
        <f t="shared" si="60"/>
        <v>1.7698029120000001</v>
      </c>
      <c r="H637" s="20"/>
      <c r="I637" s="20"/>
      <c r="J637" s="75"/>
      <c r="K637" s="786"/>
      <c r="L637" s="20"/>
      <c r="M637" s="20"/>
      <c r="N637" s="20"/>
      <c r="O637" s="20"/>
      <c r="P637" s="20"/>
      <c r="Q637" s="21"/>
      <c r="R637" s="22" t="s">
        <v>16</v>
      </c>
      <c r="S637" s="22"/>
      <c r="T637" s="20"/>
      <c r="U637" s="22"/>
      <c r="V637" s="20"/>
    </row>
    <row r="638" spans="1:22" s="306" customFormat="1">
      <c r="A638" s="389" t="s">
        <v>1915</v>
      </c>
      <c r="B638" s="395" t="s">
        <v>2182</v>
      </c>
      <c r="C638" s="539">
        <v>228.6</v>
      </c>
      <c r="D638" s="539">
        <v>76.2</v>
      </c>
      <c r="E638" s="539">
        <v>114.3</v>
      </c>
      <c r="F638" s="539">
        <v>76.2</v>
      </c>
      <c r="G638" s="359">
        <f t="shared" si="60"/>
        <v>1.6591902299999999</v>
      </c>
      <c r="H638" s="20"/>
      <c r="I638" s="20"/>
      <c r="J638" s="75"/>
      <c r="K638" s="786"/>
      <c r="L638" s="20"/>
      <c r="M638" s="20"/>
      <c r="N638" s="20"/>
      <c r="O638" s="20"/>
      <c r="P638" s="20"/>
      <c r="Q638" s="21"/>
      <c r="R638" s="22" t="s">
        <v>16</v>
      </c>
      <c r="S638" s="22"/>
      <c r="T638" s="20"/>
      <c r="U638" s="22"/>
      <c r="V638" s="20"/>
    </row>
    <row r="639" spans="1:22" s="306" customFormat="1">
      <c r="A639" s="389" t="s">
        <v>1916</v>
      </c>
      <c r="B639" s="395" t="s">
        <v>2182</v>
      </c>
      <c r="C639" s="539">
        <v>228.6</v>
      </c>
      <c r="D639" s="539">
        <v>76.2</v>
      </c>
      <c r="E639" s="539">
        <v>114.3</v>
      </c>
      <c r="F639" s="539">
        <v>63.5</v>
      </c>
      <c r="G639" s="359">
        <f t="shared" si="60"/>
        <v>1.5485775479999999</v>
      </c>
      <c r="H639" s="20"/>
      <c r="I639" s="20"/>
      <c r="J639" s="75"/>
      <c r="K639" s="786"/>
      <c r="L639" s="20"/>
      <c r="M639" s="20"/>
      <c r="N639" s="20"/>
      <c r="O639" s="20"/>
      <c r="P639" s="20"/>
      <c r="Q639" s="21"/>
      <c r="R639" s="22" t="s">
        <v>16</v>
      </c>
      <c r="S639" s="22"/>
      <c r="T639" s="20"/>
      <c r="U639" s="22"/>
      <c r="V639" s="20"/>
    </row>
    <row r="640" spans="1:22" s="306" customFormat="1">
      <c r="A640" s="389" t="s">
        <v>1917</v>
      </c>
      <c r="B640" s="395" t="s">
        <v>2182</v>
      </c>
      <c r="C640" s="539">
        <v>228.6</v>
      </c>
      <c r="D640" s="539">
        <v>76.2</v>
      </c>
      <c r="E640" s="539">
        <v>114.3</v>
      </c>
      <c r="F640" s="539">
        <v>57.2</v>
      </c>
      <c r="G640" s="359">
        <f t="shared" si="60"/>
        <v>1.4937066900000002</v>
      </c>
      <c r="H640" s="20"/>
      <c r="I640" s="20"/>
      <c r="J640" s="75"/>
      <c r="K640" s="786"/>
      <c r="L640" s="20"/>
      <c r="M640" s="20"/>
      <c r="N640" s="20"/>
      <c r="O640" s="20"/>
      <c r="P640" s="20"/>
      <c r="Q640" s="21"/>
      <c r="R640" s="22" t="s">
        <v>16</v>
      </c>
      <c r="S640" s="22"/>
      <c r="T640" s="20"/>
      <c r="U640" s="22"/>
      <c r="V640" s="20"/>
    </row>
    <row r="641" spans="1:22" s="306" customFormat="1">
      <c r="A641" s="389" t="s">
        <v>1918</v>
      </c>
      <c r="B641" s="395" t="s">
        <v>2182</v>
      </c>
      <c r="C641" s="539">
        <v>228.6</v>
      </c>
      <c r="D641" s="539">
        <v>76.2</v>
      </c>
      <c r="E641" s="539">
        <v>152.4</v>
      </c>
      <c r="F641" s="539">
        <v>142.80000000000001</v>
      </c>
      <c r="G641" s="359">
        <f t="shared" si="60"/>
        <v>2.5710916320000008</v>
      </c>
      <c r="H641" s="20"/>
      <c r="I641" s="20"/>
      <c r="J641" s="75"/>
      <c r="K641" s="786"/>
      <c r="L641" s="20"/>
      <c r="M641" s="20"/>
      <c r="N641" s="20"/>
      <c r="O641" s="20"/>
      <c r="P641" s="20"/>
      <c r="Q641" s="21"/>
      <c r="R641" s="22" t="s">
        <v>16</v>
      </c>
      <c r="S641" s="22"/>
      <c r="T641" s="20"/>
      <c r="U641" s="22"/>
      <c r="V641" s="20"/>
    </row>
    <row r="642" spans="1:22" s="306" customFormat="1">
      <c r="A642" s="389" t="s">
        <v>1919</v>
      </c>
      <c r="B642" s="395" t="s">
        <v>2182</v>
      </c>
      <c r="C642" s="539">
        <v>228.6</v>
      </c>
      <c r="D642" s="539">
        <v>76.2</v>
      </c>
      <c r="E642" s="539">
        <v>152.4</v>
      </c>
      <c r="F642" s="539">
        <v>139.69999999999999</v>
      </c>
      <c r="G642" s="359">
        <f t="shared" si="60"/>
        <v>2.5440916860000002</v>
      </c>
      <c r="H642" s="20"/>
      <c r="I642" s="20"/>
      <c r="J642" s="75"/>
      <c r="K642" s="786"/>
      <c r="L642" s="20"/>
      <c r="M642" s="20"/>
      <c r="N642" s="20"/>
      <c r="O642" s="20"/>
      <c r="P642" s="20"/>
      <c r="Q642" s="21"/>
      <c r="R642" s="22" t="s">
        <v>16</v>
      </c>
      <c r="S642" s="22"/>
      <c r="T642" s="20"/>
      <c r="U642" s="22"/>
      <c r="V642" s="20"/>
    </row>
    <row r="643" spans="1:22" s="306" customFormat="1">
      <c r="A643" s="389" t="s">
        <v>1920</v>
      </c>
      <c r="B643" s="395" t="s">
        <v>2182</v>
      </c>
      <c r="C643" s="539">
        <v>228.6</v>
      </c>
      <c r="D643" s="539">
        <v>76.2</v>
      </c>
      <c r="E643" s="539">
        <v>152.4</v>
      </c>
      <c r="F643" s="539">
        <v>137</v>
      </c>
      <c r="G643" s="359">
        <f t="shared" si="60"/>
        <v>2.5205756039999998</v>
      </c>
      <c r="H643" s="20"/>
      <c r="I643" s="20"/>
      <c r="J643" s="75"/>
      <c r="K643" s="786"/>
      <c r="L643" s="20"/>
      <c r="M643" s="20"/>
      <c r="N643" s="20"/>
      <c r="O643" s="20"/>
      <c r="P643" s="20"/>
      <c r="Q643" s="21"/>
      <c r="R643" s="22" t="s">
        <v>16</v>
      </c>
      <c r="S643" s="22"/>
      <c r="T643" s="20"/>
      <c r="U643" s="22"/>
      <c r="V643" s="20"/>
    </row>
    <row r="644" spans="1:22" s="306" customFormat="1">
      <c r="A644" s="389" t="s">
        <v>1921</v>
      </c>
      <c r="B644" s="395" t="s">
        <v>2182</v>
      </c>
      <c r="C644" s="539">
        <v>228.6</v>
      </c>
      <c r="D644" s="539">
        <v>76.2</v>
      </c>
      <c r="E644" s="539">
        <v>152.4</v>
      </c>
      <c r="F644" s="539">
        <v>136.5</v>
      </c>
      <c r="G644" s="359">
        <f t="shared" si="60"/>
        <v>2.5162207739999998</v>
      </c>
      <c r="H644" s="20"/>
      <c r="I644" s="20"/>
      <c r="J644" s="75"/>
      <c r="K644" s="786"/>
      <c r="L644" s="20"/>
      <c r="M644" s="20"/>
      <c r="N644" s="20"/>
      <c r="O644" s="20"/>
      <c r="P644" s="20"/>
      <c r="Q644" s="21"/>
      <c r="R644" s="22" t="s">
        <v>16</v>
      </c>
      <c r="S644" s="22"/>
      <c r="T644" s="20"/>
      <c r="U644" s="22"/>
      <c r="V644" s="20"/>
    </row>
    <row r="645" spans="1:22" s="306" customFormat="1">
      <c r="A645" s="389" t="s">
        <v>1922</v>
      </c>
      <c r="B645" s="395" t="s">
        <v>2182</v>
      </c>
      <c r="C645" s="539">
        <v>228.6</v>
      </c>
      <c r="D645" s="539">
        <v>76.2</v>
      </c>
      <c r="E645" s="539">
        <v>152.4</v>
      </c>
      <c r="F645" s="539">
        <v>133.4</v>
      </c>
      <c r="G645" s="359">
        <f t="shared" si="60"/>
        <v>2.4892208280000001</v>
      </c>
      <c r="H645" s="20"/>
      <c r="I645" s="20"/>
      <c r="J645" s="75"/>
      <c r="K645" s="786"/>
      <c r="L645" s="20"/>
      <c r="M645" s="20"/>
      <c r="N645" s="20"/>
      <c r="O645" s="20"/>
      <c r="P645" s="20"/>
      <c r="Q645" s="21"/>
      <c r="R645" s="22" t="s">
        <v>16</v>
      </c>
      <c r="S645" s="22"/>
      <c r="T645" s="20"/>
      <c r="U645" s="22"/>
      <c r="V645" s="20"/>
    </row>
    <row r="646" spans="1:22" s="306" customFormat="1">
      <c r="A646" s="389" t="s">
        <v>1923</v>
      </c>
      <c r="B646" s="395" t="s">
        <v>2182</v>
      </c>
      <c r="C646" s="539">
        <v>228.6</v>
      </c>
      <c r="D646" s="539">
        <v>76.2</v>
      </c>
      <c r="E646" s="539">
        <v>152.4</v>
      </c>
      <c r="F646" s="539">
        <v>127</v>
      </c>
      <c r="G646" s="359">
        <f t="shared" si="60"/>
        <v>2.4334790039999996</v>
      </c>
      <c r="H646" s="20"/>
      <c r="I646" s="20"/>
      <c r="J646" s="75"/>
      <c r="K646" s="786"/>
      <c r="L646" s="20"/>
      <c r="M646" s="20"/>
      <c r="N646" s="20"/>
      <c r="O646" s="20"/>
      <c r="P646" s="20"/>
      <c r="Q646" s="21"/>
      <c r="R646" s="22" t="s">
        <v>16</v>
      </c>
      <c r="S646" s="22"/>
      <c r="T646" s="20"/>
      <c r="U646" s="22"/>
      <c r="V646" s="20"/>
    </row>
    <row r="647" spans="1:22" s="306" customFormat="1">
      <c r="A647" s="389" t="s">
        <v>1924</v>
      </c>
      <c r="B647" s="395" t="s">
        <v>2182</v>
      </c>
      <c r="C647" s="539">
        <v>228.6</v>
      </c>
      <c r="D647" s="539">
        <v>76.2</v>
      </c>
      <c r="E647" s="539">
        <v>152.4</v>
      </c>
      <c r="F647" s="539">
        <v>122.2</v>
      </c>
      <c r="G647" s="359">
        <f t="shared" si="60"/>
        <v>2.3916726360000005</v>
      </c>
      <c r="H647" s="20"/>
      <c r="I647" s="20"/>
      <c r="J647" s="75"/>
      <c r="K647" s="786"/>
      <c r="L647" s="20"/>
      <c r="M647" s="20"/>
      <c r="N647" s="20"/>
      <c r="O647" s="20"/>
      <c r="P647" s="20"/>
      <c r="Q647" s="21"/>
      <c r="R647" s="22" t="s">
        <v>16</v>
      </c>
      <c r="S647" s="22"/>
      <c r="T647" s="20"/>
      <c r="U647" s="22"/>
      <c r="V647" s="20"/>
    </row>
    <row r="648" spans="1:22" s="306" customFormat="1">
      <c r="A648" s="389" t="s">
        <v>1925</v>
      </c>
      <c r="B648" s="395" t="s">
        <v>2182</v>
      </c>
      <c r="C648" s="539">
        <v>228.6</v>
      </c>
      <c r="D648" s="539">
        <v>76.2</v>
      </c>
      <c r="E648" s="539">
        <v>152.4</v>
      </c>
      <c r="F648" s="539">
        <v>114.3</v>
      </c>
      <c r="G648" s="359">
        <f t="shared" si="60"/>
        <v>2.3228663220000003</v>
      </c>
      <c r="H648" s="20"/>
      <c r="I648" s="20"/>
      <c r="J648" s="75"/>
      <c r="K648" s="786"/>
      <c r="L648" s="20"/>
      <c r="M648" s="20"/>
      <c r="N648" s="20"/>
      <c r="O648" s="20"/>
      <c r="P648" s="20"/>
      <c r="Q648" s="21"/>
      <c r="R648" s="22" t="s">
        <v>16</v>
      </c>
      <c r="S648" s="22"/>
      <c r="T648" s="20"/>
      <c r="U648" s="22"/>
      <c r="V648" s="20"/>
    </row>
    <row r="649" spans="1:22" s="306" customFormat="1">
      <c r="A649" s="389" t="s">
        <v>1926</v>
      </c>
      <c r="B649" s="395" t="s">
        <v>2182</v>
      </c>
      <c r="C649" s="539">
        <v>228.6</v>
      </c>
      <c r="D649" s="539">
        <v>76.2</v>
      </c>
      <c r="E649" s="539">
        <v>152.4</v>
      </c>
      <c r="F649" s="539">
        <v>102.4</v>
      </c>
      <c r="G649" s="359">
        <f t="shared" si="60"/>
        <v>2.2192213680000004</v>
      </c>
      <c r="H649" s="20"/>
      <c r="I649" s="20"/>
      <c r="J649" s="75"/>
      <c r="K649" s="786"/>
      <c r="L649" s="20"/>
      <c r="M649" s="20"/>
      <c r="N649" s="20"/>
      <c r="O649" s="20"/>
      <c r="P649" s="20"/>
      <c r="Q649" s="21"/>
      <c r="R649" s="22" t="s">
        <v>16</v>
      </c>
      <c r="S649" s="22"/>
      <c r="T649" s="20"/>
      <c r="U649" s="22"/>
      <c r="V649" s="20"/>
    </row>
    <row r="650" spans="1:22" s="306" customFormat="1">
      <c r="A650" s="389" t="s">
        <v>1927</v>
      </c>
      <c r="B650" s="395" t="s">
        <v>2182</v>
      </c>
      <c r="C650" s="539">
        <v>228.6</v>
      </c>
      <c r="D650" s="539">
        <v>76.2</v>
      </c>
      <c r="E650" s="539">
        <v>152.4</v>
      </c>
      <c r="F650" s="539">
        <v>95.3</v>
      </c>
      <c r="G650" s="359">
        <f t="shared" si="60"/>
        <v>2.157382782</v>
      </c>
      <c r="H650" s="20"/>
      <c r="I650" s="20"/>
      <c r="J650" s="75"/>
      <c r="K650" s="786"/>
      <c r="L650" s="20"/>
      <c r="M650" s="20"/>
      <c r="N650" s="20"/>
      <c r="O650" s="20"/>
      <c r="P650" s="20"/>
      <c r="Q650" s="21"/>
      <c r="R650" s="22" t="s">
        <v>16</v>
      </c>
      <c r="S650" s="22"/>
      <c r="T650" s="20"/>
      <c r="U650" s="22"/>
      <c r="V650" s="20"/>
    </row>
    <row r="651" spans="1:22" s="306" customFormat="1">
      <c r="A651" s="389" t="s">
        <v>1928</v>
      </c>
      <c r="B651" s="395" t="s">
        <v>2182</v>
      </c>
      <c r="C651" s="539">
        <v>228.6</v>
      </c>
      <c r="D651" s="539">
        <v>76.2</v>
      </c>
      <c r="E651" s="539">
        <v>152.4</v>
      </c>
      <c r="F651" s="539">
        <v>76.2</v>
      </c>
      <c r="G651" s="359">
        <f t="shared" si="60"/>
        <v>1.9910282760000002</v>
      </c>
      <c r="H651" s="20"/>
      <c r="I651" s="20"/>
      <c r="J651" s="75"/>
      <c r="K651" s="786"/>
      <c r="L651" s="20"/>
      <c r="M651" s="20"/>
      <c r="N651" s="20"/>
      <c r="O651" s="20"/>
      <c r="P651" s="20"/>
      <c r="Q651" s="21"/>
      <c r="R651" s="22" t="s">
        <v>16</v>
      </c>
      <c r="S651" s="22"/>
      <c r="T651" s="20"/>
      <c r="U651" s="22"/>
      <c r="V651" s="20"/>
    </row>
    <row r="652" spans="1:22" s="306" customFormat="1">
      <c r="A652" s="389" t="s">
        <v>1929</v>
      </c>
      <c r="B652" s="395" t="s">
        <v>2182</v>
      </c>
      <c r="C652" s="539">
        <v>228.6</v>
      </c>
      <c r="D652" s="539">
        <v>101.6</v>
      </c>
      <c r="E652" s="539">
        <v>152.4</v>
      </c>
      <c r="F652" s="539">
        <v>136.5</v>
      </c>
      <c r="G652" s="359">
        <f t="shared" si="60"/>
        <v>3.3549610319999994</v>
      </c>
      <c r="H652" s="20"/>
      <c r="I652" s="20"/>
      <c r="J652" s="75"/>
      <c r="K652" s="786"/>
      <c r="L652" s="20"/>
      <c r="M652" s="20"/>
      <c r="N652" s="20"/>
      <c r="O652" s="20"/>
      <c r="P652" s="20"/>
      <c r="Q652" s="21"/>
      <c r="R652" s="22" t="s">
        <v>16</v>
      </c>
      <c r="S652" s="22"/>
      <c r="T652" s="20"/>
      <c r="U652" s="22"/>
      <c r="V652" s="20"/>
    </row>
    <row r="653" spans="1:22" s="306" customFormat="1">
      <c r="A653" s="389" t="s">
        <v>1930</v>
      </c>
      <c r="B653" s="395" t="s">
        <v>2182</v>
      </c>
      <c r="C653" s="539">
        <v>228.6</v>
      </c>
      <c r="D653" s="539">
        <v>101.6</v>
      </c>
      <c r="E653" s="539">
        <v>152.4</v>
      </c>
      <c r="F653" s="539">
        <v>122.2</v>
      </c>
      <c r="G653" s="359">
        <f t="shared" si="60"/>
        <v>3.1888968479999997</v>
      </c>
      <c r="H653" s="20"/>
      <c r="I653" s="20"/>
      <c r="J653" s="75"/>
      <c r="K653" s="786"/>
      <c r="L653" s="20"/>
      <c r="M653" s="20"/>
      <c r="N653" s="20"/>
      <c r="O653" s="20"/>
      <c r="P653" s="20"/>
      <c r="Q653" s="21"/>
      <c r="R653" s="22" t="s">
        <v>16</v>
      </c>
      <c r="S653" s="22"/>
      <c r="T653" s="20"/>
      <c r="U653" s="22"/>
      <c r="V653" s="20"/>
    </row>
    <row r="654" spans="1:22" s="306" customFormat="1">
      <c r="A654" s="389" t="s">
        <v>1931</v>
      </c>
      <c r="B654" s="395" t="s">
        <v>2182</v>
      </c>
      <c r="C654" s="539">
        <v>228.6</v>
      </c>
      <c r="D654" s="539">
        <v>101.6</v>
      </c>
      <c r="E654" s="539">
        <v>152.4</v>
      </c>
      <c r="F654" s="539">
        <v>76.2</v>
      </c>
      <c r="G654" s="359">
        <f t="shared" si="60"/>
        <v>2.6547043680000004</v>
      </c>
      <c r="H654" s="20"/>
      <c r="I654" s="20"/>
      <c r="J654" s="75"/>
      <c r="K654" s="786"/>
      <c r="L654" s="20"/>
      <c r="M654" s="20"/>
      <c r="N654" s="20"/>
      <c r="O654" s="20"/>
      <c r="P654" s="20"/>
      <c r="Q654" s="21"/>
      <c r="R654" s="22" t="s">
        <v>16</v>
      </c>
      <c r="S654" s="22"/>
      <c r="T654" s="20"/>
      <c r="U654" s="22"/>
      <c r="V654" s="20"/>
    </row>
    <row r="655" spans="1:22" s="306" customFormat="1">
      <c r="A655" s="389" t="s">
        <v>1932</v>
      </c>
      <c r="B655" s="395" t="s">
        <v>2182</v>
      </c>
      <c r="C655" s="539">
        <v>228.6</v>
      </c>
      <c r="D655" s="539">
        <v>101.6</v>
      </c>
      <c r="E655" s="539">
        <v>114.3</v>
      </c>
      <c r="F655" s="539">
        <v>101.6</v>
      </c>
      <c r="G655" s="359">
        <f t="shared" si="60"/>
        <v>2.5072207919999996</v>
      </c>
      <c r="H655" s="20"/>
      <c r="I655" s="20"/>
      <c r="J655" s="75"/>
      <c r="K655" s="786"/>
      <c r="L655" s="20"/>
      <c r="M655" s="20"/>
      <c r="N655" s="20"/>
      <c r="O655" s="20"/>
      <c r="P655" s="20"/>
      <c r="Q655" s="21"/>
      <c r="R655" s="22" t="s">
        <v>16</v>
      </c>
      <c r="S655" s="22"/>
      <c r="T655" s="20"/>
      <c r="U655" s="22"/>
      <c r="V655" s="20"/>
    </row>
    <row r="656" spans="1:22" s="306" customFormat="1">
      <c r="A656" s="397" t="s">
        <v>1933</v>
      </c>
      <c r="B656" s="461" t="s">
        <v>2182</v>
      </c>
      <c r="C656" s="540">
        <v>304.8</v>
      </c>
      <c r="D656" s="540">
        <v>76.2</v>
      </c>
      <c r="E656" s="540">
        <v>152.4</v>
      </c>
      <c r="F656" s="540">
        <v>149.19999999999999</v>
      </c>
      <c r="G656" s="359">
        <f t="shared" si="60"/>
        <v>3.5024446080000007</v>
      </c>
      <c r="H656" s="20"/>
      <c r="I656" s="20"/>
      <c r="J656" s="75"/>
      <c r="K656" s="786"/>
      <c r="L656" s="20"/>
      <c r="M656" s="20"/>
      <c r="N656" s="20"/>
      <c r="O656" s="20"/>
      <c r="P656" s="20"/>
      <c r="Q656" s="21"/>
      <c r="R656" s="22" t="s">
        <v>16</v>
      </c>
      <c r="S656" s="22"/>
      <c r="T656" s="20"/>
      <c r="U656" s="22"/>
      <c r="V656" s="20"/>
    </row>
    <row r="657" spans="1:22" s="306" customFormat="1">
      <c r="A657" s="397" t="s">
        <v>1934</v>
      </c>
      <c r="B657" s="461" t="s">
        <v>2182</v>
      </c>
      <c r="C657" s="540">
        <v>304.8</v>
      </c>
      <c r="D657" s="540">
        <v>76.2</v>
      </c>
      <c r="E657" s="540">
        <v>152.4</v>
      </c>
      <c r="F657" s="540">
        <v>139.69999999999999</v>
      </c>
      <c r="G657" s="359">
        <f t="shared" si="60"/>
        <v>3.3921222480000006</v>
      </c>
      <c r="H657" s="20"/>
      <c r="I657" s="20"/>
      <c r="J657" s="75"/>
      <c r="K657" s="786"/>
      <c r="L657" s="20"/>
      <c r="M657" s="20"/>
      <c r="N657" s="20"/>
      <c r="O657" s="20"/>
      <c r="P657" s="20"/>
      <c r="Q657" s="21"/>
      <c r="R657" s="22" t="s">
        <v>16</v>
      </c>
      <c r="S657" s="22"/>
      <c r="T657" s="20"/>
      <c r="U657" s="22"/>
      <c r="V657" s="20"/>
    </row>
    <row r="658" spans="1:22" s="306" customFormat="1">
      <c r="A658" s="397" t="s">
        <v>1935</v>
      </c>
      <c r="B658" s="461" t="s">
        <v>2182</v>
      </c>
      <c r="C658" s="540">
        <v>304.8</v>
      </c>
      <c r="D658" s="540">
        <v>76.2</v>
      </c>
      <c r="E658" s="540">
        <v>152.4</v>
      </c>
      <c r="F658" s="540">
        <v>133.30000000000001</v>
      </c>
      <c r="G658" s="359">
        <f t="shared" si="60"/>
        <v>3.3177998160000004</v>
      </c>
      <c r="H658" s="20"/>
      <c r="I658" s="20"/>
      <c r="J658" s="75"/>
      <c r="K658" s="786"/>
      <c r="L658" s="20"/>
      <c r="M658" s="20"/>
      <c r="N658" s="20"/>
      <c r="O658" s="20"/>
      <c r="P658" s="20"/>
      <c r="Q658" s="21"/>
      <c r="R658" s="22" t="s">
        <v>16</v>
      </c>
      <c r="S658" s="22"/>
      <c r="T658" s="20"/>
      <c r="U658" s="22"/>
      <c r="V658" s="20"/>
    </row>
    <row r="659" spans="1:22" s="306" customFormat="1">
      <c r="A659" s="397" t="s">
        <v>1936</v>
      </c>
      <c r="B659" s="461" t="s">
        <v>2182</v>
      </c>
      <c r="C659" s="540">
        <v>304.8</v>
      </c>
      <c r="D659" s="540">
        <v>76.2</v>
      </c>
      <c r="E659" s="540">
        <v>152.4</v>
      </c>
      <c r="F659" s="540">
        <v>130.19999999999999</v>
      </c>
      <c r="G659" s="359">
        <f t="shared" si="60"/>
        <v>3.2817998880000006</v>
      </c>
      <c r="H659" s="20"/>
      <c r="I659" s="20"/>
      <c r="J659" s="75"/>
      <c r="K659" s="786"/>
      <c r="L659" s="20"/>
      <c r="M659" s="20"/>
      <c r="N659" s="20"/>
      <c r="O659" s="20"/>
      <c r="P659" s="20"/>
      <c r="Q659" s="21"/>
      <c r="R659" s="22" t="s">
        <v>16</v>
      </c>
      <c r="S659" s="22"/>
      <c r="T659" s="20"/>
      <c r="U659" s="22"/>
      <c r="V659" s="20"/>
    </row>
    <row r="660" spans="1:22" s="306" customFormat="1">
      <c r="A660" s="397" t="s">
        <v>1937</v>
      </c>
      <c r="B660" s="461" t="s">
        <v>2182</v>
      </c>
      <c r="C660" s="540">
        <v>304.8</v>
      </c>
      <c r="D660" s="540">
        <v>76.2</v>
      </c>
      <c r="E660" s="540">
        <v>152.4</v>
      </c>
      <c r="F660" s="540">
        <v>127</v>
      </c>
      <c r="G660" s="359">
        <f t="shared" si="60"/>
        <v>3.2446386719999998</v>
      </c>
      <c r="H660" s="20"/>
      <c r="I660" s="20"/>
      <c r="J660" s="75"/>
      <c r="K660" s="786"/>
      <c r="L660" s="20"/>
      <c r="M660" s="20"/>
      <c r="N660" s="20"/>
      <c r="O660" s="20"/>
      <c r="P660" s="20"/>
      <c r="Q660" s="21"/>
      <c r="R660" s="22" t="s">
        <v>16</v>
      </c>
      <c r="S660" s="22"/>
      <c r="T660" s="20"/>
      <c r="U660" s="22"/>
      <c r="V660" s="20"/>
    </row>
    <row r="661" spans="1:22" s="306" customFormat="1">
      <c r="A661" s="397" t="s">
        <v>1938</v>
      </c>
      <c r="B661" s="461" t="s">
        <v>2182</v>
      </c>
      <c r="C661" s="540">
        <v>304.8</v>
      </c>
      <c r="D661" s="540">
        <v>76.2</v>
      </c>
      <c r="E661" s="540">
        <v>152.4</v>
      </c>
      <c r="F661" s="540">
        <v>114.3</v>
      </c>
      <c r="G661" s="359">
        <f t="shared" si="60"/>
        <v>3.0971550960000003</v>
      </c>
      <c r="H661" s="20"/>
      <c r="I661" s="20"/>
      <c r="J661" s="75"/>
      <c r="K661" s="786"/>
      <c r="L661" s="20"/>
      <c r="M661" s="20"/>
      <c r="N661" s="20"/>
      <c r="O661" s="20"/>
      <c r="P661" s="20"/>
      <c r="Q661" s="21"/>
      <c r="R661" s="22" t="s">
        <v>16</v>
      </c>
      <c r="S661" s="22"/>
      <c r="T661" s="20"/>
      <c r="U661" s="22"/>
      <c r="V661" s="20"/>
    </row>
    <row r="662" spans="1:22" s="306" customFormat="1">
      <c r="A662" s="397" t="s">
        <v>1939</v>
      </c>
      <c r="B662" s="461" t="s">
        <v>2182</v>
      </c>
      <c r="C662" s="540">
        <v>304.8</v>
      </c>
      <c r="D662" s="540">
        <v>76.2</v>
      </c>
      <c r="E662" s="540">
        <v>152.4</v>
      </c>
      <c r="F662" s="540">
        <v>105.4</v>
      </c>
      <c r="G662" s="359">
        <f t="shared" si="60"/>
        <v>2.993800464</v>
      </c>
      <c r="H662" s="20"/>
      <c r="I662" s="20"/>
      <c r="J662" s="75"/>
      <c r="K662" s="786"/>
      <c r="L662" s="20"/>
      <c r="M662" s="20"/>
      <c r="N662" s="20"/>
      <c r="O662" s="20"/>
      <c r="P662" s="20"/>
      <c r="Q662" s="21"/>
      <c r="R662" s="22" t="s">
        <v>16</v>
      </c>
      <c r="S662" s="22"/>
      <c r="T662" s="20"/>
      <c r="U662" s="22"/>
      <c r="V662" s="20"/>
    </row>
    <row r="663" spans="1:22" s="306" customFormat="1">
      <c r="A663" s="397" t="s">
        <v>1940</v>
      </c>
      <c r="B663" s="461" t="s">
        <v>2182</v>
      </c>
      <c r="C663" s="540">
        <v>304.8</v>
      </c>
      <c r="D663" s="540">
        <v>76.2</v>
      </c>
      <c r="E663" s="540">
        <v>152.4</v>
      </c>
      <c r="F663" s="540">
        <v>101.6</v>
      </c>
      <c r="G663" s="359">
        <f t="shared" si="60"/>
        <v>2.9496715199999999</v>
      </c>
      <c r="H663" s="20"/>
      <c r="I663" s="20"/>
      <c r="J663" s="75"/>
      <c r="K663" s="786"/>
      <c r="L663" s="20"/>
      <c r="M663" s="20"/>
      <c r="N663" s="20"/>
      <c r="O663" s="20"/>
      <c r="P663" s="20"/>
      <c r="Q663" s="21"/>
      <c r="R663" s="22" t="s">
        <v>16</v>
      </c>
      <c r="S663" s="22"/>
      <c r="T663" s="20"/>
      <c r="U663" s="22"/>
      <c r="V663" s="20"/>
    </row>
    <row r="664" spans="1:22" s="306" customFormat="1">
      <c r="A664" s="397" t="s">
        <v>1941</v>
      </c>
      <c r="B664" s="461" t="s">
        <v>2182</v>
      </c>
      <c r="C664" s="540">
        <v>304.8</v>
      </c>
      <c r="D664" s="540">
        <v>76.2</v>
      </c>
      <c r="E664" s="540">
        <v>152.4</v>
      </c>
      <c r="F664" s="540">
        <v>76.2</v>
      </c>
      <c r="G664" s="359">
        <f t="shared" si="60"/>
        <v>2.6547043680000009</v>
      </c>
      <c r="H664" s="20"/>
      <c r="I664" s="20"/>
      <c r="J664" s="75"/>
      <c r="K664" s="786"/>
      <c r="L664" s="20"/>
      <c r="M664" s="20"/>
      <c r="N664" s="20"/>
      <c r="O664" s="20"/>
      <c r="P664" s="20"/>
      <c r="Q664" s="21"/>
      <c r="R664" s="22" t="s">
        <v>16</v>
      </c>
      <c r="S664" s="22"/>
      <c r="T664" s="20"/>
      <c r="U664" s="22"/>
      <c r="V664" s="20"/>
    </row>
    <row r="665" spans="1:22" s="306" customFormat="1">
      <c r="A665" s="377" t="s">
        <v>1942</v>
      </c>
      <c r="B665" s="462" t="s">
        <v>2182</v>
      </c>
      <c r="C665" s="541">
        <v>342.9</v>
      </c>
      <c r="D665" s="542">
        <v>76.2</v>
      </c>
      <c r="E665" s="541">
        <v>152.4</v>
      </c>
      <c r="F665" s="542">
        <v>146.1</v>
      </c>
      <c r="G665" s="359">
        <f t="shared" si="60"/>
        <v>3.8997502649999998</v>
      </c>
      <c r="H665" s="20"/>
      <c r="I665" s="20"/>
      <c r="J665" s="75"/>
      <c r="K665" s="786"/>
      <c r="L665" s="20"/>
      <c r="M665" s="20"/>
      <c r="N665" s="20"/>
      <c r="O665" s="20"/>
      <c r="P665" s="20"/>
      <c r="Q665" s="21"/>
      <c r="R665" s="22" t="s">
        <v>16</v>
      </c>
      <c r="S665" s="22"/>
      <c r="T665" s="20"/>
      <c r="U665" s="22"/>
      <c r="V665" s="20"/>
    </row>
    <row r="666" spans="1:22" s="306" customFormat="1">
      <c r="A666" s="377" t="s">
        <v>1943</v>
      </c>
      <c r="B666" s="462" t="s">
        <v>2182</v>
      </c>
      <c r="C666" s="541">
        <v>342.9</v>
      </c>
      <c r="D666" s="542">
        <v>76.2</v>
      </c>
      <c r="E666" s="541">
        <v>152.4</v>
      </c>
      <c r="F666" s="542">
        <v>139.69999999999999</v>
      </c>
      <c r="G666" s="359">
        <f t="shared" si="60"/>
        <v>3.8161375290000006</v>
      </c>
      <c r="H666" s="20"/>
      <c r="I666" s="20"/>
      <c r="J666" s="75"/>
      <c r="K666" s="786"/>
      <c r="L666" s="20"/>
      <c r="M666" s="20"/>
      <c r="N666" s="20"/>
      <c r="O666" s="20"/>
      <c r="P666" s="20"/>
      <c r="Q666" s="21"/>
      <c r="R666" s="22" t="s">
        <v>16</v>
      </c>
      <c r="S666" s="22"/>
      <c r="T666" s="20"/>
      <c r="U666" s="22"/>
      <c r="V666" s="20"/>
    </row>
    <row r="667" spans="1:22" s="306" customFormat="1">
      <c r="A667" s="377" t="s">
        <v>1944</v>
      </c>
      <c r="B667" s="462" t="s">
        <v>2182</v>
      </c>
      <c r="C667" s="541">
        <v>342.9</v>
      </c>
      <c r="D667" s="542">
        <v>76.2</v>
      </c>
      <c r="E667" s="541">
        <v>152.4</v>
      </c>
      <c r="F667" s="542">
        <v>136.5</v>
      </c>
      <c r="G667" s="359">
        <f t="shared" si="60"/>
        <v>3.7743311609999997</v>
      </c>
      <c r="H667" s="20"/>
      <c r="I667" s="20"/>
      <c r="J667" s="75"/>
      <c r="K667" s="786"/>
      <c r="L667" s="20"/>
      <c r="M667" s="20"/>
      <c r="N667" s="20"/>
      <c r="O667" s="20"/>
      <c r="P667" s="20"/>
      <c r="Q667" s="21"/>
      <c r="R667" s="22" t="s">
        <v>16</v>
      </c>
      <c r="S667" s="22"/>
      <c r="T667" s="20"/>
      <c r="U667" s="22"/>
      <c r="V667" s="20"/>
    </row>
    <row r="668" spans="1:22" s="306" customFormat="1">
      <c r="A668" s="377" t="s">
        <v>1945</v>
      </c>
      <c r="B668" s="462" t="s">
        <v>2182</v>
      </c>
      <c r="C668" s="541">
        <v>342.9</v>
      </c>
      <c r="D668" s="542">
        <v>76.2</v>
      </c>
      <c r="E668" s="541">
        <v>152.4</v>
      </c>
      <c r="F668" s="542">
        <v>133.30000000000001</v>
      </c>
      <c r="G668" s="359">
        <f t="shared" si="60"/>
        <v>3.7325247930000005</v>
      </c>
      <c r="H668" s="20"/>
      <c r="I668" s="20"/>
      <c r="J668" s="75"/>
      <c r="K668" s="786"/>
      <c r="L668" s="20"/>
      <c r="M668" s="20"/>
      <c r="N668" s="20"/>
      <c r="O668" s="20"/>
      <c r="P668" s="20"/>
      <c r="Q668" s="21"/>
      <c r="R668" s="22" t="s">
        <v>16</v>
      </c>
      <c r="S668" s="22"/>
      <c r="T668" s="20"/>
      <c r="U668" s="22"/>
      <c r="V668" s="20"/>
    </row>
    <row r="669" spans="1:22" s="306" customFormat="1">
      <c r="A669" s="377" t="s">
        <v>1946</v>
      </c>
      <c r="B669" s="462" t="s">
        <v>2182</v>
      </c>
      <c r="C669" s="541">
        <v>342.9</v>
      </c>
      <c r="D669" s="542">
        <v>76.2</v>
      </c>
      <c r="E669" s="541">
        <v>152.4</v>
      </c>
      <c r="F669" s="542">
        <v>131.80000000000001</v>
      </c>
      <c r="G669" s="359">
        <f t="shared" si="60"/>
        <v>3.7129280580000006</v>
      </c>
      <c r="H669" s="20"/>
      <c r="I669" s="20"/>
      <c r="J669" s="75"/>
      <c r="K669" s="786"/>
      <c r="L669" s="20"/>
      <c r="M669" s="20"/>
      <c r="N669" s="20"/>
      <c r="O669" s="20"/>
      <c r="P669" s="20"/>
      <c r="Q669" s="21"/>
      <c r="R669" s="22" t="s">
        <v>16</v>
      </c>
      <c r="S669" s="22"/>
      <c r="T669" s="20"/>
      <c r="U669" s="22"/>
      <c r="V669" s="20"/>
    </row>
    <row r="670" spans="1:22" s="306" customFormat="1">
      <c r="A670" s="377" t="s">
        <v>1947</v>
      </c>
      <c r="B670" s="462" t="s">
        <v>2182</v>
      </c>
      <c r="C670" s="541">
        <v>342.9</v>
      </c>
      <c r="D670" s="542">
        <v>76.2</v>
      </c>
      <c r="E670" s="541">
        <v>152.4</v>
      </c>
      <c r="F670" s="542">
        <v>130.19999999999999</v>
      </c>
      <c r="G670" s="359">
        <f t="shared" si="60"/>
        <v>3.6920248740000003</v>
      </c>
      <c r="H670" s="20"/>
      <c r="I670" s="20"/>
      <c r="J670" s="75"/>
      <c r="K670" s="786"/>
      <c r="L670" s="20"/>
      <c r="M670" s="20"/>
      <c r="N670" s="20"/>
      <c r="O670" s="20"/>
      <c r="P670" s="20"/>
      <c r="Q670" s="21"/>
      <c r="R670" s="22" t="s">
        <v>16</v>
      </c>
      <c r="S670" s="22"/>
      <c r="T670" s="20"/>
      <c r="U670" s="22"/>
      <c r="V670" s="20"/>
    </row>
    <row r="671" spans="1:22" s="306" customFormat="1">
      <c r="A671" s="377" t="s">
        <v>1948</v>
      </c>
      <c r="B671" s="462" t="s">
        <v>2182</v>
      </c>
      <c r="C671" s="541">
        <v>342.9</v>
      </c>
      <c r="D671" s="542">
        <v>76.2</v>
      </c>
      <c r="E671" s="541">
        <v>152.4</v>
      </c>
      <c r="F671" s="542">
        <v>127</v>
      </c>
      <c r="G671" s="359">
        <f t="shared" si="60"/>
        <v>3.6502185059999994</v>
      </c>
      <c r="H671" s="20"/>
      <c r="I671" s="20"/>
      <c r="J671" s="75"/>
      <c r="K671" s="786"/>
      <c r="L671" s="20"/>
      <c r="M671" s="20"/>
      <c r="N671" s="20"/>
      <c r="O671" s="20"/>
      <c r="P671" s="20"/>
      <c r="Q671" s="21"/>
      <c r="R671" s="22" t="s">
        <v>16</v>
      </c>
      <c r="S671" s="22"/>
      <c r="T671" s="20"/>
      <c r="U671" s="22"/>
      <c r="V671" s="20"/>
    </row>
    <row r="672" spans="1:22" s="306" customFormat="1">
      <c r="A672" s="377" t="s">
        <v>1949</v>
      </c>
      <c r="B672" s="462" t="s">
        <v>2182</v>
      </c>
      <c r="C672" s="541">
        <v>342.9</v>
      </c>
      <c r="D672" s="542">
        <v>76.2</v>
      </c>
      <c r="E672" s="541">
        <v>152.4</v>
      </c>
      <c r="F672" s="542">
        <v>114.3</v>
      </c>
      <c r="G672" s="359">
        <f t="shared" si="60"/>
        <v>3.484299483</v>
      </c>
      <c r="H672" s="20"/>
      <c r="I672" s="20"/>
      <c r="J672" s="75"/>
      <c r="K672" s="786"/>
      <c r="L672" s="20"/>
      <c r="M672" s="20"/>
      <c r="N672" s="20"/>
      <c r="O672" s="20"/>
      <c r="P672" s="20"/>
      <c r="Q672" s="21"/>
      <c r="R672" s="22" t="s">
        <v>16</v>
      </c>
      <c r="S672" s="22"/>
      <c r="T672" s="20"/>
      <c r="U672" s="22"/>
      <c r="V672" s="20"/>
    </row>
    <row r="673" spans="1:22" s="306" customFormat="1">
      <c r="A673" s="377" t="s">
        <v>1950</v>
      </c>
      <c r="B673" s="462" t="s">
        <v>2182</v>
      </c>
      <c r="C673" s="541">
        <v>342.9</v>
      </c>
      <c r="D673" s="542">
        <v>76.2</v>
      </c>
      <c r="E673" s="541">
        <v>152.4</v>
      </c>
      <c r="F673" s="542">
        <v>111.1</v>
      </c>
      <c r="G673" s="359">
        <f t="shared" si="60"/>
        <v>3.4424931149999995</v>
      </c>
      <c r="H673" s="20"/>
      <c r="I673" s="20"/>
      <c r="J673" s="75"/>
      <c r="K673" s="786"/>
      <c r="L673" s="20"/>
      <c r="M673" s="20"/>
      <c r="N673" s="20"/>
      <c r="O673" s="20"/>
      <c r="P673" s="20"/>
      <c r="Q673" s="21"/>
      <c r="R673" s="22" t="s">
        <v>16</v>
      </c>
      <c r="S673" s="22"/>
      <c r="T673" s="20"/>
      <c r="U673" s="22"/>
      <c r="V673" s="20"/>
    </row>
    <row r="674" spans="1:22" s="306" customFormat="1">
      <c r="A674" s="377" t="s">
        <v>1951</v>
      </c>
      <c r="B674" s="462" t="s">
        <v>2182</v>
      </c>
      <c r="C674" s="541">
        <v>342.9</v>
      </c>
      <c r="D674" s="542">
        <v>76.2</v>
      </c>
      <c r="E674" s="541">
        <v>152.4</v>
      </c>
      <c r="F674" s="542">
        <v>101.6</v>
      </c>
      <c r="G674" s="359">
        <f t="shared" si="60"/>
        <v>3.3183804599999993</v>
      </c>
      <c r="H674" s="20"/>
      <c r="I674" s="20"/>
      <c r="J674" s="75"/>
      <c r="K674" s="786"/>
      <c r="L674" s="20"/>
      <c r="M674" s="20"/>
      <c r="N674" s="20"/>
      <c r="O674" s="20"/>
      <c r="P674" s="20"/>
      <c r="Q674" s="21"/>
      <c r="R674" s="22" t="s">
        <v>16</v>
      </c>
      <c r="S674" s="22"/>
      <c r="T674" s="20"/>
      <c r="U674" s="22"/>
      <c r="V674" s="20"/>
    </row>
    <row r="675" spans="1:22" s="306" customFormat="1">
      <c r="A675" s="377" t="s">
        <v>1952</v>
      </c>
      <c r="B675" s="462" t="s">
        <v>2182</v>
      </c>
      <c r="C675" s="541">
        <v>342.9</v>
      </c>
      <c r="D675" s="542">
        <v>76.2</v>
      </c>
      <c r="E675" s="541">
        <v>152.4</v>
      </c>
      <c r="F675" s="542">
        <v>95.2</v>
      </c>
      <c r="G675" s="359">
        <f t="shared" si="60"/>
        <v>3.2347677240000006</v>
      </c>
      <c r="H675" s="20"/>
      <c r="I675" s="20"/>
      <c r="J675" s="75"/>
      <c r="K675" s="786"/>
      <c r="L675" s="20"/>
      <c r="M675" s="20"/>
      <c r="N675" s="20"/>
      <c r="O675" s="20"/>
      <c r="P675" s="20"/>
      <c r="Q675" s="21"/>
      <c r="R675" s="22" t="s">
        <v>16</v>
      </c>
      <c r="S675" s="22"/>
      <c r="T675" s="20"/>
      <c r="U675" s="22"/>
      <c r="V675" s="20"/>
    </row>
    <row r="676" spans="1:22" s="306" customFormat="1">
      <c r="A676" s="377" t="s">
        <v>1953</v>
      </c>
      <c r="B676" s="462" t="s">
        <v>2182</v>
      </c>
      <c r="C676" s="541">
        <v>342.9</v>
      </c>
      <c r="D676" s="542">
        <v>76.2</v>
      </c>
      <c r="E676" s="541">
        <v>152.4</v>
      </c>
      <c r="F676" s="542">
        <v>88.9</v>
      </c>
      <c r="G676" s="359">
        <f t="shared" si="60"/>
        <v>3.1524614369999999</v>
      </c>
      <c r="H676" s="20"/>
      <c r="I676" s="20"/>
      <c r="J676" s="75"/>
      <c r="K676" s="786"/>
      <c r="L676" s="20"/>
      <c r="M676" s="20"/>
      <c r="N676" s="20"/>
      <c r="O676" s="20"/>
      <c r="P676" s="20"/>
      <c r="Q676" s="21"/>
      <c r="R676" s="22" t="s">
        <v>16</v>
      </c>
      <c r="S676" s="22"/>
      <c r="T676" s="20"/>
      <c r="U676" s="22"/>
      <c r="V676" s="20"/>
    </row>
    <row r="677" spans="1:22" s="306" customFormat="1">
      <c r="A677" s="377" t="s">
        <v>1954</v>
      </c>
      <c r="B677" s="462" t="s">
        <v>2182</v>
      </c>
      <c r="C677" s="541">
        <v>342.9</v>
      </c>
      <c r="D677" s="542">
        <v>76.2</v>
      </c>
      <c r="E677" s="541">
        <v>152.4</v>
      </c>
      <c r="F677" s="542">
        <v>76.2</v>
      </c>
      <c r="G677" s="359">
        <f t="shared" si="60"/>
        <v>2.9865424140000005</v>
      </c>
      <c r="H677" s="20"/>
      <c r="I677" s="20"/>
      <c r="J677" s="75"/>
      <c r="K677" s="786"/>
      <c r="L677" s="20"/>
      <c r="M677" s="20"/>
      <c r="N677" s="20"/>
      <c r="O677" s="20"/>
      <c r="P677" s="20"/>
      <c r="Q677" s="21"/>
      <c r="R677" s="22" t="s">
        <v>16</v>
      </c>
      <c r="S677" s="22"/>
      <c r="T677" s="20"/>
      <c r="U677" s="22"/>
      <c r="V677" s="20"/>
    </row>
    <row r="678" spans="1:22" s="306" customFormat="1">
      <c r="A678" s="377" t="s">
        <v>1955</v>
      </c>
      <c r="B678" s="462" t="s">
        <v>2182</v>
      </c>
      <c r="C678" s="541">
        <v>342.9</v>
      </c>
      <c r="D678" s="542">
        <v>101.6</v>
      </c>
      <c r="E678" s="541">
        <v>152.4</v>
      </c>
      <c r="F678" s="542">
        <v>127</v>
      </c>
      <c r="G678" s="359">
        <f t="shared" si="60"/>
        <v>4.8669580079999992</v>
      </c>
      <c r="H678" s="20"/>
      <c r="I678" s="20"/>
      <c r="J678" s="75"/>
      <c r="K678" s="786"/>
      <c r="L678" s="20"/>
      <c r="M678" s="20"/>
      <c r="N678" s="20"/>
      <c r="O678" s="20"/>
      <c r="P678" s="20"/>
      <c r="Q678" s="21"/>
      <c r="R678" s="22" t="s">
        <v>16</v>
      </c>
      <c r="S678" s="22"/>
      <c r="T678" s="20"/>
      <c r="U678" s="22"/>
      <c r="V678" s="20"/>
    </row>
    <row r="679" spans="1:22" s="306" customFormat="1">
      <c r="A679" s="448" t="s">
        <v>1956</v>
      </c>
      <c r="B679" s="463" t="s">
        <v>2182</v>
      </c>
      <c r="C679" s="543">
        <v>381</v>
      </c>
      <c r="D679" s="543">
        <v>76.2</v>
      </c>
      <c r="E679" s="543">
        <v>152.4</v>
      </c>
      <c r="F679" s="543">
        <v>146.1</v>
      </c>
      <c r="G679" s="359">
        <f t="shared" si="60"/>
        <v>4.3330558500000009</v>
      </c>
      <c r="H679" s="20"/>
      <c r="I679" s="20"/>
      <c r="J679" s="75"/>
      <c r="K679" s="786"/>
      <c r="L679" s="20"/>
      <c r="M679" s="20"/>
      <c r="N679" s="20"/>
      <c r="O679" s="20"/>
      <c r="P679" s="20"/>
      <c r="Q679" s="21"/>
      <c r="R679" s="22" t="s">
        <v>16</v>
      </c>
      <c r="S679" s="22"/>
      <c r="T679" s="20"/>
      <c r="U679" s="22"/>
      <c r="V679" s="20"/>
    </row>
    <row r="680" spans="1:22" s="306" customFormat="1">
      <c r="A680" s="448" t="s">
        <v>1957</v>
      </c>
      <c r="B680" s="463" t="s">
        <v>2182</v>
      </c>
      <c r="C680" s="543">
        <v>381</v>
      </c>
      <c r="D680" s="543">
        <v>76.2</v>
      </c>
      <c r="E680" s="543">
        <v>152.4</v>
      </c>
      <c r="F680" s="543">
        <v>139.69999999999999</v>
      </c>
      <c r="G680" s="359">
        <f t="shared" si="60"/>
        <v>4.2401528100000005</v>
      </c>
      <c r="H680" s="20"/>
      <c r="I680" s="20"/>
      <c r="J680" s="75"/>
      <c r="K680" s="786"/>
      <c r="L680" s="20"/>
      <c r="M680" s="20"/>
      <c r="N680" s="20"/>
      <c r="O680" s="20"/>
      <c r="P680" s="20"/>
      <c r="Q680" s="21"/>
      <c r="R680" s="22" t="s">
        <v>16</v>
      </c>
      <c r="S680" s="22"/>
      <c r="T680" s="20"/>
      <c r="U680" s="22"/>
      <c r="V680" s="20"/>
    </row>
    <row r="681" spans="1:22" s="306" customFormat="1">
      <c r="A681" s="448" t="s">
        <v>1958</v>
      </c>
      <c r="B681" s="463" t="s">
        <v>2182</v>
      </c>
      <c r="C681" s="543">
        <v>381</v>
      </c>
      <c r="D681" s="543">
        <v>76.2</v>
      </c>
      <c r="E681" s="543">
        <v>152.4</v>
      </c>
      <c r="F681" s="543">
        <v>136.5</v>
      </c>
      <c r="G681" s="359">
        <f t="shared" si="60"/>
        <v>4.1937012899999999</v>
      </c>
      <c r="H681" s="20"/>
      <c r="I681" s="20"/>
      <c r="J681" s="75"/>
      <c r="K681" s="786"/>
      <c r="L681" s="20"/>
      <c r="M681" s="20"/>
      <c r="N681" s="20"/>
      <c r="O681" s="20"/>
      <c r="P681" s="20"/>
      <c r="Q681" s="21"/>
      <c r="R681" s="22" t="s">
        <v>16</v>
      </c>
      <c r="S681" s="22"/>
      <c r="T681" s="20"/>
      <c r="U681" s="22"/>
      <c r="V681" s="20"/>
    </row>
    <row r="682" spans="1:22" s="306" customFormat="1">
      <c r="A682" s="448" t="s">
        <v>1959</v>
      </c>
      <c r="B682" s="463" t="s">
        <v>2182</v>
      </c>
      <c r="C682" s="543">
        <v>381</v>
      </c>
      <c r="D682" s="543">
        <v>76.2</v>
      </c>
      <c r="E682" s="543">
        <v>152.4</v>
      </c>
      <c r="F682" s="543">
        <v>133.4</v>
      </c>
      <c r="G682" s="359">
        <f t="shared" si="60"/>
        <v>4.1487013800000003</v>
      </c>
      <c r="H682" s="20"/>
      <c r="I682" s="20"/>
      <c r="J682" s="75"/>
      <c r="K682" s="786"/>
      <c r="L682" s="20"/>
      <c r="M682" s="20"/>
      <c r="N682" s="20"/>
      <c r="O682" s="20"/>
      <c r="P682" s="20"/>
      <c r="Q682" s="21"/>
      <c r="R682" s="22" t="s">
        <v>16</v>
      </c>
      <c r="S682" s="22"/>
      <c r="T682" s="20"/>
      <c r="U682" s="22"/>
      <c r="V682" s="20"/>
    </row>
    <row r="683" spans="1:22" s="306" customFormat="1">
      <c r="A683" s="448" t="s">
        <v>1960</v>
      </c>
      <c r="B683" s="463" t="s">
        <v>2182</v>
      </c>
      <c r="C683" s="543">
        <v>381</v>
      </c>
      <c r="D683" s="543">
        <v>76.2</v>
      </c>
      <c r="E683" s="543">
        <v>152.4</v>
      </c>
      <c r="F683" s="543">
        <v>127</v>
      </c>
      <c r="G683" s="359">
        <f t="shared" si="60"/>
        <v>4.0557983399999999</v>
      </c>
      <c r="H683" s="20"/>
      <c r="I683" s="20"/>
      <c r="J683" s="75"/>
      <c r="K683" s="786"/>
      <c r="L683" s="20"/>
      <c r="M683" s="20"/>
      <c r="N683" s="20"/>
      <c r="O683" s="20"/>
      <c r="P683" s="20"/>
      <c r="Q683" s="21"/>
      <c r="R683" s="22" t="s">
        <v>16</v>
      </c>
      <c r="S683" s="22"/>
      <c r="T683" s="20"/>
      <c r="U683" s="22"/>
      <c r="V683" s="20"/>
    </row>
    <row r="684" spans="1:22" s="306" customFormat="1">
      <c r="A684" s="448" t="s">
        <v>1961</v>
      </c>
      <c r="B684" s="463" t="s">
        <v>2182</v>
      </c>
      <c r="C684" s="543">
        <v>381</v>
      </c>
      <c r="D684" s="543">
        <v>76.2</v>
      </c>
      <c r="E684" s="543">
        <v>152.4</v>
      </c>
      <c r="F684" s="543">
        <v>122.2</v>
      </c>
      <c r="G684" s="359">
        <f t="shared" si="60"/>
        <v>3.9861210600000008</v>
      </c>
      <c r="H684" s="20"/>
      <c r="I684" s="20"/>
      <c r="J684" s="75"/>
      <c r="K684" s="786"/>
      <c r="L684" s="20"/>
      <c r="M684" s="20"/>
      <c r="N684" s="20"/>
      <c r="O684" s="20"/>
      <c r="P684" s="20"/>
      <c r="Q684" s="21"/>
      <c r="R684" s="22" t="s">
        <v>16</v>
      </c>
      <c r="S684" s="22"/>
      <c r="T684" s="20"/>
      <c r="U684" s="22"/>
      <c r="V684" s="20"/>
    </row>
    <row r="685" spans="1:22" s="306" customFormat="1">
      <c r="A685" s="448" t="s">
        <v>1962</v>
      </c>
      <c r="B685" s="463" t="s">
        <v>2182</v>
      </c>
      <c r="C685" s="543">
        <v>381</v>
      </c>
      <c r="D685" s="543">
        <v>76.2</v>
      </c>
      <c r="E685" s="543">
        <v>152.4</v>
      </c>
      <c r="F685" s="543">
        <v>121.4</v>
      </c>
      <c r="G685" s="359">
        <f t="shared" si="60"/>
        <v>3.9745081799999999</v>
      </c>
      <c r="H685" s="20"/>
      <c r="I685" s="20"/>
      <c r="J685" s="75"/>
      <c r="K685" s="786"/>
      <c r="L685" s="20"/>
      <c r="M685" s="20"/>
      <c r="N685" s="20"/>
      <c r="O685" s="20"/>
      <c r="P685" s="20"/>
      <c r="Q685" s="21"/>
      <c r="R685" s="22" t="s">
        <v>16</v>
      </c>
      <c r="S685" s="22"/>
      <c r="T685" s="20"/>
      <c r="U685" s="22"/>
      <c r="V685" s="20"/>
    </row>
    <row r="686" spans="1:22" s="306" customFormat="1">
      <c r="A686" s="448" t="s">
        <v>1963</v>
      </c>
      <c r="B686" s="463" t="s">
        <v>2182</v>
      </c>
      <c r="C686" s="543">
        <v>381</v>
      </c>
      <c r="D686" s="543">
        <v>76.2</v>
      </c>
      <c r="E686" s="543">
        <v>152.4</v>
      </c>
      <c r="F686" s="543">
        <v>114.3</v>
      </c>
      <c r="G686" s="359">
        <f t="shared" si="60"/>
        <v>3.8714438700000002</v>
      </c>
      <c r="H686" s="20"/>
      <c r="I686" s="20"/>
      <c r="J686" s="75"/>
      <c r="K686" s="786"/>
      <c r="L686" s="20"/>
      <c r="M686" s="20"/>
      <c r="N686" s="20"/>
      <c r="O686" s="20"/>
      <c r="P686" s="20"/>
      <c r="Q686" s="21"/>
      <c r="R686" s="22" t="s">
        <v>16</v>
      </c>
      <c r="S686" s="22"/>
      <c r="T686" s="20"/>
      <c r="U686" s="22"/>
      <c r="V686" s="20"/>
    </row>
    <row r="687" spans="1:22" s="306" customFormat="1">
      <c r="A687" s="448" t="s">
        <v>1964</v>
      </c>
      <c r="B687" s="463" t="s">
        <v>2182</v>
      </c>
      <c r="C687" s="543">
        <v>381</v>
      </c>
      <c r="D687" s="543">
        <v>76.2</v>
      </c>
      <c r="E687" s="543">
        <v>152.4</v>
      </c>
      <c r="F687" s="543">
        <v>111.1</v>
      </c>
      <c r="G687" s="359">
        <f t="shared" si="60"/>
        <v>3.82499235</v>
      </c>
      <c r="H687" s="20"/>
      <c r="I687" s="20"/>
      <c r="J687" s="75"/>
      <c r="K687" s="786"/>
      <c r="L687" s="20"/>
      <c r="M687" s="20"/>
      <c r="N687" s="20"/>
      <c r="O687" s="20"/>
      <c r="P687" s="20"/>
      <c r="Q687" s="21"/>
      <c r="R687" s="22" t="s">
        <v>16</v>
      </c>
      <c r="S687" s="22"/>
      <c r="T687" s="20"/>
      <c r="U687" s="22"/>
      <c r="V687" s="20"/>
    </row>
    <row r="688" spans="1:22" s="306" customFormat="1">
      <c r="A688" s="448" t="s">
        <v>1965</v>
      </c>
      <c r="B688" s="463" t="s">
        <v>2182</v>
      </c>
      <c r="C688" s="543">
        <v>381</v>
      </c>
      <c r="D688" s="543">
        <v>76.2</v>
      </c>
      <c r="E688" s="543">
        <v>152.4</v>
      </c>
      <c r="F688" s="543">
        <v>101.6</v>
      </c>
      <c r="G688" s="359">
        <f t="shared" si="60"/>
        <v>3.6870894000000001</v>
      </c>
      <c r="H688" s="20"/>
      <c r="I688" s="20"/>
      <c r="J688" s="75"/>
      <c r="K688" s="786"/>
      <c r="L688" s="20"/>
      <c r="M688" s="20"/>
      <c r="N688" s="20"/>
      <c r="O688" s="20"/>
      <c r="P688" s="20"/>
      <c r="Q688" s="21"/>
      <c r="R688" s="22" t="s">
        <v>16</v>
      </c>
      <c r="S688" s="22"/>
      <c r="T688" s="20"/>
      <c r="U688" s="22"/>
      <c r="V688" s="20"/>
    </row>
    <row r="689" spans="1:22" s="306" customFormat="1">
      <c r="A689" s="448" t="s">
        <v>1966</v>
      </c>
      <c r="B689" s="463" t="s">
        <v>2182</v>
      </c>
      <c r="C689" s="543">
        <v>381</v>
      </c>
      <c r="D689" s="543">
        <v>76.2</v>
      </c>
      <c r="E689" s="543">
        <v>152.4</v>
      </c>
      <c r="F689" s="543">
        <v>88.9</v>
      </c>
      <c r="G689" s="359">
        <f t="shared" si="60"/>
        <v>3.5027349300000004</v>
      </c>
      <c r="H689" s="20"/>
      <c r="I689" s="20"/>
      <c r="J689" s="75"/>
      <c r="K689" s="786"/>
      <c r="L689" s="20"/>
      <c r="M689" s="20"/>
      <c r="N689" s="20"/>
      <c r="O689" s="20"/>
      <c r="P689" s="20"/>
      <c r="Q689" s="21"/>
      <c r="R689" s="22" t="s">
        <v>16</v>
      </c>
      <c r="S689" s="22"/>
      <c r="T689" s="20"/>
      <c r="U689" s="22"/>
      <c r="V689" s="20"/>
    </row>
    <row r="690" spans="1:22" s="306" customFormat="1">
      <c r="A690" s="448" t="s">
        <v>1967</v>
      </c>
      <c r="B690" s="463" t="s">
        <v>2182</v>
      </c>
      <c r="C690" s="543">
        <v>381</v>
      </c>
      <c r="D690" s="543">
        <v>76.2</v>
      </c>
      <c r="E690" s="543">
        <v>152.4</v>
      </c>
      <c r="F690" s="543">
        <v>76.2</v>
      </c>
      <c r="G690" s="359">
        <f t="shared" si="60"/>
        <v>3.3183804600000006</v>
      </c>
      <c r="H690" s="20"/>
      <c r="I690" s="20"/>
      <c r="J690" s="75"/>
      <c r="K690" s="786"/>
      <c r="L690" s="20"/>
      <c r="M690" s="20"/>
      <c r="N690" s="20"/>
      <c r="O690" s="20"/>
      <c r="P690" s="20"/>
      <c r="Q690" s="21"/>
      <c r="R690" s="22" t="s">
        <v>16</v>
      </c>
      <c r="S690" s="22"/>
      <c r="T690" s="20"/>
      <c r="U690" s="22"/>
      <c r="V690" s="20"/>
    </row>
    <row r="691" spans="1:22" s="306" customFormat="1">
      <c r="A691" s="450" t="s">
        <v>1968</v>
      </c>
      <c r="B691" s="464" t="s">
        <v>2182</v>
      </c>
      <c r="C691" s="544">
        <v>457.2</v>
      </c>
      <c r="D691" s="544">
        <v>76.2</v>
      </c>
      <c r="E691" s="544">
        <v>152.4</v>
      </c>
      <c r="F691" s="544">
        <v>146.1</v>
      </c>
      <c r="G691" s="359">
        <f t="shared" si="60"/>
        <v>5.1996670200000006</v>
      </c>
      <c r="H691" s="20"/>
      <c r="I691" s="20"/>
      <c r="J691" s="75"/>
      <c r="K691" s="786"/>
      <c r="L691" s="20"/>
      <c r="M691" s="20"/>
      <c r="N691" s="20"/>
      <c r="O691" s="20"/>
      <c r="P691" s="20"/>
      <c r="Q691" s="21"/>
      <c r="R691" s="22" t="s">
        <v>16</v>
      </c>
      <c r="S691" s="22"/>
      <c r="T691" s="20"/>
      <c r="U691" s="22"/>
      <c r="V691" s="20"/>
    </row>
    <row r="692" spans="1:22" s="306" customFormat="1">
      <c r="A692" s="450" t="s">
        <v>1969</v>
      </c>
      <c r="B692" s="464" t="s">
        <v>2182</v>
      </c>
      <c r="C692" s="544">
        <v>457.2</v>
      </c>
      <c r="D692" s="544">
        <v>76.2</v>
      </c>
      <c r="E692" s="544">
        <v>152.4</v>
      </c>
      <c r="F692" s="544">
        <v>143</v>
      </c>
      <c r="G692" s="359">
        <f t="shared" si="60"/>
        <v>5.1456671279999995</v>
      </c>
      <c r="H692" s="20"/>
      <c r="I692" s="20"/>
      <c r="J692" s="75"/>
      <c r="K692" s="786"/>
      <c r="L692" s="20"/>
      <c r="M692" s="20"/>
      <c r="N692" s="20"/>
      <c r="O692" s="20"/>
      <c r="P692" s="20"/>
      <c r="Q692" s="21"/>
      <c r="R692" s="22" t="s">
        <v>16</v>
      </c>
      <c r="S692" s="22"/>
      <c r="T692" s="20"/>
      <c r="U692" s="22"/>
      <c r="V692" s="20"/>
    </row>
    <row r="693" spans="1:22" s="306" customFormat="1">
      <c r="A693" s="450" t="s">
        <v>1970</v>
      </c>
      <c r="B693" s="464" t="s">
        <v>2182</v>
      </c>
      <c r="C693" s="544">
        <v>457.2</v>
      </c>
      <c r="D693" s="544">
        <v>76.2</v>
      </c>
      <c r="E693" s="544">
        <v>152.4</v>
      </c>
      <c r="F693" s="544">
        <v>139.69999999999999</v>
      </c>
      <c r="G693" s="359">
        <f t="shared" ref="G693:G734" si="61">((E693+F693)/2)*D693*C693/10^6</f>
        <v>5.0881833720000005</v>
      </c>
      <c r="H693" s="20"/>
      <c r="I693" s="20"/>
      <c r="J693" s="75"/>
      <c r="K693" s="786"/>
      <c r="L693" s="20"/>
      <c r="M693" s="20"/>
      <c r="N693" s="20"/>
      <c r="O693" s="20"/>
      <c r="P693" s="20"/>
      <c r="Q693" s="21"/>
      <c r="R693" s="22" t="s">
        <v>16</v>
      </c>
      <c r="S693" s="22"/>
      <c r="T693" s="20"/>
      <c r="U693" s="22"/>
      <c r="V693" s="20"/>
    </row>
    <row r="694" spans="1:22" s="306" customFormat="1">
      <c r="A694" s="450" t="s">
        <v>1971</v>
      </c>
      <c r="B694" s="464" t="s">
        <v>2182</v>
      </c>
      <c r="C694" s="544">
        <v>457.2</v>
      </c>
      <c r="D694" s="544">
        <v>76.2</v>
      </c>
      <c r="E694" s="544">
        <v>152.4</v>
      </c>
      <c r="F694" s="544">
        <v>136.5</v>
      </c>
      <c r="G694" s="359">
        <f t="shared" si="61"/>
        <v>5.0324415479999995</v>
      </c>
      <c r="H694" s="20"/>
      <c r="I694" s="20"/>
      <c r="J694" s="75"/>
      <c r="K694" s="786"/>
      <c r="L694" s="20"/>
      <c r="M694" s="20"/>
      <c r="N694" s="20"/>
      <c r="O694" s="20"/>
      <c r="P694" s="20"/>
      <c r="Q694" s="21"/>
      <c r="R694" s="22" t="s">
        <v>16</v>
      </c>
      <c r="S694" s="22"/>
      <c r="T694" s="20"/>
      <c r="U694" s="22"/>
      <c r="V694" s="20"/>
    </row>
    <row r="695" spans="1:22" s="306" customFormat="1">
      <c r="A695" s="450" t="s">
        <v>1972</v>
      </c>
      <c r="B695" s="464" t="s">
        <v>2182</v>
      </c>
      <c r="C695" s="544">
        <v>457.2</v>
      </c>
      <c r="D695" s="544">
        <v>76.2</v>
      </c>
      <c r="E695" s="544">
        <v>152.4</v>
      </c>
      <c r="F695" s="544">
        <v>133.4</v>
      </c>
      <c r="G695" s="359">
        <f t="shared" si="61"/>
        <v>4.9784416560000002</v>
      </c>
      <c r="H695" s="20"/>
      <c r="I695" s="20"/>
      <c r="J695" s="75"/>
      <c r="K695" s="786"/>
      <c r="L695" s="20"/>
      <c r="M695" s="20"/>
      <c r="N695" s="20"/>
      <c r="O695" s="20"/>
      <c r="P695" s="20"/>
      <c r="Q695" s="21"/>
      <c r="R695" s="22" t="s">
        <v>16</v>
      </c>
      <c r="S695" s="22"/>
      <c r="T695" s="20"/>
      <c r="U695" s="22"/>
      <c r="V695" s="20"/>
    </row>
    <row r="696" spans="1:22" s="306" customFormat="1">
      <c r="A696" s="450" t="s">
        <v>1973</v>
      </c>
      <c r="B696" s="464" t="s">
        <v>2182</v>
      </c>
      <c r="C696" s="544">
        <v>457.2</v>
      </c>
      <c r="D696" s="544">
        <v>76.2</v>
      </c>
      <c r="E696" s="544">
        <v>152.4</v>
      </c>
      <c r="F696" s="544">
        <v>131.80000000000001</v>
      </c>
      <c r="G696" s="359">
        <f t="shared" si="61"/>
        <v>4.9505707440000011</v>
      </c>
      <c r="H696" s="20"/>
      <c r="I696" s="20"/>
      <c r="J696" s="75"/>
      <c r="K696" s="786"/>
      <c r="L696" s="20"/>
      <c r="M696" s="20"/>
      <c r="N696" s="20"/>
      <c r="O696" s="20"/>
      <c r="P696" s="20"/>
      <c r="Q696" s="21"/>
      <c r="R696" s="22" t="s">
        <v>16</v>
      </c>
      <c r="S696" s="22"/>
      <c r="T696" s="20"/>
      <c r="U696" s="22"/>
      <c r="V696" s="20"/>
    </row>
    <row r="697" spans="1:22" s="306" customFormat="1">
      <c r="A697" s="450" t="s">
        <v>1974</v>
      </c>
      <c r="B697" s="464" t="s">
        <v>2182</v>
      </c>
      <c r="C697" s="544">
        <v>457.2</v>
      </c>
      <c r="D697" s="544">
        <v>76.2</v>
      </c>
      <c r="E697" s="544">
        <v>152.4</v>
      </c>
      <c r="F697" s="544">
        <v>130.19999999999999</v>
      </c>
      <c r="G697" s="359">
        <f t="shared" si="61"/>
        <v>4.9226998320000002</v>
      </c>
      <c r="H697" s="20"/>
      <c r="I697" s="20"/>
      <c r="J697" s="75"/>
      <c r="K697" s="786"/>
      <c r="L697" s="20"/>
      <c r="M697" s="20"/>
      <c r="N697" s="20"/>
      <c r="O697" s="20"/>
      <c r="P697" s="20"/>
      <c r="Q697" s="21"/>
      <c r="R697" s="22" t="s">
        <v>16</v>
      </c>
      <c r="S697" s="22"/>
      <c r="T697" s="20"/>
      <c r="U697" s="22"/>
      <c r="V697" s="20"/>
    </row>
    <row r="698" spans="1:22" s="306" customFormat="1">
      <c r="A698" s="450" t="s">
        <v>1975</v>
      </c>
      <c r="B698" s="464" t="s">
        <v>2182</v>
      </c>
      <c r="C698" s="544">
        <v>457.2</v>
      </c>
      <c r="D698" s="544">
        <v>76.2</v>
      </c>
      <c r="E698" s="544">
        <v>152.4</v>
      </c>
      <c r="F698" s="544">
        <v>127</v>
      </c>
      <c r="G698" s="359">
        <f t="shared" si="61"/>
        <v>4.8669580079999992</v>
      </c>
      <c r="H698" s="20"/>
      <c r="I698" s="20"/>
      <c r="J698" s="75"/>
      <c r="K698" s="786"/>
      <c r="L698" s="20"/>
      <c r="M698" s="20"/>
      <c r="N698" s="20"/>
      <c r="O698" s="20"/>
      <c r="P698" s="20"/>
      <c r="Q698" s="21"/>
      <c r="R698" s="22" t="s">
        <v>16</v>
      </c>
      <c r="S698" s="22"/>
      <c r="T698" s="20"/>
      <c r="U698" s="22"/>
      <c r="V698" s="20"/>
    </row>
    <row r="699" spans="1:22" s="306" customFormat="1">
      <c r="A699" s="450" t="s">
        <v>1976</v>
      </c>
      <c r="B699" s="464" t="s">
        <v>2182</v>
      </c>
      <c r="C699" s="544">
        <v>457.2</v>
      </c>
      <c r="D699" s="544">
        <v>76.2</v>
      </c>
      <c r="E699" s="544">
        <v>152.4</v>
      </c>
      <c r="F699" s="544">
        <v>122.2</v>
      </c>
      <c r="G699" s="359">
        <f t="shared" si="61"/>
        <v>4.7833452720000009</v>
      </c>
      <c r="H699" s="20"/>
      <c r="I699" s="20"/>
      <c r="J699" s="75"/>
      <c r="K699" s="786"/>
      <c r="L699" s="20"/>
      <c r="M699" s="20"/>
      <c r="N699" s="20"/>
      <c r="O699" s="20"/>
      <c r="P699" s="20"/>
      <c r="Q699" s="21"/>
      <c r="R699" s="22" t="s">
        <v>16</v>
      </c>
      <c r="S699" s="22"/>
      <c r="T699" s="20"/>
      <c r="U699" s="22"/>
      <c r="V699" s="20"/>
    </row>
    <row r="700" spans="1:22" s="306" customFormat="1">
      <c r="A700" s="450" t="s">
        <v>1977</v>
      </c>
      <c r="B700" s="464" t="s">
        <v>2182</v>
      </c>
      <c r="C700" s="544">
        <v>457.2</v>
      </c>
      <c r="D700" s="544">
        <v>76.2</v>
      </c>
      <c r="E700" s="544">
        <v>152.4</v>
      </c>
      <c r="F700" s="544">
        <v>121.9</v>
      </c>
      <c r="G700" s="359">
        <f t="shared" si="61"/>
        <v>4.7781194759999996</v>
      </c>
      <c r="H700" s="20"/>
      <c r="I700" s="20"/>
      <c r="J700" s="75"/>
      <c r="K700" s="786"/>
      <c r="L700" s="20"/>
      <c r="M700" s="20"/>
      <c r="N700" s="20"/>
      <c r="O700" s="20"/>
      <c r="P700" s="20"/>
      <c r="Q700" s="21"/>
      <c r="R700" s="22" t="s">
        <v>16</v>
      </c>
      <c r="S700" s="22"/>
      <c r="T700" s="20"/>
      <c r="U700" s="22"/>
      <c r="V700" s="20"/>
    </row>
    <row r="701" spans="1:22" s="306" customFormat="1">
      <c r="A701" s="450" t="s">
        <v>1978</v>
      </c>
      <c r="B701" s="464" t="s">
        <v>2182</v>
      </c>
      <c r="C701" s="544">
        <v>457.2</v>
      </c>
      <c r="D701" s="544">
        <v>76.2</v>
      </c>
      <c r="E701" s="544">
        <v>152.4</v>
      </c>
      <c r="F701" s="544">
        <v>114.3</v>
      </c>
      <c r="G701" s="359">
        <f t="shared" si="61"/>
        <v>4.6457326440000006</v>
      </c>
      <c r="H701" s="20"/>
      <c r="I701" s="20"/>
      <c r="J701" s="75"/>
      <c r="K701" s="786"/>
      <c r="L701" s="20"/>
      <c r="M701" s="20"/>
      <c r="N701" s="20"/>
      <c r="O701" s="20"/>
      <c r="P701" s="20"/>
      <c r="Q701" s="21"/>
      <c r="R701" s="22" t="s">
        <v>16</v>
      </c>
      <c r="S701" s="22"/>
      <c r="T701" s="20"/>
      <c r="U701" s="22"/>
      <c r="V701" s="20"/>
    </row>
    <row r="702" spans="1:22" s="306" customFormat="1">
      <c r="A702" s="450" t="s">
        <v>1979</v>
      </c>
      <c r="B702" s="464" t="s">
        <v>2182</v>
      </c>
      <c r="C702" s="544">
        <v>457.2</v>
      </c>
      <c r="D702" s="544">
        <v>76.2</v>
      </c>
      <c r="E702" s="544">
        <v>152.4</v>
      </c>
      <c r="F702" s="544">
        <v>101.6</v>
      </c>
      <c r="G702" s="359">
        <f t="shared" si="61"/>
        <v>4.4245072799999994</v>
      </c>
      <c r="H702" s="20"/>
      <c r="I702" s="20"/>
      <c r="J702" s="75"/>
      <c r="K702" s="786"/>
      <c r="L702" s="20"/>
      <c r="M702" s="20"/>
      <c r="N702" s="20"/>
      <c r="O702" s="20"/>
      <c r="P702" s="20"/>
      <c r="Q702" s="21"/>
      <c r="R702" s="22" t="s">
        <v>16</v>
      </c>
      <c r="S702" s="22"/>
      <c r="T702" s="20"/>
      <c r="U702" s="22"/>
      <c r="V702" s="20"/>
    </row>
    <row r="703" spans="1:22" s="306" customFormat="1">
      <c r="A703" s="450" t="s">
        <v>1980</v>
      </c>
      <c r="B703" s="464" t="s">
        <v>2182</v>
      </c>
      <c r="C703" s="544">
        <v>457.2</v>
      </c>
      <c r="D703" s="544">
        <v>76.2</v>
      </c>
      <c r="E703" s="544">
        <v>152.4</v>
      </c>
      <c r="F703" s="544">
        <v>88.9</v>
      </c>
      <c r="G703" s="359">
        <f t="shared" si="61"/>
        <v>4.2032819159999999</v>
      </c>
      <c r="H703" s="20"/>
      <c r="I703" s="20"/>
      <c r="J703" s="75"/>
      <c r="K703" s="786"/>
      <c r="L703" s="20"/>
      <c r="M703" s="20"/>
      <c r="N703" s="20"/>
      <c r="O703" s="20"/>
      <c r="P703" s="20"/>
      <c r="Q703" s="21"/>
      <c r="R703" s="22" t="s">
        <v>16</v>
      </c>
      <c r="S703" s="22"/>
      <c r="T703" s="20"/>
      <c r="U703" s="22"/>
      <c r="V703" s="20"/>
    </row>
    <row r="704" spans="1:22" s="306" customFormat="1">
      <c r="A704" s="450" t="s">
        <v>1981</v>
      </c>
      <c r="B704" s="464" t="s">
        <v>2182</v>
      </c>
      <c r="C704" s="544">
        <v>457.2</v>
      </c>
      <c r="D704" s="544">
        <v>76.2</v>
      </c>
      <c r="E704" s="544">
        <v>152.4</v>
      </c>
      <c r="F704" s="544">
        <v>85.7</v>
      </c>
      <c r="G704" s="359">
        <f t="shared" si="61"/>
        <v>4.1475400919999998</v>
      </c>
      <c r="H704" s="20"/>
      <c r="I704" s="20"/>
      <c r="J704" s="75"/>
      <c r="K704" s="786"/>
      <c r="L704" s="20"/>
      <c r="M704" s="20"/>
      <c r="N704" s="20"/>
      <c r="O704" s="20"/>
      <c r="P704" s="20"/>
      <c r="Q704" s="21"/>
      <c r="R704" s="22" t="s">
        <v>16</v>
      </c>
      <c r="S704" s="22"/>
      <c r="T704" s="20"/>
      <c r="U704" s="22"/>
      <c r="V704" s="20"/>
    </row>
    <row r="705" spans="1:22" s="306" customFormat="1">
      <c r="A705" s="450" t="s">
        <v>1982</v>
      </c>
      <c r="B705" s="464" t="s">
        <v>2182</v>
      </c>
      <c r="C705" s="544">
        <v>457.2</v>
      </c>
      <c r="D705" s="544">
        <v>76.2</v>
      </c>
      <c r="E705" s="544">
        <v>152.4</v>
      </c>
      <c r="F705" s="544">
        <v>76.2</v>
      </c>
      <c r="G705" s="359">
        <f t="shared" si="61"/>
        <v>3.9820565520000004</v>
      </c>
      <c r="H705" s="20"/>
      <c r="I705" s="20"/>
      <c r="J705" s="75"/>
      <c r="K705" s="786"/>
      <c r="L705" s="20"/>
      <c r="M705" s="20"/>
      <c r="N705" s="20"/>
      <c r="O705" s="20"/>
      <c r="P705" s="20"/>
      <c r="Q705" s="21"/>
      <c r="R705" s="22" t="s">
        <v>16</v>
      </c>
      <c r="S705" s="22"/>
      <c r="T705" s="20"/>
      <c r="U705" s="22"/>
      <c r="V705" s="20"/>
    </row>
    <row r="706" spans="1:22" s="306" customFormat="1">
      <c r="A706" s="545" t="s">
        <v>1983</v>
      </c>
      <c r="B706" s="546" t="s">
        <v>2182</v>
      </c>
      <c r="C706" s="547">
        <v>533.4</v>
      </c>
      <c r="D706" s="547">
        <v>76.2</v>
      </c>
      <c r="E706" s="547">
        <v>152.4</v>
      </c>
      <c r="F706" s="547">
        <v>139.69999999999999</v>
      </c>
      <c r="G706" s="359">
        <f t="shared" si="61"/>
        <v>5.9362139340000013</v>
      </c>
      <c r="H706" s="20"/>
      <c r="I706" s="20"/>
      <c r="J706" s="75"/>
      <c r="K706" s="786"/>
      <c r="L706" s="20"/>
      <c r="M706" s="20"/>
      <c r="N706" s="20"/>
      <c r="O706" s="20"/>
      <c r="P706" s="20"/>
      <c r="Q706" s="21"/>
      <c r="R706" s="22" t="s">
        <v>16</v>
      </c>
      <c r="S706" s="22"/>
      <c r="T706" s="20"/>
      <c r="U706" s="22"/>
      <c r="V706" s="20"/>
    </row>
    <row r="707" spans="1:22" s="306" customFormat="1">
      <c r="A707" s="545" t="s">
        <v>1984</v>
      </c>
      <c r="B707" s="546" t="s">
        <v>2182</v>
      </c>
      <c r="C707" s="547">
        <v>533.4</v>
      </c>
      <c r="D707" s="547">
        <v>76.2</v>
      </c>
      <c r="E707" s="547">
        <v>152.4</v>
      </c>
      <c r="F707" s="547">
        <v>128.6</v>
      </c>
      <c r="G707" s="359">
        <f t="shared" si="61"/>
        <v>5.7106337400000005</v>
      </c>
      <c r="H707" s="20"/>
      <c r="I707" s="20"/>
      <c r="J707" s="75"/>
      <c r="K707" s="786"/>
      <c r="L707" s="20"/>
      <c r="M707" s="20"/>
      <c r="N707" s="20"/>
      <c r="O707" s="20"/>
      <c r="P707" s="20"/>
      <c r="Q707" s="21"/>
      <c r="R707" s="22" t="s">
        <v>16</v>
      </c>
      <c r="S707" s="22"/>
      <c r="T707" s="20"/>
      <c r="U707" s="22"/>
      <c r="V707" s="20"/>
    </row>
    <row r="708" spans="1:22" s="306" customFormat="1">
      <c r="A708" s="545" t="s">
        <v>1985</v>
      </c>
      <c r="B708" s="546" t="s">
        <v>2182</v>
      </c>
      <c r="C708" s="547">
        <v>533.4</v>
      </c>
      <c r="D708" s="547">
        <v>76.2</v>
      </c>
      <c r="E708" s="547">
        <v>152.4</v>
      </c>
      <c r="F708" s="547">
        <v>127</v>
      </c>
      <c r="G708" s="359">
        <f t="shared" si="61"/>
        <v>5.6781176759999994</v>
      </c>
      <c r="H708" s="20"/>
      <c r="I708" s="20"/>
      <c r="J708" s="75"/>
      <c r="K708" s="786"/>
      <c r="L708" s="20"/>
      <c r="M708" s="20"/>
      <c r="N708" s="20"/>
      <c r="O708" s="20"/>
      <c r="P708" s="20"/>
      <c r="Q708" s="21"/>
      <c r="R708" s="22" t="s">
        <v>16</v>
      </c>
      <c r="S708" s="22"/>
      <c r="T708" s="20"/>
      <c r="U708" s="22"/>
      <c r="V708" s="20"/>
    </row>
    <row r="709" spans="1:22" s="306" customFormat="1">
      <c r="A709" s="545" t="s">
        <v>1986</v>
      </c>
      <c r="B709" s="546" t="s">
        <v>2182</v>
      </c>
      <c r="C709" s="547">
        <v>533.4</v>
      </c>
      <c r="D709" s="547">
        <v>76.2</v>
      </c>
      <c r="E709" s="547">
        <v>152.4</v>
      </c>
      <c r="F709" s="547">
        <v>122.2</v>
      </c>
      <c r="G709" s="359">
        <f t="shared" si="61"/>
        <v>5.5805694840000015</v>
      </c>
      <c r="H709" s="20"/>
      <c r="I709" s="20"/>
      <c r="J709" s="75"/>
      <c r="K709" s="786"/>
      <c r="L709" s="20"/>
      <c r="M709" s="20"/>
      <c r="N709" s="20"/>
      <c r="O709" s="20"/>
      <c r="P709" s="20"/>
      <c r="Q709" s="21"/>
      <c r="R709" s="22" t="s">
        <v>16</v>
      </c>
      <c r="S709" s="22"/>
      <c r="T709" s="20"/>
      <c r="U709" s="22"/>
      <c r="V709" s="20"/>
    </row>
    <row r="710" spans="1:22" s="306" customFormat="1">
      <c r="A710" s="545" t="s">
        <v>1987</v>
      </c>
      <c r="B710" s="546" t="s">
        <v>2182</v>
      </c>
      <c r="C710" s="547">
        <v>533.4</v>
      </c>
      <c r="D710" s="547">
        <v>76.2</v>
      </c>
      <c r="E710" s="547">
        <v>152.4</v>
      </c>
      <c r="F710" s="547">
        <v>114.3</v>
      </c>
      <c r="G710" s="359">
        <f t="shared" si="61"/>
        <v>5.4200214179999993</v>
      </c>
      <c r="H710" s="20"/>
      <c r="I710" s="20"/>
      <c r="J710" s="75"/>
      <c r="K710" s="786"/>
      <c r="L710" s="20"/>
      <c r="M710" s="20"/>
      <c r="N710" s="20"/>
      <c r="O710" s="20"/>
      <c r="P710" s="20"/>
      <c r="Q710" s="21"/>
      <c r="R710" s="22" t="s">
        <v>16</v>
      </c>
      <c r="S710" s="22"/>
      <c r="T710" s="20"/>
      <c r="U710" s="22"/>
      <c r="V710" s="20"/>
    </row>
    <row r="711" spans="1:22" s="306" customFormat="1">
      <c r="A711" s="545" t="s">
        <v>1988</v>
      </c>
      <c r="B711" s="546" t="s">
        <v>2182</v>
      </c>
      <c r="C711" s="547">
        <v>533.4</v>
      </c>
      <c r="D711" s="547">
        <v>76.2</v>
      </c>
      <c r="E711" s="547">
        <v>152.4</v>
      </c>
      <c r="F711" s="547">
        <v>101.6</v>
      </c>
      <c r="G711" s="359">
        <f t="shared" si="61"/>
        <v>5.1619251599999991</v>
      </c>
      <c r="H711" s="20"/>
      <c r="I711" s="20"/>
      <c r="J711" s="75"/>
      <c r="K711" s="786"/>
      <c r="L711" s="20"/>
      <c r="M711" s="20"/>
      <c r="N711" s="20"/>
      <c r="O711" s="20"/>
      <c r="P711" s="20"/>
      <c r="Q711" s="21"/>
      <c r="R711" s="22" t="s">
        <v>16</v>
      </c>
      <c r="S711" s="22"/>
      <c r="T711" s="20"/>
      <c r="U711" s="22"/>
      <c r="V711" s="20"/>
    </row>
    <row r="712" spans="1:22" s="306" customFormat="1">
      <c r="A712" s="545" t="s">
        <v>1989</v>
      </c>
      <c r="B712" s="546" t="s">
        <v>2182</v>
      </c>
      <c r="C712" s="547">
        <v>533.4</v>
      </c>
      <c r="D712" s="547">
        <v>76.2</v>
      </c>
      <c r="E712" s="547">
        <v>152.4</v>
      </c>
      <c r="F712" s="547">
        <v>88.9</v>
      </c>
      <c r="G712" s="359">
        <f t="shared" si="61"/>
        <v>4.9038289019999999</v>
      </c>
      <c r="H712" s="20"/>
      <c r="I712" s="20"/>
      <c r="J712" s="75"/>
      <c r="K712" s="786"/>
      <c r="L712" s="20"/>
      <c r="M712" s="20"/>
      <c r="N712" s="20"/>
      <c r="O712" s="20"/>
      <c r="P712" s="20"/>
      <c r="Q712" s="21"/>
      <c r="R712" s="22" t="s">
        <v>16</v>
      </c>
      <c r="S712" s="22"/>
      <c r="T712" s="20"/>
      <c r="U712" s="22"/>
      <c r="V712" s="20"/>
    </row>
    <row r="713" spans="1:22" s="306" customFormat="1">
      <c r="A713" s="545" t="s">
        <v>1990</v>
      </c>
      <c r="B713" s="546" t="s">
        <v>2182</v>
      </c>
      <c r="C713" s="547">
        <v>533.4</v>
      </c>
      <c r="D713" s="547">
        <v>76.2</v>
      </c>
      <c r="E713" s="547">
        <v>152.4</v>
      </c>
      <c r="F713" s="547">
        <v>76.2</v>
      </c>
      <c r="G713" s="359">
        <f t="shared" si="61"/>
        <v>4.6457326440000006</v>
      </c>
      <c r="H713" s="20"/>
      <c r="I713" s="20"/>
      <c r="J713" s="75"/>
      <c r="K713" s="786"/>
      <c r="L713" s="20"/>
      <c r="M713" s="20"/>
      <c r="N713" s="20"/>
      <c r="O713" s="20"/>
      <c r="P713" s="20"/>
      <c r="Q713" s="21"/>
      <c r="R713" s="22" t="s">
        <v>16</v>
      </c>
      <c r="S713" s="22"/>
      <c r="T713" s="20"/>
      <c r="U713" s="22"/>
      <c r="V713" s="20"/>
    </row>
    <row r="714" spans="1:22" s="306" customFormat="1">
      <c r="A714" s="545" t="s">
        <v>1991</v>
      </c>
      <c r="B714" s="546" t="s">
        <v>2182</v>
      </c>
      <c r="C714" s="547">
        <v>533.4</v>
      </c>
      <c r="D714" s="547">
        <v>76.2</v>
      </c>
      <c r="E714" s="547">
        <v>152.4</v>
      </c>
      <c r="F714" s="547">
        <v>50.8</v>
      </c>
      <c r="G714" s="359">
        <f t="shared" si="61"/>
        <v>4.1295401280000004</v>
      </c>
      <c r="H714" s="20"/>
      <c r="I714" s="20"/>
      <c r="J714" s="75"/>
      <c r="K714" s="786"/>
      <c r="L714" s="20"/>
      <c r="M714" s="20"/>
      <c r="N714" s="20"/>
      <c r="O714" s="20"/>
      <c r="P714" s="20"/>
      <c r="Q714" s="21"/>
      <c r="R714" s="22" t="s">
        <v>16</v>
      </c>
      <c r="S714" s="22"/>
      <c r="T714" s="20"/>
      <c r="U714" s="22"/>
      <c r="V714" s="20"/>
    </row>
    <row r="715" spans="1:22" s="306" customFormat="1">
      <c r="A715" s="548" t="s">
        <v>1992</v>
      </c>
      <c r="B715" s="549" t="s">
        <v>2182</v>
      </c>
      <c r="C715" s="550">
        <v>609.79999999999995</v>
      </c>
      <c r="D715" s="550">
        <v>76.2</v>
      </c>
      <c r="E715" s="550">
        <v>152.4</v>
      </c>
      <c r="F715" s="550">
        <v>139.69999999999999</v>
      </c>
      <c r="G715" s="359">
        <f t="shared" si="61"/>
        <v>6.7864702980000002</v>
      </c>
      <c r="H715" s="20"/>
      <c r="I715" s="20"/>
      <c r="J715" s="75"/>
      <c r="K715" s="786"/>
      <c r="L715" s="20"/>
      <c r="M715" s="20"/>
      <c r="N715" s="20"/>
      <c r="O715" s="20"/>
      <c r="P715" s="20"/>
      <c r="Q715" s="21"/>
      <c r="R715" s="22" t="s">
        <v>16</v>
      </c>
      <c r="S715" s="22"/>
      <c r="T715" s="20"/>
      <c r="U715" s="22"/>
      <c r="V715" s="20"/>
    </row>
    <row r="716" spans="1:22" s="306" customFormat="1">
      <c r="A716" s="548" t="s">
        <v>1993</v>
      </c>
      <c r="B716" s="549" t="s">
        <v>2182</v>
      </c>
      <c r="C716" s="550">
        <v>609.6</v>
      </c>
      <c r="D716" s="550">
        <v>76.2</v>
      </c>
      <c r="E716" s="550">
        <v>152.4</v>
      </c>
      <c r="F716" s="550">
        <v>127</v>
      </c>
      <c r="G716" s="359">
        <f t="shared" si="61"/>
        <v>6.4892773439999996</v>
      </c>
      <c r="H716" s="20"/>
      <c r="I716" s="20"/>
      <c r="J716" s="75"/>
      <c r="K716" s="786"/>
      <c r="L716" s="20"/>
      <c r="M716" s="20"/>
      <c r="N716" s="20"/>
      <c r="O716" s="20"/>
      <c r="P716" s="20"/>
      <c r="Q716" s="21"/>
      <c r="R716" s="22" t="s">
        <v>16</v>
      </c>
      <c r="S716" s="22"/>
      <c r="T716" s="20"/>
      <c r="U716" s="22"/>
      <c r="V716" s="20"/>
    </row>
    <row r="717" spans="1:22" s="306" customFormat="1">
      <c r="A717" s="548" t="s">
        <v>1994</v>
      </c>
      <c r="B717" s="549" t="s">
        <v>2182</v>
      </c>
      <c r="C717" s="550">
        <v>609.79999999999995</v>
      </c>
      <c r="D717" s="550">
        <v>76.2</v>
      </c>
      <c r="E717" s="550">
        <v>152.4</v>
      </c>
      <c r="F717" s="550">
        <v>122.2</v>
      </c>
      <c r="G717" s="359">
        <f t="shared" si="61"/>
        <v>6.3798861480000006</v>
      </c>
      <c r="H717" s="20"/>
      <c r="I717" s="20"/>
      <c r="J717" s="75"/>
      <c r="K717" s="786"/>
      <c r="L717" s="20"/>
      <c r="M717" s="20"/>
      <c r="N717" s="20"/>
      <c r="O717" s="20"/>
      <c r="P717" s="20"/>
      <c r="Q717" s="21"/>
      <c r="R717" s="22" t="s">
        <v>16</v>
      </c>
      <c r="S717" s="22"/>
      <c r="T717" s="20"/>
      <c r="U717" s="22"/>
      <c r="V717" s="20"/>
    </row>
    <row r="718" spans="1:22" s="306" customFormat="1">
      <c r="A718" s="548" t="s">
        <v>1995</v>
      </c>
      <c r="B718" s="549" t="s">
        <v>2182</v>
      </c>
      <c r="C718" s="550">
        <v>609.79999999999995</v>
      </c>
      <c r="D718" s="550">
        <v>76.2</v>
      </c>
      <c r="E718" s="550">
        <v>152.4</v>
      </c>
      <c r="F718" s="550">
        <v>114.3</v>
      </c>
      <c r="G718" s="359">
        <f t="shared" si="61"/>
        <v>6.1963424459999992</v>
      </c>
      <c r="H718" s="20"/>
      <c r="I718" s="20"/>
      <c r="J718" s="75"/>
      <c r="K718" s="786"/>
      <c r="L718" s="20"/>
      <c r="M718" s="20"/>
      <c r="N718" s="20"/>
      <c r="O718" s="20"/>
      <c r="P718" s="20"/>
      <c r="Q718" s="21"/>
      <c r="R718" s="22" t="s">
        <v>16</v>
      </c>
      <c r="S718" s="22"/>
      <c r="T718" s="20"/>
      <c r="U718" s="22"/>
      <c r="V718" s="20"/>
    </row>
    <row r="719" spans="1:22" s="306" customFormat="1">
      <c r="A719" s="548" t="s">
        <v>1996</v>
      </c>
      <c r="B719" s="549" t="s">
        <v>2182</v>
      </c>
      <c r="C719" s="550">
        <v>609.6</v>
      </c>
      <c r="D719" s="550">
        <v>76.2</v>
      </c>
      <c r="E719" s="550">
        <v>152.4</v>
      </c>
      <c r="F719" s="550">
        <v>101.6</v>
      </c>
      <c r="G719" s="359">
        <f t="shared" si="61"/>
        <v>5.8993430399999998</v>
      </c>
      <c r="H719" s="20"/>
      <c r="I719" s="20"/>
      <c r="J719" s="75"/>
      <c r="K719" s="786"/>
      <c r="L719" s="20"/>
      <c r="M719" s="20"/>
      <c r="N719" s="20"/>
      <c r="O719" s="20"/>
      <c r="P719" s="20"/>
      <c r="Q719" s="21"/>
      <c r="R719" s="22" t="s">
        <v>16</v>
      </c>
      <c r="S719" s="22"/>
      <c r="T719" s="20"/>
      <c r="U719" s="22"/>
      <c r="V719" s="20"/>
    </row>
    <row r="720" spans="1:22" s="306" customFormat="1">
      <c r="A720" s="548" t="s">
        <v>1997</v>
      </c>
      <c r="B720" s="549" t="s">
        <v>2182</v>
      </c>
      <c r="C720" s="550">
        <v>609.79999999999995</v>
      </c>
      <c r="D720" s="550">
        <v>76.2</v>
      </c>
      <c r="E720" s="550">
        <v>152.4</v>
      </c>
      <c r="F720" s="550">
        <v>88.9</v>
      </c>
      <c r="G720" s="359">
        <f t="shared" si="61"/>
        <v>5.6062145939999999</v>
      </c>
      <c r="H720" s="20"/>
      <c r="I720" s="20"/>
      <c r="J720" s="75"/>
      <c r="K720" s="786"/>
      <c r="L720" s="20"/>
      <c r="M720" s="20"/>
      <c r="N720" s="20"/>
      <c r="O720" s="20"/>
      <c r="P720" s="20"/>
      <c r="Q720" s="21"/>
      <c r="R720" s="22" t="s">
        <v>16</v>
      </c>
      <c r="S720" s="22"/>
      <c r="T720" s="20"/>
      <c r="U720" s="22"/>
      <c r="V720" s="20"/>
    </row>
    <row r="721" spans="1:22" s="306" customFormat="1">
      <c r="A721" s="548" t="s">
        <v>1998</v>
      </c>
      <c r="B721" s="549" t="s">
        <v>2182</v>
      </c>
      <c r="C721" s="550">
        <v>609.79999999999995</v>
      </c>
      <c r="D721" s="550">
        <v>76.2</v>
      </c>
      <c r="E721" s="550">
        <v>152.4</v>
      </c>
      <c r="F721" s="550">
        <v>76.2</v>
      </c>
      <c r="G721" s="359">
        <f t="shared" si="61"/>
        <v>5.3111506680000007</v>
      </c>
      <c r="H721" s="20"/>
      <c r="I721" s="20"/>
      <c r="J721" s="75"/>
      <c r="K721" s="786"/>
      <c r="L721" s="20"/>
      <c r="M721" s="20"/>
      <c r="N721" s="20"/>
      <c r="O721" s="20"/>
      <c r="P721" s="20"/>
      <c r="Q721" s="21"/>
      <c r="R721" s="22" t="s">
        <v>16</v>
      </c>
      <c r="S721" s="22"/>
      <c r="T721" s="20"/>
      <c r="U721" s="22"/>
      <c r="V721" s="20"/>
    </row>
    <row r="722" spans="1:22" s="306" customFormat="1">
      <c r="A722" s="551" t="s">
        <v>1999</v>
      </c>
      <c r="B722" s="552" t="s">
        <v>2182</v>
      </c>
      <c r="C722" s="553">
        <v>685.8</v>
      </c>
      <c r="D722" s="553">
        <v>76.2</v>
      </c>
      <c r="E722" s="553">
        <v>152.4</v>
      </c>
      <c r="F722" s="553">
        <v>139.69999999999999</v>
      </c>
      <c r="G722" s="359">
        <f t="shared" si="61"/>
        <v>7.6322750580000012</v>
      </c>
      <c r="H722" s="20"/>
      <c r="I722" s="20"/>
      <c r="J722" s="75"/>
      <c r="K722" s="786"/>
      <c r="L722" s="20"/>
      <c r="M722" s="20"/>
      <c r="N722" s="20"/>
      <c r="O722" s="20"/>
      <c r="P722" s="20"/>
      <c r="Q722" s="21"/>
      <c r="R722" s="22" t="s">
        <v>16</v>
      </c>
      <c r="S722" s="22"/>
      <c r="T722" s="20"/>
      <c r="U722" s="22"/>
      <c r="V722" s="20"/>
    </row>
    <row r="723" spans="1:22" s="306" customFormat="1">
      <c r="A723" s="551" t="s">
        <v>2000</v>
      </c>
      <c r="B723" s="552" t="s">
        <v>2182</v>
      </c>
      <c r="C723" s="553">
        <v>685.8</v>
      </c>
      <c r="D723" s="553">
        <v>76.2</v>
      </c>
      <c r="E723" s="553">
        <v>152.4</v>
      </c>
      <c r="F723" s="553">
        <v>127</v>
      </c>
      <c r="G723" s="359">
        <f t="shared" si="61"/>
        <v>7.3004370119999988</v>
      </c>
      <c r="H723" s="20"/>
      <c r="I723" s="20"/>
      <c r="J723" s="75"/>
      <c r="K723" s="786"/>
      <c r="L723" s="20"/>
      <c r="M723" s="20"/>
      <c r="N723" s="20"/>
      <c r="O723" s="20"/>
      <c r="P723" s="20"/>
      <c r="Q723" s="21"/>
      <c r="R723" s="22" t="s">
        <v>16</v>
      </c>
      <c r="S723" s="22"/>
      <c r="T723" s="20"/>
      <c r="U723" s="22"/>
      <c r="V723" s="20"/>
    </row>
    <row r="724" spans="1:22" s="306" customFormat="1">
      <c r="A724" s="551" t="s">
        <v>2001</v>
      </c>
      <c r="B724" s="552" t="s">
        <v>2182</v>
      </c>
      <c r="C724" s="553">
        <v>685.8</v>
      </c>
      <c r="D724" s="553">
        <v>76.2</v>
      </c>
      <c r="E724" s="553">
        <v>152.4</v>
      </c>
      <c r="F724" s="553">
        <v>123.8</v>
      </c>
      <c r="G724" s="359">
        <f t="shared" si="61"/>
        <v>7.2168242759999988</v>
      </c>
      <c r="H724" s="20"/>
      <c r="I724" s="20"/>
      <c r="J724" s="75"/>
      <c r="K724" s="786"/>
      <c r="L724" s="20"/>
      <c r="M724" s="20"/>
      <c r="N724" s="20"/>
      <c r="O724" s="20"/>
      <c r="P724" s="20"/>
      <c r="Q724" s="21"/>
      <c r="R724" s="22" t="s">
        <v>16</v>
      </c>
      <c r="S724" s="22"/>
      <c r="T724" s="20"/>
      <c r="U724" s="22"/>
      <c r="V724" s="20"/>
    </row>
    <row r="725" spans="1:22" s="306" customFormat="1">
      <c r="A725" s="551" t="s">
        <v>2002</v>
      </c>
      <c r="B725" s="552" t="s">
        <v>2182</v>
      </c>
      <c r="C725" s="553">
        <v>685.8</v>
      </c>
      <c r="D725" s="553">
        <v>76.2</v>
      </c>
      <c r="E725" s="553">
        <v>152.4</v>
      </c>
      <c r="F725" s="553">
        <v>122.2</v>
      </c>
      <c r="G725" s="359">
        <f t="shared" si="61"/>
        <v>7.1750179080000009</v>
      </c>
      <c r="H725" s="20"/>
      <c r="I725" s="20"/>
      <c r="J725" s="75"/>
      <c r="K725" s="786"/>
      <c r="L725" s="20"/>
      <c r="M725" s="20"/>
      <c r="N725" s="20"/>
      <c r="O725" s="20"/>
      <c r="P725" s="20"/>
      <c r="Q725" s="21"/>
      <c r="R725" s="22" t="s">
        <v>16</v>
      </c>
      <c r="S725" s="22"/>
      <c r="T725" s="20"/>
      <c r="U725" s="22"/>
      <c r="V725" s="20"/>
    </row>
    <row r="726" spans="1:22" s="306" customFormat="1">
      <c r="A726" s="551" t="s">
        <v>2003</v>
      </c>
      <c r="B726" s="552" t="s">
        <v>2182</v>
      </c>
      <c r="C726" s="553">
        <v>685.8</v>
      </c>
      <c r="D726" s="553">
        <v>76.2</v>
      </c>
      <c r="E726" s="553">
        <v>152.4</v>
      </c>
      <c r="F726" s="553">
        <v>114.3</v>
      </c>
      <c r="G726" s="359">
        <f t="shared" si="61"/>
        <v>6.9685989660000001</v>
      </c>
      <c r="H726" s="20"/>
      <c r="I726" s="20"/>
      <c r="J726" s="75"/>
      <c r="K726" s="786"/>
      <c r="L726" s="20"/>
      <c r="M726" s="20"/>
      <c r="N726" s="20"/>
      <c r="O726" s="20"/>
      <c r="P726" s="20"/>
      <c r="Q726" s="21"/>
      <c r="R726" s="22" t="s">
        <v>16</v>
      </c>
      <c r="S726" s="22"/>
      <c r="T726" s="20"/>
      <c r="U726" s="22"/>
      <c r="V726" s="20"/>
    </row>
    <row r="727" spans="1:22" s="306" customFormat="1">
      <c r="A727" s="551" t="s">
        <v>2004</v>
      </c>
      <c r="B727" s="552" t="s">
        <v>2182</v>
      </c>
      <c r="C727" s="553">
        <v>685.8</v>
      </c>
      <c r="D727" s="553">
        <v>76.2</v>
      </c>
      <c r="E727" s="553">
        <v>152.4</v>
      </c>
      <c r="F727" s="553">
        <v>101.6</v>
      </c>
      <c r="G727" s="359">
        <f t="shared" si="61"/>
        <v>6.6367609199999986</v>
      </c>
      <c r="H727" s="20"/>
      <c r="I727" s="20"/>
      <c r="J727" s="75"/>
      <c r="K727" s="786"/>
      <c r="L727" s="20"/>
      <c r="M727" s="20"/>
      <c r="N727" s="20"/>
      <c r="O727" s="20"/>
      <c r="P727" s="20"/>
      <c r="Q727" s="21"/>
      <c r="R727" s="22" t="s">
        <v>16</v>
      </c>
      <c r="S727" s="22"/>
      <c r="T727" s="20"/>
      <c r="U727" s="22"/>
      <c r="V727" s="20"/>
    </row>
    <row r="728" spans="1:22" s="306" customFormat="1">
      <c r="A728" s="551" t="s">
        <v>2005</v>
      </c>
      <c r="B728" s="552" t="s">
        <v>2182</v>
      </c>
      <c r="C728" s="553">
        <v>685.8</v>
      </c>
      <c r="D728" s="553">
        <v>76.2</v>
      </c>
      <c r="E728" s="553">
        <v>152.4</v>
      </c>
      <c r="F728" s="553">
        <v>88.9</v>
      </c>
      <c r="G728" s="359">
        <f t="shared" si="61"/>
        <v>6.3049228739999998</v>
      </c>
      <c r="H728" s="20"/>
      <c r="I728" s="20"/>
      <c r="J728" s="75"/>
      <c r="K728" s="786"/>
      <c r="L728" s="20"/>
      <c r="M728" s="20"/>
      <c r="N728" s="20"/>
      <c r="O728" s="20"/>
      <c r="P728" s="20"/>
      <c r="Q728" s="21"/>
      <c r="R728" s="22" t="s">
        <v>16</v>
      </c>
      <c r="S728" s="22"/>
      <c r="T728" s="20"/>
      <c r="U728" s="22"/>
      <c r="V728" s="20"/>
    </row>
    <row r="729" spans="1:22" s="306" customFormat="1">
      <c r="A729" s="554" t="s">
        <v>2006</v>
      </c>
      <c r="B729" s="555" t="s">
        <v>2182</v>
      </c>
      <c r="C729" s="556">
        <v>762</v>
      </c>
      <c r="D729" s="556">
        <v>76.2</v>
      </c>
      <c r="E729" s="556">
        <v>152.4</v>
      </c>
      <c r="F729" s="556">
        <v>139.69999999999999</v>
      </c>
      <c r="G729" s="359">
        <f t="shared" si="61"/>
        <v>8.4803056200000011</v>
      </c>
      <c r="H729" s="20"/>
      <c r="I729" s="20"/>
      <c r="J729" s="75"/>
      <c r="K729" s="786"/>
      <c r="L729" s="20"/>
      <c r="M729" s="20"/>
      <c r="N729" s="20"/>
      <c r="O729" s="20"/>
      <c r="P729" s="20"/>
      <c r="Q729" s="21"/>
      <c r="R729" s="22" t="s">
        <v>16</v>
      </c>
      <c r="S729" s="22"/>
      <c r="T729" s="20"/>
      <c r="U729" s="22"/>
      <c r="V729" s="20"/>
    </row>
    <row r="730" spans="1:22" s="306" customFormat="1">
      <c r="A730" s="554" t="s">
        <v>2007</v>
      </c>
      <c r="B730" s="555" t="s">
        <v>2182</v>
      </c>
      <c r="C730" s="556">
        <v>762</v>
      </c>
      <c r="D730" s="556">
        <v>76.2</v>
      </c>
      <c r="E730" s="556">
        <v>152.4</v>
      </c>
      <c r="F730" s="556">
        <v>127</v>
      </c>
      <c r="G730" s="359">
        <f t="shared" si="61"/>
        <v>8.1115966799999999</v>
      </c>
      <c r="H730" s="20"/>
      <c r="I730" s="20"/>
      <c r="J730" s="75"/>
      <c r="K730" s="786"/>
      <c r="L730" s="20"/>
      <c r="M730" s="20"/>
      <c r="N730" s="20"/>
      <c r="O730" s="20"/>
      <c r="P730" s="20"/>
      <c r="Q730" s="21"/>
      <c r="R730" s="22" t="s">
        <v>16</v>
      </c>
      <c r="S730" s="22"/>
      <c r="T730" s="20"/>
      <c r="U730" s="22"/>
      <c r="V730" s="20"/>
    </row>
    <row r="731" spans="1:22" s="306" customFormat="1">
      <c r="A731" s="554" t="s">
        <v>2008</v>
      </c>
      <c r="B731" s="555" t="s">
        <v>2182</v>
      </c>
      <c r="C731" s="556">
        <v>762</v>
      </c>
      <c r="D731" s="556">
        <v>76.2</v>
      </c>
      <c r="E731" s="556">
        <v>152.4</v>
      </c>
      <c r="F731" s="556">
        <v>122.2</v>
      </c>
      <c r="G731" s="359">
        <f t="shared" si="61"/>
        <v>7.9722421200000015</v>
      </c>
      <c r="H731" s="20"/>
      <c r="I731" s="20"/>
      <c r="J731" s="75"/>
      <c r="K731" s="786"/>
      <c r="L731" s="20"/>
      <c r="M731" s="20"/>
      <c r="N731" s="20"/>
      <c r="O731" s="20"/>
      <c r="P731" s="20"/>
      <c r="Q731" s="21"/>
      <c r="R731" s="22" t="s">
        <v>16</v>
      </c>
      <c r="S731" s="22"/>
      <c r="T731" s="20"/>
      <c r="U731" s="22"/>
      <c r="V731" s="20"/>
    </row>
    <row r="732" spans="1:22" s="306" customFormat="1">
      <c r="A732" s="554" t="s">
        <v>2009</v>
      </c>
      <c r="B732" s="555" t="s">
        <v>2182</v>
      </c>
      <c r="C732" s="556">
        <v>762</v>
      </c>
      <c r="D732" s="556">
        <v>76.2</v>
      </c>
      <c r="E732" s="556">
        <v>152.4</v>
      </c>
      <c r="F732" s="556">
        <v>120.7</v>
      </c>
      <c r="G732" s="359">
        <f t="shared" si="61"/>
        <v>7.9286938200000003</v>
      </c>
      <c r="H732" s="20"/>
      <c r="I732" s="20"/>
      <c r="J732" s="75"/>
      <c r="K732" s="786"/>
      <c r="L732" s="20"/>
      <c r="M732" s="20"/>
      <c r="N732" s="20"/>
      <c r="O732" s="20"/>
      <c r="P732" s="20"/>
      <c r="Q732" s="21"/>
      <c r="R732" s="22" t="s">
        <v>16</v>
      </c>
      <c r="S732" s="22"/>
      <c r="T732" s="20"/>
      <c r="U732" s="22"/>
      <c r="V732" s="20"/>
    </row>
    <row r="733" spans="1:22" s="306" customFormat="1">
      <c r="A733" s="554" t="s">
        <v>2010</v>
      </c>
      <c r="B733" s="555" t="s">
        <v>2182</v>
      </c>
      <c r="C733" s="556">
        <v>762</v>
      </c>
      <c r="D733" s="556">
        <v>76.2</v>
      </c>
      <c r="E733" s="556">
        <v>152.4</v>
      </c>
      <c r="F733" s="556">
        <v>114.3</v>
      </c>
      <c r="G733" s="359">
        <f t="shared" si="61"/>
        <v>7.7428877400000005</v>
      </c>
      <c r="I733" s="20"/>
      <c r="J733" s="75"/>
      <c r="K733" s="786"/>
      <c r="L733" s="20"/>
      <c r="M733" s="20"/>
      <c r="N733" s="20"/>
      <c r="O733" s="20"/>
      <c r="P733" s="20"/>
      <c r="Q733" s="21"/>
      <c r="R733" s="22" t="s">
        <v>16</v>
      </c>
      <c r="S733" s="22"/>
      <c r="T733" s="20"/>
      <c r="U733" s="22"/>
      <c r="V733" s="20"/>
    </row>
    <row r="734" spans="1:22" s="306" customFormat="1" ht="13.8" thickBot="1">
      <c r="A734" s="554" t="s">
        <v>2011</v>
      </c>
      <c r="B734" s="555" t="s">
        <v>2182</v>
      </c>
      <c r="C734" s="556">
        <v>762</v>
      </c>
      <c r="D734" s="556">
        <v>76.2</v>
      </c>
      <c r="E734" s="556">
        <v>152.4</v>
      </c>
      <c r="F734" s="556">
        <v>101.6</v>
      </c>
      <c r="G734" s="359">
        <f t="shared" si="61"/>
        <v>7.3741788000000001</v>
      </c>
      <c r="H734" s="20"/>
      <c r="I734" s="82"/>
      <c r="J734" s="83"/>
      <c r="K734" s="786"/>
      <c r="L734" s="20"/>
      <c r="M734" s="20"/>
      <c r="N734" s="20"/>
      <c r="O734" s="20"/>
      <c r="P734" s="20"/>
      <c r="Q734" s="21"/>
      <c r="R734" s="22" t="s">
        <v>16</v>
      </c>
      <c r="S734" s="22"/>
      <c r="T734" s="20"/>
      <c r="U734" s="22"/>
      <c r="V734" s="20"/>
    </row>
    <row r="735" spans="1:22" ht="25.2" thickBot="1">
      <c r="A735" s="64" t="s">
        <v>1756</v>
      </c>
      <c r="B735" s="72"/>
      <c r="C735" s="72"/>
      <c r="D735" s="72"/>
      <c r="E735" s="72"/>
      <c r="F735" s="72"/>
      <c r="G735" s="102"/>
      <c r="H735" s="72"/>
      <c r="I735" s="72"/>
      <c r="J735" s="72"/>
      <c r="K735" s="74"/>
      <c r="L735" s="20"/>
      <c r="M735" s="20"/>
      <c r="N735" s="20"/>
      <c r="O735" s="20"/>
      <c r="P735" s="20"/>
      <c r="Q735" s="21"/>
      <c r="R735" s="22"/>
      <c r="S735" s="22"/>
      <c r="T735" s="20"/>
      <c r="U735" s="22"/>
      <c r="V735" s="20"/>
    </row>
    <row r="736" spans="1:22" s="306" customFormat="1">
      <c r="A736" s="561">
        <v>5120</v>
      </c>
      <c r="B736" s="77" t="s">
        <v>2182</v>
      </c>
      <c r="C736" s="77">
        <v>200</v>
      </c>
      <c r="D736" s="77">
        <v>100</v>
      </c>
      <c r="E736" s="77">
        <v>108</v>
      </c>
      <c r="F736" s="77">
        <v>100</v>
      </c>
      <c r="G736" s="21">
        <f t="shared" ref="G736:G768" si="62">IF(B736="","",AVERAGE(E736:F736)*D736*C736/10^6)</f>
        <v>2.08</v>
      </c>
      <c r="H736" s="78">
        <f t="shared" ref="H736:H768" si="63">ROUND(C736*E736*F736/10^6,3)</f>
        <v>2.16</v>
      </c>
      <c r="I736" s="78">
        <f t="shared" ref="I736:I768" si="64">IF(D736="","-",ROUND((F736+D736)*C736/2*E736/10^6,3))</f>
        <v>2.16</v>
      </c>
      <c r="J736" s="79">
        <f t="shared" ref="J736:J768" si="65">IF(D736="","-",ROUND((E736+F736)*C736/2*D736/10^6,3))</f>
        <v>2.08</v>
      </c>
      <c r="K736" s="780"/>
      <c r="L736" s="20"/>
      <c r="M736" s="20"/>
      <c r="N736" s="20"/>
      <c r="O736" s="20"/>
      <c r="P736" s="20"/>
      <c r="Q736" s="21"/>
      <c r="R736" s="22" t="s">
        <v>16</v>
      </c>
      <c r="S736" s="22">
        <v>2</v>
      </c>
      <c r="T736" s="20" t="e">
        <f t="shared" ref="T736:T768" si="66">(E736+U736)/2/(SIN(RADIANS((ATAN(((E736+U736)-(F736+U736))/2/C736)*180/PI()))))*2</f>
        <v>#REF!</v>
      </c>
      <c r="U736" s="22" t="e">
        <f>#REF!</f>
        <v>#REF!</v>
      </c>
      <c r="V736" s="20" t="str">
        <f t="shared" ref="V736:V768" si="67">B736&amp;"-"&amp;C736&amp;"x"&amp;E736&amp;"x"&amp;D736</f>
        <v>K-200x108x100</v>
      </c>
    </row>
    <row r="737" spans="1:22" s="306" customFormat="1">
      <c r="A737" s="305">
        <v>3120</v>
      </c>
      <c r="B737" s="2" t="s">
        <v>2182</v>
      </c>
      <c r="C737" s="2">
        <v>200</v>
      </c>
      <c r="D737" s="2">
        <v>100</v>
      </c>
      <c r="E737" s="2">
        <v>113</v>
      </c>
      <c r="F737" s="2">
        <v>100</v>
      </c>
      <c r="G737" s="21">
        <f t="shared" si="62"/>
        <v>2.13</v>
      </c>
      <c r="H737" s="20">
        <f t="shared" si="63"/>
        <v>2.2599999999999998</v>
      </c>
      <c r="I737" s="20">
        <f t="shared" si="64"/>
        <v>2.2599999999999998</v>
      </c>
      <c r="J737" s="75">
        <f t="shared" si="65"/>
        <v>2.13</v>
      </c>
      <c r="K737" s="780"/>
      <c r="L737" s="20"/>
      <c r="M737" s="20"/>
      <c r="N737" s="20"/>
      <c r="O737" s="20"/>
      <c r="P737" s="20"/>
      <c r="Q737" s="21"/>
      <c r="R737" s="22" t="s">
        <v>16</v>
      </c>
      <c r="S737" s="22">
        <v>2</v>
      </c>
      <c r="T737" s="20" t="e">
        <f t="shared" si="66"/>
        <v>#REF!</v>
      </c>
      <c r="U737" s="22" t="e">
        <f>#REF!</f>
        <v>#REF!</v>
      </c>
      <c r="V737" s="20" t="str">
        <f t="shared" si="67"/>
        <v>K-200x113x100</v>
      </c>
    </row>
    <row r="738" spans="1:22" s="306" customFormat="1">
      <c r="A738" s="305" t="s">
        <v>2128</v>
      </c>
      <c r="B738" s="2" t="s">
        <v>2182</v>
      </c>
      <c r="C738" s="2">
        <v>230</v>
      </c>
      <c r="D738" s="2">
        <v>64</v>
      </c>
      <c r="E738" s="2">
        <v>119</v>
      </c>
      <c r="F738" s="2">
        <v>109</v>
      </c>
      <c r="G738" s="21">
        <f t="shared" si="62"/>
        <v>1.67808</v>
      </c>
      <c r="H738" s="20">
        <f t="shared" si="63"/>
        <v>2.9830000000000001</v>
      </c>
      <c r="I738" s="20">
        <f t="shared" si="64"/>
        <v>2.3679999999999999</v>
      </c>
      <c r="J738" s="75">
        <f t="shared" si="65"/>
        <v>1.6779999999999999</v>
      </c>
      <c r="K738" s="780"/>
      <c r="L738" s="20"/>
      <c r="M738" s="20"/>
      <c r="N738" s="20"/>
      <c r="O738" s="20"/>
      <c r="P738" s="20"/>
      <c r="Q738" s="21"/>
      <c r="R738" s="22" t="s">
        <v>16</v>
      </c>
      <c r="S738" s="22">
        <v>2</v>
      </c>
      <c r="T738" s="20" t="e">
        <f t="shared" si="66"/>
        <v>#REF!</v>
      </c>
      <c r="U738" s="22" t="e">
        <f>#REF!</f>
        <v>#REF!</v>
      </c>
      <c r="V738" s="20" t="str">
        <f t="shared" si="67"/>
        <v>K-230x119x64</v>
      </c>
    </row>
    <row r="739" spans="1:22" s="306" customFormat="1">
      <c r="A739" s="305" t="s">
        <v>429</v>
      </c>
      <c r="B739" s="2" t="s">
        <v>2182</v>
      </c>
      <c r="C739" s="2">
        <v>230</v>
      </c>
      <c r="D739" s="2">
        <v>76</v>
      </c>
      <c r="E739" s="2">
        <v>119</v>
      </c>
      <c r="F739" s="2">
        <v>109</v>
      </c>
      <c r="G739" s="21">
        <f t="shared" si="62"/>
        <v>1.99272</v>
      </c>
      <c r="H739" s="20">
        <f t="shared" si="63"/>
        <v>2.9830000000000001</v>
      </c>
      <c r="I739" s="20">
        <f t="shared" si="64"/>
        <v>2.532</v>
      </c>
      <c r="J739" s="75">
        <f t="shared" si="65"/>
        <v>1.9930000000000001</v>
      </c>
      <c r="K739" s="780"/>
      <c r="L739" s="20"/>
      <c r="M739" s="20"/>
      <c r="N739" s="20"/>
      <c r="O739" s="20"/>
      <c r="P739" s="20"/>
      <c r="Q739" s="21"/>
      <c r="R739" s="22" t="s">
        <v>16</v>
      </c>
      <c r="S739" s="22">
        <v>2</v>
      </c>
      <c r="T739" s="20" t="e">
        <f t="shared" si="66"/>
        <v>#REF!</v>
      </c>
      <c r="U739" s="22" t="e">
        <f>#REF!</f>
        <v>#REF!</v>
      </c>
      <c r="V739" s="20" t="str">
        <f t="shared" si="67"/>
        <v>K-230x119x76</v>
      </c>
    </row>
    <row r="740" spans="1:22" s="306" customFormat="1">
      <c r="A740" s="305" t="s">
        <v>2129</v>
      </c>
      <c r="B740" s="2" t="s">
        <v>2182</v>
      </c>
      <c r="C740" s="2">
        <v>230</v>
      </c>
      <c r="D740" s="2">
        <v>64</v>
      </c>
      <c r="E740" s="2">
        <v>121</v>
      </c>
      <c r="F740" s="2">
        <v>107</v>
      </c>
      <c r="G740" s="21">
        <f t="shared" si="62"/>
        <v>1.67808</v>
      </c>
      <c r="H740" s="20">
        <f t="shared" si="63"/>
        <v>2.9780000000000002</v>
      </c>
      <c r="I740" s="20">
        <f t="shared" si="64"/>
        <v>2.379</v>
      </c>
      <c r="J740" s="75">
        <f t="shared" si="65"/>
        <v>1.6779999999999999</v>
      </c>
      <c r="K740" s="780"/>
      <c r="L740" s="20"/>
      <c r="M740" s="20"/>
      <c r="N740" s="20"/>
      <c r="O740" s="20"/>
      <c r="P740" s="20"/>
      <c r="Q740" s="21"/>
      <c r="R740" s="22" t="s">
        <v>16</v>
      </c>
      <c r="S740" s="22">
        <v>2</v>
      </c>
      <c r="T740" s="20" t="e">
        <f t="shared" si="66"/>
        <v>#REF!</v>
      </c>
      <c r="U740" s="22" t="e">
        <f>#REF!</f>
        <v>#REF!</v>
      </c>
      <c r="V740" s="20" t="str">
        <f t="shared" si="67"/>
        <v>K-230x121x64</v>
      </c>
    </row>
    <row r="741" spans="1:22" s="306" customFormat="1">
      <c r="A741" s="305" t="s">
        <v>430</v>
      </c>
      <c r="B741" s="2" t="s">
        <v>2182</v>
      </c>
      <c r="C741" s="2">
        <v>230</v>
      </c>
      <c r="D741" s="2">
        <v>76</v>
      </c>
      <c r="E741" s="2">
        <v>121</v>
      </c>
      <c r="F741" s="2">
        <v>107</v>
      </c>
      <c r="G741" s="21">
        <f t="shared" si="62"/>
        <v>1.99272</v>
      </c>
      <c r="H741" s="20">
        <f t="shared" si="63"/>
        <v>2.9780000000000002</v>
      </c>
      <c r="I741" s="20">
        <f t="shared" si="64"/>
        <v>2.5459999999999998</v>
      </c>
      <c r="J741" s="75">
        <f t="shared" si="65"/>
        <v>1.9930000000000001</v>
      </c>
      <c r="K741" s="780"/>
      <c r="L741" s="20"/>
      <c r="M741" s="20"/>
      <c r="N741" s="20"/>
      <c r="O741" s="20"/>
      <c r="P741" s="20"/>
      <c r="Q741" s="21"/>
      <c r="R741" s="22" t="s">
        <v>16</v>
      </c>
      <c r="S741" s="22">
        <v>2</v>
      </c>
      <c r="T741" s="20" t="e">
        <f t="shared" si="66"/>
        <v>#REF!</v>
      </c>
      <c r="U741" s="22" t="e">
        <f>#REF!</f>
        <v>#REF!</v>
      </c>
      <c r="V741" s="20" t="str">
        <f t="shared" si="67"/>
        <v>K-230x121x76</v>
      </c>
    </row>
    <row r="742" spans="1:22" s="306" customFormat="1">
      <c r="A742" s="305" t="s">
        <v>2130</v>
      </c>
      <c r="B742" s="2" t="s">
        <v>2182</v>
      </c>
      <c r="C742" s="2">
        <v>230</v>
      </c>
      <c r="D742" s="2">
        <v>64</v>
      </c>
      <c r="E742" s="2">
        <v>128</v>
      </c>
      <c r="F742" s="2">
        <v>100</v>
      </c>
      <c r="G742" s="21">
        <f t="shared" si="62"/>
        <v>1.67808</v>
      </c>
      <c r="H742" s="20">
        <f t="shared" si="63"/>
        <v>2.944</v>
      </c>
      <c r="I742" s="20">
        <f t="shared" si="64"/>
        <v>2.4140000000000001</v>
      </c>
      <c r="J742" s="75">
        <f t="shared" si="65"/>
        <v>1.6779999999999999</v>
      </c>
      <c r="K742" s="780"/>
      <c r="L742" s="20"/>
      <c r="M742" s="20"/>
      <c r="N742" s="20"/>
      <c r="O742" s="20"/>
      <c r="P742" s="20"/>
      <c r="Q742" s="21"/>
      <c r="R742" s="22" t="s">
        <v>16</v>
      </c>
      <c r="S742" s="22">
        <v>2</v>
      </c>
      <c r="T742" s="20" t="e">
        <f t="shared" si="66"/>
        <v>#REF!</v>
      </c>
      <c r="U742" s="22" t="e">
        <f>#REF!</f>
        <v>#REF!</v>
      </c>
      <c r="V742" s="20" t="str">
        <f t="shared" si="67"/>
        <v>K-230x128x64</v>
      </c>
    </row>
    <row r="743" spans="1:22" s="306" customFormat="1">
      <c r="A743" s="305" t="s">
        <v>431</v>
      </c>
      <c r="B743" s="2" t="s">
        <v>2182</v>
      </c>
      <c r="C743" s="2">
        <v>230</v>
      </c>
      <c r="D743" s="2">
        <v>76</v>
      </c>
      <c r="E743" s="2">
        <v>128</v>
      </c>
      <c r="F743" s="2">
        <v>100</v>
      </c>
      <c r="G743" s="21">
        <f t="shared" si="62"/>
        <v>1.99272</v>
      </c>
      <c r="H743" s="20">
        <f t="shared" si="63"/>
        <v>2.944</v>
      </c>
      <c r="I743" s="20">
        <f t="shared" si="64"/>
        <v>2.5910000000000002</v>
      </c>
      <c r="J743" s="75">
        <f t="shared" si="65"/>
        <v>1.9930000000000001</v>
      </c>
      <c r="K743" s="780"/>
      <c r="L743" s="20"/>
      <c r="M743" s="20"/>
      <c r="N743" s="20"/>
      <c r="O743" s="20"/>
      <c r="P743" s="20"/>
      <c r="Q743" s="21"/>
      <c r="R743" s="22" t="s">
        <v>16</v>
      </c>
      <c r="S743" s="22">
        <v>2</v>
      </c>
      <c r="T743" s="20" t="e">
        <f t="shared" si="66"/>
        <v>#REF!</v>
      </c>
      <c r="U743" s="22" t="e">
        <f>#REF!</f>
        <v>#REF!</v>
      </c>
      <c r="V743" s="20" t="str">
        <f t="shared" si="67"/>
        <v>K-230x128x76</v>
      </c>
    </row>
    <row r="744" spans="1:22" s="306" customFormat="1">
      <c r="A744" s="305" t="s">
        <v>2131</v>
      </c>
      <c r="B744" s="2" t="s">
        <v>2182</v>
      </c>
      <c r="C744" s="2">
        <v>230</v>
      </c>
      <c r="D744" s="2">
        <v>64</v>
      </c>
      <c r="E744" s="2">
        <v>139</v>
      </c>
      <c r="F744" s="2">
        <v>89</v>
      </c>
      <c r="G744" s="21">
        <f t="shared" si="62"/>
        <v>1.67808</v>
      </c>
      <c r="H744" s="20">
        <f t="shared" si="63"/>
        <v>2.8450000000000002</v>
      </c>
      <c r="I744" s="20">
        <f t="shared" si="64"/>
        <v>2.4460000000000002</v>
      </c>
      <c r="J744" s="75">
        <f t="shared" si="65"/>
        <v>1.6779999999999999</v>
      </c>
      <c r="K744" s="780"/>
      <c r="L744" s="20"/>
      <c r="M744" s="20"/>
      <c r="N744" s="20"/>
      <c r="O744" s="20"/>
      <c r="P744" s="20"/>
      <c r="Q744" s="21"/>
      <c r="R744" s="22" t="s">
        <v>16</v>
      </c>
      <c r="S744" s="22">
        <v>2</v>
      </c>
      <c r="T744" s="20" t="e">
        <f t="shared" si="66"/>
        <v>#REF!</v>
      </c>
      <c r="U744" s="22" t="e">
        <f>#REF!</f>
        <v>#REF!</v>
      </c>
      <c r="V744" s="20" t="str">
        <f t="shared" si="67"/>
        <v>K-230x139x64</v>
      </c>
    </row>
    <row r="745" spans="1:22" s="306" customFormat="1">
      <c r="A745" s="305" t="s">
        <v>2132</v>
      </c>
      <c r="B745" s="2" t="s">
        <v>2182</v>
      </c>
      <c r="C745" s="2">
        <v>230</v>
      </c>
      <c r="D745" s="2">
        <v>76</v>
      </c>
      <c r="E745" s="2">
        <v>139</v>
      </c>
      <c r="F745" s="2">
        <v>89</v>
      </c>
      <c r="G745" s="21">
        <f t="shared" si="62"/>
        <v>1.99272</v>
      </c>
      <c r="H745" s="20">
        <f t="shared" si="63"/>
        <v>2.8450000000000002</v>
      </c>
      <c r="I745" s="20">
        <f t="shared" si="64"/>
        <v>2.6379999999999999</v>
      </c>
      <c r="J745" s="75">
        <f t="shared" si="65"/>
        <v>1.9930000000000001</v>
      </c>
      <c r="K745" s="780"/>
      <c r="L745" s="20"/>
      <c r="M745" s="20"/>
      <c r="N745" s="20"/>
      <c r="O745" s="20"/>
      <c r="P745" s="20"/>
      <c r="Q745" s="21"/>
      <c r="R745" s="22" t="s">
        <v>16</v>
      </c>
      <c r="S745" s="22">
        <v>2</v>
      </c>
      <c r="T745" s="20" t="e">
        <f t="shared" si="66"/>
        <v>#REF!</v>
      </c>
      <c r="U745" s="22" t="e">
        <f>#REF!</f>
        <v>#REF!</v>
      </c>
      <c r="V745" s="20" t="str">
        <f t="shared" si="67"/>
        <v>K-230x139x76</v>
      </c>
    </row>
    <row r="746" spans="1:22" s="306" customFormat="1">
      <c r="A746" s="305" t="s">
        <v>2133</v>
      </c>
      <c r="B746" s="2" t="s">
        <v>2182</v>
      </c>
      <c r="C746" s="2">
        <v>230</v>
      </c>
      <c r="D746" s="2">
        <v>64</v>
      </c>
      <c r="E746" s="2">
        <v>179</v>
      </c>
      <c r="F746" s="2">
        <v>165</v>
      </c>
      <c r="G746" s="21">
        <f t="shared" si="62"/>
        <v>2.5318399999999999</v>
      </c>
      <c r="H746" s="20">
        <f t="shared" si="63"/>
        <v>6.7930000000000001</v>
      </c>
      <c r="I746" s="20">
        <f t="shared" si="64"/>
        <v>4.7140000000000004</v>
      </c>
      <c r="J746" s="75">
        <f t="shared" si="65"/>
        <v>2.532</v>
      </c>
      <c r="K746" s="780"/>
      <c r="L746" s="20"/>
      <c r="M746" s="20"/>
      <c r="N746" s="20"/>
      <c r="O746" s="20"/>
      <c r="P746" s="20"/>
      <c r="Q746" s="21"/>
      <c r="R746" s="22" t="s">
        <v>16</v>
      </c>
      <c r="S746" s="22">
        <v>2</v>
      </c>
      <c r="T746" s="20" t="e">
        <f t="shared" si="66"/>
        <v>#REF!</v>
      </c>
      <c r="U746" s="22" t="e">
        <f>#REF!</f>
        <v>#REF!</v>
      </c>
      <c r="V746" s="20" t="str">
        <f t="shared" si="67"/>
        <v>K-230x179x64</v>
      </c>
    </row>
    <row r="747" spans="1:22" s="306" customFormat="1">
      <c r="A747" s="305" t="s">
        <v>2134</v>
      </c>
      <c r="B747" s="2" t="s">
        <v>2182</v>
      </c>
      <c r="C747" s="2">
        <v>230</v>
      </c>
      <c r="D747" s="2">
        <v>76</v>
      </c>
      <c r="E747" s="2">
        <v>179</v>
      </c>
      <c r="F747" s="2">
        <v>165</v>
      </c>
      <c r="G747" s="21">
        <f t="shared" si="62"/>
        <v>3.0065599999999999</v>
      </c>
      <c r="H747" s="20">
        <f t="shared" si="63"/>
        <v>6.7930000000000001</v>
      </c>
      <c r="I747" s="20">
        <f t="shared" si="64"/>
        <v>4.9610000000000003</v>
      </c>
      <c r="J747" s="75">
        <f t="shared" si="65"/>
        <v>3.0070000000000001</v>
      </c>
      <c r="K747" s="780"/>
      <c r="L747" s="20"/>
      <c r="M747" s="20"/>
      <c r="N747" s="20"/>
      <c r="O747" s="20"/>
      <c r="P747" s="20"/>
      <c r="Q747" s="21"/>
      <c r="R747" s="22" t="s">
        <v>16</v>
      </c>
      <c r="S747" s="22">
        <v>2</v>
      </c>
      <c r="T747" s="20" t="e">
        <f t="shared" si="66"/>
        <v>#REF!</v>
      </c>
      <c r="U747" s="22" t="e">
        <f>#REF!</f>
        <v>#REF!</v>
      </c>
      <c r="V747" s="20" t="str">
        <f t="shared" si="67"/>
        <v>K-230x179x76</v>
      </c>
    </row>
    <row r="748" spans="1:22" s="306" customFormat="1">
      <c r="A748" s="305" t="s">
        <v>2135</v>
      </c>
      <c r="B748" s="2" t="s">
        <v>2182</v>
      </c>
      <c r="C748" s="2">
        <v>250</v>
      </c>
      <c r="D748" s="2">
        <v>64</v>
      </c>
      <c r="E748" s="2">
        <v>129</v>
      </c>
      <c r="F748" s="2">
        <v>119</v>
      </c>
      <c r="G748" s="21">
        <f t="shared" si="62"/>
        <v>1.984</v>
      </c>
      <c r="H748" s="20">
        <f t="shared" si="63"/>
        <v>3.8380000000000001</v>
      </c>
      <c r="I748" s="20">
        <f t="shared" si="64"/>
        <v>2.9510000000000001</v>
      </c>
      <c r="J748" s="75">
        <f t="shared" si="65"/>
        <v>1.984</v>
      </c>
      <c r="K748" s="780"/>
      <c r="L748" s="20"/>
      <c r="M748" s="20"/>
      <c r="N748" s="20"/>
      <c r="O748" s="20"/>
      <c r="P748" s="20"/>
      <c r="Q748" s="21"/>
      <c r="R748" s="22" t="s">
        <v>16</v>
      </c>
      <c r="S748" s="22">
        <v>2</v>
      </c>
      <c r="T748" s="20" t="e">
        <f t="shared" si="66"/>
        <v>#REF!</v>
      </c>
      <c r="U748" s="22" t="e">
        <f>#REF!</f>
        <v>#REF!</v>
      </c>
      <c r="V748" s="20" t="str">
        <f t="shared" si="67"/>
        <v>K-250x129x64</v>
      </c>
    </row>
    <row r="749" spans="1:22" s="306" customFormat="1">
      <c r="A749" s="305" t="s">
        <v>432</v>
      </c>
      <c r="B749" s="2" t="s">
        <v>2182</v>
      </c>
      <c r="C749" s="2">
        <v>250</v>
      </c>
      <c r="D749" s="2">
        <v>76</v>
      </c>
      <c r="E749" s="2">
        <v>129</v>
      </c>
      <c r="F749" s="2">
        <v>119</v>
      </c>
      <c r="G749" s="21">
        <f t="shared" si="62"/>
        <v>2.3559999999999999</v>
      </c>
      <c r="H749" s="20">
        <f t="shared" si="63"/>
        <v>3.8380000000000001</v>
      </c>
      <c r="I749" s="20">
        <f t="shared" si="64"/>
        <v>3.1440000000000001</v>
      </c>
      <c r="J749" s="75">
        <f t="shared" si="65"/>
        <v>2.3559999999999999</v>
      </c>
      <c r="K749" s="780"/>
      <c r="L749" s="20"/>
      <c r="M749" s="20"/>
      <c r="N749" s="20"/>
      <c r="O749" s="20"/>
      <c r="P749" s="20"/>
      <c r="Q749" s="21"/>
      <c r="R749" s="22" t="s">
        <v>16</v>
      </c>
      <c r="S749" s="22">
        <v>2</v>
      </c>
      <c r="T749" s="20" t="e">
        <f t="shared" si="66"/>
        <v>#REF!</v>
      </c>
      <c r="U749" s="22" t="e">
        <f>#REF!</f>
        <v>#REF!</v>
      </c>
      <c r="V749" s="20" t="str">
        <f t="shared" si="67"/>
        <v>K-250x129x76</v>
      </c>
    </row>
    <row r="750" spans="1:22" s="306" customFormat="1">
      <c r="A750" s="305" t="s">
        <v>601</v>
      </c>
      <c r="B750" s="2" t="s">
        <v>2182</v>
      </c>
      <c r="C750" s="2">
        <v>250</v>
      </c>
      <c r="D750" s="2">
        <v>64</v>
      </c>
      <c r="E750" s="2">
        <v>131</v>
      </c>
      <c r="F750" s="2">
        <v>117</v>
      </c>
      <c r="G750" s="21">
        <f t="shared" si="62"/>
        <v>1.984</v>
      </c>
      <c r="H750" s="20">
        <f t="shared" si="63"/>
        <v>3.8319999999999999</v>
      </c>
      <c r="I750" s="20">
        <f t="shared" si="64"/>
        <v>2.964</v>
      </c>
      <c r="J750" s="75">
        <f t="shared" si="65"/>
        <v>1.984</v>
      </c>
      <c r="K750" s="780"/>
      <c r="L750" s="20"/>
      <c r="M750" s="20"/>
      <c r="N750" s="20"/>
      <c r="O750" s="20"/>
      <c r="P750" s="20"/>
      <c r="Q750" s="21"/>
      <c r="R750" s="22" t="s">
        <v>16</v>
      </c>
      <c r="S750" s="22">
        <v>2</v>
      </c>
      <c r="T750" s="20" t="e">
        <f t="shared" si="66"/>
        <v>#REF!</v>
      </c>
      <c r="U750" s="22" t="e">
        <f>#REF!</f>
        <v>#REF!</v>
      </c>
      <c r="V750" s="20" t="str">
        <f t="shared" si="67"/>
        <v>K-250x131x64</v>
      </c>
    </row>
    <row r="751" spans="1:22" s="306" customFormat="1">
      <c r="A751" s="305" t="s">
        <v>444</v>
      </c>
      <c r="B751" s="2" t="s">
        <v>2182</v>
      </c>
      <c r="C751" s="2">
        <v>250</v>
      </c>
      <c r="D751" s="2">
        <v>76</v>
      </c>
      <c r="E751" s="2">
        <v>131</v>
      </c>
      <c r="F751" s="2">
        <v>117</v>
      </c>
      <c r="G751" s="21">
        <f t="shared" si="62"/>
        <v>2.3559999999999999</v>
      </c>
      <c r="H751" s="20">
        <f t="shared" si="63"/>
        <v>3.8319999999999999</v>
      </c>
      <c r="I751" s="20">
        <f t="shared" si="64"/>
        <v>3.16</v>
      </c>
      <c r="J751" s="75">
        <f t="shared" si="65"/>
        <v>2.3559999999999999</v>
      </c>
      <c r="K751" s="780"/>
      <c r="L751" s="20"/>
      <c r="M751" s="20"/>
      <c r="N751" s="20"/>
      <c r="O751" s="20"/>
      <c r="P751" s="20"/>
      <c r="Q751" s="21"/>
      <c r="R751" s="22" t="s">
        <v>16</v>
      </c>
      <c r="S751" s="22">
        <v>2</v>
      </c>
      <c r="T751" s="20">
        <f t="shared" si="66"/>
        <v>4680.4050692482697</v>
      </c>
      <c r="U751" s="22">
        <f>U735</f>
        <v>0</v>
      </c>
      <c r="V751" s="20" t="str">
        <f t="shared" si="67"/>
        <v>K-250x131x76</v>
      </c>
    </row>
    <row r="752" spans="1:22" s="306" customFormat="1">
      <c r="A752" s="305" t="s">
        <v>433</v>
      </c>
      <c r="B752" s="2" t="s">
        <v>2182</v>
      </c>
      <c r="C752" s="2">
        <v>250</v>
      </c>
      <c r="D752" s="2">
        <v>76</v>
      </c>
      <c r="E752" s="2">
        <v>134</v>
      </c>
      <c r="F752" s="2">
        <v>114</v>
      </c>
      <c r="G752" s="21">
        <f t="shared" si="62"/>
        <v>2.3559999999999999</v>
      </c>
      <c r="H752" s="20">
        <f t="shared" si="63"/>
        <v>3.819</v>
      </c>
      <c r="I752" s="20">
        <f t="shared" si="64"/>
        <v>3.1829999999999998</v>
      </c>
      <c r="J752" s="75">
        <f t="shared" si="65"/>
        <v>2.3559999999999999</v>
      </c>
      <c r="K752" s="780"/>
      <c r="L752" s="20"/>
      <c r="M752" s="20"/>
      <c r="N752" s="20"/>
      <c r="O752" s="20"/>
      <c r="P752" s="20"/>
      <c r="Q752" s="21"/>
      <c r="R752" s="22" t="s">
        <v>16</v>
      </c>
      <c r="S752" s="22">
        <v>2</v>
      </c>
      <c r="T752" s="20">
        <f t="shared" si="66"/>
        <v>3352.6789288567429</v>
      </c>
      <c r="U752" s="22">
        <f>U735</f>
        <v>0</v>
      </c>
      <c r="V752" s="20" t="str">
        <f t="shared" si="67"/>
        <v>K-250x134x76</v>
      </c>
    </row>
    <row r="753" spans="1:22" s="306" customFormat="1">
      <c r="A753" s="305" t="s">
        <v>602</v>
      </c>
      <c r="B753" s="2" t="s">
        <v>2182</v>
      </c>
      <c r="C753" s="2">
        <v>250</v>
      </c>
      <c r="D753" s="2">
        <v>64</v>
      </c>
      <c r="E753" s="2">
        <v>138</v>
      </c>
      <c r="F753" s="2">
        <v>110</v>
      </c>
      <c r="G753" s="21">
        <f t="shared" si="62"/>
        <v>1.984</v>
      </c>
      <c r="H753" s="20">
        <f t="shared" si="63"/>
        <v>3.7949999999999999</v>
      </c>
      <c r="I753" s="20">
        <f t="shared" si="64"/>
        <v>3.0019999999999998</v>
      </c>
      <c r="J753" s="75">
        <f t="shared" si="65"/>
        <v>1.984</v>
      </c>
      <c r="K753" s="780"/>
      <c r="L753" s="20"/>
      <c r="M753" s="20"/>
      <c r="N753" s="20"/>
      <c r="O753" s="20"/>
      <c r="P753" s="20"/>
      <c r="Q753" s="21"/>
      <c r="R753" s="22" t="s">
        <v>16</v>
      </c>
      <c r="S753" s="22">
        <v>2</v>
      </c>
      <c r="T753" s="20" t="e">
        <f t="shared" si="66"/>
        <v>#REF!</v>
      </c>
      <c r="U753" s="22" t="e">
        <f>U737</f>
        <v>#REF!</v>
      </c>
      <c r="V753" s="20" t="str">
        <f t="shared" si="67"/>
        <v>K-250x138x64</v>
      </c>
    </row>
    <row r="754" spans="1:22" s="306" customFormat="1">
      <c r="A754" s="305" t="s">
        <v>434</v>
      </c>
      <c r="B754" s="2" t="s">
        <v>2182</v>
      </c>
      <c r="C754" s="2">
        <v>250</v>
      </c>
      <c r="D754" s="2">
        <v>76</v>
      </c>
      <c r="E754" s="2">
        <v>138</v>
      </c>
      <c r="F754" s="2">
        <v>110</v>
      </c>
      <c r="G754" s="21">
        <f t="shared" si="62"/>
        <v>2.3559999999999999</v>
      </c>
      <c r="H754" s="20">
        <f t="shared" si="63"/>
        <v>3.7949999999999999</v>
      </c>
      <c r="I754" s="20">
        <f t="shared" si="64"/>
        <v>3.2090000000000001</v>
      </c>
      <c r="J754" s="75">
        <f t="shared" si="65"/>
        <v>2.3559999999999999</v>
      </c>
      <c r="K754" s="780"/>
      <c r="L754" s="20"/>
      <c r="M754" s="20"/>
      <c r="N754" s="20"/>
      <c r="O754" s="20"/>
      <c r="P754" s="20"/>
      <c r="Q754" s="21"/>
      <c r="R754" s="22" t="s">
        <v>16</v>
      </c>
      <c r="S754" s="22">
        <v>2</v>
      </c>
      <c r="T754" s="20" t="e">
        <f t="shared" si="66"/>
        <v>#REF!</v>
      </c>
      <c r="U754" s="22" t="e">
        <f>U737</f>
        <v>#REF!</v>
      </c>
      <c r="V754" s="20" t="str">
        <f t="shared" si="67"/>
        <v>K-250x138x76</v>
      </c>
    </row>
    <row r="755" spans="1:22" s="306" customFormat="1">
      <c r="A755" s="305" t="s">
        <v>603</v>
      </c>
      <c r="B755" s="2" t="s">
        <v>2182</v>
      </c>
      <c r="C755" s="2">
        <v>250</v>
      </c>
      <c r="D755" s="2">
        <v>64</v>
      </c>
      <c r="E755" s="2">
        <v>149</v>
      </c>
      <c r="F755" s="2">
        <v>99</v>
      </c>
      <c r="G755" s="21">
        <f t="shared" si="62"/>
        <v>1.984</v>
      </c>
      <c r="H755" s="20">
        <f t="shared" si="63"/>
        <v>3.6880000000000002</v>
      </c>
      <c r="I755" s="20">
        <f t="shared" si="64"/>
        <v>3.036</v>
      </c>
      <c r="J755" s="75">
        <f t="shared" si="65"/>
        <v>1.984</v>
      </c>
      <c r="K755" s="780"/>
      <c r="L755" s="20"/>
      <c r="M755" s="20"/>
      <c r="N755" s="20"/>
      <c r="O755" s="20"/>
      <c r="P755" s="20"/>
      <c r="Q755" s="21"/>
      <c r="R755" s="22" t="s">
        <v>16</v>
      </c>
      <c r="S755" s="22">
        <v>2</v>
      </c>
      <c r="T755" s="20" t="e">
        <f t="shared" si="66"/>
        <v>#REF!</v>
      </c>
      <c r="U755" s="22" t="e">
        <f>U739</f>
        <v>#REF!</v>
      </c>
      <c r="V755" s="20" t="str">
        <f t="shared" si="67"/>
        <v>K-250x149x64</v>
      </c>
    </row>
    <row r="756" spans="1:22" s="306" customFormat="1">
      <c r="A756" s="305" t="s">
        <v>435</v>
      </c>
      <c r="B756" s="2" t="s">
        <v>2182</v>
      </c>
      <c r="C756" s="2">
        <v>250</v>
      </c>
      <c r="D756" s="2">
        <v>76</v>
      </c>
      <c r="E756" s="2">
        <v>149</v>
      </c>
      <c r="F756" s="2">
        <v>99</v>
      </c>
      <c r="G756" s="21">
        <f t="shared" si="62"/>
        <v>2.3559999999999999</v>
      </c>
      <c r="H756" s="20">
        <f t="shared" si="63"/>
        <v>3.6880000000000002</v>
      </c>
      <c r="I756" s="20">
        <f t="shared" si="64"/>
        <v>3.2589999999999999</v>
      </c>
      <c r="J756" s="75">
        <f t="shared" si="65"/>
        <v>2.3559999999999999</v>
      </c>
      <c r="K756" s="780"/>
      <c r="L756" s="20"/>
      <c r="M756" s="20"/>
      <c r="N756" s="20"/>
      <c r="O756" s="20"/>
      <c r="P756" s="20"/>
      <c r="Q756" s="21"/>
      <c r="R756" s="22" t="s">
        <v>16</v>
      </c>
      <c r="S756" s="22">
        <v>2</v>
      </c>
      <c r="T756" s="20" t="e">
        <f t="shared" si="66"/>
        <v>#REF!</v>
      </c>
      <c r="U756" s="22" t="e">
        <f>U741</f>
        <v>#REF!</v>
      </c>
      <c r="V756" s="20" t="str">
        <f t="shared" si="67"/>
        <v>K-250x149x76</v>
      </c>
    </row>
    <row r="757" spans="1:22" s="306" customFormat="1">
      <c r="A757" s="305" t="s">
        <v>436</v>
      </c>
      <c r="B757" s="2" t="s">
        <v>2182</v>
      </c>
      <c r="C757" s="2">
        <v>250</v>
      </c>
      <c r="D757" s="2">
        <v>76</v>
      </c>
      <c r="E757" s="2">
        <v>154</v>
      </c>
      <c r="F757" s="2">
        <v>132</v>
      </c>
      <c r="G757" s="21">
        <f t="shared" si="62"/>
        <v>2.7170000000000001</v>
      </c>
      <c r="H757" s="20">
        <f t="shared" si="63"/>
        <v>5.0819999999999999</v>
      </c>
      <c r="I757" s="20">
        <f t="shared" si="64"/>
        <v>4.0039999999999996</v>
      </c>
      <c r="J757" s="75">
        <f t="shared" si="65"/>
        <v>2.7170000000000001</v>
      </c>
      <c r="K757" s="780"/>
      <c r="L757" s="20"/>
      <c r="M757" s="20"/>
      <c r="N757" s="20"/>
      <c r="O757" s="20"/>
      <c r="P757" s="20"/>
      <c r="Q757" s="21"/>
      <c r="R757" s="22" t="s">
        <v>16</v>
      </c>
      <c r="S757" s="22">
        <v>2</v>
      </c>
      <c r="T757" s="20" t="e">
        <f t="shared" si="66"/>
        <v>#REF!</v>
      </c>
      <c r="U757" s="22" t="e">
        <f>U743</f>
        <v>#REF!</v>
      </c>
      <c r="V757" s="20" t="str">
        <f t="shared" si="67"/>
        <v>K-250x154x76</v>
      </c>
    </row>
    <row r="758" spans="1:22" s="306" customFormat="1">
      <c r="A758" s="305" t="s">
        <v>2136</v>
      </c>
      <c r="B758" s="2" t="s">
        <v>2182</v>
      </c>
      <c r="C758" s="2">
        <v>250</v>
      </c>
      <c r="D758" s="2">
        <v>64</v>
      </c>
      <c r="E758" s="2">
        <v>192</v>
      </c>
      <c r="F758" s="2">
        <v>182</v>
      </c>
      <c r="G758" s="21">
        <f t="shared" si="62"/>
        <v>2.992</v>
      </c>
      <c r="H758" s="20">
        <f t="shared" si="63"/>
        <v>8.7360000000000007</v>
      </c>
      <c r="I758" s="20">
        <f t="shared" si="64"/>
        <v>5.9039999999999999</v>
      </c>
      <c r="J758" s="75">
        <f t="shared" si="65"/>
        <v>2.992</v>
      </c>
      <c r="K758" s="780"/>
      <c r="L758" s="20"/>
      <c r="M758" s="20"/>
      <c r="N758" s="20"/>
      <c r="O758" s="20"/>
      <c r="P758" s="20"/>
      <c r="Q758" s="21"/>
      <c r="R758" s="22" t="s">
        <v>16</v>
      </c>
      <c r="S758" s="22">
        <v>2</v>
      </c>
      <c r="T758" s="20" t="e">
        <f t="shared" si="66"/>
        <v>#REF!</v>
      </c>
      <c r="U758" s="22" t="e">
        <f>U748</f>
        <v>#REF!</v>
      </c>
      <c r="V758" s="20" t="str">
        <f t="shared" si="67"/>
        <v>K-250x192x64</v>
      </c>
    </row>
    <row r="759" spans="1:22" s="306" customFormat="1">
      <c r="A759" s="305" t="s">
        <v>437</v>
      </c>
      <c r="B759" s="2" t="s">
        <v>2182</v>
      </c>
      <c r="C759" s="2">
        <v>250</v>
      </c>
      <c r="D759" s="2">
        <v>76</v>
      </c>
      <c r="E759" s="2">
        <v>192</v>
      </c>
      <c r="F759" s="2">
        <v>182</v>
      </c>
      <c r="G759" s="21">
        <f t="shared" si="62"/>
        <v>3.5529999999999999</v>
      </c>
      <c r="H759" s="20">
        <f t="shared" si="63"/>
        <v>8.7360000000000007</v>
      </c>
      <c r="I759" s="20">
        <f t="shared" si="64"/>
        <v>6.1920000000000002</v>
      </c>
      <c r="J759" s="75">
        <f t="shared" si="65"/>
        <v>3.5529999999999999</v>
      </c>
      <c r="K759" s="780"/>
      <c r="L759" s="20"/>
      <c r="M759" s="20"/>
      <c r="N759" s="20"/>
      <c r="O759" s="20"/>
      <c r="P759" s="20"/>
      <c r="Q759" s="21"/>
      <c r="R759" s="22" t="s">
        <v>16</v>
      </c>
      <c r="S759" s="22">
        <v>2</v>
      </c>
      <c r="T759" s="20" t="e">
        <f t="shared" si="66"/>
        <v>#REF!</v>
      </c>
      <c r="U759" s="22" t="e">
        <f>U749</f>
        <v>#REF!</v>
      </c>
      <c r="V759" s="20" t="str">
        <f t="shared" si="67"/>
        <v>K-250x192x76</v>
      </c>
    </row>
    <row r="760" spans="1:22" s="306" customFormat="1">
      <c r="A760" s="305" t="s">
        <v>438</v>
      </c>
      <c r="B760" s="2" t="s">
        <v>2182</v>
      </c>
      <c r="C760" s="2">
        <v>250</v>
      </c>
      <c r="D760" s="2">
        <v>76</v>
      </c>
      <c r="E760" s="2">
        <v>194</v>
      </c>
      <c r="F760" s="2">
        <v>180</v>
      </c>
      <c r="G760" s="21">
        <f t="shared" si="62"/>
        <v>3.5529999999999999</v>
      </c>
      <c r="H760" s="20">
        <f t="shared" si="63"/>
        <v>8.73</v>
      </c>
      <c r="I760" s="20">
        <f t="shared" si="64"/>
        <v>6.2080000000000002</v>
      </c>
      <c r="J760" s="75">
        <f t="shared" si="65"/>
        <v>3.5529999999999999</v>
      </c>
      <c r="K760" s="780"/>
      <c r="L760" s="20"/>
      <c r="M760" s="20"/>
      <c r="N760" s="20"/>
      <c r="O760" s="20"/>
      <c r="P760" s="20"/>
      <c r="Q760" s="21"/>
      <c r="R760" s="22" t="s">
        <v>16</v>
      </c>
      <c r="S760" s="22">
        <v>2</v>
      </c>
      <c r="T760" s="20" t="e">
        <f t="shared" si="66"/>
        <v>#REF!</v>
      </c>
      <c r="U760" s="22" t="e">
        <f>U739</f>
        <v>#REF!</v>
      </c>
      <c r="V760" s="20" t="str">
        <f t="shared" si="67"/>
        <v>K-250x194x76</v>
      </c>
    </row>
    <row r="761" spans="1:22" s="306" customFormat="1">
      <c r="A761" s="305" t="s">
        <v>439</v>
      </c>
      <c r="B761" s="2" t="s">
        <v>2182</v>
      </c>
      <c r="C761" s="2">
        <v>250</v>
      </c>
      <c r="D761" s="2">
        <v>76</v>
      </c>
      <c r="E761" s="2">
        <v>197</v>
      </c>
      <c r="F761" s="2">
        <v>177</v>
      </c>
      <c r="G761" s="21">
        <f t="shared" si="62"/>
        <v>3.5529999999999999</v>
      </c>
      <c r="H761" s="20">
        <f t="shared" si="63"/>
        <v>8.7170000000000005</v>
      </c>
      <c r="I761" s="20">
        <f t="shared" si="64"/>
        <v>6.23</v>
      </c>
      <c r="J761" s="75">
        <f t="shared" si="65"/>
        <v>3.5529999999999999</v>
      </c>
      <c r="K761" s="780"/>
      <c r="L761" s="20"/>
      <c r="M761" s="20"/>
      <c r="N761" s="20"/>
      <c r="O761" s="20"/>
      <c r="P761" s="20"/>
      <c r="Q761" s="21"/>
      <c r="R761" s="22" t="s">
        <v>16</v>
      </c>
      <c r="S761" s="22">
        <v>2</v>
      </c>
      <c r="T761" s="20" t="e">
        <f t="shared" si="66"/>
        <v>#REF!</v>
      </c>
      <c r="U761" s="22" t="e">
        <f>U741</f>
        <v>#REF!</v>
      </c>
      <c r="V761" s="20" t="str">
        <f t="shared" si="67"/>
        <v>K-250x197x76</v>
      </c>
    </row>
    <row r="762" spans="1:22" s="306" customFormat="1">
      <c r="A762" s="305" t="s">
        <v>440</v>
      </c>
      <c r="B762" s="2" t="s">
        <v>2182</v>
      </c>
      <c r="C762" s="2">
        <v>300</v>
      </c>
      <c r="D762" s="2">
        <v>76</v>
      </c>
      <c r="E762" s="2">
        <v>121</v>
      </c>
      <c r="F762" s="2">
        <v>110</v>
      </c>
      <c r="G762" s="21">
        <f t="shared" si="62"/>
        <v>2.6334</v>
      </c>
      <c r="H762" s="20">
        <f t="shared" si="63"/>
        <v>3.9929999999999999</v>
      </c>
      <c r="I762" s="20">
        <f t="shared" si="64"/>
        <v>3.3759999999999999</v>
      </c>
      <c r="J762" s="75">
        <f t="shared" si="65"/>
        <v>2.633</v>
      </c>
      <c r="K762" s="780"/>
      <c r="L762" s="20"/>
      <c r="M762" s="20"/>
      <c r="N762" s="20"/>
      <c r="O762" s="20"/>
      <c r="P762" s="20"/>
      <c r="Q762" s="21"/>
      <c r="R762" s="22" t="s">
        <v>16</v>
      </c>
      <c r="S762" s="22">
        <v>2</v>
      </c>
      <c r="T762" s="20" t="e">
        <f t="shared" si="66"/>
        <v>#REF!</v>
      </c>
      <c r="U762" s="22" t="e">
        <f>U743</f>
        <v>#REF!</v>
      </c>
      <c r="V762" s="20" t="str">
        <f t="shared" si="67"/>
        <v>K-300x121x76</v>
      </c>
    </row>
    <row r="763" spans="1:22" s="306" customFormat="1">
      <c r="A763" s="305" t="s">
        <v>441</v>
      </c>
      <c r="B763" s="2" t="s">
        <v>2182</v>
      </c>
      <c r="C763" s="2">
        <v>300</v>
      </c>
      <c r="D763" s="2">
        <v>76</v>
      </c>
      <c r="E763" s="2">
        <v>132</v>
      </c>
      <c r="F763" s="2">
        <v>110</v>
      </c>
      <c r="G763" s="21">
        <f t="shared" si="62"/>
        <v>2.7587999999999999</v>
      </c>
      <c r="H763" s="20">
        <f t="shared" si="63"/>
        <v>4.3559999999999999</v>
      </c>
      <c r="I763" s="20">
        <f t="shared" si="64"/>
        <v>3.6829999999999998</v>
      </c>
      <c r="J763" s="75">
        <f t="shared" si="65"/>
        <v>2.7589999999999999</v>
      </c>
      <c r="K763" s="780"/>
      <c r="L763" s="20"/>
      <c r="M763" s="20"/>
      <c r="N763" s="20"/>
      <c r="O763" s="20"/>
      <c r="P763" s="20"/>
      <c r="Q763" s="21"/>
      <c r="R763" s="22" t="s">
        <v>16</v>
      </c>
      <c r="S763" s="22">
        <v>2</v>
      </c>
      <c r="T763" s="20" t="e">
        <f t="shared" si="66"/>
        <v>#REF!</v>
      </c>
      <c r="U763" s="22" t="e">
        <f>U749</f>
        <v>#REF!</v>
      </c>
      <c r="V763" s="20" t="str">
        <f t="shared" si="67"/>
        <v>K-300x132x76</v>
      </c>
    </row>
    <row r="764" spans="1:22" s="306" customFormat="1">
      <c r="A764" s="305" t="s">
        <v>442</v>
      </c>
      <c r="B764" s="2" t="s">
        <v>2182</v>
      </c>
      <c r="C764" s="2">
        <v>300</v>
      </c>
      <c r="D764" s="2">
        <v>76</v>
      </c>
      <c r="E764" s="2">
        <v>152</v>
      </c>
      <c r="F764" s="2">
        <v>110</v>
      </c>
      <c r="G764" s="21">
        <f t="shared" si="62"/>
        <v>2.9868000000000001</v>
      </c>
      <c r="H764" s="20">
        <f t="shared" si="63"/>
        <v>5.016</v>
      </c>
      <c r="I764" s="20">
        <f t="shared" si="64"/>
        <v>4.2409999999999997</v>
      </c>
      <c r="J764" s="75">
        <f t="shared" si="65"/>
        <v>2.9870000000000001</v>
      </c>
      <c r="K764" s="780"/>
      <c r="L764" s="20"/>
      <c r="M764" s="20"/>
      <c r="N764" s="20"/>
      <c r="O764" s="20"/>
      <c r="P764" s="20"/>
      <c r="Q764" s="21"/>
      <c r="R764" s="22" t="s">
        <v>16</v>
      </c>
      <c r="S764" s="22">
        <v>2</v>
      </c>
      <c r="T764" s="20" t="e">
        <f t="shared" si="66"/>
        <v>#REF!</v>
      </c>
      <c r="U764" s="22" t="e">
        <f>#REF!</f>
        <v>#REF!</v>
      </c>
      <c r="V764" s="20" t="str">
        <f t="shared" si="67"/>
        <v>K-300x152x76</v>
      </c>
    </row>
    <row r="765" spans="1:22" s="306" customFormat="1">
      <c r="A765" s="305" t="s">
        <v>443</v>
      </c>
      <c r="B765" s="2" t="s">
        <v>2182</v>
      </c>
      <c r="C765" s="2">
        <v>300</v>
      </c>
      <c r="D765" s="2">
        <v>76</v>
      </c>
      <c r="E765" s="2">
        <v>190</v>
      </c>
      <c r="F765" s="2">
        <v>110</v>
      </c>
      <c r="G765" s="21">
        <f t="shared" si="62"/>
        <v>3.42</v>
      </c>
      <c r="H765" s="20">
        <f t="shared" si="63"/>
        <v>6.27</v>
      </c>
      <c r="I765" s="20">
        <f t="shared" si="64"/>
        <v>5.3010000000000002</v>
      </c>
      <c r="J765" s="75">
        <f t="shared" si="65"/>
        <v>3.42</v>
      </c>
      <c r="K765" s="780"/>
      <c r="L765" s="20"/>
      <c r="M765" s="20"/>
      <c r="N765" s="20"/>
      <c r="O765" s="20"/>
      <c r="P765" s="20"/>
      <c r="Q765" s="21"/>
      <c r="R765" s="22" t="s">
        <v>16</v>
      </c>
      <c r="S765" s="22">
        <v>2</v>
      </c>
      <c r="T765" s="20" t="e">
        <f t="shared" si="66"/>
        <v>#REF!</v>
      </c>
      <c r="U765" s="22" t="e">
        <f>#REF!</f>
        <v>#REF!</v>
      </c>
      <c r="V765" s="20" t="str">
        <f t="shared" si="67"/>
        <v>K-300x190x76</v>
      </c>
    </row>
    <row r="766" spans="1:22" s="306" customFormat="1">
      <c r="A766" s="305" t="s">
        <v>2137</v>
      </c>
      <c r="B766" s="2" t="s">
        <v>2182</v>
      </c>
      <c r="C766" s="2">
        <v>350</v>
      </c>
      <c r="D766" s="2">
        <v>76</v>
      </c>
      <c r="E766" s="2">
        <v>158</v>
      </c>
      <c r="F766" s="2">
        <v>110</v>
      </c>
      <c r="G766" s="21">
        <f t="shared" si="62"/>
        <v>3.5644</v>
      </c>
      <c r="H766" s="20">
        <f t="shared" si="63"/>
        <v>6.0830000000000002</v>
      </c>
      <c r="I766" s="20">
        <f t="shared" si="64"/>
        <v>5.1429999999999998</v>
      </c>
      <c r="J766" s="75">
        <f t="shared" si="65"/>
        <v>3.5640000000000001</v>
      </c>
      <c r="K766" s="780"/>
      <c r="L766" s="20"/>
      <c r="M766" s="20"/>
      <c r="N766" s="20"/>
      <c r="O766" s="20"/>
      <c r="P766" s="20"/>
      <c r="Q766" s="21"/>
      <c r="R766" s="22" t="s">
        <v>16</v>
      </c>
      <c r="S766" s="22">
        <v>2</v>
      </c>
      <c r="T766" s="20" t="e">
        <f t="shared" si="66"/>
        <v>#REF!</v>
      </c>
      <c r="U766" s="22" t="e">
        <f>#REF!</f>
        <v>#REF!</v>
      </c>
      <c r="V766" s="20" t="str">
        <f t="shared" si="67"/>
        <v>K-350x158x76</v>
      </c>
    </row>
    <row r="767" spans="1:22" s="306" customFormat="1">
      <c r="A767" s="305" t="s">
        <v>2138</v>
      </c>
      <c r="B767" s="2" t="s">
        <v>2182</v>
      </c>
      <c r="C767" s="2">
        <v>350</v>
      </c>
      <c r="D767" s="2">
        <v>76</v>
      </c>
      <c r="E767" s="2">
        <v>136</v>
      </c>
      <c r="F767" s="2">
        <v>110</v>
      </c>
      <c r="G767" s="21">
        <f t="shared" si="62"/>
        <v>3.2717999999999998</v>
      </c>
      <c r="H767" s="20">
        <f t="shared" si="63"/>
        <v>5.2359999999999998</v>
      </c>
      <c r="I767" s="20">
        <f t="shared" si="64"/>
        <v>4.4269999999999996</v>
      </c>
      <c r="J767" s="75">
        <f t="shared" si="65"/>
        <v>3.2719999999999998</v>
      </c>
      <c r="K767" s="780"/>
      <c r="L767" s="20"/>
      <c r="M767" s="20"/>
      <c r="N767" s="20"/>
      <c r="O767" s="20"/>
      <c r="P767" s="20"/>
      <c r="Q767" s="21"/>
      <c r="R767" s="22" t="s">
        <v>16</v>
      </c>
      <c r="S767" s="22">
        <v>2</v>
      </c>
      <c r="T767" s="20" t="e">
        <f t="shared" si="66"/>
        <v>#REF!</v>
      </c>
      <c r="U767" s="22" t="e">
        <f>#REF!</f>
        <v>#REF!</v>
      </c>
      <c r="V767" s="20" t="str">
        <f t="shared" si="67"/>
        <v>K-350x136x76</v>
      </c>
    </row>
    <row r="768" spans="1:22" s="306" customFormat="1" ht="13.8" thickBot="1">
      <c r="A768" s="562" t="s">
        <v>2139</v>
      </c>
      <c r="B768" s="81" t="s">
        <v>2182</v>
      </c>
      <c r="C768" s="81">
        <v>350</v>
      </c>
      <c r="D768" s="81">
        <v>76</v>
      </c>
      <c r="E768" s="81">
        <v>123</v>
      </c>
      <c r="F768" s="81">
        <v>110</v>
      </c>
      <c r="G768" s="21">
        <f t="shared" si="62"/>
        <v>3.0989</v>
      </c>
      <c r="H768" s="82">
        <f t="shared" si="63"/>
        <v>4.7359999999999998</v>
      </c>
      <c r="I768" s="82">
        <f t="shared" si="64"/>
        <v>4.0039999999999996</v>
      </c>
      <c r="J768" s="83">
        <f t="shared" si="65"/>
        <v>3.0990000000000002</v>
      </c>
      <c r="K768" s="780"/>
      <c r="L768" s="20"/>
      <c r="M768" s="20"/>
      <c r="N768" s="20"/>
      <c r="O768" s="20"/>
      <c r="P768" s="20"/>
      <c r="Q768" s="21"/>
      <c r="R768" s="22" t="s">
        <v>16</v>
      </c>
      <c r="S768" s="22">
        <v>2</v>
      </c>
      <c r="T768" s="20" t="e">
        <f t="shared" si="66"/>
        <v>#REF!</v>
      </c>
      <c r="U768" s="22" t="e">
        <f>#REF!</f>
        <v>#REF!</v>
      </c>
      <c r="V768" s="20" t="str">
        <f t="shared" si="67"/>
        <v>K-350x123x76</v>
      </c>
    </row>
    <row r="769" spans="1:22" s="29" customFormat="1" ht="25.2" thickBot="1">
      <c r="A769" s="64" t="s">
        <v>297</v>
      </c>
      <c r="B769" s="70"/>
      <c r="C769" s="70"/>
      <c r="D769" s="70"/>
      <c r="E769" s="70"/>
      <c r="F769" s="70"/>
      <c r="G769" s="105"/>
      <c r="H769" s="71"/>
      <c r="I769" s="71"/>
      <c r="J769" s="71"/>
      <c r="K769" s="84"/>
      <c r="L769" s="28"/>
      <c r="M769" s="28"/>
      <c r="N769" s="28"/>
      <c r="O769" s="28"/>
      <c r="P769" s="28"/>
      <c r="Q769" s="30"/>
      <c r="R769" s="31"/>
      <c r="S769" s="31"/>
      <c r="T769" s="28"/>
      <c r="U769" s="31"/>
      <c r="V769" s="28"/>
    </row>
    <row r="770" spans="1:22" ht="15" customHeight="1">
      <c r="A770" s="85" t="s">
        <v>122</v>
      </c>
      <c r="B770" s="561" t="s">
        <v>2182</v>
      </c>
      <c r="C770" s="77">
        <v>200</v>
      </c>
      <c r="D770" s="77">
        <v>100</v>
      </c>
      <c r="E770" s="77">
        <v>160</v>
      </c>
      <c r="F770" s="77">
        <v>140</v>
      </c>
      <c r="G770" s="86">
        <v>3</v>
      </c>
      <c r="H770" s="78"/>
      <c r="I770" s="78"/>
      <c r="J770" s="78"/>
      <c r="K770" s="87"/>
      <c r="L770" s="779" t="s">
        <v>652</v>
      </c>
      <c r="M770" s="20"/>
      <c r="N770" s="20"/>
      <c r="O770" s="20"/>
      <c r="P770" s="20"/>
      <c r="Q770" s="21"/>
      <c r="R770" s="22" t="s">
        <v>16</v>
      </c>
      <c r="S770" s="22">
        <v>2</v>
      </c>
      <c r="T770" s="25">
        <v>3204</v>
      </c>
      <c r="U770" s="22">
        <v>0</v>
      </c>
      <c r="V770" s="20" t="str">
        <f t="shared" ref="V770:V783" si="68">B770&amp;"-"&amp;C770&amp;"x"&amp;E770&amp;"x"&amp;D770</f>
        <v>K-200x160x100</v>
      </c>
    </row>
    <row r="771" spans="1:22" ht="15">
      <c r="A771" s="88" t="s">
        <v>123</v>
      </c>
      <c r="B771" s="76" t="s">
        <v>2182</v>
      </c>
      <c r="C771" s="2">
        <v>200</v>
      </c>
      <c r="D771" s="2">
        <v>100</v>
      </c>
      <c r="E771" s="2">
        <v>170</v>
      </c>
      <c r="F771" s="2">
        <v>130</v>
      </c>
      <c r="G771" s="21">
        <v>3</v>
      </c>
      <c r="H771" s="20"/>
      <c r="I771" s="20"/>
      <c r="J771" s="20"/>
      <c r="K771" s="89"/>
      <c r="L771" s="780"/>
      <c r="M771" s="20"/>
      <c r="N771" s="20"/>
      <c r="O771" s="20"/>
      <c r="P771" s="20"/>
      <c r="Q771" s="21"/>
      <c r="R771" s="22" t="s">
        <v>16</v>
      </c>
      <c r="S771" s="22">
        <v>2</v>
      </c>
      <c r="T771" s="25">
        <v>1708</v>
      </c>
      <c r="U771" s="22">
        <v>0</v>
      </c>
      <c r="V771" s="20" t="str">
        <f t="shared" si="68"/>
        <v>K-200x170x100</v>
      </c>
    </row>
    <row r="772" spans="1:22" ht="15">
      <c r="A772" s="88" t="s">
        <v>125</v>
      </c>
      <c r="B772" s="76" t="s">
        <v>2182</v>
      </c>
      <c r="C772" s="2">
        <v>250</v>
      </c>
      <c r="D772" s="2">
        <v>100</v>
      </c>
      <c r="E772" s="2">
        <v>150</v>
      </c>
      <c r="F772" s="2">
        <v>150</v>
      </c>
      <c r="G772" s="21">
        <v>3.75</v>
      </c>
      <c r="H772" s="20"/>
      <c r="I772" s="20"/>
      <c r="J772" s="20"/>
      <c r="K772" s="89"/>
      <c r="L772" s="780"/>
      <c r="M772" s="20"/>
      <c r="N772" s="20"/>
      <c r="O772" s="20"/>
      <c r="P772" s="20"/>
      <c r="Q772" s="21"/>
      <c r="R772" s="22" t="s">
        <v>16</v>
      </c>
      <c r="S772" s="22">
        <v>2</v>
      </c>
      <c r="T772" s="25" t="s">
        <v>16</v>
      </c>
      <c r="U772" s="22">
        <v>0</v>
      </c>
      <c r="V772" s="20" t="str">
        <f t="shared" si="68"/>
        <v>K-250x150x100</v>
      </c>
    </row>
    <row r="773" spans="1:22" ht="15">
      <c r="A773" s="535" t="s">
        <v>1902</v>
      </c>
      <c r="B773" s="536" t="s">
        <v>2182</v>
      </c>
      <c r="C773" s="476">
        <v>250</v>
      </c>
      <c r="D773" s="476">
        <v>100</v>
      </c>
      <c r="E773" s="476">
        <v>75</v>
      </c>
      <c r="F773" s="476">
        <v>75</v>
      </c>
      <c r="G773" s="537">
        <v>1.875</v>
      </c>
      <c r="H773" s="20"/>
      <c r="I773" s="20"/>
      <c r="J773" s="20"/>
      <c r="K773" s="89"/>
      <c r="L773" s="780"/>
      <c r="M773" s="20"/>
      <c r="N773" s="20"/>
      <c r="O773" s="20"/>
      <c r="P773" s="20"/>
      <c r="Q773" s="21"/>
      <c r="R773" s="22" t="s">
        <v>16</v>
      </c>
      <c r="S773" s="22">
        <v>2</v>
      </c>
      <c r="T773" s="25" t="s">
        <v>16</v>
      </c>
      <c r="U773" s="22">
        <v>0</v>
      </c>
      <c r="V773" s="20" t="str">
        <f t="shared" ref="V773" si="69">B773&amp;"-"&amp;C773&amp;"x"&amp;E773&amp;"x"&amp;D773</f>
        <v>K-250x75x100</v>
      </c>
    </row>
    <row r="774" spans="1:22" ht="15">
      <c r="A774" s="88" t="s">
        <v>126</v>
      </c>
      <c r="B774" s="76" t="s">
        <v>2182</v>
      </c>
      <c r="C774" s="2">
        <v>250</v>
      </c>
      <c r="D774" s="2">
        <v>100</v>
      </c>
      <c r="E774" s="2">
        <v>154</v>
      </c>
      <c r="F774" s="2">
        <v>146</v>
      </c>
      <c r="G774" s="21">
        <v>3.75</v>
      </c>
      <c r="H774" s="20"/>
      <c r="I774" s="20"/>
      <c r="J774" s="20"/>
      <c r="K774" s="89"/>
      <c r="L774" s="780"/>
      <c r="M774" s="20"/>
      <c r="N774" s="20"/>
      <c r="O774" s="20"/>
      <c r="P774" s="20"/>
      <c r="Q774" s="21"/>
      <c r="R774" s="22" t="s">
        <v>16</v>
      </c>
      <c r="S774" s="22">
        <v>2</v>
      </c>
      <c r="T774" s="25">
        <v>9626</v>
      </c>
      <c r="U774" s="22">
        <v>0</v>
      </c>
      <c r="V774" s="20" t="str">
        <f t="shared" si="68"/>
        <v>K-250x154x100</v>
      </c>
    </row>
    <row r="775" spans="1:22" ht="15">
      <c r="A775" s="88" t="s">
        <v>127</v>
      </c>
      <c r="B775" s="76" t="s">
        <v>2182</v>
      </c>
      <c r="C775" s="2">
        <v>250</v>
      </c>
      <c r="D775" s="2">
        <v>100</v>
      </c>
      <c r="E775" s="2">
        <v>158</v>
      </c>
      <c r="F775" s="2">
        <v>142</v>
      </c>
      <c r="G775" s="21">
        <v>3.75</v>
      </c>
      <c r="H775" s="20"/>
      <c r="I775" s="20"/>
      <c r="J775" s="20"/>
      <c r="K775" s="89"/>
      <c r="L775" s="780"/>
      <c r="M775" s="20"/>
      <c r="N775" s="20"/>
      <c r="O775" s="20"/>
      <c r="P775" s="20"/>
      <c r="Q775" s="21"/>
      <c r="R775" s="22" t="s">
        <v>16</v>
      </c>
      <c r="S775" s="22">
        <v>2</v>
      </c>
      <c r="T775" s="25">
        <v>4940</v>
      </c>
      <c r="U775" s="22">
        <v>0</v>
      </c>
      <c r="V775" s="20" t="str">
        <f t="shared" si="68"/>
        <v>K-250x158x100</v>
      </c>
    </row>
    <row r="776" spans="1:22" ht="15">
      <c r="A776" s="88" t="s">
        <v>128</v>
      </c>
      <c r="B776" s="76" t="s">
        <v>2182</v>
      </c>
      <c r="C776" s="2">
        <v>250</v>
      </c>
      <c r="D776" s="2">
        <v>100</v>
      </c>
      <c r="E776" s="2">
        <v>160</v>
      </c>
      <c r="F776" s="2">
        <v>140</v>
      </c>
      <c r="G776" s="21">
        <v>3.75</v>
      </c>
      <c r="H776" s="20"/>
      <c r="I776" s="20"/>
      <c r="J776" s="20"/>
      <c r="K776" s="89"/>
      <c r="L776" s="780"/>
      <c r="M776" s="20"/>
      <c r="N776" s="20"/>
      <c r="O776" s="20"/>
      <c r="P776" s="20"/>
      <c r="Q776" s="21"/>
      <c r="R776" s="22" t="s">
        <v>16</v>
      </c>
      <c r="S776" s="22">
        <v>2</v>
      </c>
      <c r="T776" s="25">
        <v>4003</v>
      </c>
      <c r="U776" s="22">
        <v>0</v>
      </c>
      <c r="V776" s="20" t="str">
        <f t="shared" si="68"/>
        <v>K-250x160x100</v>
      </c>
    </row>
    <row r="777" spans="1:22" ht="15">
      <c r="A777" s="88" t="s">
        <v>129</v>
      </c>
      <c r="B777" s="76" t="s">
        <v>2182</v>
      </c>
      <c r="C777" s="2">
        <v>250</v>
      </c>
      <c r="D777" s="2">
        <v>100</v>
      </c>
      <c r="E777" s="2">
        <v>165</v>
      </c>
      <c r="F777" s="2">
        <v>135</v>
      </c>
      <c r="G777" s="21">
        <v>3.75</v>
      </c>
      <c r="H777" s="20"/>
      <c r="I777" s="20"/>
      <c r="J777" s="20"/>
      <c r="K777" s="89"/>
      <c r="L777" s="780"/>
      <c r="M777" s="20"/>
      <c r="N777" s="20"/>
      <c r="O777" s="20"/>
      <c r="P777" s="20"/>
      <c r="Q777" s="21"/>
      <c r="R777" s="22" t="s">
        <v>16</v>
      </c>
      <c r="S777" s="22">
        <v>2</v>
      </c>
      <c r="T777" s="25">
        <v>2755</v>
      </c>
      <c r="U777" s="22">
        <v>0</v>
      </c>
      <c r="V777" s="20" t="str">
        <f t="shared" si="68"/>
        <v>K-250x165x100</v>
      </c>
    </row>
    <row r="778" spans="1:22" ht="15">
      <c r="A778" s="88" t="s">
        <v>130</v>
      </c>
      <c r="B778" s="76" t="s">
        <v>2182</v>
      </c>
      <c r="C778" s="2">
        <v>250</v>
      </c>
      <c r="D778" s="2">
        <v>100</v>
      </c>
      <c r="E778" s="2">
        <v>170</v>
      </c>
      <c r="F778" s="2">
        <v>130</v>
      </c>
      <c r="G778" s="21">
        <v>3.75</v>
      </c>
      <c r="H778" s="20"/>
      <c r="I778" s="20"/>
      <c r="J778" s="20"/>
      <c r="K778" s="89"/>
      <c r="L778" s="780"/>
      <c r="M778" s="20"/>
      <c r="N778" s="20"/>
      <c r="O778" s="20"/>
      <c r="P778" s="20"/>
      <c r="Q778" s="21"/>
      <c r="R778" s="22" t="s">
        <v>16</v>
      </c>
      <c r="S778" s="22">
        <v>2</v>
      </c>
      <c r="T778" s="25">
        <v>2132</v>
      </c>
      <c r="U778" s="22">
        <v>0</v>
      </c>
      <c r="V778" s="20" t="str">
        <f t="shared" si="68"/>
        <v>K-250x170x100</v>
      </c>
    </row>
    <row r="779" spans="1:22" ht="15">
      <c r="A779" s="88" t="s">
        <v>131</v>
      </c>
      <c r="B779" s="76" t="s">
        <v>2182</v>
      </c>
      <c r="C779" s="2">
        <v>250</v>
      </c>
      <c r="D779" s="2">
        <v>100</v>
      </c>
      <c r="E779" s="2">
        <v>180</v>
      </c>
      <c r="F779" s="2">
        <v>120</v>
      </c>
      <c r="G779" s="21">
        <v>3.75</v>
      </c>
      <c r="H779" s="20"/>
      <c r="I779" s="20"/>
      <c r="J779" s="20"/>
      <c r="K779" s="89"/>
      <c r="L779" s="780"/>
      <c r="M779" s="20"/>
      <c r="N779" s="20"/>
      <c r="O779" s="20"/>
      <c r="P779" s="20"/>
      <c r="Q779" s="21"/>
      <c r="R779" s="22" t="s">
        <v>16</v>
      </c>
      <c r="S779" s="22">
        <v>2</v>
      </c>
      <c r="T779" s="25">
        <v>1511</v>
      </c>
      <c r="U779" s="22">
        <v>0</v>
      </c>
      <c r="V779" s="20" t="str">
        <f t="shared" si="68"/>
        <v>K-250x180x100</v>
      </c>
    </row>
    <row r="780" spans="1:22" ht="15">
      <c r="A780" s="88" t="s">
        <v>132</v>
      </c>
      <c r="B780" s="76" t="s">
        <v>2182</v>
      </c>
      <c r="C780" s="2">
        <v>250</v>
      </c>
      <c r="D780" s="2">
        <v>100</v>
      </c>
      <c r="E780" s="2">
        <v>190</v>
      </c>
      <c r="F780" s="2">
        <v>110</v>
      </c>
      <c r="G780" s="21">
        <v>3.75</v>
      </c>
      <c r="H780" s="20"/>
      <c r="I780" s="20"/>
      <c r="J780" s="20"/>
      <c r="K780" s="89"/>
      <c r="L780" s="780"/>
      <c r="M780" s="20"/>
      <c r="N780" s="20"/>
      <c r="O780" s="20"/>
      <c r="P780" s="20"/>
      <c r="Q780" s="21"/>
      <c r="R780" s="22" t="s">
        <v>16</v>
      </c>
      <c r="S780" s="22">
        <v>2</v>
      </c>
      <c r="T780" s="25">
        <v>1203</v>
      </c>
      <c r="U780" s="22">
        <v>0</v>
      </c>
      <c r="V780" s="20" t="str">
        <f t="shared" si="68"/>
        <v>K-250x190x100</v>
      </c>
    </row>
    <row r="781" spans="1:22" ht="15">
      <c r="A781" s="88" t="s">
        <v>133</v>
      </c>
      <c r="B781" s="76" t="s">
        <v>2182</v>
      </c>
      <c r="C781" s="2">
        <v>250</v>
      </c>
      <c r="D781" s="2">
        <v>100</v>
      </c>
      <c r="E781" s="2">
        <v>210</v>
      </c>
      <c r="F781" s="2">
        <v>90</v>
      </c>
      <c r="G781" s="21">
        <v>3.75</v>
      </c>
      <c r="H781" s="20"/>
      <c r="I781" s="20"/>
      <c r="J781" s="20"/>
      <c r="K781" s="89"/>
      <c r="L781" s="780"/>
      <c r="M781" s="20"/>
      <c r="N781" s="20"/>
      <c r="O781" s="20"/>
      <c r="P781" s="20"/>
      <c r="Q781" s="21"/>
      <c r="R781" s="22" t="s">
        <v>16</v>
      </c>
      <c r="S781" s="22">
        <v>2</v>
      </c>
      <c r="T781" s="25">
        <v>900</v>
      </c>
      <c r="U781" s="22">
        <v>0</v>
      </c>
      <c r="V781" s="20" t="str">
        <f t="shared" si="68"/>
        <v>K-250x210x100</v>
      </c>
    </row>
    <row r="782" spans="1:22" ht="15">
      <c r="A782" s="88" t="s">
        <v>134</v>
      </c>
      <c r="B782" s="76" t="s">
        <v>2182</v>
      </c>
      <c r="C782" s="2">
        <v>300</v>
      </c>
      <c r="D782" s="2">
        <v>100</v>
      </c>
      <c r="E782" s="2">
        <v>150</v>
      </c>
      <c r="F782" s="2">
        <v>150</v>
      </c>
      <c r="G782" s="21">
        <v>4.5</v>
      </c>
      <c r="H782" s="20"/>
      <c r="I782" s="20"/>
      <c r="J782" s="20"/>
      <c r="K782" s="89"/>
      <c r="L782" s="780"/>
      <c r="M782" s="20"/>
      <c r="N782" s="20"/>
      <c r="O782" s="20"/>
      <c r="P782" s="20"/>
      <c r="Q782" s="21"/>
      <c r="R782" s="22" t="s">
        <v>16</v>
      </c>
      <c r="S782" s="22">
        <v>2</v>
      </c>
      <c r="T782" s="25" t="s">
        <v>16</v>
      </c>
      <c r="U782" s="22">
        <v>0</v>
      </c>
      <c r="V782" s="20" t="str">
        <f t="shared" si="68"/>
        <v>K-300x150x100</v>
      </c>
    </row>
    <row r="783" spans="1:22" ht="15">
      <c r="A783" s="88" t="s">
        <v>135</v>
      </c>
      <c r="B783" s="76" t="s">
        <v>2182</v>
      </c>
      <c r="C783" s="2">
        <v>300</v>
      </c>
      <c r="D783" s="2">
        <v>100</v>
      </c>
      <c r="E783" s="2">
        <v>154</v>
      </c>
      <c r="F783" s="2">
        <v>146</v>
      </c>
      <c r="G783" s="21">
        <v>4.5</v>
      </c>
      <c r="H783" s="20"/>
      <c r="I783" s="20"/>
      <c r="J783" s="20"/>
      <c r="K783" s="89"/>
      <c r="L783" s="780"/>
      <c r="M783" s="20"/>
      <c r="N783" s="20"/>
      <c r="O783" s="20"/>
      <c r="P783" s="20"/>
      <c r="Q783" s="21"/>
      <c r="R783" s="22" t="s">
        <v>16</v>
      </c>
      <c r="S783" s="22">
        <v>2</v>
      </c>
      <c r="T783" s="25">
        <v>11551</v>
      </c>
      <c r="U783" s="22">
        <v>0</v>
      </c>
      <c r="V783" s="20" t="str">
        <f t="shared" si="68"/>
        <v>K-300x154x100</v>
      </c>
    </row>
    <row r="784" spans="1:22" ht="15">
      <c r="A784" s="88" t="s">
        <v>136</v>
      </c>
      <c r="B784" s="76" t="s">
        <v>2182</v>
      </c>
      <c r="C784" s="2">
        <v>300</v>
      </c>
      <c r="D784" s="2">
        <v>100</v>
      </c>
      <c r="E784" s="2">
        <v>160</v>
      </c>
      <c r="F784" s="2">
        <v>140</v>
      </c>
      <c r="G784" s="21">
        <v>4.5</v>
      </c>
      <c r="H784" s="20"/>
      <c r="I784" s="20"/>
      <c r="J784" s="20"/>
      <c r="K784" s="89"/>
      <c r="L784" s="780"/>
      <c r="M784" s="20"/>
      <c r="N784" s="20"/>
      <c r="O784" s="20"/>
      <c r="P784" s="20"/>
      <c r="Q784" s="21"/>
      <c r="R784" s="22" t="s">
        <v>16</v>
      </c>
      <c r="S784" s="22">
        <v>2</v>
      </c>
      <c r="T784" s="25">
        <v>4803</v>
      </c>
      <c r="U784" s="22"/>
      <c r="V784" s="20"/>
    </row>
    <row r="785" spans="1:22" ht="15">
      <c r="A785" s="88" t="s">
        <v>137</v>
      </c>
      <c r="B785" s="76" t="s">
        <v>2182</v>
      </c>
      <c r="C785" s="2">
        <v>300</v>
      </c>
      <c r="D785" s="2">
        <v>100</v>
      </c>
      <c r="E785" s="2">
        <v>170</v>
      </c>
      <c r="F785" s="2">
        <v>130</v>
      </c>
      <c r="G785" s="21">
        <v>4.5</v>
      </c>
      <c r="H785" s="20"/>
      <c r="I785" s="20"/>
      <c r="J785" s="20"/>
      <c r="K785" s="89"/>
      <c r="L785" s="780"/>
      <c r="M785" s="20"/>
      <c r="N785" s="20"/>
      <c r="O785" s="20"/>
      <c r="P785" s="20"/>
      <c r="Q785" s="21"/>
      <c r="R785" s="22" t="s">
        <v>16</v>
      </c>
      <c r="S785" s="22">
        <v>2</v>
      </c>
      <c r="T785" s="25">
        <v>2556</v>
      </c>
      <c r="U785" s="22">
        <v>0</v>
      </c>
      <c r="V785" s="20" t="str">
        <f t="shared" ref="V785:V816" si="70">B785&amp;"-"&amp;C785&amp;"x"&amp;E785&amp;"x"&amp;D785</f>
        <v>K-300x170x100</v>
      </c>
    </row>
    <row r="786" spans="1:22" ht="15">
      <c r="A786" s="88" t="s">
        <v>138</v>
      </c>
      <c r="B786" s="76" t="s">
        <v>2182</v>
      </c>
      <c r="C786" s="2">
        <v>300</v>
      </c>
      <c r="D786" s="2">
        <v>100</v>
      </c>
      <c r="E786" s="2">
        <v>175</v>
      </c>
      <c r="F786" s="2">
        <v>125</v>
      </c>
      <c r="G786" s="21">
        <v>4.5</v>
      </c>
      <c r="H786" s="20"/>
      <c r="I786" s="20"/>
      <c r="J786" s="20"/>
      <c r="K786" s="89"/>
      <c r="L786" s="780"/>
      <c r="M786" s="20"/>
      <c r="N786" s="20"/>
      <c r="O786" s="20"/>
      <c r="P786" s="20"/>
      <c r="Q786" s="21"/>
      <c r="R786" s="22" t="s">
        <v>16</v>
      </c>
      <c r="S786" s="22">
        <v>2</v>
      </c>
      <c r="T786" s="25">
        <v>2107</v>
      </c>
      <c r="U786" s="22">
        <v>0</v>
      </c>
      <c r="V786" s="20" t="str">
        <f t="shared" si="70"/>
        <v>K-300x175x100</v>
      </c>
    </row>
    <row r="787" spans="1:22" ht="15">
      <c r="A787" s="88" t="s">
        <v>139</v>
      </c>
      <c r="B787" s="76" t="s">
        <v>2182</v>
      </c>
      <c r="C787" s="2">
        <v>300</v>
      </c>
      <c r="D787" s="2">
        <v>100</v>
      </c>
      <c r="E787" s="2">
        <v>185</v>
      </c>
      <c r="F787" s="2">
        <v>115</v>
      </c>
      <c r="G787" s="21">
        <v>4.5</v>
      </c>
      <c r="H787" s="20"/>
      <c r="I787" s="20"/>
      <c r="J787" s="20"/>
      <c r="K787" s="89"/>
      <c r="L787" s="780"/>
      <c r="M787" s="20"/>
      <c r="N787" s="20"/>
      <c r="O787" s="20"/>
      <c r="P787" s="20"/>
      <c r="Q787" s="21"/>
      <c r="R787" s="22" t="s">
        <v>16</v>
      </c>
      <c r="S787" s="22">
        <v>2</v>
      </c>
      <c r="T787" s="25">
        <v>1596</v>
      </c>
      <c r="U787" s="22">
        <v>0</v>
      </c>
      <c r="V787" s="20" t="str">
        <f t="shared" si="70"/>
        <v>K-300x185x100</v>
      </c>
    </row>
    <row r="788" spans="1:22" ht="15">
      <c r="A788" s="88" t="s">
        <v>140</v>
      </c>
      <c r="B788" s="76" t="s">
        <v>2182</v>
      </c>
      <c r="C788" s="2">
        <v>300</v>
      </c>
      <c r="D788" s="2">
        <v>100</v>
      </c>
      <c r="E788" s="2">
        <v>190</v>
      </c>
      <c r="F788" s="2">
        <v>110</v>
      </c>
      <c r="G788" s="21">
        <v>4.5</v>
      </c>
      <c r="H788" s="20"/>
      <c r="I788" s="20"/>
      <c r="J788" s="20"/>
      <c r="K788" s="89"/>
      <c r="L788" s="780"/>
      <c r="M788" s="20"/>
      <c r="N788" s="20"/>
      <c r="O788" s="20"/>
      <c r="P788" s="20"/>
      <c r="Q788" s="21"/>
      <c r="R788" s="22" t="s">
        <v>16</v>
      </c>
      <c r="S788" s="22">
        <v>2</v>
      </c>
      <c r="T788" s="25">
        <v>1438</v>
      </c>
      <c r="U788" s="22">
        <v>0</v>
      </c>
      <c r="V788" s="20" t="str">
        <f t="shared" si="70"/>
        <v>K-300x190x100</v>
      </c>
    </row>
    <row r="789" spans="1:22" ht="15">
      <c r="A789" s="88" t="s">
        <v>141</v>
      </c>
      <c r="B789" s="76" t="s">
        <v>2182</v>
      </c>
      <c r="C789" s="2">
        <v>350</v>
      </c>
      <c r="D789" s="2">
        <v>100</v>
      </c>
      <c r="E789" s="2">
        <v>150</v>
      </c>
      <c r="F789" s="2">
        <v>150</v>
      </c>
      <c r="G789" s="21">
        <v>5.25</v>
      </c>
      <c r="H789" s="20"/>
      <c r="I789" s="20"/>
      <c r="J789" s="20"/>
      <c r="K789" s="89"/>
      <c r="L789" s="780"/>
      <c r="M789" s="20"/>
      <c r="N789" s="20"/>
      <c r="O789" s="20"/>
      <c r="P789" s="20"/>
      <c r="Q789" s="21"/>
      <c r="R789" s="22" t="s">
        <v>16</v>
      </c>
      <c r="S789" s="22">
        <v>2</v>
      </c>
      <c r="T789" s="25" t="s">
        <v>16</v>
      </c>
      <c r="U789" s="22">
        <v>0</v>
      </c>
      <c r="V789" s="20" t="str">
        <f t="shared" si="70"/>
        <v>K-350x150x100</v>
      </c>
    </row>
    <row r="790" spans="1:22" ht="15">
      <c r="A790" s="88" t="s">
        <v>142</v>
      </c>
      <c r="B790" s="76" t="s">
        <v>2182</v>
      </c>
      <c r="C790" s="2">
        <v>350</v>
      </c>
      <c r="D790" s="2">
        <v>100</v>
      </c>
      <c r="E790" s="2">
        <v>154</v>
      </c>
      <c r="F790" s="2">
        <v>146</v>
      </c>
      <c r="G790" s="21">
        <v>5.25</v>
      </c>
      <c r="H790" s="20"/>
      <c r="I790" s="20"/>
      <c r="J790" s="20"/>
      <c r="K790" s="89"/>
      <c r="L790" s="780"/>
      <c r="M790" s="20"/>
      <c r="N790" s="20"/>
      <c r="O790" s="20"/>
      <c r="P790" s="20"/>
      <c r="Q790" s="21"/>
      <c r="R790" s="22" t="s">
        <v>16</v>
      </c>
      <c r="S790" s="22">
        <v>2</v>
      </c>
      <c r="T790" s="25">
        <v>13476</v>
      </c>
      <c r="U790" s="22">
        <v>0</v>
      </c>
      <c r="V790" s="20" t="str">
        <f t="shared" si="70"/>
        <v>K-350x154x100</v>
      </c>
    </row>
    <row r="791" spans="1:22" ht="15">
      <c r="A791" s="88" t="s">
        <v>143</v>
      </c>
      <c r="B791" s="76" t="s">
        <v>2182</v>
      </c>
      <c r="C791" s="2">
        <v>350</v>
      </c>
      <c r="D791" s="2">
        <v>100</v>
      </c>
      <c r="E791" s="2">
        <v>155</v>
      </c>
      <c r="F791" s="2">
        <v>145</v>
      </c>
      <c r="G791" s="21">
        <v>5.25</v>
      </c>
      <c r="H791" s="20"/>
      <c r="I791" s="20"/>
      <c r="J791" s="20"/>
      <c r="K791" s="89"/>
      <c r="L791" s="780"/>
      <c r="M791" s="20"/>
      <c r="N791" s="20"/>
      <c r="O791" s="20"/>
      <c r="P791" s="20"/>
      <c r="Q791" s="21"/>
      <c r="R791" s="22" t="s">
        <v>16</v>
      </c>
      <c r="S791" s="22">
        <v>2</v>
      </c>
      <c r="T791" s="25">
        <v>10851</v>
      </c>
      <c r="U791" s="22">
        <v>0</v>
      </c>
      <c r="V791" s="20" t="str">
        <f t="shared" si="70"/>
        <v>K-350x155x100</v>
      </c>
    </row>
    <row r="792" spans="1:22" ht="15">
      <c r="A792" s="88" t="s">
        <v>144</v>
      </c>
      <c r="B792" s="76" t="s">
        <v>2182</v>
      </c>
      <c r="C792" s="2">
        <v>350</v>
      </c>
      <c r="D792" s="2">
        <v>100</v>
      </c>
      <c r="E792" s="2">
        <v>158</v>
      </c>
      <c r="F792" s="2">
        <v>142</v>
      </c>
      <c r="G792" s="21">
        <v>5.25</v>
      </c>
      <c r="H792" s="20"/>
      <c r="I792" s="20"/>
      <c r="J792" s="20"/>
      <c r="K792" s="89"/>
      <c r="L792" s="780"/>
      <c r="M792" s="20"/>
      <c r="N792" s="20"/>
      <c r="O792" s="20"/>
      <c r="P792" s="20"/>
      <c r="Q792" s="21"/>
      <c r="R792" s="22" t="s">
        <v>16</v>
      </c>
      <c r="S792" s="22">
        <v>2</v>
      </c>
      <c r="T792" s="25">
        <v>6914</v>
      </c>
      <c r="U792" s="22">
        <v>0</v>
      </c>
      <c r="V792" s="20" t="str">
        <f t="shared" si="70"/>
        <v>K-350x158x100</v>
      </c>
    </row>
    <row r="793" spans="1:22" ht="15">
      <c r="A793" s="88" t="s">
        <v>145</v>
      </c>
      <c r="B793" s="76" t="s">
        <v>2182</v>
      </c>
      <c r="C793" s="2">
        <v>350</v>
      </c>
      <c r="D793" s="2">
        <v>100</v>
      </c>
      <c r="E793" s="2">
        <v>160</v>
      </c>
      <c r="F793" s="2">
        <v>140</v>
      </c>
      <c r="G793" s="21">
        <v>5.25</v>
      </c>
      <c r="H793" s="20"/>
      <c r="I793" s="20"/>
      <c r="J793" s="20"/>
      <c r="K793" s="89"/>
      <c r="L793" s="780"/>
      <c r="M793" s="20"/>
      <c r="N793" s="20"/>
      <c r="O793" s="20"/>
      <c r="P793" s="20"/>
      <c r="Q793" s="21"/>
      <c r="R793" s="22" t="s">
        <v>16</v>
      </c>
      <c r="S793" s="22">
        <v>2</v>
      </c>
      <c r="T793" s="25">
        <v>5602</v>
      </c>
      <c r="U793" s="22">
        <v>0</v>
      </c>
      <c r="V793" s="20" t="str">
        <f t="shared" si="70"/>
        <v>K-350x160x100</v>
      </c>
    </row>
    <row r="794" spans="1:22" ht="15">
      <c r="A794" s="88" t="s">
        <v>146</v>
      </c>
      <c r="B794" s="76" t="s">
        <v>2182</v>
      </c>
      <c r="C794" s="2">
        <v>350</v>
      </c>
      <c r="D794" s="2">
        <v>100</v>
      </c>
      <c r="E794" s="2">
        <v>170</v>
      </c>
      <c r="F794" s="2">
        <v>130</v>
      </c>
      <c r="G794" s="21">
        <v>5.25</v>
      </c>
      <c r="H794" s="20"/>
      <c r="I794" s="20"/>
      <c r="J794" s="20"/>
      <c r="K794" s="89"/>
      <c r="L794" s="780"/>
      <c r="M794" s="20"/>
      <c r="N794" s="20"/>
      <c r="O794" s="20"/>
      <c r="P794" s="20"/>
      <c r="Q794" s="21"/>
      <c r="R794" s="22" t="s">
        <v>16</v>
      </c>
      <c r="S794" s="22">
        <v>2</v>
      </c>
      <c r="T794" s="25">
        <v>2980</v>
      </c>
      <c r="U794" s="22">
        <v>0</v>
      </c>
      <c r="V794" s="20" t="str">
        <f t="shared" si="70"/>
        <v>K-350x170x100</v>
      </c>
    </row>
    <row r="795" spans="1:22" ht="15">
      <c r="A795" s="88" t="s">
        <v>147</v>
      </c>
      <c r="B795" s="76" t="s">
        <v>2182</v>
      </c>
      <c r="C795" s="2">
        <v>350</v>
      </c>
      <c r="D795" s="2">
        <v>100</v>
      </c>
      <c r="E795" s="2">
        <v>180</v>
      </c>
      <c r="F795" s="2">
        <v>120</v>
      </c>
      <c r="G795" s="21">
        <v>5.25</v>
      </c>
      <c r="H795" s="20"/>
      <c r="I795" s="20"/>
      <c r="J795" s="20"/>
      <c r="K795" s="89"/>
      <c r="L795" s="780"/>
      <c r="M795" s="20"/>
      <c r="N795" s="20"/>
      <c r="O795" s="20"/>
      <c r="P795" s="20"/>
      <c r="Q795" s="21"/>
      <c r="R795" s="22" t="s">
        <v>16</v>
      </c>
      <c r="S795" s="22">
        <v>2</v>
      </c>
      <c r="T795" s="25">
        <v>2108</v>
      </c>
      <c r="U795" s="22">
        <v>0</v>
      </c>
      <c r="V795" s="20" t="str">
        <f t="shared" si="70"/>
        <v>K-350x180x100</v>
      </c>
    </row>
    <row r="796" spans="1:22" ht="15">
      <c r="A796" s="88" t="s">
        <v>148</v>
      </c>
      <c r="B796" s="76" t="s">
        <v>2182</v>
      </c>
      <c r="C796" s="2">
        <v>350</v>
      </c>
      <c r="D796" s="2">
        <v>100</v>
      </c>
      <c r="E796" s="2">
        <v>190</v>
      </c>
      <c r="F796" s="2">
        <v>110</v>
      </c>
      <c r="G796" s="21">
        <v>5.25</v>
      </c>
      <c r="H796" s="20"/>
      <c r="I796" s="20"/>
      <c r="J796" s="20"/>
      <c r="K796" s="89"/>
      <c r="L796" s="780"/>
      <c r="M796" s="20"/>
      <c r="N796" s="20"/>
      <c r="O796" s="20"/>
      <c r="P796" s="20"/>
      <c r="Q796" s="21"/>
      <c r="R796" s="22" t="s">
        <v>16</v>
      </c>
      <c r="S796" s="22">
        <v>2</v>
      </c>
      <c r="T796" s="25">
        <v>1673</v>
      </c>
      <c r="U796" s="22">
        <v>0</v>
      </c>
      <c r="V796" s="20" t="str">
        <f t="shared" si="70"/>
        <v>K-350x190x100</v>
      </c>
    </row>
    <row r="797" spans="1:22" ht="15">
      <c r="A797" s="88" t="s">
        <v>149</v>
      </c>
      <c r="B797" s="76" t="s">
        <v>2182</v>
      </c>
      <c r="C797" s="2">
        <v>400</v>
      </c>
      <c r="D797" s="2">
        <v>100</v>
      </c>
      <c r="E797" s="2">
        <v>150</v>
      </c>
      <c r="F797" s="2">
        <v>150</v>
      </c>
      <c r="G797" s="21">
        <v>6</v>
      </c>
      <c r="H797" s="20"/>
      <c r="I797" s="20"/>
      <c r="J797" s="20"/>
      <c r="K797" s="89"/>
      <c r="L797" s="780"/>
      <c r="M797" s="20"/>
      <c r="N797" s="20"/>
      <c r="O797" s="20"/>
      <c r="P797" s="20"/>
      <c r="Q797" s="21"/>
      <c r="R797" s="22" t="s">
        <v>16</v>
      </c>
      <c r="S797" s="22">
        <v>2</v>
      </c>
      <c r="T797" s="25" t="s">
        <v>16</v>
      </c>
      <c r="U797" s="22">
        <v>0</v>
      </c>
      <c r="V797" s="20" t="str">
        <f t="shared" si="70"/>
        <v>K-400x150x100</v>
      </c>
    </row>
    <row r="798" spans="1:22" ht="15">
      <c r="A798" s="88" t="s">
        <v>150</v>
      </c>
      <c r="B798" s="76" t="s">
        <v>2182</v>
      </c>
      <c r="C798" s="2">
        <v>400</v>
      </c>
      <c r="D798" s="2">
        <v>100</v>
      </c>
      <c r="E798" s="2">
        <v>154</v>
      </c>
      <c r="F798" s="2">
        <v>146</v>
      </c>
      <c r="G798" s="21">
        <v>6</v>
      </c>
      <c r="H798" s="20"/>
      <c r="I798" s="20"/>
      <c r="J798" s="20"/>
      <c r="K798" s="89"/>
      <c r="L798" s="780"/>
      <c r="M798" s="20"/>
      <c r="N798" s="20"/>
      <c r="O798" s="20"/>
      <c r="P798" s="20"/>
      <c r="Q798" s="21"/>
      <c r="R798" s="22" t="s">
        <v>16</v>
      </c>
      <c r="S798" s="22">
        <v>2</v>
      </c>
      <c r="T798" s="25">
        <v>15401</v>
      </c>
      <c r="U798" s="22">
        <v>0</v>
      </c>
      <c r="V798" s="20" t="str">
        <f t="shared" si="70"/>
        <v>K-400x154x100</v>
      </c>
    </row>
    <row r="799" spans="1:22" ht="15">
      <c r="A799" s="88" t="s">
        <v>151</v>
      </c>
      <c r="B799" s="76" t="s">
        <v>2182</v>
      </c>
      <c r="C799" s="2">
        <v>400</v>
      </c>
      <c r="D799" s="2">
        <v>100</v>
      </c>
      <c r="E799" s="2">
        <v>160</v>
      </c>
      <c r="F799" s="2">
        <v>140</v>
      </c>
      <c r="G799" s="21">
        <v>6</v>
      </c>
      <c r="H799" s="20"/>
      <c r="I799" s="20"/>
      <c r="J799" s="20"/>
      <c r="K799" s="89"/>
      <c r="L799" s="780"/>
      <c r="M799" s="20"/>
      <c r="N799" s="20"/>
      <c r="O799" s="20"/>
      <c r="P799" s="20"/>
      <c r="Q799" s="21"/>
      <c r="R799" s="22" t="s">
        <v>16</v>
      </c>
      <c r="S799" s="22">
        <v>2</v>
      </c>
      <c r="T799" s="25">
        <v>6402</v>
      </c>
      <c r="U799" s="22">
        <v>0</v>
      </c>
      <c r="V799" s="20" t="str">
        <f t="shared" si="70"/>
        <v>K-400x160x100</v>
      </c>
    </row>
    <row r="800" spans="1:22" ht="15">
      <c r="A800" s="88" t="s">
        <v>152</v>
      </c>
      <c r="B800" s="76" t="s">
        <v>2182</v>
      </c>
      <c r="C800" s="2">
        <v>400</v>
      </c>
      <c r="D800" s="2">
        <v>100</v>
      </c>
      <c r="E800" s="2">
        <v>168</v>
      </c>
      <c r="F800" s="2">
        <v>132</v>
      </c>
      <c r="G800" s="21">
        <v>6</v>
      </c>
      <c r="H800" s="20"/>
      <c r="I800" s="20"/>
      <c r="J800" s="20"/>
      <c r="K800" s="89"/>
      <c r="L800" s="780"/>
      <c r="M800" s="20"/>
      <c r="N800" s="20"/>
      <c r="O800" s="20"/>
      <c r="P800" s="20"/>
      <c r="Q800" s="21"/>
      <c r="R800" s="22" t="s">
        <v>16</v>
      </c>
      <c r="S800" s="22">
        <v>2</v>
      </c>
      <c r="T800" s="25">
        <v>3737</v>
      </c>
      <c r="U800" s="22">
        <v>0</v>
      </c>
      <c r="V800" s="20" t="str">
        <f t="shared" si="70"/>
        <v>K-400x168x100</v>
      </c>
    </row>
    <row r="801" spans="1:22" ht="15">
      <c r="A801" s="88" t="s">
        <v>153</v>
      </c>
      <c r="B801" s="76" t="s">
        <v>2182</v>
      </c>
      <c r="C801" s="2">
        <v>400</v>
      </c>
      <c r="D801" s="2">
        <v>100</v>
      </c>
      <c r="E801" s="2">
        <v>170</v>
      </c>
      <c r="F801" s="2">
        <v>130</v>
      </c>
      <c r="G801" s="21">
        <v>6</v>
      </c>
      <c r="H801" s="20"/>
      <c r="I801" s="20"/>
      <c r="J801" s="20"/>
      <c r="K801" s="89"/>
      <c r="L801" s="780"/>
      <c r="M801" s="20"/>
      <c r="N801" s="20"/>
      <c r="O801" s="20"/>
      <c r="P801" s="20"/>
      <c r="Q801" s="21"/>
      <c r="R801" s="22" t="s">
        <v>16</v>
      </c>
      <c r="S801" s="22">
        <v>2</v>
      </c>
      <c r="T801" s="25">
        <v>3404</v>
      </c>
      <c r="U801" s="22">
        <v>0</v>
      </c>
      <c r="V801" s="20" t="str">
        <f t="shared" si="70"/>
        <v>K-400x170x100</v>
      </c>
    </row>
    <row r="802" spans="1:22" ht="15">
      <c r="A802" s="88" t="s">
        <v>154</v>
      </c>
      <c r="B802" s="76" t="s">
        <v>2182</v>
      </c>
      <c r="C802" s="2">
        <v>400</v>
      </c>
      <c r="D802" s="2">
        <v>100</v>
      </c>
      <c r="E802" s="2">
        <v>180</v>
      </c>
      <c r="F802" s="2">
        <v>120</v>
      </c>
      <c r="G802" s="21">
        <v>6</v>
      </c>
      <c r="H802" s="20"/>
      <c r="I802" s="20"/>
      <c r="J802" s="20"/>
      <c r="K802" s="89"/>
      <c r="L802" s="780"/>
      <c r="M802" s="20"/>
      <c r="N802" s="20"/>
      <c r="O802" s="20"/>
      <c r="P802" s="20"/>
      <c r="Q802" s="21"/>
      <c r="R802" s="22" t="s">
        <v>16</v>
      </c>
      <c r="S802" s="22">
        <v>2</v>
      </c>
      <c r="T802" s="25">
        <v>2407</v>
      </c>
      <c r="U802" s="22">
        <v>0</v>
      </c>
      <c r="V802" s="20" t="str">
        <f t="shared" si="70"/>
        <v>K-400x180x100</v>
      </c>
    </row>
    <row r="803" spans="1:22" ht="15">
      <c r="A803" s="88" t="s">
        <v>155</v>
      </c>
      <c r="B803" s="76" t="s">
        <v>2182</v>
      </c>
      <c r="C803" s="2">
        <v>400</v>
      </c>
      <c r="D803" s="2">
        <v>100</v>
      </c>
      <c r="E803" s="2">
        <v>190</v>
      </c>
      <c r="F803" s="2">
        <v>110</v>
      </c>
      <c r="G803" s="21">
        <v>6</v>
      </c>
      <c r="H803" s="20"/>
      <c r="I803" s="20"/>
      <c r="J803" s="20"/>
      <c r="K803" s="89"/>
      <c r="L803" s="780"/>
      <c r="M803" s="20"/>
      <c r="N803" s="20"/>
      <c r="O803" s="20"/>
      <c r="P803" s="20"/>
      <c r="Q803" s="21"/>
      <c r="R803" s="22" t="s">
        <v>16</v>
      </c>
      <c r="S803" s="22">
        <v>2</v>
      </c>
      <c r="T803" s="25">
        <v>1909</v>
      </c>
      <c r="U803" s="22">
        <v>0</v>
      </c>
      <c r="V803" s="20" t="str">
        <f t="shared" si="70"/>
        <v>K-400x190x100</v>
      </c>
    </row>
    <row r="804" spans="1:22" ht="15">
      <c r="A804" s="88" t="s">
        <v>156</v>
      </c>
      <c r="B804" s="76" t="s">
        <v>2182</v>
      </c>
      <c r="C804" s="2">
        <v>400</v>
      </c>
      <c r="D804" s="2">
        <v>100</v>
      </c>
      <c r="E804" s="2">
        <v>195</v>
      </c>
      <c r="F804" s="2">
        <v>105</v>
      </c>
      <c r="G804" s="21">
        <v>6</v>
      </c>
      <c r="H804" s="20"/>
      <c r="I804" s="20"/>
      <c r="J804" s="20"/>
      <c r="K804" s="89"/>
      <c r="L804" s="780"/>
      <c r="M804" s="20"/>
      <c r="N804" s="20"/>
      <c r="O804" s="20"/>
      <c r="P804" s="20"/>
      <c r="Q804" s="21"/>
      <c r="R804" s="22" t="s">
        <v>16</v>
      </c>
      <c r="S804" s="22">
        <v>2</v>
      </c>
      <c r="T804" s="25">
        <v>1744</v>
      </c>
      <c r="U804" s="22">
        <v>0</v>
      </c>
      <c r="V804" s="20" t="str">
        <f t="shared" si="70"/>
        <v>K-400x195x100</v>
      </c>
    </row>
    <row r="805" spans="1:22" ht="15">
      <c r="A805" s="88" t="s">
        <v>157</v>
      </c>
      <c r="B805" s="76" t="s">
        <v>2182</v>
      </c>
      <c r="C805" s="2">
        <v>400</v>
      </c>
      <c r="D805" s="2">
        <v>100</v>
      </c>
      <c r="E805" s="2">
        <v>200</v>
      </c>
      <c r="F805" s="2">
        <v>100</v>
      </c>
      <c r="G805" s="21">
        <v>6</v>
      </c>
      <c r="H805" s="20"/>
      <c r="I805" s="20"/>
      <c r="J805" s="20"/>
      <c r="K805" s="89"/>
      <c r="L805" s="780"/>
      <c r="M805" s="20"/>
      <c r="N805" s="20"/>
      <c r="O805" s="20"/>
      <c r="P805" s="20"/>
      <c r="Q805" s="21"/>
      <c r="R805" s="22" t="s">
        <v>16</v>
      </c>
      <c r="S805" s="22">
        <v>2</v>
      </c>
      <c r="T805" s="25">
        <v>1612</v>
      </c>
      <c r="U805" s="22">
        <v>0</v>
      </c>
      <c r="V805" s="20" t="str">
        <f t="shared" si="70"/>
        <v>K-400x200x100</v>
      </c>
    </row>
    <row r="806" spans="1:22" ht="15">
      <c r="A806" s="88" t="s">
        <v>158</v>
      </c>
      <c r="B806" s="76" t="s">
        <v>2182</v>
      </c>
      <c r="C806" s="2">
        <v>450</v>
      </c>
      <c r="D806" s="2">
        <v>100</v>
      </c>
      <c r="E806" s="2">
        <v>150</v>
      </c>
      <c r="F806" s="2">
        <v>150</v>
      </c>
      <c r="G806" s="21">
        <v>6.75</v>
      </c>
      <c r="H806" s="20"/>
      <c r="I806" s="20"/>
      <c r="J806" s="20"/>
      <c r="K806" s="89"/>
      <c r="L806" s="780"/>
      <c r="M806" s="20"/>
      <c r="N806" s="20"/>
      <c r="O806" s="20"/>
      <c r="P806" s="20"/>
      <c r="Q806" s="21"/>
      <c r="R806" s="22" t="s">
        <v>16</v>
      </c>
      <c r="S806" s="22">
        <v>2</v>
      </c>
      <c r="T806" s="25" t="s">
        <v>16</v>
      </c>
      <c r="U806" s="22">
        <v>0</v>
      </c>
      <c r="V806" s="20" t="str">
        <f t="shared" si="70"/>
        <v>K-450x150x100</v>
      </c>
    </row>
    <row r="807" spans="1:22" ht="15">
      <c r="A807" s="88" t="s">
        <v>159</v>
      </c>
      <c r="B807" s="76" t="s">
        <v>2182</v>
      </c>
      <c r="C807" s="2">
        <v>450</v>
      </c>
      <c r="D807" s="2">
        <v>100</v>
      </c>
      <c r="E807" s="2">
        <v>154</v>
      </c>
      <c r="F807" s="2">
        <v>146</v>
      </c>
      <c r="G807" s="21">
        <v>6.75</v>
      </c>
      <c r="H807" s="20"/>
      <c r="I807" s="20"/>
      <c r="J807" s="20"/>
      <c r="K807" s="89"/>
      <c r="L807" s="780"/>
      <c r="M807" s="20"/>
      <c r="N807" s="20"/>
      <c r="O807" s="20"/>
      <c r="P807" s="20"/>
      <c r="Q807" s="21"/>
      <c r="R807" s="22" t="s">
        <v>16</v>
      </c>
      <c r="S807" s="22">
        <v>2</v>
      </c>
      <c r="T807" s="25">
        <v>17326</v>
      </c>
      <c r="U807" s="22">
        <v>0</v>
      </c>
      <c r="V807" s="20" t="str">
        <f t="shared" si="70"/>
        <v>K-450x154x100</v>
      </c>
    </row>
    <row r="808" spans="1:22" ht="15">
      <c r="A808" s="88" t="s">
        <v>160</v>
      </c>
      <c r="B808" s="76" t="s">
        <v>2182</v>
      </c>
      <c r="C808" s="2">
        <v>450</v>
      </c>
      <c r="D808" s="2">
        <v>100</v>
      </c>
      <c r="E808" s="2">
        <v>155</v>
      </c>
      <c r="F808" s="2">
        <v>145</v>
      </c>
      <c r="G808" s="21">
        <v>6.75</v>
      </c>
      <c r="H808" s="20"/>
      <c r="I808" s="20"/>
      <c r="J808" s="20"/>
      <c r="K808" s="89"/>
      <c r="L808" s="780"/>
      <c r="M808" s="20"/>
      <c r="N808" s="20"/>
      <c r="O808" s="20"/>
      <c r="P808" s="20"/>
      <c r="Q808" s="21"/>
      <c r="R808" s="22" t="s">
        <v>16</v>
      </c>
      <c r="S808" s="22">
        <v>2</v>
      </c>
      <c r="T808" s="26">
        <v>13951</v>
      </c>
      <c r="U808" s="22">
        <v>0</v>
      </c>
      <c r="V808" s="20" t="str">
        <f t="shared" si="70"/>
        <v>K-450x155x100</v>
      </c>
    </row>
    <row r="809" spans="1:22" ht="15">
      <c r="A809" s="88" t="s">
        <v>161</v>
      </c>
      <c r="B809" s="76" t="s">
        <v>2182</v>
      </c>
      <c r="C809" s="2">
        <v>450</v>
      </c>
      <c r="D809" s="2">
        <v>100</v>
      </c>
      <c r="E809" s="2">
        <v>160</v>
      </c>
      <c r="F809" s="2">
        <v>140</v>
      </c>
      <c r="G809" s="21">
        <v>6.75</v>
      </c>
      <c r="H809" s="20"/>
      <c r="I809" s="20"/>
      <c r="J809" s="20"/>
      <c r="K809" s="89"/>
      <c r="L809" s="780"/>
      <c r="M809" s="20"/>
      <c r="N809" s="20"/>
      <c r="O809" s="20"/>
      <c r="P809" s="20"/>
      <c r="Q809" s="21"/>
      <c r="R809" s="22" t="s">
        <v>16</v>
      </c>
      <c r="S809" s="22">
        <v>2</v>
      </c>
      <c r="T809" s="27">
        <v>7202</v>
      </c>
      <c r="U809" s="22">
        <v>0</v>
      </c>
      <c r="V809" s="20" t="str">
        <f t="shared" si="70"/>
        <v>K-450x160x100</v>
      </c>
    </row>
    <row r="810" spans="1:22" ht="15">
      <c r="A810" s="88" t="s">
        <v>162</v>
      </c>
      <c r="B810" s="76" t="s">
        <v>2182</v>
      </c>
      <c r="C810" s="2">
        <v>450</v>
      </c>
      <c r="D810" s="2">
        <v>100</v>
      </c>
      <c r="E810" s="2">
        <v>165</v>
      </c>
      <c r="F810" s="2">
        <v>135</v>
      </c>
      <c r="G810" s="21">
        <v>6.75</v>
      </c>
      <c r="H810" s="20"/>
      <c r="I810" s="20"/>
      <c r="J810" s="20"/>
      <c r="K810" s="89"/>
      <c r="L810" s="780"/>
      <c r="M810" s="20"/>
      <c r="N810" s="20"/>
      <c r="O810" s="20"/>
      <c r="P810" s="20"/>
      <c r="Q810" s="21"/>
      <c r="R810" s="22" t="s">
        <v>16</v>
      </c>
      <c r="S810" s="22">
        <v>2</v>
      </c>
      <c r="T810" s="25">
        <v>4953</v>
      </c>
      <c r="U810" s="22">
        <v>0</v>
      </c>
      <c r="V810" s="20" t="str">
        <f t="shared" si="70"/>
        <v>K-450x165x100</v>
      </c>
    </row>
    <row r="811" spans="1:22" ht="15">
      <c r="A811" s="88" t="s">
        <v>163</v>
      </c>
      <c r="B811" s="76" t="s">
        <v>2182</v>
      </c>
      <c r="C811" s="2">
        <v>450</v>
      </c>
      <c r="D811" s="2">
        <v>100</v>
      </c>
      <c r="E811" s="2">
        <v>170</v>
      </c>
      <c r="F811" s="2">
        <v>130</v>
      </c>
      <c r="G811" s="21">
        <v>6.75</v>
      </c>
      <c r="H811" s="20"/>
      <c r="I811" s="20"/>
      <c r="J811" s="20"/>
      <c r="K811" s="89"/>
      <c r="L811" s="780"/>
      <c r="M811" s="20"/>
      <c r="N811" s="20"/>
      <c r="O811" s="20"/>
      <c r="P811" s="20"/>
      <c r="Q811" s="21"/>
      <c r="R811" s="22" t="s">
        <v>16</v>
      </c>
      <c r="S811" s="22">
        <v>2</v>
      </c>
      <c r="T811" s="25">
        <v>3829</v>
      </c>
      <c r="U811" s="22">
        <v>0</v>
      </c>
      <c r="V811" s="20" t="str">
        <f t="shared" si="70"/>
        <v>K-450x170x100</v>
      </c>
    </row>
    <row r="812" spans="1:22" ht="14.25" customHeight="1">
      <c r="A812" s="88" t="s">
        <v>164</v>
      </c>
      <c r="B812" s="76" t="s">
        <v>2182</v>
      </c>
      <c r="C812" s="2">
        <v>450</v>
      </c>
      <c r="D812" s="2">
        <v>100</v>
      </c>
      <c r="E812" s="2">
        <v>175</v>
      </c>
      <c r="F812" s="2">
        <v>125</v>
      </c>
      <c r="G812" s="21">
        <v>6.75</v>
      </c>
      <c r="H812" s="20"/>
      <c r="I812" s="20"/>
      <c r="J812" s="20"/>
      <c r="K812" s="89"/>
      <c r="L812" s="780"/>
      <c r="M812" s="20"/>
      <c r="N812" s="20"/>
      <c r="O812" s="20"/>
      <c r="P812" s="20"/>
      <c r="Q812" s="21"/>
      <c r="R812" s="22" t="s">
        <v>16</v>
      </c>
      <c r="S812" s="22">
        <v>2</v>
      </c>
      <c r="T812" s="25">
        <v>3155</v>
      </c>
      <c r="U812" s="22">
        <v>0</v>
      </c>
      <c r="V812" s="20" t="str">
        <f t="shared" si="70"/>
        <v>K-450x175x100</v>
      </c>
    </row>
    <row r="813" spans="1:22" ht="15">
      <c r="A813" s="88" t="s">
        <v>165</v>
      </c>
      <c r="B813" s="76" t="s">
        <v>2182</v>
      </c>
      <c r="C813" s="2">
        <v>450</v>
      </c>
      <c r="D813" s="2">
        <v>100</v>
      </c>
      <c r="E813" s="2">
        <v>180</v>
      </c>
      <c r="F813" s="2">
        <v>120</v>
      </c>
      <c r="G813" s="21">
        <v>6.75</v>
      </c>
      <c r="H813" s="20"/>
      <c r="I813" s="20"/>
      <c r="J813" s="20"/>
      <c r="K813" s="89"/>
      <c r="L813" s="780"/>
      <c r="M813" s="20"/>
      <c r="N813" s="20"/>
      <c r="O813" s="20"/>
      <c r="P813" s="20"/>
      <c r="Q813" s="21"/>
      <c r="R813" s="22" t="s">
        <v>16</v>
      </c>
      <c r="S813" s="22">
        <v>2</v>
      </c>
      <c r="T813" s="25">
        <v>2706</v>
      </c>
      <c r="U813" s="22">
        <v>0</v>
      </c>
      <c r="V813" s="20" t="str">
        <f t="shared" si="70"/>
        <v>K-450x180x100</v>
      </c>
    </row>
    <row r="814" spans="1:22" ht="15">
      <c r="A814" s="88" t="s">
        <v>166</v>
      </c>
      <c r="B814" s="76" t="s">
        <v>2182</v>
      </c>
      <c r="C814" s="2">
        <v>450</v>
      </c>
      <c r="D814" s="2">
        <v>100</v>
      </c>
      <c r="E814" s="2">
        <v>185</v>
      </c>
      <c r="F814" s="2">
        <v>115</v>
      </c>
      <c r="G814" s="21">
        <v>6.75</v>
      </c>
      <c r="H814" s="20"/>
      <c r="I814" s="20"/>
      <c r="J814" s="20"/>
      <c r="K814" s="89"/>
      <c r="L814" s="780"/>
      <c r="M814" s="20"/>
      <c r="N814" s="20"/>
      <c r="O814" s="20"/>
      <c r="P814" s="20"/>
      <c r="Q814" s="21"/>
      <c r="R814" s="22" t="s">
        <v>16</v>
      </c>
      <c r="S814" s="22">
        <v>2</v>
      </c>
      <c r="T814" s="25">
        <v>2386</v>
      </c>
      <c r="U814" s="22">
        <v>0</v>
      </c>
      <c r="V814" s="20" t="str">
        <f t="shared" si="70"/>
        <v>K-450x185x100</v>
      </c>
    </row>
    <row r="815" spans="1:22" ht="14.25" customHeight="1">
      <c r="A815" s="88" t="s">
        <v>167</v>
      </c>
      <c r="B815" s="76" t="s">
        <v>2182</v>
      </c>
      <c r="C815" s="2">
        <v>450</v>
      </c>
      <c r="D815" s="2">
        <v>100</v>
      </c>
      <c r="E815" s="2">
        <v>190</v>
      </c>
      <c r="F815" s="2">
        <v>110</v>
      </c>
      <c r="G815" s="21">
        <v>6.75</v>
      </c>
      <c r="H815" s="20"/>
      <c r="I815" s="20"/>
      <c r="J815" s="20"/>
      <c r="K815" s="89"/>
      <c r="L815" s="780"/>
      <c r="M815" s="20"/>
      <c r="N815" s="20"/>
      <c r="O815" s="20"/>
      <c r="P815" s="20"/>
      <c r="Q815" s="21"/>
      <c r="R815" s="22" t="s">
        <v>16</v>
      </c>
      <c r="S815" s="22">
        <v>2</v>
      </c>
      <c r="T815" s="25">
        <v>2146</v>
      </c>
      <c r="U815" s="22">
        <v>0</v>
      </c>
      <c r="V815" s="20" t="str">
        <f t="shared" si="70"/>
        <v>K-450x190x100</v>
      </c>
    </row>
    <row r="816" spans="1:22" ht="15">
      <c r="A816" s="88" t="s">
        <v>168</v>
      </c>
      <c r="B816" s="76" t="s">
        <v>2182</v>
      </c>
      <c r="C816" s="2">
        <v>450</v>
      </c>
      <c r="D816" s="2">
        <v>100</v>
      </c>
      <c r="E816" s="2">
        <v>195</v>
      </c>
      <c r="F816" s="2">
        <v>105</v>
      </c>
      <c r="G816" s="21">
        <v>6.75</v>
      </c>
      <c r="H816" s="20"/>
      <c r="I816" s="20"/>
      <c r="J816" s="20"/>
      <c r="K816" s="89"/>
      <c r="L816" s="780"/>
      <c r="M816" s="20"/>
      <c r="N816" s="20"/>
      <c r="O816" s="20"/>
      <c r="P816" s="20"/>
      <c r="Q816" s="21"/>
      <c r="R816" s="22" t="s">
        <v>16</v>
      </c>
      <c r="S816" s="22">
        <v>2</v>
      </c>
      <c r="T816" s="25">
        <v>1960</v>
      </c>
      <c r="U816" s="22">
        <v>0</v>
      </c>
      <c r="V816" s="20" t="str">
        <f t="shared" si="70"/>
        <v>K-450x195x100</v>
      </c>
    </row>
    <row r="817" spans="1:22" ht="15">
      <c r="A817" s="88" t="s">
        <v>169</v>
      </c>
      <c r="B817" s="76" t="s">
        <v>2182</v>
      </c>
      <c r="C817" s="2">
        <v>500</v>
      </c>
      <c r="D817" s="2">
        <v>100</v>
      </c>
      <c r="E817" s="2">
        <v>150</v>
      </c>
      <c r="F817" s="2">
        <v>150</v>
      </c>
      <c r="G817" s="21">
        <v>7.5</v>
      </c>
      <c r="H817" s="20"/>
      <c r="I817" s="20"/>
      <c r="J817" s="20"/>
      <c r="K817" s="89"/>
      <c r="L817" s="780"/>
      <c r="M817" s="20"/>
      <c r="N817" s="20"/>
      <c r="O817" s="20"/>
      <c r="P817" s="20"/>
      <c r="Q817" s="21"/>
      <c r="R817" s="22" t="s">
        <v>16</v>
      </c>
      <c r="S817" s="22">
        <v>2</v>
      </c>
      <c r="T817" s="25" t="s">
        <v>16</v>
      </c>
      <c r="U817" s="22">
        <v>0</v>
      </c>
      <c r="V817" s="20" t="str">
        <f t="shared" ref="V817:V848" si="71">B817&amp;"-"&amp;C817&amp;"x"&amp;E817&amp;"x"&amp;D817</f>
        <v>K-500x150x100</v>
      </c>
    </row>
    <row r="818" spans="1:22" ht="14.25" customHeight="1">
      <c r="A818" s="88" t="s">
        <v>170</v>
      </c>
      <c r="B818" s="76" t="s">
        <v>2182</v>
      </c>
      <c r="C818" s="2">
        <v>500</v>
      </c>
      <c r="D818" s="2">
        <v>100</v>
      </c>
      <c r="E818" s="2">
        <v>154</v>
      </c>
      <c r="F818" s="2">
        <v>146</v>
      </c>
      <c r="G818" s="21">
        <v>7.5</v>
      </c>
      <c r="H818" s="20"/>
      <c r="I818" s="20"/>
      <c r="J818" s="20"/>
      <c r="K818" s="89"/>
      <c r="L818" s="780"/>
      <c r="M818" s="20"/>
      <c r="N818" s="20"/>
      <c r="O818" s="20"/>
      <c r="P818" s="20"/>
      <c r="Q818" s="21"/>
      <c r="R818" s="22" t="s">
        <v>16</v>
      </c>
      <c r="S818" s="22">
        <v>2</v>
      </c>
      <c r="T818" s="25">
        <v>19251</v>
      </c>
      <c r="U818" s="22">
        <v>0</v>
      </c>
      <c r="V818" s="20" t="str">
        <f t="shared" si="71"/>
        <v>K-500x154x100</v>
      </c>
    </row>
    <row r="819" spans="1:22" ht="15">
      <c r="A819" s="88" t="s">
        <v>171</v>
      </c>
      <c r="B819" s="76" t="s">
        <v>2182</v>
      </c>
      <c r="C819" s="2">
        <v>500</v>
      </c>
      <c r="D819" s="2">
        <v>100</v>
      </c>
      <c r="E819" s="2">
        <v>160</v>
      </c>
      <c r="F819" s="2">
        <v>140</v>
      </c>
      <c r="G819" s="21">
        <v>7.5</v>
      </c>
      <c r="H819" s="20"/>
      <c r="I819" s="20"/>
      <c r="J819" s="20"/>
      <c r="K819" s="89"/>
      <c r="L819" s="780"/>
      <c r="M819" s="20"/>
      <c r="N819" s="20"/>
      <c r="O819" s="20"/>
      <c r="P819" s="20"/>
      <c r="Q819" s="21"/>
      <c r="R819" s="22" t="s">
        <v>16</v>
      </c>
      <c r="S819" s="22">
        <v>2</v>
      </c>
      <c r="T819" s="25">
        <v>8002</v>
      </c>
      <c r="U819" s="22">
        <v>0</v>
      </c>
      <c r="V819" s="20" t="str">
        <f t="shared" si="71"/>
        <v>K-500x160x100</v>
      </c>
    </row>
    <row r="820" spans="1:22" ht="15">
      <c r="A820" s="88" t="s">
        <v>172</v>
      </c>
      <c r="B820" s="76" t="s">
        <v>2182</v>
      </c>
      <c r="C820" s="2">
        <v>500</v>
      </c>
      <c r="D820" s="2">
        <v>100</v>
      </c>
      <c r="E820" s="2">
        <v>168</v>
      </c>
      <c r="F820" s="2">
        <v>132</v>
      </c>
      <c r="G820" s="21">
        <v>7.5</v>
      </c>
      <c r="H820" s="20"/>
      <c r="I820" s="20"/>
      <c r="J820" s="20"/>
      <c r="K820" s="89"/>
      <c r="L820" s="780"/>
      <c r="M820" s="20"/>
      <c r="N820" s="20"/>
      <c r="O820" s="20"/>
      <c r="P820" s="20"/>
      <c r="Q820" s="21"/>
      <c r="R820" s="22" t="s">
        <v>16</v>
      </c>
      <c r="S820" s="22">
        <v>2</v>
      </c>
      <c r="T820" s="25">
        <v>4670</v>
      </c>
      <c r="U820" s="22">
        <v>0</v>
      </c>
      <c r="V820" s="20" t="str">
        <f t="shared" si="71"/>
        <v>K-500x168x100</v>
      </c>
    </row>
    <row r="821" spans="1:22" ht="14.25" customHeight="1">
      <c r="A821" s="88" t="s">
        <v>173</v>
      </c>
      <c r="B821" s="76" t="s">
        <v>2182</v>
      </c>
      <c r="C821" s="2">
        <v>500</v>
      </c>
      <c r="D821" s="2">
        <v>100</v>
      </c>
      <c r="E821" s="2">
        <v>170</v>
      </c>
      <c r="F821" s="2">
        <v>130</v>
      </c>
      <c r="G821" s="21">
        <v>7.5</v>
      </c>
      <c r="H821" s="20"/>
      <c r="I821" s="20"/>
      <c r="J821" s="20"/>
      <c r="K821" s="89"/>
      <c r="L821" s="780"/>
      <c r="M821" s="20"/>
      <c r="N821" s="20"/>
      <c r="O821" s="20"/>
      <c r="P821" s="20"/>
      <c r="Q821" s="21"/>
      <c r="R821" s="22" t="s">
        <v>16</v>
      </c>
      <c r="S821" s="22">
        <v>2</v>
      </c>
      <c r="T821" s="25">
        <v>4253</v>
      </c>
      <c r="U821" s="22">
        <v>0</v>
      </c>
      <c r="V821" s="20" t="str">
        <f t="shared" si="71"/>
        <v>K-500x170x100</v>
      </c>
    </row>
    <row r="822" spans="1:22" ht="15">
      <c r="A822" s="88" t="s">
        <v>174</v>
      </c>
      <c r="B822" s="76" t="s">
        <v>2182</v>
      </c>
      <c r="C822" s="2">
        <v>500</v>
      </c>
      <c r="D822" s="2">
        <v>100</v>
      </c>
      <c r="E822" s="2">
        <v>175</v>
      </c>
      <c r="F822" s="2">
        <v>125</v>
      </c>
      <c r="G822" s="21">
        <v>7.5</v>
      </c>
      <c r="H822" s="20"/>
      <c r="I822" s="20"/>
      <c r="J822" s="20"/>
      <c r="K822" s="89"/>
      <c r="L822" s="780"/>
      <c r="M822" s="20"/>
      <c r="N822" s="20"/>
      <c r="O822" s="20"/>
      <c r="P822" s="20"/>
      <c r="Q822" s="21"/>
      <c r="R822" s="22" t="s">
        <v>16</v>
      </c>
      <c r="S822" s="22">
        <v>2</v>
      </c>
      <c r="T822" s="25">
        <v>3504</v>
      </c>
      <c r="U822" s="22">
        <v>0</v>
      </c>
      <c r="V822" s="20" t="str">
        <f t="shared" si="71"/>
        <v>K-500x175x100</v>
      </c>
    </row>
    <row r="823" spans="1:22" ht="15">
      <c r="A823" s="88" t="s">
        <v>175</v>
      </c>
      <c r="B823" s="76" t="s">
        <v>2182</v>
      </c>
      <c r="C823" s="2">
        <v>500</v>
      </c>
      <c r="D823" s="2">
        <v>100</v>
      </c>
      <c r="E823" s="2">
        <v>180</v>
      </c>
      <c r="F823" s="2">
        <v>120</v>
      </c>
      <c r="G823" s="21">
        <v>7.5</v>
      </c>
      <c r="H823" s="20"/>
      <c r="I823" s="20"/>
      <c r="J823" s="20"/>
      <c r="K823" s="89"/>
      <c r="L823" s="780"/>
      <c r="M823" s="20"/>
      <c r="N823" s="20"/>
      <c r="O823" s="20"/>
      <c r="P823" s="20"/>
      <c r="Q823" s="21"/>
      <c r="R823" s="22" t="s">
        <v>16</v>
      </c>
      <c r="S823" s="22">
        <v>2</v>
      </c>
      <c r="T823" s="25">
        <v>3005</v>
      </c>
      <c r="U823" s="22">
        <v>0</v>
      </c>
      <c r="V823" s="20" t="str">
        <f t="shared" si="71"/>
        <v>K-500x180x100</v>
      </c>
    </row>
    <row r="824" spans="1:22" ht="14.25" customHeight="1">
      <c r="A824" s="88" t="s">
        <v>176</v>
      </c>
      <c r="B824" s="76" t="s">
        <v>2182</v>
      </c>
      <c r="C824" s="2">
        <v>500</v>
      </c>
      <c r="D824" s="2">
        <v>100</v>
      </c>
      <c r="E824" s="2">
        <v>190</v>
      </c>
      <c r="F824" s="2">
        <v>110</v>
      </c>
      <c r="G824" s="21">
        <v>7.5</v>
      </c>
      <c r="H824" s="20"/>
      <c r="I824" s="20"/>
      <c r="J824" s="20"/>
      <c r="K824" s="89"/>
      <c r="L824" s="780"/>
      <c r="M824" s="20"/>
      <c r="N824" s="20"/>
      <c r="O824" s="20"/>
      <c r="P824" s="20"/>
      <c r="Q824" s="21"/>
      <c r="R824" s="22" t="s">
        <v>16</v>
      </c>
      <c r="S824" s="22">
        <v>2</v>
      </c>
      <c r="T824" s="25">
        <v>2383</v>
      </c>
      <c r="U824" s="22">
        <v>0</v>
      </c>
      <c r="V824" s="20" t="str">
        <f t="shared" si="71"/>
        <v>K-500x190x100</v>
      </c>
    </row>
    <row r="825" spans="1:22" ht="14.25" customHeight="1">
      <c r="A825" s="88" t="s">
        <v>177</v>
      </c>
      <c r="B825" s="76" t="s">
        <v>2182</v>
      </c>
      <c r="C825" s="2">
        <v>500</v>
      </c>
      <c r="D825" s="2">
        <v>100</v>
      </c>
      <c r="E825" s="2">
        <v>195</v>
      </c>
      <c r="F825" s="2">
        <v>105</v>
      </c>
      <c r="G825" s="21">
        <v>7.5</v>
      </c>
      <c r="H825" s="20"/>
      <c r="I825" s="20"/>
      <c r="J825" s="20"/>
      <c r="K825" s="89"/>
      <c r="L825" s="780"/>
      <c r="M825" s="20"/>
      <c r="N825" s="20"/>
      <c r="O825" s="20"/>
      <c r="P825" s="20"/>
      <c r="Q825" s="21"/>
      <c r="R825" s="22" t="s">
        <v>16</v>
      </c>
      <c r="S825" s="22">
        <v>2</v>
      </c>
      <c r="T825" s="25">
        <v>2175</v>
      </c>
      <c r="U825" s="22">
        <v>0</v>
      </c>
      <c r="V825" s="20" t="str">
        <f t="shared" si="71"/>
        <v>K-500x195x100</v>
      </c>
    </row>
    <row r="826" spans="1:22" ht="15">
      <c r="A826" s="88" t="s">
        <v>178</v>
      </c>
      <c r="B826" s="76" t="s">
        <v>2182</v>
      </c>
      <c r="C826" s="2">
        <v>500</v>
      </c>
      <c r="D826" s="2">
        <v>100</v>
      </c>
      <c r="E826" s="2">
        <v>200</v>
      </c>
      <c r="F826" s="2">
        <v>100</v>
      </c>
      <c r="G826" s="21">
        <v>7.5</v>
      </c>
      <c r="H826" s="20"/>
      <c r="I826" s="20"/>
      <c r="J826" s="20"/>
      <c r="K826" s="89"/>
      <c r="L826" s="780"/>
      <c r="M826" s="20"/>
      <c r="N826" s="20"/>
      <c r="O826" s="20"/>
      <c r="P826" s="20"/>
      <c r="Q826" s="21"/>
      <c r="R826" s="22" t="s">
        <v>16</v>
      </c>
      <c r="S826" s="22">
        <v>2</v>
      </c>
      <c r="T826" s="25">
        <v>2010</v>
      </c>
      <c r="U826" s="22">
        <v>0</v>
      </c>
      <c r="V826" s="20" t="str">
        <f t="shared" si="71"/>
        <v>K-500x200x100</v>
      </c>
    </row>
    <row r="827" spans="1:22" ht="15">
      <c r="A827" s="88" t="s">
        <v>179</v>
      </c>
      <c r="B827" s="76" t="s">
        <v>2182</v>
      </c>
      <c r="C827" s="2">
        <v>550</v>
      </c>
      <c r="D827" s="2">
        <v>100</v>
      </c>
      <c r="E827" s="2">
        <v>150</v>
      </c>
      <c r="F827" s="2">
        <v>150</v>
      </c>
      <c r="G827" s="21">
        <v>8.25</v>
      </c>
      <c r="H827" s="20"/>
      <c r="I827" s="20"/>
      <c r="J827" s="20"/>
      <c r="K827" s="89"/>
      <c r="L827" s="780"/>
      <c r="M827" s="20"/>
      <c r="N827" s="20"/>
      <c r="O827" s="20"/>
      <c r="P827" s="20"/>
      <c r="Q827" s="21"/>
      <c r="R827" s="22" t="s">
        <v>16</v>
      </c>
      <c r="S827" s="22">
        <v>2</v>
      </c>
      <c r="T827" s="25" t="s">
        <v>16</v>
      </c>
      <c r="U827" s="22">
        <v>0</v>
      </c>
      <c r="V827" s="20" t="str">
        <f t="shared" si="71"/>
        <v>K-550x150x100</v>
      </c>
    </row>
    <row r="828" spans="1:22" ht="14.25" customHeight="1">
      <c r="A828" s="88" t="s">
        <v>180</v>
      </c>
      <c r="B828" s="76" t="s">
        <v>2182</v>
      </c>
      <c r="C828" s="2">
        <v>550</v>
      </c>
      <c r="D828" s="2">
        <v>100</v>
      </c>
      <c r="E828" s="2">
        <v>154</v>
      </c>
      <c r="F828" s="2">
        <v>146</v>
      </c>
      <c r="G828" s="21">
        <v>8.25</v>
      </c>
      <c r="H828" s="20"/>
      <c r="I828" s="20"/>
      <c r="J828" s="20"/>
      <c r="K828" s="89"/>
      <c r="L828" s="780"/>
      <c r="M828" s="20"/>
      <c r="N828" s="20"/>
      <c r="O828" s="20"/>
      <c r="P828" s="20"/>
      <c r="Q828" s="21"/>
      <c r="R828" s="22" t="s">
        <v>16</v>
      </c>
      <c r="S828" s="22">
        <v>2</v>
      </c>
      <c r="T828" s="25">
        <v>21176</v>
      </c>
      <c r="U828" s="22">
        <v>0</v>
      </c>
      <c r="V828" s="20" t="str">
        <f t="shared" si="71"/>
        <v>K-550x154x100</v>
      </c>
    </row>
    <row r="829" spans="1:22" ht="15">
      <c r="A829" s="88" t="s">
        <v>181</v>
      </c>
      <c r="B829" s="76" t="s">
        <v>2182</v>
      </c>
      <c r="C829" s="2">
        <v>550</v>
      </c>
      <c r="D829" s="2">
        <v>100</v>
      </c>
      <c r="E829" s="2">
        <v>160</v>
      </c>
      <c r="F829" s="2">
        <v>140</v>
      </c>
      <c r="G829" s="21">
        <v>8.25</v>
      </c>
      <c r="H829" s="20"/>
      <c r="I829" s="20"/>
      <c r="J829" s="20"/>
      <c r="K829" s="89"/>
      <c r="L829" s="780"/>
      <c r="M829" s="20"/>
      <c r="N829" s="20"/>
      <c r="O829" s="20"/>
      <c r="P829" s="20"/>
      <c r="Q829" s="21"/>
      <c r="R829" s="22" t="s">
        <v>16</v>
      </c>
      <c r="S829" s="22">
        <v>2</v>
      </c>
      <c r="T829" s="25">
        <v>8801</v>
      </c>
      <c r="U829" s="22">
        <v>0</v>
      </c>
      <c r="V829" s="20" t="str">
        <f t="shared" si="71"/>
        <v>K-550x160x100</v>
      </c>
    </row>
    <row r="830" spans="1:22" ht="15">
      <c r="A830" s="88" t="s">
        <v>182</v>
      </c>
      <c r="B830" s="76" t="s">
        <v>2182</v>
      </c>
      <c r="C830" s="2">
        <v>550</v>
      </c>
      <c r="D830" s="2">
        <v>100</v>
      </c>
      <c r="E830" s="2">
        <v>168</v>
      </c>
      <c r="F830" s="2">
        <v>132</v>
      </c>
      <c r="G830" s="21">
        <v>8.25</v>
      </c>
      <c r="H830" s="20"/>
      <c r="I830" s="20"/>
      <c r="J830" s="20"/>
      <c r="K830" s="89"/>
      <c r="L830" s="780"/>
      <c r="M830" s="20"/>
      <c r="N830" s="20"/>
      <c r="O830" s="20"/>
      <c r="P830" s="20"/>
      <c r="Q830" s="21"/>
      <c r="R830" s="22" t="s">
        <v>16</v>
      </c>
      <c r="S830" s="22">
        <v>2</v>
      </c>
      <c r="T830" s="25">
        <v>5136</v>
      </c>
      <c r="U830" s="22">
        <v>0</v>
      </c>
      <c r="V830" s="20" t="str">
        <f t="shared" si="71"/>
        <v>K-550x168x100</v>
      </c>
    </row>
    <row r="831" spans="1:22" ht="14.25" customHeight="1">
      <c r="A831" s="88" t="s">
        <v>183</v>
      </c>
      <c r="B831" s="76" t="s">
        <v>2182</v>
      </c>
      <c r="C831" s="2">
        <v>550</v>
      </c>
      <c r="D831" s="2">
        <v>100</v>
      </c>
      <c r="E831" s="2">
        <v>175</v>
      </c>
      <c r="F831" s="2">
        <v>125</v>
      </c>
      <c r="G831" s="21">
        <v>8.25</v>
      </c>
      <c r="H831" s="20"/>
      <c r="I831" s="20"/>
      <c r="J831" s="20"/>
      <c r="K831" s="89"/>
      <c r="L831" s="780"/>
      <c r="M831" s="20"/>
      <c r="N831" s="20"/>
      <c r="O831" s="20"/>
      <c r="P831" s="20"/>
      <c r="Q831" s="21"/>
      <c r="R831" s="22" t="s">
        <v>16</v>
      </c>
      <c r="S831" s="22">
        <v>2</v>
      </c>
      <c r="T831" s="25">
        <v>3854</v>
      </c>
      <c r="U831" s="22">
        <v>0</v>
      </c>
      <c r="V831" s="20" t="str">
        <f t="shared" si="71"/>
        <v>K-550x175x100</v>
      </c>
    </row>
    <row r="832" spans="1:22" ht="15">
      <c r="A832" s="88" t="s">
        <v>184</v>
      </c>
      <c r="B832" s="76" t="s">
        <v>2182</v>
      </c>
      <c r="C832" s="2">
        <v>550</v>
      </c>
      <c r="D832" s="2">
        <v>100</v>
      </c>
      <c r="E832" s="2">
        <v>180</v>
      </c>
      <c r="F832" s="2">
        <v>120</v>
      </c>
      <c r="G832" s="21">
        <v>8.25</v>
      </c>
      <c r="H832" s="20"/>
      <c r="I832" s="20"/>
      <c r="J832" s="20"/>
      <c r="K832" s="89"/>
      <c r="L832" s="780"/>
      <c r="M832" s="20"/>
      <c r="N832" s="20"/>
      <c r="O832" s="20"/>
      <c r="P832" s="20"/>
      <c r="Q832" s="21"/>
      <c r="R832" s="22" t="s">
        <v>16</v>
      </c>
      <c r="S832" s="22">
        <v>2</v>
      </c>
      <c r="T832" s="25">
        <v>3305</v>
      </c>
      <c r="U832" s="22">
        <v>0</v>
      </c>
      <c r="V832" s="20" t="str">
        <f t="shared" si="71"/>
        <v>K-550x180x100</v>
      </c>
    </row>
    <row r="833" spans="1:22" ht="15">
      <c r="A833" s="88" t="s">
        <v>185</v>
      </c>
      <c r="B833" s="76" t="s">
        <v>2182</v>
      </c>
      <c r="C833" s="2">
        <v>550</v>
      </c>
      <c r="D833" s="2">
        <v>100</v>
      </c>
      <c r="E833" s="2">
        <v>185</v>
      </c>
      <c r="F833" s="2">
        <v>115</v>
      </c>
      <c r="G833" s="21">
        <v>8.25</v>
      </c>
      <c r="H833" s="20"/>
      <c r="I833" s="20"/>
      <c r="J833" s="20"/>
      <c r="K833" s="89"/>
      <c r="L833" s="780"/>
      <c r="M833" s="20"/>
      <c r="N833" s="20"/>
      <c r="O833" s="20"/>
      <c r="P833" s="20"/>
      <c r="Q833" s="21"/>
      <c r="R833" s="22" t="s">
        <v>16</v>
      </c>
      <c r="S833" s="22">
        <v>2</v>
      </c>
      <c r="T833" s="25">
        <v>2913</v>
      </c>
      <c r="U833" s="22">
        <v>0</v>
      </c>
      <c r="V833" s="20" t="str">
        <f t="shared" si="71"/>
        <v>K-550x185x100</v>
      </c>
    </row>
    <row r="834" spans="1:22" ht="14.25" customHeight="1">
      <c r="A834" s="88" t="s">
        <v>186</v>
      </c>
      <c r="B834" s="76" t="s">
        <v>2182</v>
      </c>
      <c r="C834" s="2">
        <v>550</v>
      </c>
      <c r="D834" s="2">
        <v>100</v>
      </c>
      <c r="E834" s="2">
        <v>190</v>
      </c>
      <c r="F834" s="2">
        <v>110</v>
      </c>
      <c r="G834" s="21">
        <v>8.25</v>
      </c>
      <c r="H834" s="20"/>
      <c r="I834" s="20"/>
      <c r="J834" s="20"/>
      <c r="K834" s="89"/>
      <c r="L834" s="780"/>
      <c r="M834" s="20"/>
      <c r="N834" s="20"/>
      <c r="O834" s="20"/>
      <c r="P834" s="20"/>
      <c r="Q834" s="21"/>
      <c r="R834" s="22" t="s">
        <v>16</v>
      </c>
      <c r="S834" s="22">
        <v>2</v>
      </c>
      <c r="T834" s="25">
        <v>2619</v>
      </c>
      <c r="U834" s="22">
        <v>0</v>
      </c>
      <c r="V834" s="20" t="str">
        <f t="shared" si="71"/>
        <v>K-550x190x100</v>
      </c>
    </row>
    <row r="835" spans="1:22" ht="15">
      <c r="A835" s="88" t="s">
        <v>187</v>
      </c>
      <c r="B835" s="76" t="s">
        <v>2182</v>
      </c>
      <c r="C835" s="2">
        <v>550</v>
      </c>
      <c r="D835" s="2">
        <v>100</v>
      </c>
      <c r="E835" s="2">
        <v>195</v>
      </c>
      <c r="F835" s="2">
        <v>105</v>
      </c>
      <c r="G835" s="21">
        <v>8.25</v>
      </c>
      <c r="H835" s="20"/>
      <c r="I835" s="20"/>
      <c r="J835" s="20"/>
      <c r="K835" s="89"/>
      <c r="L835" s="780"/>
      <c r="M835" s="20"/>
      <c r="N835" s="20"/>
      <c r="O835" s="20"/>
      <c r="P835" s="20"/>
      <c r="Q835" s="21"/>
      <c r="R835" s="22" t="s">
        <v>16</v>
      </c>
      <c r="S835" s="22">
        <v>2</v>
      </c>
      <c r="T835" s="25">
        <v>2391</v>
      </c>
      <c r="U835" s="22">
        <v>0</v>
      </c>
      <c r="V835" s="20" t="str">
        <f t="shared" si="71"/>
        <v>K-550x195x100</v>
      </c>
    </row>
    <row r="836" spans="1:22" ht="15">
      <c r="A836" s="88" t="s">
        <v>188</v>
      </c>
      <c r="B836" s="76" t="s">
        <v>2182</v>
      </c>
      <c r="C836" s="2">
        <v>550</v>
      </c>
      <c r="D836" s="2">
        <v>100</v>
      </c>
      <c r="E836" s="2">
        <v>200</v>
      </c>
      <c r="F836" s="2">
        <v>100</v>
      </c>
      <c r="G836" s="21">
        <v>8.25</v>
      </c>
      <c r="H836" s="20"/>
      <c r="I836" s="20"/>
      <c r="J836" s="20"/>
      <c r="K836" s="89"/>
      <c r="L836" s="780"/>
      <c r="M836" s="20"/>
      <c r="N836" s="20"/>
      <c r="O836" s="20"/>
      <c r="P836" s="20"/>
      <c r="Q836" s="21"/>
      <c r="R836" s="22" t="s">
        <v>16</v>
      </c>
      <c r="S836" s="22">
        <v>2</v>
      </c>
      <c r="T836" s="25">
        <v>2209</v>
      </c>
      <c r="U836" s="22">
        <v>0</v>
      </c>
      <c r="V836" s="20" t="str">
        <f t="shared" si="71"/>
        <v>K-550x200x100</v>
      </c>
    </row>
    <row r="837" spans="1:22" ht="14.25" customHeight="1">
      <c r="A837" s="88" t="s">
        <v>189</v>
      </c>
      <c r="B837" s="76" t="s">
        <v>2182</v>
      </c>
      <c r="C837" s="2">
        <v>550</v>
      </c>
      <c r="D837" s="2">
        <v>100</v>
      </c>
      <c r="E837" s="2">
        <v>205</v>
      </c>
      <c r="F837" s="2">
        <v>95</v>
      </c>
      <c r="G837" s="21">
        <v>8.25</v>
      </c>
      <c r="H837" s="20"/>
      <c r="I837" s="20"/>
      <c r="J837" s="20"/>
      <c r="K837" s="89"/>
      <c r="L837" s="780"/>
      <c r="M837" s="20"/>
      <c r="N837" s="20"/>
      <c r="O837" s="20"/>
      <c r="P837" s="20"/>
      <c r="Q837" s="21"/>
      <c r="R837" s="22" t="s">
        <v>16</v>
      </c>
      <c r="S837" s="22">
        <v>2</v>
      </c>
      <c r="T837" s="25">
        <v>2060</v>
      </c>
      <c r="U837" s="22">
        <v>0</v>
      </c>
      <c r="V837" s="20" t="str">
        <f t="shared" si="71"/>
        <v>K-550x205x100</v>
      </c>
    </row>
    <row r="838" spans="1:22" ht="15">
      <c r="A838" s="88" t="s">
        <v>190</v>
      </c>
      <c r="B838" s="76" t="s">
        <v>2182</v>
      </c>
      <c r="C838" s="2">
        <v>550</v>
      </c>
      <c r="D838" s="2">
        <v>100</v>
      </c>
      <c r="E838" s="2">
        <v>210</v>
      </c>
      <c r="F838" s="2">
        <v>90</v>
      </c>
      <c r="G838" s="21">
        <v>8.25</v>
      </c>
      <c r="H838" s="20"/>
      <c r="I838" s="20"/>
      <c r="J838" s="20"/>
      <c r="K838" s="89"/>
      <c r="L838" s="780"/>
      <c r="M838" s="20"/>
      <c r="N838" s="20"/>
      <c r="O838" s="20"/>
      <c r="P838" s="20"/>
      <c r="Q838" s="21"/>
      <c r="R838" s="22" t="s">
        <v>16</v>
      </c>
      <c r="S838" s="22">
        <v>2</v>
      </c>
      <c r="T838" s="25">
        <v>1936</v>
      </c>
      <c r="U838" s="22">
        <v>0</v>
      </c>
      <c r="V838" s="20" t="str">
        <f t="shared" si="71"/>
        <v>K-550x210x100</v>
      </c>
    </row>
    <row r="839" spans="1:22" ht="15">
      <c r="A839" s="88" t="s">
        <v>191</v>
      </c>
      <c r="B839" s="76" t="s">
        <v>2182</v>
      </c>
      <c r="C839" s="2">
        <v>600</v>
      </c>
      <c r="D839" s="2">
        <v>100</v>
      </c>
      <c r="E839" s="2">
        <v>150</v>
      </c>
      <c r="F839" s="2">
        <v>150</v>
      </c>
      <c r="G839" s="21">
        <v>9</v>
      </c>
      <c r="H839" s="20"/>
      <c r="I839" s="20"/>
      <c r="J839" s="20"/>
      <c r="K839" s="89"/>
      <c r="L839" s="780"/>
      <c r="M839" s="20"/>
      <c r="N839" s="20"/>
      <c r="O839" s="20"/>
      <c r="P839" s="20"/>
      <c r="Q839" s="21"/>
      <c r="R839" s="22" t="s">
        <v>16</v>
      </c>
      <c r="S839" s="22">
        <v>2</v>
      </c>
      <c r="T839" s="25" t="s">
        <v>16</v>
      </c>
      <c r="U839" s="22">
        <v>0</v>
      </c>
      <c r="V839" s="20" t="str">
        <f t="shared" si="71"/>
        <v>K-600x150x100</v>
      </c>
    </row>
    <row r="840" spans="1:22" ht="14.25" customHeight="1">
      <c r="A840" s="88" t="s">
        <v>192</v>
      </c>
      <c r="B840" s="76" t="s">
        <v>2182</v>
      </c>
      <c r="C840" s="2">
        <v>600</v>
      </c>
      <c r="D840" s="2">
        <v>100</v>
      </c>
      <c r="E840" s="2">
        <v>154</v>
      </c>
      <c r="F840" s="2">
        <v>146</v>
      </c>
      <c r="G840" s="21">
        <v>9</v>
      </c>
      <c r="H840" s="20"/>
      <c r="I840" s="20"/>
      <c r="J840" s="20"/>
      <c r="K840" s="89"/>
      <c r="L840" s="780"/>
      <c r="M840" s="20"/>
      <c r="N840" s="20"/>
      <c r="O840" s="20"/>
      <c r="P840" s="20"/>
      <c r="Q840" s="21"/>
      <c r="R840" s="22" t="s">
        <v>16</v>
      </c>
      <c r="S840" s="22">
        <v>2</v>
      </c>
      <c r="T840" s="25">
        <v>23101</v>
      </c>
      <c r="U840" s="22">
        <v>0</v>
      </c>
      <c r="V840" s="20" t="str">
        <f t="shared" si="71"/>
        <v>K-600x154x100</v>
      </c>
    </row>
    <row r="841" spans="1:22" ht="15">
      <c r="A841" s="88" t="s">
        <v>193</v>
      </c>
      <c r="B841" s="76" t="s">
        <v>2182</v>
      </c>
      <c r="C841" s="2">
        <v>600</v>
      </c>
      <c r="D841" s="2">
        <v>100</v>
      </c>
      <c r="E841" s="2">
        <v>160</v>
      </c>
      <c r="F841" s="2">
        <v>140</v>
      </c>
      <c r="G841" s="21">
        <v>9</v>
      </c>
      <c r="H841" s="20"/>
      <c r="I841" s="20"/>
      <c r="J841" s="20"/>
      <c r="K841" s="89"/>
      <c r="L841" s="780"/>
      <c r="M841" s="20"/>
      <c r="N841" s="20"/>
      <c r="O841" s="20"/>
      <c r="P841" s="20"/>
      <c r="Q841" s="21"/>
      <c r="R841" s="22" t="s">
        <v>16</v>
      </c>
      <c r="S841" s="22">
        <v>2</v>
      </c>
      <c r="T841" s="25">
        <v>9601</v>
      </c>
      <c r="U841" s="22">
        <v>0</v>
      </c>
      <c r="V841" s="20" t="str">
        <f t="shared" si="71"/>
        <v>K-600x160x100</v>
      </c>
    </row>
    <row r="842" spans="1:22" ht="15">
      <c r="A842" s="88" t="s">
        <v>194</v>
      </c>
      <c r="B842" s="76" t="s">
        <v>2182</v>
      </c>
      <c r="C842" s="2">
        <v>600</v>
      </c>
      <c r="D842" s="2">
        <v>100</v>
      </c>
      <c r="E842" s="2">
        <v>165</v>
      </c>
      <c r="F842" s="2">
        <v>135</v>
      </c>
      <c r="G842" s="21">
        <v>9</v>
      </c>
      <c r="H842" s="20"/>
      <c r="I842" s="20"/>
      <c r="J842" s="20"/>
      <c r="K842" s="89"/>
      <c r="L842" s="780"/>
      <c r="M842" s="20"/>
      <c r="N842" s="20"/>
      <c r="O842" s="20"/>
      <c r="P842" s="20"/>
      <c r="Q842" s="21"/>
      <c r="R842" s="22" t="s">
        <v>16</v>
      </c>
      <c r="S842" s="22">
        <v>2</v>
      </c>
      <c r="T842" s="25">
        <v>6602</v>
      </c>
      <c r="U842" s="22">
        <v>0</v>
      </c>
      <c r="V842" s="20" t="str">
        <f t="shared" si="71"/>
        <v>K-600x165x100</v>
      </c>
    </row>
    <row r="843" spans="1:22" ht="14.25" customHeight="1">
      <c r="A843" s="88" t="s">
        <v>195</v>
      </c>
      <c r="B843" s="76" t="s">
        <v>2182</v>
      </c>
      <c r="C843" s="2">
        <v>600</v>
      </c>
      <c r="D843" s="2">
        <v>100</v>
      </c>
      <c r="E843" s="2">
        <v>168</v>
      </c>
      <c r="F843" s="2">
        <v>132</v>
      </c>
      <c r="G843" s="21">
        <v>9</v>
      </c>
      <c r="H843" s="20"/>
      <c r="I843" s="20"/>
      <c r="J843" s="20"/>
      <c r="K843" s="89"/>
      <c r="L843" s="780"/>
      <c r="M843" s="20"/>
      <c r="N843" s="20"/>
      <c r="O843" s="20"/>
      <c r="P843" s="20"/>
      <c r="Q843" s="21"/>
      <c r="R843" s="22" t="s">
        <v>16</v>
      </c>
      <c r="S843" s="22">
        <v>2</v>
      </c>
      <c r="T843" s="25">
        <v>5603</v>
      </c>
      <c r="U843" s="22">
        <v>0</v>
      </c>
      <c r="V843" s="20" t="str">
        <f t="shared" si="71"/>
        <v>K-600x168x100</v>
      </c>
    </row>
    <row r="844" spans="1:22" ht="15">
      <c r="A844" s="88" t="s">
        <v>196</v>
      </c>
      <c r="B844" s="76" t="s">
        <v>2182</v>
      </c>
      <c r="C844" s="2">
        <v>600</v>
      </c>
      <c r="D844" s="2">
        <v>100</v>
      </c>
      <c r="E844" s="2">
        <v>170</v>
      </c>
      <c r="F844" s="2">
        <v>130</v>
      </c>
      <c r="G844" s="21">
        <v>9</v>
      </c>
      <c r="H844" s="20"/>
      <c r="I844" s="20"/>
      <c r="J844" s="20"/>
      <c r="K844" s="89"/>
      <c r="L844" s="780"/>
      <c r="M844" s="20"/>
      <c r="N844" s="20"/>
      <c r="O844" s="20"/>
      <c r="P844" s="20"/>
      <c r="Q844" s="21"/>
      <c r="R844" s="22" t="s">
        <v>16</v>
      </c>
      <c r="S844" s="22">
        <v>2</v>
      </c>
      <c r="T844" s="25">
        <v>5103</v>
      </c>
      <c r="U844" s="22">
        <v>0</v>
      </c>
      <c r="V844" s="20" t="str">
        <f t="shared" si="71"/>
        <v>K-600x170x100</v>
      </c>
    </row>
    <row r="845" spans="1:22" ht="15">
      <c r="A845" s="88" t="s">
        <v>197</v>
      </c>
      <c r="B845" s="76" t="s">
        <v>2182</v>
      </c>
      <c r="C845" s="2">
        <v>600</v>
      </c>
      <c r="D845" s="2">
        <v>100</v>
      </c>
      <c r="E845" s="2">
        <v>180</v>
      </c>
      <c r="F845" s="2">
        <v>120</v>
      </c>
      <c r="G845" s="21">
        <v>9</v>
      </c>
      <c r="H845" s="20"/>
      <c r="I845" s="20"/>
      <c r="J845" s="20"/>
      <c r="K845" s="89"/>
      <c r="L845" s="780"/>
      <c r="M845" s="20"/>
      <c r="N845" s="20"/>
      <c r="O845" s="20"/>
      <c r="P845" s="20"/>
      <c r="Q845" s="21"/>
      <c r="R845" s="22" t="s">
        <v>16</v>
      </c>
      <c r="S845" s="22">
        <v>2</v>
      </c>
      <c r="T845" s="25">
        <v>3604</v>
      </c>
      <c r="U845" s="22">
        <v>0</v>
      </c>
      <c r="V845" s="20" t="str">
        <f t="shared" si="71"/>
        <v>K-600x180x100</v>
      </c>
    </row>
    <row r="846" spans="1:22" ht="14.25" customHeight="1">
      <c r="A846" s="88" t="s">
        <v>198</v>
      </c>
      <c r="B846" s="76" t="s">
        <v>2182</v>
      </c>
      <c r="C846" s="2">
        <v>600</v>
      </c>
      <c r="D846" s="2">
        <v>100</v>
      </c>
      <c r="E846" s="2">
        <v>190</v>
      </c>
      <c r="F846" s="2">
        <v>110</v>
      </c>
      <c r="G846" s="21">
        <v>9</v>
      </c>
      <c r="H846" s="20"/>
      <c r="I846" s="20"/>
      <c r="J846" s="20"/>
      <c r="K846" s="89"/>
      <c r="L846" s="780"/>
      <c r="M846" s="20"/>
      <c r="N846" s="20"/>
      <c r="O846" s="20"/>
      <c r="P846" s="20"/>
      <c r="Q846" s="21"/>
      <c r="R846" s="22" t="s">
        <v>16</v>
      </c>
      <c r="S846" s="22">
        <v>2</v>
      </c>
      <c r="T846" s="25">
        <v>2856</v>
      </c>
      <c r="U846" s="22">
        <v>0</v>
      </c>
      <c r="V846" s="20" t="str">
        <f t="shared" si="71"/>
        <v>K-600x190x100</v>
      </c>
    </row>
    <row r="847" spans="1:22" ht="15">
      <c r="A847" s="88" t="s">
        <v>199</v>
      </c>
      <c r="B847" s="76" t="s">
        <v>2182</v>
      </c>
      <c r="C847" s="2">
        <v>600</v>
      </c>
      <c r="D847" s="2">
        <v>100</v>
      </c>
      <c r="E847" s="2">
        <v>195</v>
      </c>
      <c r="F847" s="2">
        <v>105</v>
      </c>
      <c r="G847" s="21">
        <v>9</v>
      </c>
      <c r="H847" s="20"/>
      <c r="I847" s="20"/>
      <c r="J847" s="20"/>
      <c r="K847" s="89"/>
      <c r="L847" s="780"/>
      <c r="M847" s="20"/>
      <c r="N847" s="20"/>
      <c r="O847" s="20"/>
      <c r="P847" s="20"/>
      <c r="Q847" s="21"/>
      <c r="R847" s="22" t="s">
        <v>16</v>
      </c>
      <c r="S847" s="22">
        <v>2</v>
      </c>
      <c r="T847" s="25">
        <v>2607</v>
      </c>
      <c r="U847" s="22">
        <v>0</v>
      </c>
      <c r="V847" s="20" t="str">
        <f t="shared" si="71"/>
        <v>K-600x195x100</v>
      </c>
    </row>
    <row r="848" spans="1:22" ht="15">
      <c r="A848" s="88" t="s">
        <v>200</v>
      </c>
      <c r="B848" s="76" t="s">
        <v>2182</v>
      </c>
      <c r="C848" s="2">
        <v>600</v>
      </c>
      <c r="D848" s="2">
        <v>100</v>
      </c>
      <c r="E848" s="2">
        <v>210</v>
      </c>
      <c r="F848" s="2">
        <v>90</v>
      </c>
      <c r="G848" s="21">
        <v>9</v>
      </c>
      <c r="H848" s="20"/>
      <c r="I848" s="20"/>
      <c r="J848" s="20"/>
      <c r="K848" s="89"/>
      <c r="L848" s="780"/>
      <c r="M848" s="20"/>
      <c r="N848" s="20"/>
      <c r="O848" s="20"/>
      <c r="P848" s="20"/>
      <c r="Q848" s="21"/>
      <c r="R848" s="22" t="s">
        <v>16</v>
      </c>
      <c r="S848" s="22">
        <v>2</v>
      </c>
      <c r="T848" s="25">
        <v>2110</v>
      </c>
      <c r="U848" s="22">
        <v>0</v>
      </c>
      <c r="V848" s="20" t="str">
        <f t="shared" si="71"/>
        <v>K-600x210x100</v>
      </c>
    </row>
    <row r="849" spans="1:22" ht="14.25" customHeight="1">
      <c r="A849" s="88" t="s">
        <v>201</v>
      </c>
      <c r="B849" s="76" t="s">
        <v>2182</v>
      </c>
      <c r="C849" s="2">
        <v>650</v>
      </c>
      <c r="D849" s="2">
        <v>100</v>
      </c>
      <c r="E849" s="2">
        <v>150</v>
      </c>
      <c r="F849" s="2">
        <v>150</v>
      </c>
      <c r="G849" s="21">
        <v>9.75</v>
      </c>
      <c r="H849" s="20"/>
      <c r="I849" s="20"/>
      <c r="J849" s="20"/>
      <c r="K849" s="89"/>
      <c r="L849" s="780"/>
      <c r="M849" s="20"/>
      <c r="N849" s="20"/>
      <c r="O849" s="20"/>
      <c r="P849" s="20"/>
      <c r="Q849" s="21"/>
      <c r="R849" s="22" t="s">
        <v>16</v>
      </c>
      <c r="S849" s="22">
        <v>2</v>
      </c>
      <c r="T849" s="25" t="s">
        <v>16</v>
      </c>
      <c r="U849" s="22">
        <v>0</v>
      </c>
      <c r="V849" s="20" t="str">
        <f t="shared" ref="V849:V880" si="72">B849&amp;"-"&amp;C849&amp;"x"&amp;E849&amp;"x"&amp;D849</f>
        <v>K-650x150x100</v>
      </c>
    </row>
    <row r="850" spans="1:22" ht="15">
      <c r="A850" s="88" t="s">
        <v>202</v>
      </c>
      <c r="B850" s="76" t="s">
        <v>2182</v>
      </c>
      <c r="C850" s="2">
        <v>650</v>
      </c>
      <c r="D850" s="2">
        <v>100</v>
      </c>
      <c r="E850" s="2">
        <v>154</v>
      </c>
      <c r="F850" s="2">
        <v>146</v>
      </c>
      <c r="G850" s="21">
        <v>9.75</v>
      </c>
      <c r="H850" s="20"/>
      <c r="I850" s="20"/>
      <c r="J850" s="20"/>
      <c r="K850" s="89"/>
      <c r="L850" s="780"/>
      <c r="M850" s="20"/>
      <c r="N850" s="20"/>
      <c r="O850" s="20"/>
      <c r="P850" s="20"/>
      <c r="Q850" s="21"/>
      <c r="R850" s="22" t="s">
        <v>16</v>
      </c>
      <c r="S850" s="22">
        <v>2</v>
      </c>
      <c r="T850" s="25">
        <v>25025</v>
      </c>
      <c r="U850" s="22">
        <v>0</v>
      </c>
      <c r="V850" s="20" t="str">
        <f t="shared" si="72"/>
        <v>K-650x154x100</v>
      </c>
    </row>
    <row r="851" spans="1:22" ht="15">
      <c r="A851" s="88" t="s">
        <v>203</v>
      </c>
      <c r="B851" s="76" t="s">
        <v>2182</v>
      </c>
      <c r="C851" s="2">
        <v>650</v>
      </c>
      <c r="D851" s="2">
        <v>100</v>
      </c>
      <c r="E851" s="2">
        <v>160</v>
      </c>
      <c r="F851" s="2">
        <v>140</v>
      </c>
      <c r="G851" s="21">
        <v>9.75</v>
      </c>
      <c r="H851" s="20"/>
      <c r="I851" s="20"/>
      <c r="J851" s="20"/>
      <c r="K851" s="89"/>
      <c r="L851" s="780"/>
      <c r="M851" s="20"/>
      <c r="N851" s="20"/>
      <c r="O851" s="20"/>
      <c r="P851" s="20"/>
      <c r="Q851" s="21"/>
      <c r="R851" s="22" t="s">
        <v>16</v>
      </c>
      <c r="S851" s="22">
        <v>2</v>
      </c>
      <c r="T851" s="25">
        <v>10401</v>
      </c>
      <c r="U851" s="22">
        <v>0</v>
      </c>
      <c r="V851" s="20" t="str">
        <f t="shared" si="72"/>
        <v>K-650x160x100</v>
      </c>
    </row>
    <row r="852" spans="1:22" ht="14.25" customHeight="1">
      <c r="A852" s="88" t="s">
        <v>204</v>
      </c>
      <c r="B852" s="76" t="s">
        <v>2182</v>
      </c>
      <c r="C852" s="2">
        <v>650</v>
      </c>
      <c r="D852" s="2">
        <v>100</v>
      </c>
      <c r="E852" s="2">
        <v>168</v>
      </c>
      <c r="F852" s="2">
        <v>132</v>
      </c>
      <c r="G852" s="21">
        <v>9.75</v>
      </c>
      <c r="H852" s="20"/>
      <c r="I852" s="20"/>
      <c r="J852" s="20"/>
      <c r="K852" s="89"/>
      <c r="L852" s="780"/>
      <c r="M852" s="20"/>
      <c r="N852" s="20"/>
      <c r="O852" s="20"/>
      <c r="P852" s="20"/>
      <c r="Q852" s="21"/>
      <c r="R852" s="22" t="s">
        <v>16</v>
      </c>
      <c r="S852" s="22">
        <v>2</v>
      </c>
      <c r="T852" s="25">
        <v>6069</v>
      </c>
      <c r="U852" s="22">
        <v>0</v>
      </c>
      <c r="V852" s="20" t="str">
        <f t="shared" si="72"/>
        <v>K-650x168x100</v>
      </c>
    </row>
    <row r="853" spans="1:22" ht="15">
      <c r="A853" s="88" t="s">
        <v>205</v>
      </c>
      <c r="B853" s="76" t="s">
        <v>2182</v>
      </c>
      <c r="C853" s="2">
        <v>650</v>
      </c>
      <c r="D853" s="2">
        <v>100</v>
      </c>
      <c r="E853" s="2">
        <v>180</v>
      </c>
      <c r="F853" s="2">
        <v>120</v>
      </c>
      <c r="G853" s="21">
        <v>9.75</v>
      </c>
      <c r="H853" s="20"/>
      <c r="I853" s="20"/>
      <c r="J853" s="20"/>
      <c r="K853" s="89"/>
      <c r="L853" s="780"/>
      <c r="M853" s="20"/>
      <c r="N853" s="20"/>
      <c r="O853" s="20"/>
      <c r="P853" s="20"/>
      <c r="Q853" s="21"/>
      <c r="R853" s="22" t="s">
        <v>16</v>
      </c>
      <c r="S853" s="22">
        <v>2</v>
      </c>
      <c r="T853" s="25">
        <v>3904</v>
      </c>
      <c r="U853" s="22">
        <v>0</v>
      </c>
      <c r="V853" s="20" t="str">
        <f t="shared" si="72"/>
        <v>K-650x180x100</v>
      </c>
    </row>
    <row r="854" spans="1:22" ht="15">
      <c r="A854" s="88" t="s">
        <v>206</v>
      </c>
      <c r="B854" s="76" t="s">
        <v>2182</v>
      </c>
      <c r="C854" s="2">
        <v>650</v>
      </c>
      <c r="D854" s="2">
        <v>100</v>
      </c>
      <c r="E854" s="2">
        <v>190</v>
      </c>
      <c r="F854" s="2">
        <v>110</v>
      </c>
      <c r="G854" s="21">
        <v>9.75</v>
      </c>
      <c r="H854" s="20"/>
      <c r="I854" s="20"/>
      <c r="J854" s="20"/>
      <c r="K854" s="89"/>
      <c r="L854" s="780"/>
      <c r="M854" s="20"/>
      <c r="N854" s="20"/>
      <c r="O854" s="20"/>
      <c r="P854" s="20"/>
      <c r="Q854" s="21"/>
      <c r="R854" s="22" t="s">
        <v>16</v>
      </c>
      <c r="S854" s="22">
        <v>2</v>
      </c>
      <c r="T854" s="25">
        <v>3093</v>
      </c>
      <c r="U854" s="22">
        <v>0</v>
      </c>
      <c r="V854" s="20" t="str">
        <f t="shared" si="72"/>
        <v>K-650x190x100</v>
      </c>
    </row>
    <row r="855" spans="1:22" ht="14.25" customHeight="1">
      <c r="A855" s="88" t="s">
        <v>207</v>
      </c>
      <c r="B855" s="76" t="s">
        <v>2182</v>
      </c>
      <c r="C855" s="2">
        <v>650</v>
      </c>
      <c r="D855" s="2">
        <v>100</v>
      </c>
      <c r="E855" s="2">
        <v>195</v>
      </c>
      <c r="F855" s="2">
        <v>105</v>
      </c>
      <c r="G855" s="21">
        <v>9.75</v>
      </c>
      <c r="H855" s="20"/>
      <c r="I855" s="20"/>
      <c r="J855" s="20"/>
      <c r="K855" s="89"/>
      <c r="L855" s="780"/>
      <c r="M855" s="20"/>
      <c r="N855" s="20"/>
      <c r="O855" s="20"/>
      <c r="P855" s="20"/>
      <c r="Q855" s="21"/>
      <c r="R855" s="22" t="s">
        <v>16</v>
      </c>
      <c r="S855" s="22">
        <v>2</v>
      </c>
      <c r="T855" s="25">
        <v>2823</v>
      </c>
      <c r="U855" s="22">
        <v>0</v>
      </c>
      <c r="V855" s="20" t="str">
        <f t="shared" si="72"/>
        <v>K-650x195x100</v>
      </c>
    </row>
    <row r="856" spans="1:22" ht="15">
      <c r="A856" s="88" t="s">
        <v>208</v>
      </c>
      <c r="B856" s="76" t="s">
        <v>2182</v>
      </c>
      <c r="C856" s="2">
        <v>650</v>
      </c>
      <c r="D856" s="2">
        <v>100</v>
      </c>
      <c r="E856" s="2">
        <v>210</v>
      </c>
      <c r="F856" s="2">
        <v>90</v>
      </c>
      <c r="G856" s="21">
        <v>9.75</v>
      </c>
      <c r="H856" s="20"/>
      <c r="I856" s="20"/>
      <c r="J856" s="20"/>
      <c r="K856" s="89"/>
      <c r="L856" s="780"/>
      <c r="M856" s="20"/>
      <c r="N856" s="20"/>
      <c r="O856" s="20"/>
      <c r="P856" s="20"/>
      <c r="Q856" s="21"/>
      <c r="R856" s="22" t="s">
        <v>16</v>
      </c>
      <c r="S856" s="22">
        <v>2</v>
      </c>
      <c r="T856" s="25">
        <v>2285</v>
      </c>
      <c r="U856" s="22">
        <v>0</v>
      </c>
      <c r="V856" s="20" t="str">
        <f t="shared" si="72"/>
        <v>K-650x210x100</v>
      </c>
    </row>
    <row r="857" spans="1:22" ht="15">
      <c r="A857" s="88" t="s">
        <v>209</v>
      </c>
      <c r="B857" s="76" t="s">
        <v>2182</v>
      </c>
      <c r="C857" s="2">
        <v>700</v>
      </c>
      <c r="D857" s="2">
        <v>100</v>
      </c>
      <c r="E857" s="2">
        <v>150</v>
      </c>
      <c r="F857" s="2">
        <v>150</v>
      </c>
      <c r="G857" s="21">
        <v>10.5</v>
      </c>
      <c r="H857" s="20"/>
      <c r="I857" s="20"/>
      <c r="J857" s="20"/>
      <c r="K857" s="89"/>
      <c r="L857" s="780"/>
      <c r="M857" s="20"/>
      <c r="N857" s="20"/>
      <c r="O857" s="20"/>
      <c r="P857" s="20"/>
      <c r="Q857" s="21"/>
      <c r="R857" s="22" t="s">
        <v>16</v>
      </c>
      <c r="S857" s="22">
        <v>2</v>
      </c>
      <c r="T857" s="25" t="s">
        <v>16</v>
      </c>
      <c r="U857" s="22">
        <v>0</v>
      </c>
      <c r="V857" s="20" t="str">
        <f t="shared" si="72"/>
        <v>K-700x150x100</v>
      </c>
    </row>
    <row r="858" spans="1:22" ht="14.25" customHeight="1">
      <c r="A858" s="88" t="s">
        <v>210</v>
      </c>
      <c r="B858" s="76" t="s">
        <v>2182</v>
      </c>
      <c r="C858" s="2">
        <v>700</v>
      </c>
      <c r="D858" s="2">
        <v>100</v>
      </c>
      <c r="E858" s="2">
        <v>154</v>
      </c>
      <c r="F858" s="2">
        <v>146</v>
      </c>
      <c r="G858" s="21">
        <v>10.5</v>
      </c>
      <c r="H858" s="20"/>
      <c r="I858" s="20"/>
      <c r="J858" s="20"/>
      <c r="K858" s="89"/>
      <c r="L858" s="780"/>
      <c r="M858" s="20"/>
      <c r="N858" s="20"/>
      <c r="O858" s="20"/>
      <c r="P858" s="20"/>
      <c r="Q858" s="21"/>
      <c r="R858" s="22" t="s">
        <v>16</v>
      </c>
      <c r="S858" s="22">
        <v>2</v>
      </c>
      <c r="T858" s="25">
        <v>26950</v>
      </c>
      <c r="U858" s="22">
        <v>0</v>
      </c>
      <c r="V858" s="20" t="str">
        <f t="shared" si="72"/>
        <v>K-700x154x100</v>
      </c>
    </row>
    <row r="859" spans="1:22" ht="15">
      <c r="A859" s="88" t="s">
        <v>211</v>
      </c>
      <c r="B859" s="76" t="s">
        <v>2182</v>
      </c>
      <c r="C859" s="2">
        <v>700</v>
      </c>
      <c r="D859" s="2">
        <v>100</v>
      </c>
      <c r="E859" s="2">
        <v>160</v>
      </c>
      <c r="F859" s="2">
        <v>140</v>
      </c>
      <c r="G859" s="21">
        <v>10.5</v>
      </c>
      <c r="H859" s="20"/>
      <c r="I859" s="20"/>
      <c r="J859" s="20"/>
      <c r="K859" s="89"/>
      <c r="L859" s="780"/>
      <c r="M859" s="20"/>
      <c r="N859" s="20"/>
      <c r="O859" s="20"/>
      <c r="P859" s="20"/>
      <c r="Q859" s="21"/>
      <c r="R859" s="22" t="s">
        <v>16</v>
      </c>
      <c r="S859" s="22">
        <v>2</v>
      </c>
      <c r="T859" s="25">
        <v>11201</v>
      </c>
      <c r="U859" s="22">
        <v>0</v>
      </c>
      <c r="V859" s="20" t="str">
        <f t="shared" si="72"/>
        <v>K-700x160x100</v>
      </c>
    </row>
    <row r="860" spans="1:22" ht="15">
      <c r="A860" s="88" t="s">
        <v>212</v>
      </c>
      <c r="B860" s="76" t="s">
        <v>2182</v>
      </c>
      <c r="C860" s="2">
        <v>700</v>
      </c>
      <c r="D860" s="2">
        <v>100</v>
      </c>
      <c r="E860" s="2">
        <v>168</v>
      </c>
      <c r="F860" s="2">
        <v>132</v>
      </c>
      <c r="G860" s="21">
        <v>10.5</v>
      </c>
      <c r="H860" s="20"/>
      <c r="I860" s="20"/>
      <c r="J860" s="20"/>
      <c r="K860" s="89"/>
      <c r="L860" s="780"/>
      <c r="M860" s="20"/>
      <c r="N860" s="20"/>
      <c r="O860" s="20"/>
      <c r="P860" s="20"/>
      <c r="Q860" s="21"/>
      <c r="R860" s="22" t="s">
        <v>16</v>
      </c>
      <c r="S860" s="22">
        <v>2</v>
      </c>
      <c r="T860" s="25">
        <v>6535</v>
      </c>
      <c r="U860" s="22">
        <v>0</v>
      </c>
      <c r="V860" s="20" t="str">
        <f t="shared" si="72"/>
        <v>K-700x168x100</v>
      </c>
    </row>
    <row r="861" spans="1:22" ht="14.25" customHeight="1">
      <c r="A861" s="88" t="s">
        <v>213</v>
      </c>
      <c r="B861" s="76" t="s">
        <v>2182</v>
      </c>
      <c r="C861" s="2">
        <v>700</v>
      </c>
      <c r="D861" s="2">
        <v>100</v>
      </c>
      <c r="E861" s="2">
        <v>180</v>
      </c>
      <c r="F861" s="2">
        <v>120</v>
      </c>
      <c r="G861" s="21">
        <v>10.5</v>
      </c>
      <c r="H861" s="20"/>
      <c r="I861" s="20"/>
      <c r="J861" s="20"/>
      <c r="K861" s="89"/>
      <c r="L861" s="780"/>
      <c r="M861" s="20"/>
      <c r="N861" s="20"/>
      <c r="O861" s="20"/>
      <c r="P861" s="20"/>
      <c r="Q861" s="21"/>
      <c r="R861" s="22" t="s">
        <v>16</v>
      </c>
      <c r="S861" s="22">
        <v>2</v>
      </c>
      <c r="T861" s="25">
        <v>4204</v>
      </c>
      <c r="U861" s="22">
        <v>0</v>
      </c>
      <c r="V861" s="20" t="str">
        <f t="shared" si="72"/>
        <v>K-700x180x100</v>
      </c>
    </row>
    <row r="862" spans="1:22" ht="15">
      <c r="A862" s="88" t="s">
        <v>214</v>
      </c>
      <c r="B862" s="76" t="s">
        <v>2182</v>
      </c>
      <c r="C862" s="2">
        <v>700</v>
      </c>
      <c r="D862" s="2">
        <v>100</v>
      </c>
      <c r="E862" s="2">
        <v>190</v>
      </c>
      <c r="F862" s="2">
        <v>110</v>
      </c>
      <c r="G862" s="21">
        <v>10.5</v>
      </c>
      <c r="H862" s="20"/>
      <c r="I862" s="20"/>
      <c r="J862" s="20"/>
      <c r="K862" s="89"/>
      <c r="L862" s="780"/>
      <c r="M862" s="20"/>
      <c r="N862" s="20"/>
      <c r="O862" s="20"/>
      <c r="P862" s="20"/>
      <c r="Q862" s="21"/>
      <c r="R862" s="22" t="s">
        <v>16</v>
      </c>
      <c r="S862" s="22">
        <v>2</v>
      </c>
      <c r="T862" s="25">
        <v>3330</v>
      </c>
      <c r="U862" s="22">
        <v>0</v>
      </c>
      <c r="V862" s="20" t="str">
        <f t="shared" si="72"/>
        <v>K-700x190x100</v>
      </c>
    </row>
    <row r="863" spans="1:22" ht="15">
      <c r="A863" s="88" t="s">
        <v>215</v>
      </c>
      <c r="B863" s="76" t="s">
        <v>2182</v>
      </c>
      <c r="C863" s="2">
        <v>700</v>
      </c>
      <c r="D863" s="2">
        <v>100</v>
      </c>
      <c r="E863" s="2">
        <v>210</v>
      </c>
      <c r="F863" s="2">
        <v>90</v>
      </c>
      <c r="G863" s="21">
        <v>10.5</v>
      </c>
      <c r="H863" s="20"/>
      <c r="I863" s="20"/>
      <c r="J863" s="20"/>
      <c r="K863" s="89"/>
      <c r="L863" s="780"/>
      <c r="M863" s="20"/>
      <c r="N863" s="20"/>
      <c r="O863" s="20"/>
      <c r="P863" s="20"/>
      <c r="Q863" s="21"/>
      <c r="R863" s="22" t="s">
        <v>16</v>
      </c>
      <c r="S863" s="22">
        <v>2</v>
      </c>
      <c r="T863" s="25">
        <v>2459</v>
      </c>
      <c r="U863" s="22">
        <v>0</v>
      </c>
      <c r="V863" s="20" t="str">
        <f t="shared" si="72"/>
        <v>K-700x210x100</v>
      </c>
    </row>
    <row r="864" spans="1:22" ht="14.25" customHeight="1">
      <c r="A864" s="88" t="s">
        <v>216</v>
      </c>
      <c r="B864" s="76" t="s">
        <v>2182</v>
      </c>
      <c r="C864" s="2">
        <v>750</v>
      </c>
      <c r="D864" s="2">
        <v>100</v>
      </c>
      <c r="E864" s="2">
        <v>150</v>
      </c>
      <c r="F864" s="2">
        <v>150</v>
      </c>
      <c r="G864" s="21">
        <v>11.25</v>
      </c>
      <c r="H864" s="20"/>
      <c r="I864" s="20"/>
      <c r="J864" s="20"/>
      <c r="K864" s="89"/>
      <c r="L864" s="780"/>
      <c r="M864" s="20"/>
      <c r="N864" s="20"/>
      <c r="O864" s="20"/>
      <c r="P864" s="20"/>
      <c r="Q864" s="21"/>
      <c r="R864" s="22" t="s">
        <v>16</v>
      </c>
      <c r="S864" s="22">
        <v>2</v>
      </c>
      <c r="T864" s="25" t="s">
        <v>16</v>
      </c>
      <c r="U864" s="22">
        <v>0</v>
      </c>
      <c r="V864" s="20" t="str">
        <f t="shared" si="72"/>
        <v>K-750x150x100</v>
      </c>
    </row>
    <row r="865" spans="1:22" ht="15">
      <c r="A865" s="88" t="s">
        <v>217</v>
      </c>
      <c r="B865" s="76" t="s">
        <v>2182</v>
      </c>
      <c r="C865" s="2">
        <v>750</v>
      </c>
      <c r="D865" s="2">
        <v>100</v>
      </c>
      <c r="E865" s="2">
        <v>154</v>
      </c>
      <c r="F865" s="2">
        <v>146</v>
      </c>
      <c r="G865" s="21">
        <v>11.25</v>
      </c>
      <c r="H865" s="20"/>
      <c r="I865" s="20"/>
      <c r="J865" s="20"/>
      <c r="K865" s="89"/>
      <c r="L865" s="780"/>
      <c r="M865" s="20"/>
      <c r="N865" s="20"/>
      <c r="O865" s="20"/>
      <c r="P865" s="20"/>
      <c r="Q865" s="21"/>
      <c r="R865" s="22" t="s">
        <v>16</v>
      </c>
      <c r="S865" s="22">
        <v>2</v>
      </c>
      <c r="T865" s="25">
        <v>28875</v>
      </c>
      <c r="U865" s="22">
        <v>0</v>
      </c>
      <c r="V865" s="20" t="str">
        <f t="shared" si="72"/>
        <v>K-750x154x100</v>
      </c>
    </row>
    <row r="866" spans="1:22" ht="15">
      <c r="A866" s="88" t="s">
        <v>218</v>
      </c>
      <c r="B866" s="76" t="s">
        <v>2182</v>
      </c>
      <c r="C866" s="2">
        <v>750</v>
      </c>
      <c r="D866" s="2">
        <v>100</v>
      </c>
      <c r="E866" s="2">
        <v>160</v>
      </c>
      <c r="F866" s="2">
        <v>140</v>
      </c>
      <c r="G866" s="21">
        <v>11.25</v>
      </c>
      <c r="H866" s="20"/>
      <c r="I866" s="20"/>
      <c r="J866" s="20"/>
      <c r="K866" s="89"/>
      <c r="L866" s="780"/>
      <c r="M866" s="20"/>
      <c r="N866" s="20"/>
      <c r="O866" s="20"/>
      <c r="P866" s="20"/>
      <c r="Q866" s="21"/>
      <c r="R866" s="22" t="s">
        <v>16</v>
      </c>
      <c r="S866" s="22">
        <v>2</v>
      </c>
      <c r="T866" s="25">
        <v>12001</v>
      </c>
      <c r="U866" s="22">
        <v>0</v>
      </c>
      <c r="V866" s="20" t="str">
        <f t="shared" si="72"/>
        <v>K-750x160x100</v>
      </c>
    </row>
    <row r="867" spans="1:22" ht="14.25" customHeight="1">
      <c r="A867" s="88" t="s">
        <v>219</v>
      </c>
      <c r="B867" s="76" t="s">
        <v>2182</v>
      </c>
      <c r="C867" s="2">
        <v>750</v>
      </c>
      <c r="D867" s="2">
        <v>100</v>
      </c>
      <c r="E867" s="2">
        <v>168</v>
      </c>
      <c r="F867" s="2">
        <v>132</v>
      </c>
      <c r="G867" s="21">
        <v>11.25</v>
      </c>
      <c r="H867" s="20"/>
      <c r="I867" s="20"/>
      <c r="J867" s="20"/>
      <c r="K867" s="89"/>
      <c r="L867" s="780"/>
      <c r="M867" s="20"/>
      <c r="N867" s="20"/>
      <c r="O867" s="20"/>
      <c r="P867" s="20"/>
      <c r="Q867" s="21"/>
      <c r="R867" s="22" t="s">
        <v>16</v>
      </c>
      <c r="S867" s="22">
        <v>2</v>
      </c>
      <c r="T867" s="25">
        <v>7002</v>
      </c>
      <c r="U867" s="22">
        <v>0</v>
      </c>
      <c r="V867" s="20" t="str">
        <f t="shared" si="72"/>
        <v>K-750x168x100</v>
      </c>
    </row>
    <row r="868" spans="1:22" ht="15">
      <c r="A868" s="88" t="s">
        <v>220</v>
      </c>
      <c r="B868" s="76" t="s">
        <v>2182</v>
      </c>
      <c r="C868" s="2">
        <v>750</v>
      </c>
      <c r="D868" s="2">
        <v>100</v>
      </c>
      <c r="E868" s="2">
        <v>180</v>
      </c>
      <c r="F868" s="2">
        <v>120</v>
      </c>
      <c r="G868" s="21">
        <v>11.25</v>
      </c>
      <c r="H868" s="20"/>
      <c r="I868" s="20"/>
      <c r="J868" s="20"/>
      <c r="K868" s="89"/>
      <c r="L868" s="780"/>
      <c r="M868" s="20"/>
      <c r="N868" s="20"/>
      <c r="O868" s="20"/>
      <c r="P868" s="20"/>
      <c r="Q868" s="21"/>
      <c r="R868" s="22" t="s">
        <v>16</v>
      </c>
      <c r="S868" s="22">
        <v>2</v>
      </c>
      <c r="T868" s="25">
        <v>4504</v>
      </c>
      <c r="U868" s="22">
        <v>0</v>
      </c>
      <c r="V868" s="20" t="str">
        <f t="shared" si="72"/>
        <v>K-750x180x100</v>
      </c>
    </row>
    <row r="869" spans="1:22" ht="15">
      <c r="A869" s="88" t="s">
        <v>221</v>
      </c>
      <c r="B869" s="76" t="s">
        <v>2182</v>
      </c>
      <c r="C869" s="2">
        <v>750</v>
      </c>
      <c r="D869" s="2">
        <v>100</v>
      </c>
      <c r="E869" s="2">
        <v>190</v>
      </c>
      <c r="F869" s="2">
        <v>110</v>
      </c>
      <c r="G869" s="21">
        <v>11.25</v>
      </c>
      <c r="H869" s="20"/>
      <c r="I869" s="20"/>
      <c r="J869" s="20"/>
      <c r="K869" s="89"/>
      <c r="L869" s="780"/>
      <c r="M869" s="20"/>
      <c r="N869" s="20"/>
      <c r="O869" s="20"/>
      <c r="P869" s="20"/>
      <c r="Q869" s="21"/>
      <c r="R869" s="22" t="s">
        <v>16</v>
      </c>
      <c r="S869" s="22">
        <v>2</v>
      </c>
      <c r="T869" s="25">
        <v>3568</v>
      </c>
      <c r="U869" s="22">
        <v>0</v>
      </c>
      <c r="V869" s="20" t="str">
        <f t="shared" si="72"/>
        <v>K-750x190x100</v>
      </c>
    </row>
    <row r="870" spans="1:22" ht="14.25" customHeight="1">
      <c r="A870" s="88" t="s">
        <v>222</v>
      </c>
      <c r="B870" s="76" t="s">
        <v>2182</v>
      </c>
      <c r="C870" s="2">
        <v>750</v>
      </c>
      <c r="D870" s="2">
        <v>100</v>
      </c>
      <c r="E870" s="2">
        <v>210</v>
      </c>
      <c r="F870" s="2">
        <v>90</v>
      </c>
      <c r="G870" s="21">
        <v>11.25</v>
      </c>
      <c r="H870" s="20"/>
      <c r="I870" s="20"/>
      <c r="J870" s="20"/>
      <c r="K870" s="89"/>
      <c r="L870" s="780"/>
      <c r="M870" s="20"/>
      <c r="N870" s="20"/>
      <c r="O870" s="20"/>
      <c r="P870" s="20"/>
      <c r="Q870" s="21"/>
      <c r="R870" s="22" t="s">
        <v>16</v>
      </c>
      <c r="S870" s="22">
        <v>2</v>
      </c>
      <c r="T870" s="25">
        <v>2633</v>
      </c>
      <c r="U870" s="22">
        <v>0</v>
      </c>
      <c r="V870" s="20" t="str">
        <f t="shared" si="72"/>
        <v>K-750x210x100</v>
      </c>
    </row>
    <row r="871" spans="1:22" ht="15">
      <c r="A871" s="88" t="s">
        <v>223</v>
      </c>
      <c r="B871" s="76" t="s">
        <v>2182</v>
      </c>
      <c r="C871" s="2">
        <v>800</v>
      </c>
      <c r="D871" s="2">
        <v>100</v>
      </c>
      <c r="E871" s="2">
        <v>150</v>
      </c>
      <c r="F871" s="2">
        <v>150</v>
      </c>
      <c r="G871" s="21">
        <v>12</v>
      </c>
      <c r="H871" s="20"/>
      <c r="I871" s="20"/>
      <c r="J871" s="20"/>
      <c r="K871" s="89"/>
      <c r="L871" s="780"/>
      <c r="M871" s="20"/>
      <c r="N871" s="20"/>
      <c r="O871" s="20"/>
      <c r="P871" s="20"/>
      <c r="Q871" s="21"/>
      <c r="R871" s="22" t="s">
        <v>16</v>
      </c>
      <c r="S871" s="22">
        <v>2</v>
      </c>
      <c r="T871" s="25" t="s">
        <v>16</v>
      </c>
      <c r="U871" s="22">
        <v>0</v>
      </c>
      <c r="V871" s="20" t="str">
        <f t="shared" si="72"/>
        <v>K-800x150x100</v>
      </c>
    </row>
    <row r="872" spans="1:22" ht="15">
      <c r="A872" s="88" t="s">
        <v>224</v>
      </c>
      <c r="B872" s="76" t="s">
        <v>2182</v>
      </c>
      <c r="C872" s="2">
        <v>800</v>
      </c>
      <c r="D872" s="2">
        <v>100</v>
      </c>
      <c r="E872" s="2">
        <v>154</v>
      </c>
      <c r="F872" s="2">
        <v>146</v>
      </c>
      <c r="G872" s="21">
        <v>12</v>
      </c>
      <c r="H872" s="20"/>
      <c r="I872" s="20"/>
      <c r="J872" s="20"/>
      <c r="K872" s="89"/>
      <c r="L872" s="780"/>
      <c r="M872" s="20"/>
      <c r="N872" s="20"/>
      <c r="O872" s="20"/>
      <c r="P872" s="20"/>
      <c r="Q872" s="21"/>
      <c r="R872" s="22" t="s">
        <v>16</v>
      </c>
      <c r="S872" s="22">
        <v>2</v>
      </c>
      <c r="T872" s="25">
        <v>30800</v>
      </c>
      <c r="U872" s="22">
        <v>0</v>
      </c>
      <c r="V872" s="20" t="str">
        <f t="shared" si="72"/>
        <v>K-800x154x100</v>
      </c>
    </row>
    <row r="873" spans="1:22" ht="14.25" customHeight="1">
      <c r="A873" s="88" t="s">
        <v>225</v>
      </c>
      <c r="B873" s="76" t="s">
        <v>2182</v>
      </c>
      <c r="C873" s="2">
        <v>800</v>
      </c>
      <c r="D873" s="2">
        <v>100</v>
      </c>
      <c r="E873" s="2">
        <v>160</v>
      </c>
      <c r="F873" s="2">
        <v>140</v>
      </c>
      <c r="G873" s="21">
        <v>12</v>
      </c>
      <c r="H873" s="20"/>
      <c r="I873" s="20"/>
      <c r="J873" s="20"/>
      <c r="K873" s="89"/>
      <c r="L873" s="780"/>
      <c r="M873" s="20"/>
      <c r="N873" s="20"/>
      <c r="O873" s="20"/>
      <c r="P873" s="20"/>
      <c r="Q873" s="21"/>
      <c r="R873" s="22" t="s">
        <v>16</v>
      </c>
      <c r="S873" s="22">
        <v>2</v>
      </c>
      <c r="T873" s="25">
        <v>12801</v>
      </c>
      <c r="U873" s="22">
        <v>0</v>
      </c>
      <c r="V873" s="20" t="str">
        <f t="shared" si="72"/>
        <v>K-800x160x100</v>
      </c>
    </row>
    <row r="874" spans="1:22" ht="15">
      <c r="A874" s="88" t="s">
        <v>226</v>
      </c>
      <c r="B874" s="76" t="s">
        <v>2182</v>
      </c>
      <c r="C874" s="2">
        <v>800</v>
      </c>
      <c r="D874" s="2">
        <v>100</v>
      </c>
      <c r="E874" s="2">
        <v>168</v>
      </c>
      <c r="F874" s="2">
        <v>132</v>
      </c>
      <c r="G874" s="21">
        <v>12</v>
      </c>
      <c r="H874" s="20"/>
      <c r="I874" s="20"/>
      <c r="J874" s="20"/>
      <c r="K874" s="89"/>
      <c r="L874" s="780"/>
      <c r="M874" s="20"/>
      <c r="N874" s="20"/>
      <c r="O874" s="20"/>
      <c r="P874" s="20"/>
      <c r="Q874" s="21"/>
      <c r="R874" s="22" t="s">
        <v>16</v>
      </c>
      <c r="S874" s="22">
        <v>2</v>
      </c>
      <c r="T874" s="25">
        <v>7469</v>
      </c>
      <c r="U874" s="22">
        <v>0</v>
      </c>
      <c r="V874" s="20" t="str">
        <f t="shared" si="72"/>
        <v>K-800x168x100</v>
      </c>
    </row>
    <row r="875" spans="1:22" ht="15">
      <c r="A875" s="88" t="s">
        <v>227</v>
      </c>
      <c r="B875" s="76" t="s">
        <v>2182</v>
      </c>
      <c r="C875" s="2">
        <v>800</v>
      </c>
      <c r="D875" s="2">
        <v>100</v>
      </c>
      <c r="E875" s="2">
        <v>180</v>
      </c>
      <c r="F875" s="2">
        <v>120</v>
      </c>
      <c r="G875" s="21">
        <v>12</v>
      </c>
      <c r="H875" s="20"/>
      <c r="I875" s="20"/>
      <c r="J875" s="20"/>
      <c r="K875" s="89"/>
      <c r="L875" s="780"/>
      <c r="M875" s="20"/>
      <c r="N875" s="20"/>
      <c r="O875" s="20"/>
      <c r="P875" s="20"/>
      <c r="Q875" s="21"/>
      <c r="R875" s="22" t="s">
        <v>16</v>
      </c>
      <c r="S875" s="22">
        <v>2</v>
      </c>
      <c r="T875" s="25">
        <v>4803</v>
      </c>
      <c r="U875" s="22">
        <v>0</v>
      </c>
      <c r="V875" s="20" t="str">
        <f t="shared" si="72"/>
        <v>K-800x180x100</v>
      </c>
    </row>
    <row r="876" spans="1:22" ht="14.25" customHeight="1">
      <c r="A876" s="88" t="s">
        <v>228</v>
      </c>
      <c r="B876" s="76" t="s">
        <v>2182</v>
      </c>
      <c r="C876" s="2">
        <v>800</v>
      </c>
      <c r="D876" s="2">
        <v>100</v>
      </c>
      <c r="E876" s="2">
        <v>190</v>
      </c>
      <c r="F876" s="2">
        <v>110</v>
      </c>
      <c r="G876" s="21">
        <v>12</v>
      </c>
      <c r="H876" s="20"/>
      <c r="I876" s="20"/>
      <c r="J876" s="20"/>
      <c r="K876" s="89"/>
      <c r="L876" s="780"/>
      <c r="M876" s="20"/>
      <c r="N876" s="20"/>
      <c r="O876" s="20"/>
      <c r="P876" s="20"/>
      <c r="Q876" s="21"/>
      <c r="R876" s="22" t="s">
        <v>16</v>
      </c>
      <c r="S876" s="22">
        <v>2</v>
      </c>
      <c r="T876" s="25">
        <v>3805</v>
      </c>
      <c r="U876" s="22">
        <v>0</v>
      </c>
      <c r="V876" s="20" t="str">
        <f t="shared" si="72"/>
        <v>K-800x190x100</v>
      </c>
    </row>
    <row r="877" spans="1:22" ht="15">
      <c r="A877" s="88" t="s">
        <v>229</v>
      </c>
      <c r="B877" s="76" t="s">
        <v>2182</v>
      </c>
      <c r="C877" s="2">
        <v>800</v>
      </c>
      <c r="D877" s="2">
        <v>100</v>
      </c>
      <c r="E877" s="2">
        <v>210</v>
      </c>
      <c r="F877" s="2">
        <v>90</v>
      </c>
      <c r="G877" s="21">
        <v>12</v>
      </c>
      <c r="H877" s="20"/>
      <c r="I877" s="20"/>
      <c r="J877" s="20"/>
      <c r="K877" s="89"/>
      <c r="L877" s="780"/>
      <c r="M877" s="20"/>
      <c r="N877" s="20"/>
      <c r="O877" s="20"/>
      <c r="P877" s="20"/>
      <c r="Q877" s="21"/>
      <c r="R877" s="22" t="s">
        <v>16</v>
      </c>
      <c r="S877" s="22">
        <v>2</v>
      </c>
      <c r="T877" s="25">
        <v>2808</v>
      </c>
      <c r="U877" s="22">
        <v>0</v>
      </c>
      <c r="V877" s="20" t="str">
        <f t="shared" si="72"/>
        <v>K-800x210x100</v>
      </c>
    </row>
    <row r="878" spans="1:22" ht="15">
      <c r="A878" s="88" t="s">
        <v>230</v>
      </c>
      <c r="B878" s="76" t="s">
        <v>2182</v>
      </c>
      <c r="C878" s="2">
        <v>850</v>
      </c>
      <c r="D878" s="2">
        <v>100</v>
      </c>
      <c r="E878" s="2">
        <v>150</v>
      </c>
      <c r="F878" s="2">
        <v>150</v>
      </c>
      <c r="G878" s="21">
        <v>12.75</v>
      </c>
      <c r="H878" s="20"/>
      <c r="I878" s="20"/>
      <c r="J878" s="20"/>
      <c r="K878" s="89"/>
      <c r="L878" s="780"/>
      <c r="M878" s="20"/>
      <c r="N878" s="20"/>
      <c r="O878" s="20"/>
      <c r="P878" s="20"/>
      <c r="Q878" s="21"/>
      <c r="R878" s="22" t="s">
        <v>16</v>
      </c>
      <c r="S878" s="22">
        <v>2</v>
      </c>
      <c r="T878" s="25" t="s">
        <v>16</v>
      </c>
      <c r="U878" s="22">
        <v>0</v>
      </c>
      <c r="V878" s="20" t="str">
        <f t="shared" si="72"/>
        <v>K-850x150x100</v>
      </c>
    </row>
    <row r="879" spans="1:22" ht="15">
      <c r="A879" s="88" t="s">
        <v>231</v>
      </c>
      <c r="B879" s="76" t="s">
        <v>2182</v>
      </c>
      <c r="C879" s="2">
        <v>850</v>
      </c>
      <c r="D879" s="2">
        <v>100</v>
      </c>
      <c r="E879" s="2">
        <v>154</v>
      </c>
      <c r="F879" s="2">
        <v>146</v>
      </c>
      <c r="G879" s="21">
        <v>12.75</v>
      </c>
      <c r="H879" s="20"/>
      <c r="I879" s="20"/>
      <c r="J879" s="20"/>
      <c r="K879" s="89"/>
      <c r="L879" s="780"/>
      <c r="M879" s="20"/>
      <c r="N879" s="20"/>
      <c r="O879" s="20"/>
      <c r="P879" s="20"/>
      <c r="Q879" s="21"/>
      <c r="R879" s="22" t="s">
        <v>16</v>
      </c>
      <c r="S879" s="22">
        <v>2</v>
      </c>
      <c r="T879" s="25">
        <v>32725</v>
      </c>
      <c r="U879" s="22">
        <v>0</v>
      </c>
      <c r="V879" s="20" t="str">
        <f t="shared" si="72"/>
        <v>K-850x154x100</v>
      </c>
    </row>
    <row r="880" spans="1:22" ht="15">
      <c r="A880" s="88" t="s">
        <v>232</v>
      </c>
      <c r="B880" s="76" t="s">
        <v>2182</v>
      </c>
      <c r="C880" s="2">
        <v>850</v>
      </c>
      <c r="D880" s="2">
        <v>100</v>
      </c>
      <c r="E880" s="2">
        <v>160</v>
      </c>
      <c r="F880" s="2">
        <v>140</v>
      </c>
      <c r="G880" s="21">
        <v>12.75</v>
      </c>
      <c r="H880" s="20"/>
      <c r="I880" s="20"/>
      <c r="J880" s="20"/>
      <c r="K880" s="89"/>
      <c r="L880" s="780"/>
      <c r="M880" s="20"/>
      <c r="N880" s="20"/>
      <c r="O880" s="20"/>
      <c r="P880" s="20"/>
      <c r="Q880" s="21"/>
      <c r="R880" s="22" t="s">
        <v>16</v>
      </c>
      <c r="S880" s="22">
        <v>2</v>
      </c>
      <c r="T880" s="25">
        <v>13601</v>
      </c>
      <c r="U880" s="22">
        <v>0</v>
      </c>
      <c r="V880" s="20" t="str">
        <f t="shared" si="72"/>
        <v>K-850x160x100</v>
      </c>
    </row>
    <row r="881" spans="1:22" ht="14.25" customHeight="1">
      <c r="A881" s="88" t="s">
        <v>233</v>
      </c>
      <c r="B881" s="76" t="s">
        <v>2182</v>
      </c>
      <c r="C881" s="2">
        <v>850</v>
      </c>
      <c r="D881" s="2">
        <v>100</v>
      </c>
      <c r="E881" s="2">
        <v>168</v>
      </c>
      <c r="F881" s="2">
        <v>132</v>
      </c>
      <c r="G881" s="21">
        <v>12.75</v>
      </c>
      <c r="H881" s="20"/>
      <c r="I881" s="20"/>
      <c r="J881" s="20"/>
      <c r="K881" s="89"/>
      <c r="L881" s="780"/>
      <c r="M881" s="20"/>
      <c r="N881" s="20"/>
      <c r="O881" s="20"/>
      <c r="P881" s="20"/>
      <c r="Q881" s="21"/>
      <c r="R881" s="22" t="s">
        <v>16</v>
      </c>
      <c r="S881" s="22">
        <v>2</v>
      </c>
      <c r="T881" s="25">
        <v>7935</v>
      </c>
      <c r="U881" s="22">
        <v>0</v>
      </c>
      <c r="V881" s="20" t="str">
        <f t="shared" ref="V881:V912" si="73">B881&amp;"-"&amp;C881&amp;"x"&amp;E881&amp;"x"&amp;D881</f>
        <v>K-850x168x100</v>
      </c>
    </row>
    <row r="882" spans="1:22" ht="15">
      <c r="A882" s="88" t="s">
        <v>234</v>
      </c>
      <c r="B882" s="76" t="s">
        <v>2182</v>
      </c>
      <c r="C882" s="2">
        <v>850</v>
      </c>
      <c r="D882" s="2">
        <v>100</v>
      </c>
      <c r="E882" s="2">
        <v>180</v>
      </c>
      <c r="F882" s="2">
        <v>120</v>
      </c>
      <c r="G882" s="21">
        <v>12.75</v>
      </c>
      <c r="H882" s="20"/>
      <c r="I882" s="20"/>
      <c r="J882" s="20"/>
      <c r="K882" s="89"/>
      <c r="L882" s="780"/>
      <c r="M882" s="20"/>
      <c r="N882" s="20"/>
      <c r="O882" s="20"/>
      <c r="P882" s="20"/>
      <c r="Q882" s="21"/>
      <c r="R882" s="22" t="s">
        <v>16</v>
      </c>
      <c r="S882" s="22">
        <v>2</v>
      </c>
      <c r="T882" s="25">
        <v>5103</v>
      </c>
      <c r="U882" s="22">
        <v>0</v>
      </c>
      <c r="V882" s="20" t="str">
        <f t="shared" si="73"/>
        <v>K-850x180x100</v>
      </c>
    </row>
    <row r="883" spans="1:22" ht="15">
      <c r="A883" s="88" t="s">
        <v>235</v>
      </c>
      <c r="B883" s="76" t="s">
        <v>2182</v>
      </c>
      <c r="C883" s="2">
        <v>850</v>
      </c>
      <c r="D883" s="2">
        <v>100</v>
      </c>
      <c r="E883" s="2">
        <v>190</v>
      </c>
      <c r="F883" s="2">
        <v>110</v>
      </c>
      <c r="G883" s="21">
        <v>12.75</v>
      </c>
      <c r="H883" s="20"/>
      <c r="I883" s="20"/>
      <c r="J883" s="20"/>
      <c r="K883" s="89"/>
      <c r="L883" s="780"/>
      <c r="M883" s="20"/>
      <c r="N883" s="20"/>
      <c r="O883" s="20"/>
      <c r="P883" s="20"/>
      <c r="Q883" s="21"/>
      <c r="R883" s="22" t="s">
        <v>16</v>
      </c>
      <c r="S883" s="22">
        <v>2</v>
      </c>
      <c r="T883" s="25">
        <v>4042</v>
      </c>
      <c r="U883" s="22">
        <v>0</v>
      </c>
      <c r="V883" s="20" t="str">
        <f t="shared" si="73"/>
        <v>K-850x190x100</v>
      </c>
    </row>
    <row r="884" spans="1:22" ht="14.25" customHeight="1">
      <c r="A884" s="88" t="s">
        <v>236</v>
      </c>
      <c r="B884" s="76" t="s">
        <v>2182</v>
      </c>
      <c r="C884" s="2">
        <v>850</v>
      </c>
      <c r="D884" s="2">
        <v>100</v>
      </c>
      <c r="E884" s="2">
        <v>210</v>
      </c>
      <c r="F884" s="2">
        <v>90</v>
      </c>
      <c r="G884" s="21">
        <v>12.75</v>
      </c>
      <c r="H884" s="20"/>
      <c r="I884" s="20"/>
      <c r="J884" s="20"/>
      <c r="K884" s="89"/>
      <c r="L884" s="780"/>
      <c r="M884" s="20"/>
      <c r="N884" s="20"/>
      <c r="O884" s="20"/>
      <c r="P884" s="20"/>
      <c r="Q884" s="21"/>
      <c r="R884" s="22" t="s">
        <v>16</v>
      </c>
      <c r="S884" s="22">
        <v>2</v>
      </c>
      <c r="T884" s="25">
        <v>2982</v>
      </c>
      <c r="U884" s="22">
        <v>0</v>
      </c>
      <c r="V884" s="20" t="str">
        <f t="shared" si="73"/>
        <v>K-850x210x100</v>
      </c>
    </row>
    <row r="885" spans="1:22" ht="15">
      <c r="A885" s="88" t="s">
        <v>237</v>
      </c>
      <c r="B885" s="76" t="s">
        <v>2182</v>
      </c>
      <c r="C885" s="2">
        <v>900</v>
      </c>
      <c r="D885" s="2">
        <v>100</v>
      </c>
      <c r="E885" s="2">
        <v>150</v>
      </c>
      <c r="F885" s="2">
        <v>150</v>
      </c>
      <c r="G885" s="21">
        <v>13.5</v>
      </c>
      <c r="H885" s="20"/>
      <c r="I885" s="20"/>
      <c r="J885" s="20"/>
      <c r="K885" s="89"/>
      <c r="L885" s="780"/>
      <c r="M885" s="20"/>
      <c r="N885" s="20"/>
      <c r="O885" s="20"/>
      <c r="P885" s="20"/>
      <c r="Q885" s="21"/>
      <c r="R885" s="22" t="s">
        <v>16</v>
      </c>
      <c r="S885" s="22">
        <v>2</v>
      </c>
      <c r="T885" s="25" t="s">
        <v>16</v>
      </c>
      <c r="U885" s="22">
        <v>0</v>
      </c>
      <c r="V885" s="20" t="str">
        <f t="shared" si="73"/>
        <v>K-900x150x100</v>
      </c>
    </row>
    <row r="886" spans="1:22" ht="15">
      <c r="A886" s="88" t="s">
        <v>238</v>
      </c>
      <c r="B886" s="76" t="s">
        <v>2182</v>
      </c>
      <c r="C886" s="2">
        <v>900</v>
      </c>
      <c r="D886" s="2">
        <v>100</v>
      </c>
      <c r="E886" s="2">
        <v>154</v>
      </c>
      <c r="F886" s="2">
        <v>146</v>
      </c>
      <c r="G886" s="21">
        <v>13.5</v>
      </c>
      <c r="H886" s="20"/>
      <c r="I886" s="20"/>
      <c r="J886" s="20"/>
      <c r="K886" s="89"/>
      <c r="L886" s="780"/>
      <c r="M886" s="20"/>
      <c r="N886" s="20"/>
      <c r="O886" s="20"/>
      <c r="P886" s="20"/>
      <c r="Q886" s="21"/>
      <c r="R886" s="22" t="s">
        <v>16</v>
      </c>
      <c r="S886" s="22">
        <v>2</v>
      </c>
      <c r="T886" s="25">
        <v>34650</v>
      </c>
      <c r="U886" s="22">
        <v>0</v>
      </c>
      <c r="V886" s="20" t="str">
        <f t="shared" si="73"/>
        <v>K-900x154x100</v>
      </c>
    </row>
    <row r="887" spans="1:22" ht="14.25" customHeight="1">
      <c r="A887" s="88" t="s">
        <v>239</v>
      </c>
      <c r="B887" s="76" t="s">
        <v>2182</v>
      </c>
      <c r="C887" s="2">
        <v>900</v>
      </c>
      <c r="D887" s="2">
        <v>100</v>
      </c>
      <c r="E887" s="2">
        <v>160</v>
      </c>
      <c r="F887" s="2">
        <v>140</v>
      </c>
      <c r="G887" s="21">
        <v>13.5</v>
      </c>
      <c r="H887" s="20"/>
      <c r="I887" s="20"/>
      <c r="J887" s="20"/>
      <c r="K887" s="89"/>
      <c r="L887" s="780"/>
      <c r="M887" s="20"/>
      <c r="N887" s="20"/>
      <c r="O887" s="20"/>
      <c r="P887" s="20"/>
      <c r="Q887" s="21"/>
      <c r="R887" s="22" t="s">
        <v>16</v>
      </c>
      <c r="S887" s="22">
        <v>2</v>
      </c>
      <c r="T887" s="25">
        <v>14401</v>
      </c>
      <c r="U887" s="22">
        <v>0</v>
      </c>
      <c r="V887" s="20" t="str">
        <f t="shared" si="73"/>
        <v>K-900x160x100</v>
      </c>
    </row>
    <row r="888" spans="1:22" ht="15">
      <c r="A888" s="88" t="s">
        <v>240</v>
      </c>
      <c r="B888" s="76" t="s">
        <v>2182</v>
      </c>
      <c r="C888" s="2">
        <v>900</v>
      </c>
      <c r="D888" s="2">
        <v>100</v>
      </c>
      <c r="E888" s="2">
        <v>168</v>
      </c>
      <c r="F888" s="2">
        <v>132</v>
      </c>
      <c r="G888" s="21">
        <v>13.5</v>
      </c>
      <c r="H888" s="20"/>
      <c r="I888" s="20"/>
      <c r="J888" s="20"/>
      <c r="K888" s="89"/>
      <c r="L888" s="780"/>
      <c r="M888" s="20"/>
      <c r="N888" s="20"/>
      <c r="O888" s="20"/>
      <c r="P888" s="20"/>
      <c r="Q888" s="21"/>
      <c r="R888" s="22" t="s">
        <v>16</v>
      </c>
      <c r="S888" s="22">
        <v>2</v>
      </c>
      <c r="T888" s="25">
        <v>8402</v>
      </c>
      <c r="U888" s="22">
        <v>0</v>
      </c>
      <c r="V888" s="20" t="str">
        <f t="shared" si="73"/>
        <v>K-900x168x100</v>
      </c>
    </row>
    <row r="889" spans="1:22" ht="15">
      <c r="A889" s="88" t="s">
        <v>241</v>
      </c>
      <c r="B889" s="76" t="s">
        <v>2182</v>
      </c>
      <c r="C889" s="2">
        <v>900</v>
      </c>
      <c r="D889" s="2">
        <v>100</v>
      </c>
      <c r="E889" s="2">
        <v>180</v>
      </c>
      <c r="F889" s="2">
        <v>120</v>
      </c>
      <c r="G889" s="21">
        <v>13.5</v>
      </c>
      <c r="H889" s="20"/>
      <c r="I889" s="20"/>
      <c r="J889" s="20"/>
      <c r="K889" s="89"/>
      <c r="L889" s="780"/>
      <c r="M889" s="20"/>
      <c r="N889" s="20"/>
      <c r="O889" s="20"/>
      <c r="P889" s="20"/>
      <c r="Q889" s="21"/>
      <c r="R889" s="22" t="s">
        <v>16</v>
      </c>
      <c r="S889" s="22">
        <v>2</v>
      </c>
      <c r="T889" s="25">
        <v>5403</v>
      </c>
      <c r="U889" s="22">
        <v>0</v>
      </c>
      <c r="V889" s="20" t="str">
        <f t="shared" si="73"/>
        <v>K-900x180x100</v>
      </c>
    </row>
    <row r="890" spans="1:22" ht="14.25" customHeight="1">
      <c r="A890" s="88" t="s">
        <v>242</v>
      </c>
      <c r="B890" s="76" t="s">
        <v>2182</v>
      </c>
      <c r="C890" s="2">
        <v>900</v>
      </c>
      <c r="D890" s="2">
        <v>100</v>
      </c>
      <c r="E890" s="2">
        <v>190</v>
      </c>
      <c r="F890" s="2">
        <v>110</v>
      </c>
      <c r="G890" s="21">
        <v>13.5</v>
      </c>
      <c r="H890" s="20"/>
      <c r="I890" s="20"/>
      <c r="J890" s="20"/>
      <c r="K890" s="89"/>
      <c r="L890" s="780"/>
      <c r="M890" s="20"/>
      <c r="N890" s="20"/>
      <c r="O890" s="20"/>
      <c r="P890" s="20"/>
      <c r="Q890" s="21"/>
      <c r="R890" s="22" t="s">
        <v>16</v>
      </c>
      <c r="S890" s="22">
        <v>2</v>
      </c>
      <c r="T890" s="25">
        <v>4279</v>
      </c>
      <c r="U890" s="22">
        <v>0</v>
      </c>
      <c r="V890" s="20" t="str">
        <f t="shared" si="73"/>
        <v>K-900x190x100</v>
      </c>
    </row>
    <row r="891" spans="1:22" ht="15">
      <c r="A891" s="88" t="s">
        <v>243</v>
      </c>
      <c r="B891" s="76" t="s">
        <v>2182</v>
      </c>
      <c r="C891" s="2">
        <v>900</v>
      </c>
      <c r="D891" s="2">
        <v>100</v>
      </c>
      <c r="E891" s="2">
        <v>210</v>
      </c>
      <c r="F891" s="2">
        <v>90</v>
      </c>
      <c r="G891" s="21">
        <v>13.5</v>
      </c>
      <c r="H891" s="20"/>
      <c r="I891" s="20"/>
      <c r="J891" s="20"/>
      <c r="K891" s="89"/>
      <c r="L891" s="780"/>
      <c r="M891" s="20"/>
      <c r="N891" s="20"/>
      <c r="O891" s="20"/>
      <c r="P891" s="20"/>
      <c r="Q891" s="21"/>
      <c r="R891" s="22" t="s">
        <v>16</v>
      </c>
      <c r="S891" s="22">
        <v>2</v>
      </c>
      <c r="T891" s="25">
        <v>3157</v>
      </c>
      <c r="U891" s="22">
        <v>0</v>
      </c>
      <c r="V891" s="20" t="str">
        <f t="shared" si="73"/>
        <v>K-900x210x100</v>
      </c>
    </row>
    <row r="892" spans="1:22" ht="15">
      <c r="A892" s="88" t="s">
        <v>244</v>
      </c>
      <c r="B892" s="76" t="s">
        <v>2182</v>
      </c>
      <c r="C892" s="2">
        <v>950</v>
      </c>
      <c r="D892" s="2">
        <v>100</v>
      </c>
      <c r="E892" s="2">
        <v>160</v>
      </c>
      <c r="F892" s="2">
        <v>140</v>
      </c>
      <c r="G892" s="21">
        <v>14.25</v>
      </c>
      <c r="H892" s="20"/>
      <c r="I892" s="20"/>
      <c r="J892" s="20"/>
      <c r="K892" s="89"/>
      <c r="L892" s="780"/>
      <c r="M892" s="20"/>
      <c r="N892" s="20"/>
      <c r="O892" s="20"/>
      <c r="P892" s="20"/>
      <c r="Q892" s="21"/>
      <c r="R892" s="22" t="s">
        <v>16</v>
      </c>
      <c r="S892" s="22">
        <v>2</v>
      </c>
      <c r="T892" s="25">
        <v>15201</v>
      </c>
      <c r="U892" s="22">
        <v>0</v>
      </c>
      <c r="V892" s="20" t="str">
        <f t="shared" si="73"/>
        <v>K-950x160x100</v>
      </c>
    </row>
    <row r="893" spans="1:22" ht="15">
      <c r="A893" s="88" t="s">
        <v>245</v>
      </c>
      <c r="B893" s="76" t="s">
        <v>2182</v>
      </c>
      <c r="C893" s="2">
        <v>950</v>
      </c>
      <c r="D893" s="2">
        <v>100</v>
      </c>
      <c r="E893" s="2">
        <v>168</v>
      </c>
      <c r="F893" s="2">
        <v>132</v>
      </c>
      <c r="G893" s="21">
        <v>14.25</v>
      </c>
      <c r="H893" s="20"/>
      <c r="I893" s="20"/>
      <c r="J893" s="20"/>
      <c r="K893" s="89"/>
      <c r="L893" s="780"/>
      <c r="M893" s="20"/>
      <c r="N893" s="20"/>
      <c r="O893" s="20"/>
      <c r="P893" s="20"/>
      <c r="Q893" s="21"/>
      <c r="R893" s="22" t="s">
        <v>16</v>
      </c>
      <c r="S893" s="22">
        <v>2</v>
      </c>
      <c r="T893" s="25">
        <v>8868</v>
      </c>
      <c r="U893" s="22">
        <v>0</v>
      </c>
      <c r="V893" s="20" t="str">
        <f t="shared" si="73"/>
        <v>K-950x168x100</v>
      </c>
    </row>
    <row r="894" spans="1:22" ht="15">
      <c r="A894" s="88" t="s">
        <v>246</v>
      </c>
      <c r="B894" s="76" t="s">
        <v>2182</v>
      </c>
      <c r="C894" s="2">
        <v>950</v>
      </c>
      <c r="D894" s="2">
        <v>100</v>
      </c>
      <c r="E894" s="2">
        <v>170</v>
      </c>
      <c r="F894" s="2">
        <v>130</v>
      </c>
      <c r="G894" s="21">
        <v>14.25</v>
      </c>
      <c r="H894" s="20"/>
      <c r="I894" s="20"/>
      <c r="J894" s="20"/>
      <c r="K894" s="89"/>
      <c r="L894" s="780"/>
      <c r="M894" s="20"/>
      <c r="N894" s="20"/>
      <c r="O894" s="20"/>
      <c r="P894" s="20"/>
      <c r="Q894" s="21"/>
      <c r="R894" s="22" t="s">
        <v>16</v>
      </c>
      <c r="S894" s="22">
        <v>2</v>
      </c>
      <c r="T894" s="25">
        <v>8077</v>
      </c>
      <c r="U894" s="22">
        <v>0</v>
      </c>
      <c r="V894" s="20" t="str">
        <f t="shared" si="73"/>
        <v>K-950x170x100</v>
      </c>
    </row>
    <row r="895" spans="1:22" ht="14.25" customHeight="1">
      <c r="A895" s="88" t="s">
        <v>247</v>
      </c>
      <c r="B895" s="76" t="s">
        <v>2182</v>
      </c>
      <c r="C895" s="2">
        <v>950</v>
      </c>
      <c r="D895" s="2">
        <v>100</v>
      </c>
      <c r="E895" s="2">
        <v>180</v>
      </c>
      <c r="F895" s="2">
        <v>120</v>
      </c>
      <c r="G895" s="21">
        <v>14.25</v>
      </c>
      <c r="H895" s="20"/>
      <c r="I895" s="20"/>
      <c r="J895" s="20"/>
      <c r="K895" s="89"/>
      <c r="L895" s="780"/>
      <c r="M895" s="20"/>
      <c r="N895" s="20"/>
      <c r="O895" s="20"/>
      <c r="P895" s="20"/>
      <c r="Q895" s="21"/>
      <c r="R895" s="22" t="s">
        <v>16</v>
      </c>
      <c r="S895" s="22">
        <v>2</v>
      </c>
      <c r="T895" s="25">
        <v>5703</v>
      </c>
      <c r="U895" s="22">
        <v>0</v>
      </c>
      <c r="V895" s="20" t="str">
        <f t="shared" si="73"/>
        <v>K-950x180x100</v>
      </c>
    </row>
    <row r="896" spans="1:22" ht="15">
      <c r="A896" s="88" t="s">
        <v>248</v>
      </c>
      <c r="B896" s="76" t="s">
        <v>2182</v>
      </c>
      <c r="C896" s="2">
        <v>950</v>
      </c>
      <c r="D896" s="2">
        <v>100</v>
      </c>
      <c r="E896" s="2">
        <v>190</v>
      </c>
      <c r="F896" s="2">
        <v>110</v>
      </c>
      <c r="G896" s="21">
        <v>14.25</v>
      </c>
      <c r="H896" s="20"/>
      <c r="I896" s="20"/>
      <c r="J896" s="20"/>
      <c r="K896" s="89"/>
      <c r="L896" s="780"/>
      <c r="M896" s="20"/>
      <c r="N896" s="20"/>
      <c r="O896" s="20"/>
      <c r="P896" s="20"/>
      <c r="Q896" s="21"/>
      <c r="R896" s="22" t="s">
        <v>16</v>
      </c>
      <c r="S896" s="22">
        <v>2</v>
      </c>
      <c r="T896" s="25">
        <v>4516</v>
      </c>
      <c r="U896" s="22">
        <v>0</v>
      </c>
      <c r="V896" s="20" t="str">
        <f t="shared" si="73"/>
        <v>K-950x190x100</v>
      </c>
    </row>
    <row r="897" spans="1:22" ht="15">
      <c r="A897" s="88" t="s">
        <v>249</v>
      </c>
      <c r="B897" s="76" t="s">
        <v>2182</v>
      </c>
      <c r="C897" s="2">
        <v>950</v>
      </c>
      <c r="D897" s="2">
        <v>100</v>
      </c>
      <c r="E897" s="2">
        <v>210</v>
      </c>
      <c r="F897" s="2">
        <v>90</v>
      </c>
      <c r="G897" s="21">
        <v>14.25</v>
      </c>
      <c r="H897" s="20"/>
      <c r="I897" s="20"/>
      <c r="J897" s="20"/>
      <c r="K897" s="89"/>
      <c r="L897" s="780"/>
      <c r="M897" s="20"/>
      <c r="N897" s="20"/>
      <c r="O897" s="20"/>
      <c r="P897" s="20"/>
      <c r="Q897" s="21"/>
      <c r="R897" s="22" t="s">
        <v>16</v>
      </c>
      <c r="S897" s="22">
        <v>2</v>
      </c>
      <c r="T897" s="25">
        <v>3332</v>
      </c>
      <c r="U897" s="22">
        <v>0</v>
      </c>
      <c r="V897" s="20" t="str">
        <f t="shared" si="73"/>
        <v>K-950x210x100</v>
      </c>
    </row>
    <row r="898" spans="1:22" ht="14.25" customHeight="1">
      <c r="A898" s="88" t="s">
        <v>250</v>
      </c>
      <c r="B898" s="76" t="s">
        <v>2182</v>
      </c>
      <c r="C898" s="2">
        <v>1000</v>
      </c>
      <c r="D898" s="2">
        <v>100</v>
      </c>
      <c r="E898" s="2">
        <v>150</v>
      </c>
      <c r="F898" s="2">
        <v>150</v>
      </c>
      <c r="G898" s="21">
        <v>15</v>
      </c>
      <c r="H898" s="20"/>
      <c r="I898" s="20"/>
      <c r="J898" s="20"/>
      <c r="K898" s="89"/>
      <c r="L898" s="780"/>
      <c r="M898" s="20"/>
      <c r="N898" s="20"/>
      <c r="O898" s="20"/>
      <c r="P898" s="20"/>
      <c r="Q898" s="21"/>
      <c r="R898" s="22" t="s">
        <v>16</v>
      </c>
      <c r="S898" s="22">
        <v>2</v>
      </c>
      <c r="T898" s="25" t="s">
        <v>16</v>
      </c>
      <c r="U898" s="22">
        <v>0</v>
      </c>
      <c r="V898" s="20" t="str">
        <f t="shared" si="73"/>
        <v>K-1000x150x100</v>
      </c>
    </row>
    <row r="899" spans="1:22" ht="15">
      <c r="A899" s="88" t="s">
        <v>251</v>
      </c>
      <c r="B899" s="76" t="s">
        <v>2182</v>
      </c>
      <c r="C899" s="2">
        <v>1000</v>
      </c>
      <c r="D899" s="2">
        <v>100</v>
      </c>
      <c r="E899" s="2">
        <v>160</v>
      </c>
      <c r="F899" s="2">
        <v>140</v>
      </c>
      <c r="G899" s="21">
        <v>15</v>
      </c>
      <c r="H899" s="20"/>
      <c r="I899" s="20"/>
      <c r="J899" s="20"/>
      <c r="K899" s="89"/>
      <c r="L899" s="780"/>
      <c r="M899" s="20"/>
      <c r="N899" s="20"/>
      <c r="O899" s="20"/>
      <c r="P899" s="20"/>
      <c r="Q899" s="21"/>
      <c r="R899" s="22" t="s">
        <v>16</v>
      </c>
      <c r="S899" s="22">
        <v>2</v>
      </c>
      <c r="T899" s="25">
        <v>16001</v>
      </c>
      <c r="U899" s="22">
        <v>0</v>
      </c>
      <c r="V899" s="20" t="str">
        <f t="shared" si="73"/>
        <v>K-1000x160x100</v>
      </c>
    </row>
    <row r="900" spans="1:22" ht="15">
      <c r="A900" s="88" t="s">
        <v>252</v>
      </c>
      <c r="B900" s="76" t="s">
        <v>2182</v>
      </c>
      <c r="C900" s="2">
        <v>1000</v>
      </c>
      <c r="D900" s="2">
        <v>100</v>
      </c>
      <c r="E900" s="2">
        <v>168</v>
      </c>
      <c r="F900" s="2">
        <v>132</v>
      </c>
      <c r="G900" s="21">
        <v>15</v>
      </c>
      <c r="H900" s="20"/>
      <c r="I900" s="20"/>
      <c r="J900" s="20"/>
      <c r="K900" s="89"/>
      <c r="L900" s="780"/>
      <c r="M900" s="20"/>
      <c r="N900" s="20"/>
      <c r="O900" s="20"/>
      <c r="P900" s="20"/>
      <c r="Q900" s="21"/>
      <c r="R900" s="22" t="s">
        <v>16</v>
      </c>
      <c r="S900" s="22">
        <v>2</v>
      </c>
      <c r="T900" s="25">
        <v>9335</v>
      </c>
      <c r="U900" s="22">
        <v>0</v>
      </c>
      <c r="V900" s="20" t="str">
        <f t="shared" si="73"/>
        <v>K-1000x168x100</v>
      </c>
    </row>
    <row r="901" spans="1:22" ht="14.25" customHeight="1">
      <c r="A901" s="88" t="s">
        <v>253</v>
      </c>
      <c r="B901" s="76" t="s">
        <v>2182</v>
      </c>
      <c r="C901" s="2">
        <v>1000</v>
      </c>
      <c r="D901" s="2">
        <v>100</v>
      </c>
      <c r="E901" s="2">
        <v>180</v>
      </c>
      <c r="F901" s="2">
        <v>120</v>
      </c>
      <c r="G901" s="21">
        <v>15</v>
      </c>
      <c r="H901" s="20"/>
      <c r="I901" s="20"/>
      <c r="J901" s="20"/>
      <c r="K901" s="89"/>
      <c r="L901" s="780"/>
      <c r="M901" s="20"/>
      <c r="N901" s="20"/>
      <c r="O901" s="20"/>
      <c r="P901" s="20"/>
      <c r="Q901" s="21"/>
      <c r="R901" s="22" t="s">
        <v>16</v>
      </c>
      <c r="S901" s="22">
        <v>2</v>
      </c>
      <c r="T901" s="25">
        <v>6003</v>
      </c>
      <c r="U901" s="22">
        <v>0</v>
      </c>
      <c r="V901" s="20" t="str">
        <f t="shared" si="73"/>
        <v>K-1000x180x100</v>
      </c>
    </row>
    <row r="902" spans="1:22" ht="15">
      <c r="A902" s="88" t="s">
        <v>254</v>
      </c>
      <c r="B902" s="76" t="s">
        <v>2182</v>
      </c>
      <c r="C902" s="2">
        <v>1000</v>
      </c>
      <c r="D902" s="2">
        <v>100</v>
      </c>
      <c r="E902" s="2">
        <v>190</v>
      </c>
      <c r="F902" s="2">
        <v>110</v>
      </c>
      <c r="G902" s="21">
        <v>15</v>
      </c>
      <c r="H902" s="20"/>
      <c r="I902" s="20"/>
      <c r="J902" s="20"/>
      <c r="K902" s="89"/>
      <c r="L902" s="780"/>
      <c r="M902" s="20"/>
      <c r="N902" s="20"/>
      <c r="O902" s="20"/>
      <c r="P902" s="20"/>
      <c r="Q902" s="21"/>
      <c r="R902" s="22" t="s">
        <v>16</v>
      </c>
      <c r="S902" s="22">
        <v>2</v>
      </c>
      <c r="T902" s="25">
        <v>4754</v>
      </c>
      <c r="U902" s="22">
        <v>0</v>
      </c>
      <c r="V902" s="20" t="str">
        <f t="shared" si="73"/>
        <v>K-1000x190x100</v>
      </c>
    </row>
    <row r="903" spans="1:22" ht="15">
      <c r="A903" s="88" t="s">
        <v>255</v>
      </c>
      <c r="B903" s="76" t="s">
        <v>2182</v>
      </c>
      <c r="C903" s="2">
        <v>1000</v>
      </c>
      <c r="D903" s="2">
        <v>100</v>
      </c>
      <c r="E903" s="2">
        <v>210</v>
      </c>
      <c r="F903" s="2">
        <v>90</v>
      </c>
      <c r="G903" s="21">
        <v>15</v>
      </c>
      <c r="H903" s="20"/>
      <c r="I903" s="20"/>
      <c r="J903" s="20"/>
      <c r="K903" s="89"/>
      <c r="L903" s="780"/>
      <c r="M903" s="20"/>
      <c r="N903" s="20"/>
      <c r="O903" s="20"/>
      <c r="P903" s="20"/>
      <c r="Q903" s="21"/>
      <c r="R903" s="22" t="s">
        <v>16</v>
      </c>
      <c r="S903" s="22">
        <v>2</v>
      </c>
      <c r="T903" s="25">
        <v>3506</v>
      </c>
      <c r="U903" s="22">
        <v>0</v>
      </c>
      <c r="V903" s="20" t="str">
        <f t="shared" si="73"/>
        <v>K-1000x210x100</v>
      </c>
    </row>
    <row r="904" spans="1:22" ht="14.25" customHeight="1">
      <c r="A904" s="88" t="s">
        <v>256</v>
      </c>
      <c r="B904" s="76" t="s">
        <v>2182</v>
      </c>
      <c r="C904" s="2">
        <v>1050</v>
      </c>
      <c r="D904" s="2">
        <v>100</v>
      </c>
      <c r="E904" s="2">
        <v>168</v>
      </c>
      <c r="F904" s="2">
        <v>132</v>
      </c>
      <c r="G904" s="21">
        <v>15.75</v>
      </c>
      <c r="H904" s="20"/>
      <c r="I904" s="20"/>
      <c r="J904" s="20"/>
      <c r="K904" s="89"/>
      <c r="L904" s="780"/>
      <c r="M904" s="20"/>
      <c r="N904" s="20"/>
      <c r="O904" s="20"/>
      <c r="P904" s="20"/>
      <c r="Q904" s="21"/>
      <c r="R904" s="22" t="s">
        <v>16</v>
      </c>
      <c r="S904" s="22">
        <v>2</v>
      </c>
      <c r="T904" s="25">
        <v>9801</v>
      </c>
      <c r="U904" s="22">
        <v>0</v>
      </c>
      <c r="V904" s="20" t="str">
        <f t="shared" si="73"/>
        <v>K-1050x168x100</v>
      </c>
    </row>
    <row r="905" spans="1:22" ht="15">
      <c r="A905" s="88" t="s">
        <v>257</v>
      </c>
      <c r="B905" s="76" t="s">
        <v>2182</v>
      </c>
      <c r="C905" s="2">
        <v>1050</v>
      </c>
      <c r="D905" s="2">
        <v>100</v>
      </c>
      <c r="E905" s="2">
        <v>190</v>
      </c>
      <c r="F905" s="2">
        <v>110</v>
      </c>
      <c r="G905" s="21">
        <v>15.75</v>
      </c>
      <c r="H905" s="20"/>
      <c r="I905" s="20"/>
      <c r="J905" s="20"/>
      <c r="K905" s="89"/>
      <c r="L905" s="780"/>
      <c r="M905" s="20"/>
      <c r="N905" s="20"/>
      <c r="O905" s="20"/>
      <c r="P905" s="20"/>
      <c r="Q905" s="21"/>
      <c r="R905" s="22" t="s">
        <v>16</v>
      </c>
      <c r="S905" s="22">
        <v>2</v>
      </c>
      <c r="T905" s="25">
        <v>4991</v>
      </c>
      <c r="U905" s="22">
        <v>0</v>
      </c>
      <c r="V905" s="20" t="str">
        <f t="shared" si="73"/>
        <v>K-1050x190x100</v>
      </c>
    </row>
    <row r="906" spans="1:22" ht="15">
      <c r="A906" s="88" t="s">
        <v>258</v>
      </c>
      <c r="B906" s="76" t="s">
        <v>2182</v>
      </c>
      <c r="C906" s="2">
        <v>1100</v>
      </c>
      <c r="D906" s="2">
        <v>100</v>
      </c>
      <c r="E906" s="2">
        <v>154</v>
      </c>
      <c r="F906" s="2">
        <v>146</v>
      </c>
      <c r="G906" s="21">
        <v>16.5</v>
      </c>
      <c r="H906" s="20"/>
      <c r="I906" s="20"/>
      <c r="J906" s="20"/>
      <c r="K906" s="89"/>
      <c r="L906" s="780"/>
      <c r="M906" s="20"/>
      <c r="N906" s="20"/>
      <c r="O906" s="20"/>
      <c r="P906" s="20"/>
      <c r="Q906" s="21"/>
      <c r="R906" s="22" t="s">
        <v>16</v>
      </c>
      <c r="S906" s="22">
        <v>2</v>
      </c>
      <c r="T906" s="25">
        <v>4250</v>
      </c>
      <c r="U906" s="22">
        <v>0</v>
      </c>
      <c r="V906" s="20" t="str">
        <f t="shared" si="73"/>
        <v>K-1100x154x100</v>
      </c>
    </row>
    <row r="907" spans="1:22" ht="15">
      <c r="A907" s="88" t="s">
        <v>259</v>
      </c>
      <c r="B907" s="76" t="s">
        <v>2182</v>
      </c>
      <c r="C907" s="2">
        <v>1100</v>
      </c>
      <c r="D907" s="2">
        <v>100</v>
      </c>
      <c r="E907" s="2">
        <v>160</v>
      </c>
      <c r="F907" s="2">
        <v>140</v>
      </c>
      <c r="G907" s="21">
        <v>16.5</v>
      </c>
      <c r="H907" s="20"/>
      <c r="I907" s="20"/>
      <c r="J907" s="20"/>
      <c r="K907" s="89"/>
      <c r="L907" s="780"/>
      <c r="M907" s="20"/>
      <c r="N907" s="20"/>
      <c r="O907" s="20"/>
      <c r="P907" s="20"/>
      <c r="Q907" s="21"/>
      <c r="R907" s="22" t="s">
        <v>16</v>
      </c>
      <c r="S907" s="22">
        <v>2</v>
      </c>
      <c r="T907" s="25">
        <v>17601</v>
      </c>
      <c r="U907" s="22">
        <v>0</v>
      </c>
      <c r="V907" s="20" t="str">
        <f t="shared" si="73"/>
        <v>K-1100x160x100</v>
      </c>
    </row>
    <row r="908" spans="1:22" ht="15">
      <c r="A908" s="88" t="s">
        <v>260</v>
      </c>
      <c r="B908" s="76" t="s">
        <v>2182</v>
      </c>
      <c r="C908" s="2">
        <v>1100</v>
      </c>
      <c r="D908" s="2">
        <v>100</v>
      </c>
      <c r="E908" s="2">
        <v>168</v>
      </c>
      <c r="F908" s="2">
        <v>132</v>
      </c>
      <c r="G908" s="21">
        <v>16.5</v>
      </c>
      <c r="H908" s="20"/>
      <c r="I908" s="20"/>
      <c r="J908" s="20"/>
      <c r="K908" s="89"/>
      <c r="L908" s="780"/>
      <c r="M908" s="20"/>
      <c r="N908" s="20"/>
      <c r="O908" s="20"/>
      <c r="P908" s="20"/>
      <c r="Q908" s="21"/>
      <c r="R908" s="22" t="s">
        <v>16</v>
      </c>
      <c r="S908" s="22">
        <v>2</v>
      </c>
      <c r="T908" s="25">
        <v>10268</v>
      </c>
      <c r="U908" s="22">
        <v>0</v>
      </c>
      <c r="V908" s="20" t="str">
        <f t="shared" si="73"/>
        <v>K-1100x168x100</v>
      </c>
    </row>
    <row r="909" spans="1:22" ht="14.25" customHeight="1">
      <c r="A909" s="88" t="s">
        <v>261</v>
      </c>
      <c r="B909" s="76" t="s">
        <v>2182</v>
      </c>
      <c r="C909" s="2">
        <v>1100</v>
      </c>
      <c r="D909" s="2">
        <v>100</v>
      </c>
      <c r="E909" s="2">
        <v>190</v>
      </c>
      <c r="F909" s="2">
        <v>110</v>
      </c>
      <c r="G909" s="21">
        <v>16.5</v>
      </c>
      <c r="H909" s="20"/>
      <c r="I909" s="20"/>
      <c r="J909" s="20"/>
      <c r="K909" s="89"/>
      <c r="L909" s="780"/>
      <c r="M909" s="20"/>
      <c r="N909" s="20"/>
      <c r="O909" s="20"/>
      <c r="P909" s="20"/>
      <c r="Q909" s="21"/>
      <c r="R909" s="22" t="s">
        <v>16</v>
      </c>
      <c r="S909" s="22">
        <v>2</v>
      </c>
      <c r="T909" s="25">
        <v>5228</v>
      </c>
      <c r="U909" s="22">
        <v>0</v>
      </c>
      <c r="V909" s="20" t="str">
        <f t="shared" si="73"/>
        <v>K-1100x190x100</v>
      </c>
    </row>
    <row r="910" spans="1:22" ht="15">
      <c r="A910" s="88" t="s">
        <v>262</v>
      </c>
      <c r="B910" s="76" t="s">
        <v>2182</v>
      </c>
      <c r="C910" s="2">
        <v>1150</v>
      </c>
      <c r="D910" s="2">
        <v>100</v>
      </c>
      <c r="E910" s="2">
        <v>168</v>
      </c>
      <c r="F910" s="2">
        <v>132</v>
      </c>
      <c r="G910" s="21">
        <v>17.25</v>
      </c>
      <c r="H910" s="20"/>
      <c r="I910" s="20"/>
      <c r="J910" s="20"/>
      <c r="K910" s="89"/>
      <c r="L910" s="780"/>
      <c r="M910" s="20"/>
      <c r="N910" s="20"/>
      <c r="O910" s="20"/>
      <c r="P910" s="20"/>
      <c r="Q910" s="21"/>
      <c r="R910" s="22" t="s">
        <v>16</v>
      </c>
      <c r="S910" s="22">
        <v>2</v>
      </c>
      <c r="T910" s="25">
        <v>10735</v>
      </c>
      <c r="U910" s="22">
        <v>0</v>
      </c>
      <c r="V910" s="20" t="str">
        <f t="shared" si="73"/>
        <v>K-1150x168x100</v>
      </c>
    </row>
    <row r="911" spans="1:22" ht="15">
      <c r="A911" s="88" t="s">
        <v>263</v>
      </c>
      <c r="B911" s="76" t="s">
        <v>2182</v>
      </c>
      <c r="C911" s="2">
        <v>1150</v>
      </c>
      <c r="D911" s="2">
        <v>100</v>
      </c>
      <c r="E911" s="2">
        <v>190</v>
      </c>
      <c r="F911" s="2">
        <v>110</v>
      </c>
      <c r="G911" s="21">
        <v>17.25</v>
      </c>
      <c r="H911" s="20"/>
      <c r="I911" s="20"/>
      <c r="J911" s="20"/>
      <c r="K911" s="89"/>
      <c r="L911" s="780"/>
      <c r="M911" s="20"/>
      <c r="N911" s="20"/>
      <c r="O911" s="20"/>
      <c r="P911" s="20"/>
      <c r="Q911" s="21"/>
      <c r="R911" s="22" t="s">
        <v>16</v>
      </c>
      <c r="S911" s="22">
        <v>2</v>
      </c>
      <c r="T911" s="25">
        <v>5466</v>
      </c>
      <c r="U911" s="22">
        <v>0</v>
      </c>
      <c r="V911" s="20" t="str">
        <f t="shared" si="73"/>
        <v>K-1150x190x100</v>
      </c>
    </row>
    <row r="912" spans="1:22" ht="14.25" customHeight="1">
      <c r="A912" s="88" t="s">
        <v>264</v>
      </c>
      <c r="B912" s="76" t="s">
        <v>2182</v>
      </c>
      <c r="C912" s="2">
        <v>1200</v>
      </c>
      <c r="D912" s="2">
        <v>100</v>
      </c>
      <c r="E912" s="2">
        <v>168</v>
      </c>
      <c r="F912" s="2">
        <v>132</v>
      </c>
      <c r="G912" s="21">
        <v>18</v>
      </c>
      <c r="H912" s="20"/>
      <c r="I912" s="20"/>
      <c r="J912" s="20"/>
      <c r="K912" s="89"/>
      <c r="L912" s="780"/>
      <c r="M912" s="20"/>
      <c r="N912" s="20"/>
      <c r="O912" s="20"/>
      <c r="P912" s="20"/>
      <c r="Q912" s="21"/>
      <c r="R912" s="22" t="s">
        <v>16</v>
      </c>
      <c r="S912" s="22">
        <v>2</v>
      </c>
      <c r="T912" s="25">
        <v>11201</v>
      </c>
      <c r="U912" s="22">
        <v>0</v>
      </c>
      <c r="V912" s="20" t="str">
        <f t="shared" si="73"/>
        <v>K-1200x168x100</v>
      </c>
    </row>
    <row r="913" spans="1:22" ht="15">
      <c r="A913" s="88" t="s">
        <v>265</v>
      </c>
      <c r="B913" s="76" t="s">
        <v>2182</v>
      </c>
      <c r="C913" s="2">
        <v>1200</v>
      </c>
      <c r="D913" s="2">
        <v>100</v>
      </c>
      <c r="E913" s="2">
        <v>190</v>
      </c>
      <c r="F913" s="2">
        <v>110</v>
      </c>
      <c r="G913" s="21">
        <v>18</v>
      </c>
      <c r="H913" s="20"/>
      <c r="I913" s="20"/>
      <c r="J913" s="20"/>
      <c r="K913" s="89"/>
      <c r="L913" s="780"/>
      <c r="M913" s="20"/>
      <c r="N913" s="20"/>
      <c r="O913" s="20"/>
      <c r="P913" s="20"/>
      <c r="Q913" s="21"/>
      <c r="R913" s="22" t="s">
        <v>16</v>
      </c>
      <c r="S913" s="22">
        <v>2</v>
      </c>
      <c r="T913" s="25">
        <v>5703</v>
      </c>
      <c r="U913" s="22">
        <v>0</v>
      </c>
      <c r="V913" s="20" t="str">
        <f t="shared" ref="V913:V942" si="74">B913&amp;"-"&amp;C913&amp;"x"&amp;E913&amp;"x"&amp;D913</f>
        <v>K-1200x190x100</v>
      </c>
    </row>
    <row r="914" spans="1:22" ht="15">
      <c r="A914" s="88" t="s">
        <v>266</v>
      </c>
      <c r="B914" s="76" t="s">
        <v>2182</v>
      </c>
      <c r="C914" s="2">
        <v>230</v>
      </c>
      <c r="D914" s="2">
        <v>100</v>
      </c>
      <c r="E914" s="2">
        <v>115</v>
      </c>
      <c r="F914" s="2">
        <v>85</v>
      </c>
      <c r="G914" s="21">
        <v>2.2999999999999998</v>
      </c>
      <c r="H914" s="20"/>
      <c r="I914" s="20"/>
      <c r="J914" s="20"/>
      <c r="K914" s="89"/>
      <c r="L914" s="780"/>
      <c r="M914" s="20"/>
      <c r="N914" s="20"/>
      <c r="O914" s="20"/>
      <c r="P914" s="20"/>
      <c r="Q914" s="21"/>
      <c r="R914" s="22" t="s">
        <v>16</v>
      </c>
      <c r="S914" s="22">
        <v>2</v>
      </c>
      <c r="T914" s="25">
        <v>1767</v>
      </c>
      <c r="U914" s="22">
        <v>0</v>
      </c>
      <c r="V914" s="20" t="str">
        <f t="shared" si="74"/>
        <v>K-230x115x100</v>
      </c>
    </row>
    <row r="915" spans="1:22" ht="14.25" customHeight="1">
      <c r="A915" s="88" t="s">
        <v>267</v>
      </c>
      <c r="B915" s="76" t="s">
        <v>2182</v>
      </c>
      <c r="C915" s="2">
        <v>230</v>
      </c>
      <c r="D915" s="2">
        <v>100</v>
      </c>
      <c r="E915" s="2" t="s">
        <v>277</v>
      </c>
      <c r="F915" s="2" t="s">
        <v>278</v>
      </c>
      <c r="G915" s="21">
        <v>2.5880000000000001</v>
      </c>
      <c r="H915" s="20"/>
      <c r="I915" s="20"/>
      <c r="J915" s="20"/>
      <c r="K915" s="89"/>
      <c r="L915" s="780"/>
      <c r="M915" s="20"/>
      <c r="N915" s="20"/>
      <c r="O915" s="20"/>
      <c r="P915" s="20"/>
      <c r="Q915" s="21"/>
      <c r="R915" s="22" t="s">
        <v>16</v>
      </c>
      <c r="S915" s="22">
        <v>2</v>
      </c>
      <c r="T915" s="25">
        <v>1959</v>
      </c>
      <c r="U915" s="22">
        <v>0</v>
      </c>
      <c r="V915" s="20" t="str">
        <f t="shared" si="74"/>
        <v>K-230x127.5x100</v>
      </c>
    </row>
    <row r="916" spans="1:22" ht="15">
      <c r="A916" s="88" t="s">
        <v>268</v>
      </c>
      <c r="B916" s="76" t="s">
        <v>2182</v>
      </c>
      <c r="C916" s="2">
        <v>250</v>
      </c>
      <c r="D916" s="2">
        <v>100</v>
      </c>
      <c r="E916" s="2">
        <v>79</v>
      </c>
      <c r="F916" s="2">
        <v>71</v>
      </c>
      <c r="G916" s="21">
        <v>1.875</v>
      </c>
      <c r="H916" s="20"/>
      <c r="I916" s="20"/>
      <c r="J916" s="20"/>
      <c r="K916" s="89"/>
      <c r="L916" s="780"/>
      <c r="M916" s="20"/>
      <c r="N916" s="20"/>
      <c r="O916" s="20"/>
      <c r="P916" s="20"/>
      <c r="Q916" s="21"/>
      <c r="R916" s="22" t="s">
        <v>16</v>
      </c>
      <c r="S916" s="22">
        <v>2</v>
      </c>
      <c r="T916" s="25">
        <v>4938</v>
      </c>
      <c r="U916" s="22">
        <v>0</v>
      </c>
      <c r="V916" s="20" t="str">
        <f t="shared" si="74"/>
        <v>K-250x79x100</v>
      </c>
    </row>
    <row r="917" spans="1:22" ht="15">
      <c r="A917" s="88" t="s">
        <v>269</v>
      </c>
      <c r="B917" s="76" t="s">
        <v>2182</v>
      </c>
      <c r="C917" s="2">
        <v>250</v>
      </c>
      <c r="D917" s="2">
        <v>100</v>
      </c>
      <c r="E917" s="2">
        <v>115</v>
      </c>
      <c r="F917" s="2">
        <v>85</v>
      </c>
      <c r="G917" s="21">
        <v>2.5</v>
      </c>
      <c r="H917" s="20"/>
      <c r="I917" s="20"/>
      <c r="J917" s="20"/>
      <c r="K917" s="89"/>
      <c r="L917" s="780"/>
      <c r="M917" s="20"/>
      <c r="N917" s="20"/>
      <c r="O917" s="20"/>
      <c r="P917" s="20"/>
      <c r="Q917" s="21"/>
      <c r="R917" s="22" t="s">
        <v>16</v>
      </c>
      <c r="S917" s="22">
        <v>2</v>
      </c>
      <c r="T917" s="25">
        <v>1920</v>
      </c>
      <c r="U917" s="22">
        <v>0</v>
      </c>
      <c r="V917" s="20" t="str">
        <f t="shared" si="74"/>
        <v>K-250x115x100</v>
      </c>
    </row>
    <row r="918" spans="1:22" ht="14.25" customHeight="1">
      <c r="A918" s="88" t="s">
        <v>270</v>
      </c>
      <c r="B918" s="76" t="s">
        <v>2182</v>
      </c>
      <c r="C918" s="2">
        <v>250</v>
      </c>
      <c r="D918" s="2">
        <v>100</v>
      </c>
      <c r="E918" s="2" t="s">
        <v>277</v>
      </c>
      <c r="F918" s="2" t="s">
        <v>278</v>
      </c>
      <c r="G918" s="21">
        <v>2.8130000000000002</v>
      </c>
      <c r="H918" s="20"/>
      <c r="I918" s="20"/>
      <c r="J918" s="20"/>
      <c r="K918" s="89"/>
      <c r="L918" s="780"/>
      <c r="M918" s="20"/>
      <c r="N918" s="20"/>
      <c r="O918" s="20"/>
      <c r="P918" s="20"/>
      <c r="Q918" s="21"/>
      <c r="R918" s="22" t="s">
        <v>16</v>
      </c>
      <c r="S918" s="22">
        <v>2</v>
      </c>
      <c r="T918" s="25">
        <v>2129</v>
      </c>
      <c r="U918" s="22">
        <v>0</v>
      </c>
      <c r="V918" s="20" t="str">
        <f t="shared" si="74"/>
        <v>K-250x127.5x100</v>
      </c>
    </row>
    <row r="919" spans="1:22" ht="15">
      <c r="A919" s="88" t="s">
        <v>271</v>
      </c>
      <c r="B919" s="76" t="s">
        <v>2182</v>
      </c>
      <c r="C919" s="2">
        <v>350</v>
      </c>
      <c r="D919" s="2">
        <v>100</v>
      </c>
      <c r="E919" s="2" t="s">
        <v>277</v>
      </c>
      <c r="F919" s="2" t="s">
        <v>278</v>
      </c>
      <c r="G919" s="21">
        <v>3.9380000000000002</v>
      </c>
      <c r="H919" s="20"/>
      <c r="I919" s="20"/>
      <c r="J919" s="20"/>
      <c r="K919" s="89"/>
      <c r="L919" s="780"/>
      <c r="M919" s="20"/>
      <c r="N919" s="20"/>
      <c r="O919" s="20"/>
      <c r="P919" s="20"/>
      <c r="Q919" s="21"/>
      <c r="R919" s="22" t="s">
        <v>16</v>
      </c>
      <c r="S919" s="22">
        <v>2</v>
      </c>
      <c r="T919" s="25">
        <v>2978</v>
      </c>
      <c r="U919" s="22">
        <v>0</v>
      </c>
      <c r="V919" s="20" t="str">
        <f t="shared" si="74"/>
        <v>K-350x127.5x100</v>
      </c>
    </row>
    <row r="920" spans="1:22" ht="15">
      <c r="A920" s="88" t="s">
        <v>272</v>
      </c>
      <c r="B920" s="76" t="s">
        <v>2182</v>
      </c>
      <c r="C920" s="2">
        <v>500</v>
      </c>
      <c r="D920" s="2">
        <v>100</v>
      </c>
      <c r="E920" s="2">
        <v>79</v>
      </c>
      <c r="F920" s="2">
        <v>71</v>
      </c>
      <c r="G920" s="21">
        <v>3.75</v>
      </c>
      <c r="H920" s="20"/>
      <c r="I920" s="20"/>
      <c r="J920" s="20"/>
      <c r="K920" s="89"/>
      <c r="L920" s="780"/>
      <c r="M920" s="20"/>
      <c r="N920" s="20"/>
      <c r="O920" s="20"/>
      <c r="P920" s="20"/>
      <c r="Q920" s="21"/>
      <c r="R920" s="22" t="s">
        <v>16</v>
      </c>
      <c r="S920" s="22">
        <v>2</v>
      </c>
      <c r="T920" s="25">
        <v>9875</v>
      </c>
      <c r="U920" s="22">
        <v>0</v>
      </c>
      <c r="V920" s="20" t="str">
        <f t="shared" si="74"/>
        <v>K-500x79x100</v>
      </c>
    </row>
    <row r="921" spans="1:22" ht="15">
      <c r="A921" s="88" t="s">
        <v>273</v>
      </c>
      <c r="B921" s="76" t="s">
        <v>2182</v>
      </c>
      <c r="C921" s="2">
        <v>550</v>
      </c>
      <c r="D921" s="2">
        <v>100</v>
      </c>
      <c r="E921" s="2">
        <v>150</v>
      </c>
      <c r="F921" s="2">
        <v>90</v>
      </c>
      <c r="G921" s="21">
        <v>6.6</v>
      </c>
      <c r="H921" s="20"/>
      <c r="I921" s="20"/>
      <c r="J921" s="20"/>
      <c r="K921" s="89"/>
      <c r="L921" s="780"/>
      <c r="M921" s="20"/>
      <c r="N921" s="20"/>
      <c r="O921" s="20"/>
      <c r="P921" s="20"/>
      <c r="Q921" s="21"/>
      <c r="R921" s="22" t="s">
        <v>16</v>
      </c>
      <c r="S921" s="22">
        <v>2</v>
      </c>
      <c r="T921" s="25">
        <v>2754</v>
      </c>
      <c r="U921" s="22">
        <v>0</v>
      </c>
      <c r="V921" s="20" t="str">
        <f t="shared" si="74"/>
        <v>K-550x150x100</v>
      </c>
    </row>
    <row r="922" spans="1:22" ht="15">
      <c r="A922" s="88" t="s">
        <v>274</v>
      </c>
      <c r="B922" s="76" t="s">
        <v>2182</v>
      </c>
      <c r="C922" s="2">
        <v>600</v>
      </c>
      <c r="D922" s="2">
        <v>100</v>
      </c>
      <c r="E922" s="2">
        <v>79</v>
      </c>
      <c r="F922" s="2">
        <v>71</v>
      </c>
      <c r="G922" s="21">
        <v>4.5</v>
      </c>
      <c r="H922" s="20"/>
      <c r="I922" s="20"/>
      <c r="J922" s="20"/>
      <c r="K922" s="89"/>
      <c r="L922" s="780"/>
      <c r="M922" s="20"/>
      <c r="N922" s="20"/>
      <c r="O922" s="20"/>
      <c r="P922" s="20"/>
      <c r="Q922" s="21"/>
      <c r="R922" s="22" t="s">
        <v>16</v>
      </c>
      <c r="S922" s="22">
        <v>2</v>
      </c>
      <c r="T922" s="25">
        <v>11850</v>
      </c>
      <c r="U922" s="22">
        <v>0</v>
      </c>
      <c r="V922" s="20" t="str">
        <f t="shared" si="74"/>
        <v>K-600x79x100</v>
      </c>
    </row>
    <row r="923" spans="1:22" ht="14.25" customHeight="1">
      <c r="A923" s="88" t="s">
        <v>275</v>
      </c>
      <c r="B923" s="76" t="s">
        <v>2182</v>
      </c>
      <c r="C923" s="2">
        <v>600</v>
      </c>
      <c r="D923" s="2">
        <v>100</v>
      </c>
      <c r="E923" s="2">
        <v>130</v>
      </c>
      <c r="F923" s="2">
        <v>70</v>
      </c>
      <c r="G923" s="21">
        <v>6</v>
      </c>
      <c r="H923" s="20"/>
      <c r="I923" s="20"/>
      <c r="J923" s="20"/>
      <c r="K923" s="89"/>
      <c r="L923" s="780"/>
      <c r="M923" s="20"/>
      <c r="N923" s="20"/>
      <c r="O923" s="20"/>
      <c r="P923" s="20"/>
      <c r="Q923" s="21"/>
      <c r="R923" s="22" t="s">
        <v>16</v>
      </c>
      <c r="S923" s="22">
        <v>2</v>
      </c>
      <c r="T923" s="25">
        <v>2603</v>
      </c>
      <c r="U923" s="22">
        <v>0</v>
      </c>
      <c r="V923" s="20" t="str">
        <f t="shared" si="74"/>
        <v>K-600x130x100</v>
      </c>
    </row>
    <row r="924" spans="1:22" ht="15">
      <c r="A924" s="88" t="s">
        <v>276</v>
      </c>
      <c r="B924" s="76" t="s">
        <v>2182</v>
      </c>
      <c r="C924" s="2">
        <v>650</v>
      </c>
      <c r="D924" s="2">
        <v>100</v>
      </c>
      <c r="E924" s="2">
        <v>150</v>
      </c>
      <c r="F924" s="2">
        <v>90</v>
      </c>
      <c r="G924" s="21">
        <v>7.8</v>
      </c>
      <c r="H924" s="20"/>
      <c r="I924" s="20"/>
      <c r="J924" s="20"/>
      <c r="K924" s="89"/>
      <c r="L924" s="780"/>
      <c r="M924" s="20"/>
      <c r="N924" s="20"/>
      <c r="O924" s="20"/>
      <c r="P924" s="20"/>
      <c r="Q924" s="21"/>
      <c r="R924" s="22" t="s">
        <v>16</v>
      </c>
      <c r="S924" s="22">
        <v>2</v>
      </c>
      <c r="T924" s="25">
        <v>3253</v>
      </c>
      <c r="U924" s="22">
        <v>0</v>
      </c>
      <c r="V924" s="20" t="str">
        <f t="shared" si="74"/>
        <v>K-650x150x100</v>
      </c>
    </row>
    <row r="925" spans="1:22" ht="15">
      <c r="A925" s="88" t="s">
        <v>279</v>
      </c>
      <c r="B925" s="76" t="s">
        <v>2182</v>
      </c>
      <c r="C925" s="2">
        <v>700</v>
      </c>
      <c r="D925" s="2">
        <v>100</v>
      </c>
      <c r="E925" s="2">
        <v>142</v>
      </c>
      <c r="F925" s="2">
        <v>82</v>
      </c>
      <c r="G925" s="21">
        <v>7.84</v>
      </c>
      <c r="H925" s="20"/>
      <c r="I925" s="20"/>
      <c r="J925" s="20"/>
      <c r="K925" s="89"/>
      <c r="L925" s="780"/>
      <c r="M925" s="20"/>
      <c r="N925" s="20"/>
      <c r="O925" s="20"/>
      <c r="P925" s="20"/>
      <c r="Q925" s="21"/>
      <c r="R925" s="22" t="s">
        <v>16</v>
      </c>
      <c r="S925" s="22">
        <v>2</v>
      </c>
      <c r="T925" s="25">
        <v>3316</v>
      </c>
      <c r="U925" s="22">
        <v>0</v>
      </c>
      <c r="V925" s="20" t="str">
        <f t="shared" si="74"/>
        <v>K-700x142x100</v>
      </c>
    </row>
    <row r="926" spans="1:22" ht="14.25" customHeight="1">
      <c r="A926" s="88" t="s">
        <v>280</v>
      </c>
      <c r="B926" s="76" t="s">
        <v>2182</v>
      </c>
      <c r="C926" s="2">
        <v>750</v>
      </c>
      <c r="D926" s="2">
        <v>100</v>
      </c>
      <c r="E926" s="2">
        <v>112</v>
      </c>
      <c r="F926" s="2">
        <v>88</v>
      </c>
      <c r="G926" s="21">
        <v>7.5</v>
      </c>
      <c r="H926" s="20"/>
      <c r="I926" s="20"/>
      <c r="J926" s="20"/>
      <c r="K926" s="89"/>
      <c r="L926" s="780"/>
      <c r="M926" s="20"/>
      <c r="N926" s="20"/>
      <c r="O926" s="20"/>
      <c r="P926" s="20"/>
      <c r="Q926" s="21"/>
      <c r="R926" s="22" t="s">
        <v>16</v>
      </c>
      <c r="S926" s="22">
        <v>2</v>
      </c>
      <c r="T926" s="25">
        <v>7001</v>
      </c>
      <c r="U926" s="22">
        <v>0</v>
      </c>
      <c r="V926" s="20" t="str">
        <f t="shared" si="74"/>
        <v>K-750x112x100</v>
      </c>
    </row>
    <row r="927" spans="1:22" ht="15">
      <c r="A927" s="88" t="s">
        <v>281</v>
      </c>
      <c r="B927" s="76" t="s">
        <v>2182</v>
      </c>
      <c r="C927" s="2">
        <v>750</v>
      </c>
      <c r="D927" s="2">
        <v>100</v>
      </c>
      <c r="E927" s="2">
        <v>126</v>
      </c>
      <c r="F927" s="2">
        <v>99</v>
      </c>
      <c r="G927" s="21">
        <v>8.4380000000000006</v>
      </c>
      <c r="H927" s="20"/>
      <c r="I927" s="20"/>
      <c r="J927" s="20"/>
      <c r="K927" s="89"/>
      <c r="L927" s="780"/>
      <c r="M927" s="20"/>
      <c r="N927" s="20"/>
      <c r="O927" s="20"/>
      <c r="P927" s="20"/>
      <c r="Q927" s="21"/>
      <c r="R927" s="22" t="s">
        <v>16</v>
      </c>
      <c r="S927" s="22">
        <v>2</v>
      </c>
      <c r="T927" s="25">
        <v>7001</v>
      </c>
      <c r="U927" s="22">
        <v>0</v>
      </c>
      <c r="V927" s="20" t="str">
        <f t="shared" si="74"/>
        <v>K-750x126x100</v>
      </c>
    </row>
    <row r="928" spans="1:22" ht="15">
      <c r="A928" s="88" t="s">
        <v>282</v>
      </c>
      <c r="B928" s="76" t="s">
        <v>2182</v>
      </c>
      <c r="C928" s="2">
        <v>750</v>
      </c>
      <c r="D928" s="2">
        <v>100</v>
      </c>
      <c r="E928" s="2">
        <v>150</v>
      </c>
      <c r="F928" s="2">
        <v>90</v>
      </c>
      <c r="G928" s="21">
        <v>9</v>
      </c>
      <c r="H928" s="20"/>
      <c r="I928" s="20"/>
      <c r="J928" s="20"/>
      <c r="K928" s="89"/>
      <c r="L928" s="780"/>
      <c r="M928" s="20"/>
      <c r="N928" s="20"/>
      <c r="O928" s="20"/>
      <c r="P928" s="20"/>
      <c r="Q928" s="21"/>
      <c r="R928" s="22" t="s">
        <v>16</v>
      </c>
      <c r="S928" s="22">
        <v>2</v>
      </c>
      <c r="T928" s="25">
        <v>3753</v>
      </c>
      <c r="U928" s="22">
        <v>0</v>
      </c>
      <c r="V928" s="20" t="str">
        <f t="shared" si="74"/>
        <v>K-750x150x100</v>
      </c>
    </row>
    <row r="929" spans="1:22" ht="14.25" customHeight="1">
      <c r="A929" s="88" t="s">
        <v>283</v>
      </c>
      <c r="B929" s="76" t="s">
        <v>2182</v>
      </c>
      <c r="C929" s="2">
        <v>800</v>
      </c>
      <c r="D929" s="2">
        <v>100</v>
      </c>
      <c r="E929" s="2">
        <v>107</v>
      </c>
      <c r="F929" s="2">
        <v>93</v>
      </c>
      <c r="G929" s="21">
        <v>8</v>
      </c>
      <c r="H929" s="20"/>
      <c r="I929" s="20"/>
      <c r="J929" s="20"/>
      <c r="K929" s="89"/>
      <c r="L929" s="780"/>
      <c r="M929" s="20"/>
      <c r="N929" s="20"/>
      <c r="O929" s="20"/>
      <c r="P929" s="20"/>
      <c r="Q929" s="21"/>
      <c r="R929" s="22" t="s">
        <v>16</v>
      </c>
      <c r="S929" s="22">
        <v>2</v>
      </c>
      <c r="T929" s="25">
        <v>12229</v>
      </c>
      <c r="U929" s="22">
        <v>0</v>
      </c>
      <c r="V929" s="20" t="str">
        <f t="shared" si="74"/>
        <v>K-800x107x100</v>
      </c>
    </row>
    <row r="930" spans="1:22" ht="15">
      <c r="A930" s="88" t="s">
        <v>284</v>
      </c>
      <c r="B930" s="76" t="s">
        <v>2182</v>
      </c>
      <c r="C930" s="2">
        <v>800</v>
      </c>
      <c r="D930" s="2">
        <v>100</v>
      </c>
      <c r="E930" s="2">
        <v>120</v>
      </c>
      <c r="F930" s="2">
        <v>105</v>
      </c>
      <c r="G930" s="21">
        <v>9</v>
      </c>
      <c r="H930" s="20"/>
      <c r="I930" s="20"/>
      <c r="J930" s="20"/>
      <c r="K930" s="89"/>
      <c r="L930" s="780"/>
      <c r="M930" s="20"/>
      <c r="N930" s="20"/>
      <c r="O930" s="20"/>
      <c r="P930" s="20"/>
      <c r="Q930" s="21"/>
      <c r="R930" s="22" t="s">
        <v>16</v>
      </c>
      <c r="S930" s="22">
        <v>2</v>
      </c>
      <c r="T930" s="25">
        <v>12801</v>
      </c>
      <c r="U930" s="22">
        <v>0</v>
      </c>
      <c r="V930" s="20" t="str">
        <f t="shared" si="74"/>
        <v>K-800x120x100</v>
      </c>
    </row>
    <row r="931" spans="1:22" ht="15">
      <c r="A931" s="88" t="s">
        <v>285</v>
      </c>
      <c r="B931" s="76" t="s">
        <v>2182</v>
      </c>
      <c r="C931" s="2">
        <v>800</v>
      </c>
      <c r="D931" s="2">
        <v>100</v>
      </c>
      <c r="E931" s="2">
        <v>112</v>
      </c>
      <c r="F931" s="2">
        <v>88</v>
      </c>
      <c r="G931" s="21">
        <v>8</v>
      </c>
      <c r="H931" s="20"/>
      <c r="I931" s="20"/>
      <c r="J931" s="20"/>
      <c r="K931" s="89"/>
      <c r="L931" s="780"/>
      <c r="M931" s="20"/>
      <c r="N931" s="20"/>
      <c r="O931" s="20"/>
      <c r="P931" s="20"/>
      <c r="Q931" s="21"/>
      <c r="R931" s="22" t="s">
        <v>16</v>
      </c>
      <c r="S931" s="22">
        <v>2</v>
      </c>
      <c r="T931" s="25">
        <v>7468</v>
      </c>
      <c r="U931" s="22">
        <v>0</v>
      </c>
      <c r="V931" s="20" t="str">
        <f t="shared" si="74"/>
        <v>K-800x112x100</v>
      </c>
    </row>
    <row r="932" spans="1:22" ht="14.25" customHeight="1">
      <c r="A932" s="88" t="s">
        <v>286</v>
      </c>
      <c r="B932" s="76" t="s">
        <v>2182</v>
      </c>
      <c r="C932" s="2">
        <v>800</v>
      </c>
      <c r="D932" s="2">
        <v>100</v>
      </c>
      <c r="E932" s="2">
        <v>126</v>
      </c>
      <c r="F932" s="2">
        <v>99</v>
      </c>
      <c r="G932" s="21">
        <v>9</v>
      </c>
      <c r="H932" s="20"/>
      <c r="I932" s="20"/>
      <c r="J932" s="20"/>
      <c r="K932" s="89"/>
      <c r="L932" s="780"/>
      <c r="M932" s="20"/>
      <c r="N932" s="20"/>
      <c r="O932" s="20"/>
      <c r="P932" s="20"/>
      <c r="Q932" s="21"/>
      <c r="R932" s="22" t="s">
        <v>16</v>
      </c>
      <c r="S932" s="22">
        <v>2</v>
      </c>
      <c r="T932" s="25">
        <v>7468</v>
      </c>
      <c r="U932" s="22">
        <v>0</v>
      </c>
      <c r="V932" s="20" t="str">
        <f t="shared" si="74"/>
        <v>K-800x126x100</v>
      </c>
    </row>
    <row r="933" spans="1:22" ht="15">
      <c r="A933" s="88" t="s">
        <v>287</v>
      </c>
      <c r="B933" s="76" t="s">
        <v>2182</v>
      </c>
      <c r="C933" s="2">
        <v>800</v>
      </c>
      <c r="D933" s="2">
        <v>100</v>
      </c>
      <c r="E933" s="2">
        <v>120</v>
      </c>
      <c r="F933" s="2">
        <v>80</v>
      </c>
      <c r="G933" s="21">
        <v>8</v>
      </c>
      <c r="H933" s="20"/>
      <c r="I933" s="20"/>
      <c r="J933" s="20"/>
      <c r="K933" s="89"/>
      <c r="L933" s="780"/>
      <c r="M933" s="20"/>
      <c r="N933" s="20"/>
      <c r="O933" s="20"/>
      <c r="P933" s="20"/>
      <c r="Q933" s="21"/>
      <c r="R933" s="22" t="s">
        <v>16</v>
      </c>
      <c r="S933" s="22">
        <v>2</v>
      </c>
      <c r="T933" s="25">
        <v>4801</v>
      </c>
      <c r="U933" s="22">
        <v>0</v>
      </c>
      <c r="V933" s="20" t="str">
        <f t="shared" si="74"/>
        <v>K-800x120x100</v>
      </c>
    </row>
    <row r="934" spans="1:22" ht="15">
      <c r="A934" s="88" t="s">
        <v>288</v>
      </c>
      <c r="B934" s="76" t="s">
        <v>2182</v>
      </c>
      <c r="C934" s="2">
        <v>900</v>
      </c>
      <c r="D934" s="2">
        <v>100</v>
      </c>
      <c r="E934" s="2">
        <v>136</v>
      </c>
      <c r="F934" s="2">
        <v>76</v>
      </c>
      <c r="G934" s="21">
        <v>9.5399999999999991</v>
      </c>
      <c r="H934" s="20"/>
      <c r="I934" s="20"/>
      <c r="J934" s="20"/>
      <c r="K934" s="89"/>
      <c r="L934" s="780"/>
      <c r="M934" s="20"/>
      <c r="N934" s="20"/>
      <c r="O934" s="20"/>
      <c r="P934" s="20"/>
      <c r="Q934" s="21"/>
      <c r="R934" s="22" t="s">
        <v>16</v>
      </c>
      <c r="S934" s="22">
        <v>2</v>
      </c>
      <c r="T934" s="25">
        <v>4082</v>
      </c>
      <c r="U934" s="22">
        <v>0</v>
      </c>
      <c r="V934" s="20" t="str">
        <f t="shared" si="74"/>
        <v>K-900x136x100</v>
      </c>
    </row>
    <row r="935" spans="1:22" ht="15">
      <c r="A935" s="88" t="s">
        <v>289</v>
      </c>
      <c r="B935" s="76" t="s">
        <v>2182</v>
      </c>
      <c r="C935" s="2">
        <v>400</v>
      </c>
      <c r="D935" s="2">
        <v>98</v>
      </c>
      <c r="E935" s="2">
        <v>156.80000000000001</v>
      </c>
      <c r="F935" s="2">
        <v>136.80000000000001</v>
      </c>
      <c r="G935" s="21">
        <v>5.7880000000000003</v>
      </c>
      <c r="H935" s="20"/>
      <c r="I935" s="20"/>
      <c r="J935" s="20"/>
      <c r="K935" s="89"/>
      <c r="L935" s="780"/>
      <c r="M935" s="20"/>
      <c r="N935" s="20"/>
      <c r="O935" s="20"/>
      <c r="P935" s="20"/>
      <c r="Q935" s="21"/>
      <c r="R935" s="22" t="s">
        <v>16</v>
      </c>
      <c r="S935" s="22">
        <v>2</v>
      </c>
      <c r="T935" s="25">
        <v>6274</v>
      </c>
      <c r="U935" s="22">
        <v>0</v>
      </c>
      <c r="V935" s="20" t="str">
        <f t="shared" si="74"/>
        <v>K-400x156,8x98</v>
      </c>
    </row>
    <row r="936" spans="1:22" ht="15">
      <c r="A936" s="88" t="s">
        <v>290</v>
      </c>
      <c r="B936" s="76" t="s">
        <v>2182</v>
      </c>
      <c r="C936" s="2">
        <v>950</v>
      </c>
      <c r="D936" s="2">
        <v>150</v>
      </c>
      <c r="E936" s="2">
        <v>150</v>
      </c>
      <c r="F936" s="2">
        <v>150</v>
      </c>
      <c r="G936" s="21">
        <v>21.38</v>
      </c>
      <c r="H936" s="20"/>
      <c r="I936" s="20"/>
      <c r="J936" s="20"/>
      <c r="K936" s="89"/>
      <c r="L936" s="780"/>
      <c r="M936" s="20"/>
      <c r="N936" s="20"/>
      <c r="O936" s="20"/>
      <c r="P936" s="20"/>
      <c r="Q936" s="21"/>
      <c r="R936" s="22" t="s">
        <v>16</v>
      </c>
      <c r="S936" s="22">
        <v>2</v>
      </c>
      <c r="T936" s="25" t="s">
        <v>16</v>
      </c>
      <c r="U936" s="22">
        <v>0</v>
      </c>
      <c r="V936" s="20" t="str">
        <f t="shared" si="74"/>
        <v>K-950x150x150</v>
      </c>
    </row>
    <row r="937" spans="1:22" ht="14.25" customHeight="1">
      <c r="A937" s="88" t="s">
        <v>291</v>
      </c>
      <c r="B937" s="76" t="s">
        <v>2182</v>
      </c>
      <c r="C937" s="2">
        <v>950</v>
      </c>
      <c r="D937" s="2">
        <v>150</v>
      </c>
      <c r="E937" s="2">
        <v>155</v>
      </c>
      <c r="F937" s="2">
        <v>145</v>
      </c>
      <c r="G937" s="21">
        <v>21.38</v>
      </c>
      <c r="H937" s="20"/>
      <c r="I937" s="20"/>
      <c r="J937" s="20"/>
      <c r="K937" s="89"/>
      <c r="L937" s="780"/>
      <c r="M937" s="20"/>
      <c r="N937" s="20"/>
      <c r="O937" s="20"/>
      <c r="P937" s="20"/>
      <c r="Q937" s="21"/>
      <c r="R937" s="22" t="s">
        <v>16</v>
      </c>
      <c r="S937" s="22">
        <v>2</v>
      </c>
      <c r="T937" s="25">
        <v>29450</v>
      </c>
      <c r="U937" s="22">
        <v>0</v>
      </c>
      <c r="V937" s="20" t="str">
        <f t="shared" si="74"/>
        <v>K-950x155x150</v>
      </c>
    </row>
    <row r="938" spans="1:22" ht="15">
      <c r="A938" s="88" t="s">
        <v>292</v>
      </c>
      <c r="B938" s="76" t="s">
        <v>2182</v>
      </c>
      <c r="C938" s="2">
        <v>950</v>
      </c>
      <c r="D938" s="2">
        <v>150</v>
      </c>
      <c r="E938" s="2">
        <v>175</v>
      </c>
      <c r="F938" s="2">
        <v>125</v>
      </c>
      <c r="G938" s="21">
        <v>21.38</v>
      </c>
      <c r="H938" s="20"/>
      <c r="I938" s="20"/>
      <c r="J938" s="20"/>
      <c r="K938" s="89"/>
      <c r="L938" s="780"/>
      <c r="M938" s="20"/>
      <c r="N938" s="20"/>
      <c r="O938" s="20"/>
      <c r="P938" s="20"/>
      <c r="Q938" s="21"/>
      <c r="R938" s="22" t="s">
        <v>16</v>
      </c>
      <c r="S938" s="22">
        <v>2</v>
      </c>
      <c r="T938" s="25">
        <v>6652</v>
      </c>
      <c r="U938" s="22">
        <v>0</v>
      </c>
      <c r="V938" s="20" t="str">
        <f t="shared" si="74"/>
        <v>K-950x175x150</v>
      </c>
    </row>
    <row r="939" spans="1:22" ht="15">
      <c r="A939" s="88" t="s">
        <v>293</v>
      </c>
      <c r="B939" s="76" t="s">
        <v>2182</v>
      </c>
      <c r="C939" s="2">
        <v>1050</v>
      </c>
      <c r="D939" s="2">
        <v>150</v>
      </c>
      <c r="E939" s="2">
        <v>160</v>
      </c>
      <c r="F939" s="2">
        <v>140</v>
      </c>
      <c r="G939" s="21">
        <v>23.63</v>
      </c>
      <c r="H939" s="20"/>
      <c r="I939" s="20"/>
      <c r="J939" s="20"/>
      <c r="K939" s="89"/>
      <c r="L939" s="780"/>
      <c r="M939" s="20"/>
      <c r="N939" s="20"/>
      <c r="O939" s="20"/>
      <c r="P939" s="20"/>
      <c r="Q939" s="21"/>
      <c r="R939" s="22" t="s">
        <v>16</v>
      </c>
      <c r="S939" s="22">
        <v>2</v>
      </c>
      <c r="T939" s="25">
        <v>16801</v>
      </c>
      <c r="U939" s="22">
        <v>0</v>
      </c>
      <c r="V939" s="20" t="str">
        <f t="shared" si="74"/>
        <v>K-1050x160x150</v>
      </c>
    </row>
    <row r="940" spans="1:22" ht="14.25" customHeight="1">
      <c r="A940" s="88" t="s">
        <v>294</v>
      </c>
      <c r="B940" s="76" t="s">
        <v>2182</v>
      </c>
      <c r="C940" s="2">
        <v>1050</v>
      </c>
      <c r="D940" s="2">
        <v>150</v>
      </c>
      <c r="E940" s="2">
        <v>180</v>
      </c>
      <c r="F940" s="2">
        <v>120</v>
      </c>
      <c r="G940" s="21">
        <v>23.63</v>
      </c>
      <c r="H940" s="20"/>
      <c r="I940" s="20"/>
      <c r="J940" s="20"/>
      <c r="K940" s="89"/>
      <c r="L940" s="780"/>
      <c r="M940" s="20"/>
      <c r="N940" s="20"/>
      <c r="O940" s="20"/>
      <c r="P940" s="20"/>
      <c r="Q940" s="21"/>
      <c r="R940" s="22" t="s">
        <v>16</v>
      </c>
      <c r="S940" s="22">
        <v>2</v>
      </c>
      <c r="T940" s="25">
        <v>6303</v>
      </c>
      <c r="U940" s="22">
        <v>0</v>
      </c>
      <c r="V940" s="20" t="str">
        <f t="shared" si="74"/>
        <v>K-1050x180x150</v>
      </c>
    </row>
    <row r="941" spans="1:22" ht="15">
      <c r="A941" s="88" t="s">
        <v>295</v>
      </c>
      <c r="B941" s="76" t="s">
        <v>2182</v>
      </c>
      <c r="C941" s="2">
        <v>1150</v>
      </c>
      <c r="D941" s="2">
        <v>150</v>
      </c>
      <c r="E941" s="2">
        <v>160</v>
      </c>
      <c r="F941" s="2">
        <v>140</v>
      </c>
      <c r="G941" s="21">
        <v>25.58</v>
      </c>
      <c r="H941" s="20"/>
      <c r="I941" s="20"/>
      <c r="J941" s="20"/>
      <c r="K941" s="89"/>
      <c r="L941" s="780"/>
      <c r="M941" s="20"/>
      <c r="N941" s="20"/>
      <c r="O941" s="20"/>
      <c r="P941" s="20"/>
      <c r="Q941" s="21"/>
      <c r="R941" s="22" t="s">
        <v>16</v>
      </c>
      <c r="S941" s="22">
        <v>2</v>
      </c>
      <c r="T941" s="25">
        <v>18401</v>
      </c>
      <c r="U941" s="22">
        <v>0</v>
      </c>
      <c r="V941" s="20" t="str">
        <f t="shared" si="74"/>
        <v>K-1150x160x150</v>
      </c>
    </row>
    <row r="942" spans="1:22" ht="15.6" thickBot="1">
      <c r="A942" s="90" t="s">
        <v>296</v>
      </c>
      <c r="B942" s="80" t="s">
        <v>2182</v>
      </c>
      <c r="C942" s="81">
        <v>1150</v>
      </c>
      <c r="D942" s="81">
        <v>150</v>
      </c>
      <c r="E942" s="81">
        <v>180</v>
      </c>
      <c r="F942" s="81">
        <v>120</v>
      </c>
      <c r="G942" s="103">
        <v>25.58</v>
      </c>
      <c r="H942" s="82"/>
      <c r="I942" s="82"/>
      <c r="J942" s="82"/>
      <c r="K942" s="91"/>
      <c r="L942" s="781"/>
      <c r="M942" s="20"/>
      <c r="N942" s="20"/>
      <c r="O942" s="20"/>
      <c r="P942" s="20"/>
      <c r="Q942" s="21"/>
      <c r="R942" s="22" t="s">
        <v>16</v>
      </c>
      <c r="S942" s="22">
        <v>2</v>
      </c>
      <c r="T942" s="25">
        <v>6902</v>
      </c>
      <c r="U942" s="22">
        <v>0</v>
      </c>
      <c r="V942" s="20" t="str">
        <f t="shared" si="74"/>
        <v>K-1150x180x150</v>
      </c>
    </row>
    <row r="943" spans="1:22" ht="13.8" thickBot="1">
      <c r="A943" s="80"/>
      <c r="B943" s="81"/>
      <c r="C943" s="81"/>
      <c r="D943" s="81"/>
      <c r="E943" s="81"/>
      <c r="F943" s="81"/>
      <c r="G943" s="103"/>
      <c r="H943" s="82"/>
      <c r="I943" s="82"/>
      <c r="J943" s="82"/>
      <c r="K943" s="82"/>
      <c r="L943" s="372"/>
      <c r="M943" s="20"/>
      <c r="N943" s="20"/>
      <c r="O943" s="20"/>
      <c r="P943" s="20"/>
      <c r="Q943" s="21"/>
      <c r="R943" s="22"/>
      <c r="S943" s="22"/>
      <c r="T943" s="20"/>
      <c r="U943" s="22"/>
      <c r="V943" s="20"/>
    </row>
    <row r="944" spans="1:22" ht="25.2" thickBot="1">
      <c r="A944" s="64" t="s">
        <v>645</v>
      </c>
      <c r="B944" s="72"/>
      <c r="C944" s="73"/>
      <c r="D944" s="73"/>
      <c r="E944" s="73"/>
      <c r="F944" s="73"/>
      <c r="G944" s="104"/>
      <c r="H944" s="73"/>
      <c r="I944" s="73"/>
      <c r="J944" s="73"/>
      <c r="K944" s="73"/>
      <c r="L944" s="93"/>
      <c r="M944" s="20"/>
      <c r="N944" s="20"/>
      <c r="O944" s="20"/>
      <c r="P944" s="20"/>
      <c r="Q944" s="21"/>
      <c r="R944" s="22"/>
      <c r="S944" s="22"/>
      <c r="T944" s="20"/>
      <c r="U944" s="22"/>
      <c r="V944" s="20"/>
    </row>
    <row r="945" spans="1:22" ht="15" customHeight="1">
      <c r="A945" s="85" t="s">
        <v>683</v>
      </c>
      <c r="B945" s="561" t="s">
        <v>2182</v>
      </c>
      <c r="C945" s="77">
        <v>101.6</v>
      </c>
      <c r="D945" s="77">
        <v>100</v>
      </c>
      <c r="E945" s="77">
        <v>155</v>
      </c>
      <c r="F945" s="77">
        <v>145</v>
      </c>
      <c r="G945" s="86">
        <v>1.53</v>
      </c>
      <c r="H945" s="78"/>
      <c r="I945" s="78"/>
      <c r="J945" s="78"/>
      <c r="K945" s="87"/>
      <c r="L945" s="779" t="s">
        <v>653</v>
      </c>
      <c r="M945" s="20"/>
      <c r="N945" s="20"/>
      <c r="O945" s="20"/>
      <c r="P945" s="20"/>
      <c r="Q945" s="21"/>
      <c r="R945" s="22" t="s">
        <v>16</v>
      </c>
      <c r="S945" s="22">
        <v>2</v>
      </c>
      <c r="T945" s="25" t="s">
        <v>115</v>
      </c>
      <c r="U945" s="22">
        <v>0</v>
      </c>
      <c r="V945" s="20" t="str">
        <f t="shared" ref="V945:V957" si="75">B945&amp;"-"&amp;C945&amp;"x"&amp;E945&amp;"x"&amp;D945</f>
        <v>K-101,6x155x100</v>
      </c>
    </row>
    <row r="946" spans="1:22" ht="15">
      <c r="A946" s="88" t="s">
        <v>684</v>
      </c>
      <c r="B946" s="76" t="s">
        <v>2182</v>
      </c>
      <c r="C946" s="2">
        <v>101.6</v>
      </c>
      <c r="D946" s="2">
        <v>100</v>
      </c>
      <c r="E946" s="2">
        <v>165</v>
      </c>
      <c r="F946" s="2">
        <v>135</v>
      </c>
      <c r="G946" s="21">
        <v>1.53</v>
      </c>
      <c r="H946" s="20"/>
      <c r="I946" s="20"/>
      <c r="J946" s="20"/>
      <c r="K946" s="89"/>
      <c r="L946" s="780"/>
      <c r="M946" s="20"/>
      <c r="N946" s="20"/>
      <c r="O946" s="20"/>
      <c r="P946" s="20"/>
      <c r="Q946" s="21"/>
      <c r="R946" s="22" t="s">
        <v>16</v>
      </c>
      <c r="S946" s="22">
        <v>2</v>
      </c>
      <c r="T946" s="25" t="s">
        <v>116</v>
      </c>
      <c r="U946" s="22">
        <v>0</v>
      </c>
      <c r="V946" s="20" t="str">
        <f t="shared" si="75"/>
        <v>K-101,6x165x100</v>
      </c>
    </row>
    <row r="947" spans="1:22" ht="15">
      <c r="A947" s="88" t="s">
        <v>685</v>
      </c>
      <c r="B947" s="76" t="s">
        <v>2182</v>
      </c>
      <c r="C947" s="2">
        <v>127</v>
      </c>
      <c r="D947" s="2">
        <v>100</v>
      </c>
      <c r="E947" s="2">
        <v>150</v>
      </c>
      <c r="F947" s="2">
        <v>150</v>
      </c>
      <c r="G947" s="21">
        <v>1.905</v>
      </c>
      <c r="H947" s="20"/>
      <c r="I947" s="20"/>
      <c r="J947" s="20"/>
      <c r="K947" s="89"/>
      <c r="L947" s="780"/>
      <c r="M947" s="20"/>
      <c r="N947" s="20"/>
      <c r="O947" s="20"/>
      <c r="P947" s="20"/>
      <c r="Q947" s="21"/>
      <c r="R947" s="22" t="s">
        <v>16</v>
      </c>
      <c r="S947" s="22">
        <v>2</v>
      </c>
      <c r="T947" s="25" t="s">
        <v>16</v>
      </c>
      <c r="U947" s="22">
        <v>0</v>
      </c>
      <c r="V947" s="20" t="str">
        <f t="shared" si="75"/>
        <v>K-127x150x100</v>
      </c>
    </row>
    <row r="948" spans="1:22" ht="15">
      <c r="A948" s="88" t="s">
        <v>686</v>
      </c>
      <c r="B948" s="76" t="s">
        <v>2182</v>
      </c>
      <c r="C948" s="2">
        <v>127</v>
      </c>
      <c r="D948" s="2">
        <v>100</v>
      </c>
      <c r="E948" s="2">
        <v>153</v>
      </c>
      <c r="F948" s="2">
        <v>147</v>
      </c>
      <c r="G948" s="21">
        <v>1.905</v>
      </c>
      <c r="H948" s="20"/>
      <c r="I948" s="20"/>
      <c r="J948" s="20"/>
      <c r="K948" s="89"/>
      <c r="L948" s="780"/>
      <c r="M948" s="20"/>
      <c r="N948" s="20"/>
      <c r="O948" s="20"/>
      <c r="P948" s="20"/>
      <c r="Q948" s="21"/>
      <c r="R948" s="22" t="s">
        <v>16</v>
      </c>
      <c r="S948" s="22">
        <v>2</v>
      </c>
      <c r="T948" s="25">
        <v>6479</v>
      </c>
      <c r="U948" s="22">
        <v>0</v>
      </c>
      <c r="V948" s="20" t="str">
        <f t="shared" si="75"/>
        <v>K-127x153x100</v>
      </c>
    </row>
    <row r="949" spans="1:22" ht="15">
      <c r="A949" s="88" t="s">
        <v>687</v>
      </c>
      <c r="B949" s="76" t="s">
        <v>2182</v>
      </c>
      <c r="C949" s="2">
        <v>127</v>
      </c>
      <c r="D949" s="2">
        <v>100</v>
      </c>
      <c r="E949" s="2">
        <v>154</v>
      </c>
      <c r="F949" s="2">
        <v>146</v>
      </c>
      <c r="G949" s="21">
        <v>1.905</v>
      </c>
      <c r="H949" s="20"/>
      <c r="I949" s="20"/>
      <c r="J949" s="20"/>
      <c r="K949" s="89"/>
      <c r="L949" s="780"/>
      <c r="M949" s="20"/>
      <c r="N949" s="20"/>
      <c r="O949" s="20"/>
      <c r="P949" s="20"/>
      <c r="Q949" s="21"/>
      <c r="R949" s="22" t="s">
        <v>16</v>
      </c>
      <c r="S949" s="22">
        <v>2</v>
      </c>
      <c r="T949" s="25">
        <v>4892</v>
      </c>
      <c r="U949" s="22">
        <v>0</v>
      </c>
      <c r="V949" s="20" t="str">
        <f t="shared" si="75"/>
        <v>K-127x154x100</v>
      </c>
    </row>
    <row r="950" spans="1:22" ht="15">
      <c r="A950" s="88" t="s">
        <v>688</v>
      </c>
      <c r="B950" s="76" t="s">
        <v>2182</v>
      </c>
      <c r="C950" s="2">
        <v>127</v>
      </c>
      <c r="D950" s="2">
        <v>100</v>
      </c>
      <c r="E950" s="2">
        <v>160</v>
      </c>
      <c r="F950" s="2">
        <v>140</v>
      </c>
      <c r="G950" s="21">
        <v>1.905</v>
      </c>
      <c r="H950" s="20"/>
      <c r="I950" s="20"/>
      <c r="J950" s="20"/>
      <c r="K950" s="89"/>
      <c r="L950" s="780"/>
      <c r="M950" s="20"/>
      <c r="N950" s="20"/>
      <c r="O950" s="20"/>
      <c r="P950" s="20"/>
      <c r="Q950" s="21"/>
      <c r="R950" s="22" t="s">
        <v>16</v>
      </c>
      <c r="S950" s="22">
        <v>2</v>
      </c>
      <c r="T950" s="25">
        <v>2038</v>
      </c>
      <c r="U950" s="22">
        <v>0</v>
      </c>
      <c r="V950" s="20" t="str">
        <f t="shared" si="75"/>
        <v>K-127x160x100</v>
      </c>
    </row>
    <row r="951" spans="1:22" ht="15">
      <c r="A951" s="88" t="s">
        <v>689</v>
      </c>
      <c r="B951" s="76" t="s">
        <v>2182</v>
      </c>
      <c r="C951" s="2">
        <v>127</v>
      </c>
      <c r="D951" s="2">
        <v>100</v>
      </c>
      <c r="E951" s="2">
        <v>165</v>
      </c>
      <c r="F951" s="2">
        <v>135</v>
      </c>
      <c r="G951" s="21">
        <v>1.905</v>
      </c>
      <c r="H951" s="20"/>
      <c r="I951" s="20"/>
      <c r="J951" s="20"/>
      <c r="K951" s="89"/>
      <c r="L951" s="780"/>
      <c r="M951" s="20"/>
      <c r="N951" s="20"/>
      <c r="O951" s="20"/>
      <c r="P951" s="20"/>
      <c r="Q951" s="21"/>
      <c r="R951" s="22" t="s">
        <v>16</v>
      </c>
      <c r="S951" s="22">
        <v>2</v>
      </c>
      <c r="T951" s="25">
        <v>1407</v>
      </c>
      <c r="U951" s="22">
        <v>0</v>
      </c>
      <c r="V951" s="20" t="str">
        <f t="shared" si="75"/>
        <v>K-127x165x100</v>
      </c>
    </row>
    <row r="952" spans="1:22" ht="15">
      <c r="A952" s="88" t="s">
        <v>690</v>
      </c>
      <c r="B952" s="76" t="s">
        <v>2182</v>
      </c>
      <c r="C952" s="2">
        <v>127</v>
      </c>
      <c r="D952" s="2">
        <v>100</v>
      </c>
      <c r="E952" s="2">
        <v>166</v>
      </c>
      <c r="F952" s="2">
        <v>134</v>
      </c>
      <c r="G952" s="21">
        <v>1.905</v>
      </c>
      <c r="H952" s="20"/>
      <c r="I952" s="20"/>
      <c r="J952" s="20"/>
      <c r="K952" s="89"/>
      <c r="L952" s="780"/>
      <c r="M952" s="20"/>
      <c r="N952" s="20"/>
      <c r="O952" s="20"/>
      <c r="P952" s="20"/>
      <c r="Q952" s="21"/>
      <c r="R952" s="22" t="s">
        <v>16</v>
      </c>
      <c r="S952" s="22">
        <v>2</v>
      </c>
      <c r="T952" s="25">
        <v>1328</v>
      </c>
      <c r="U952" s="22">
        <v>0</v>
      </c>
      <c r="V952" s="20" t="str">
        <f t="shared" si="75"/>
        <v>K-127x166x100</v>
      </c>
    </row>
    <row r="953" spans="1:22" ht="15">
      <c r="A953" s="88" t="s">
        <v>691</v>
      </c>
      <c r="B953" s="76" t="s">
        <v>2182</v>
      </c>
      <c r="C953" s="2">
        <v>127</v>
      </c>
      <c r="D953" s="2">
        <v>100</v>
      </c>
      <c r="E953" s="2">
        <v>170</v>
      </c>
      <c r="F953" s="2">
        <v>130</v>
      </c>
      <c r="G953" s="21">
        <v>1.905</v>
      </c>
      <c r="H953" s="20"/>
      <c r="I953" s="20"/>
      <c r="J953" s="20"/>
      <c r="K953" s="89"/>
      <c r="L953" s="780"/>
      <c r="M953" s="20"/>
      <c r="N953" s="20"/>
      <c r="O953" s="20"/>
      <c r="P953" s="20"/>
      <c r="Q953" s="21"/>
      <c r="R953" s="22" t="s">
        <v>16</v>
      </c>
      <c r="S953" s="22">
        <v>2</v>
      </c>
      <c r="T953" s="25">
        <v>1093</v>
      </c>
      <c r="U953" s="22">
        <v>0</v>
      </c>
      <c r="V953" s="20" t="str">
        <f t="shared" si="75"/>
        <v>K-127x170x100</v>
      </c>
    </row>
    <row r="954" spans="1:22" ht="15">
      <c r="A954" s="88" t="s">
        <v>692</v>
      </c>
      <c r="B954" s="76" t="s">
        <v>2182</v>
      </c>
      <c r="C954" s="2">
        <v>152</v>
      </c>
      <c r="D954" s="2">
        <v>100</v>
      </c>
      <c r="E954" s="2">
        <v>150</v>
      </c>
      <c r="F954" s="2">
        <v>150</v>
      </c>
      <c r="G954" s="21">
        <v>2.2799999999999998</v>
      </c>
      <c r="H954" s="20"/>
      <c r="I954" s="20"/>
      <c r="J954" s="20"/>
      <c r="K954" s="89"/>
      <c r="L954" s="780"/>
      <c r="M954" s="20"/>
      <c r="N954" s="20"/>
      <c r="O954" s="20"/>
      <c r="P954" s="20"/>
      <c r="Q954" s="21"/>
      <c r="R954" s="22" t="s">
        <v>16</v>
      </c>
      <c r="S954" s="22">
        <v>2</v>
      </c>
      <c r="T954" s="25" t="s">
        <v>16</v>
      </c>
      <c r="U954" s="22">
        <v>0</v>
      </c>
      <c r="V954" s="20" t="str">
        <f t="shared" si="75"/>
        <v>K-152x150x100</v>
      </c>
    </row>
    <row r="955" spans="1:22" ht="15">
      <c r="A955" s="88" t="s">
        <v>693</v>
      </c>
      <c r="B955" s="76" t="s">
        <v>2182</v>
      </c>
      <c r="C955" s="2">
        <v>152</v>
      </c>
      <c r="D955" s="2">
        <v>100</v>
      </c>
      <c r="E955" s="2">
        <v>152.69999999999999</v>
      </c>
      <c r="F955" s="2">
        <v>147.30000000000001</v>
      </c>
      <c r="G955" s="21">
        <v>2.2799999999999998</v>
      </c>
      <c r="H955" s="20"/>
      <c r="I955" s="20"/>
      <c r="J955" s="20"/>
      <c r="K955" s="89"/>
      <c r="L955" s="780"/>
      <c r="M955" s="20"/>
      <c r="N955" s="20"/>
      <c r="O955" s="20"/>
      <c r="P955" s="20"/>
      <c r="Q955" s="21"/>
      <c r="R955" s="22" t="s">
        <v>16</v>
      </c>
      <c r="S955" s="22">
        <v>2</v>
      </c>
      <c r="T955" s="25">
        <v>8598</v>
      </c>
      <c r="U955" s="22">
        <v>0</v>
      </c>
      <c r="V955" s="20" t="str">
        <f t="shared" si="75"/>
        <v>K-152x152,7x100</v>
      </c>
    </row>
    <row r="956" spans="1:22" ht="15">
      <c r="A956" s="88" t="s">
        <v>694</v>
      </c>
      <c r="B956" s="76" t="s">
        <v>2182</v>
      </c>
      <c r="C956" s="2">
        <v>152</v>
      </c>
      <c r="D956" s="2">
        <v>100</v>
      </c>
      <c r="E956" s="2">
        <v>154</v>
      </c>
      <c r="F956" s="2">
        <v>146</v>
      </c>
      <c r="G956" s="21">
        <v>2.2799999999999998</v>
      </c>
      <c r="H956" s="20"/>
      <c r="I956" s="20"/>
      <c r="J956" s="20"/>
      <c r="K956" s="89"/>
      <c r="L956" s="780"/>
      <c r="M956" s="20"/>
      <c r="N956" s="20"/>
      <c r="O956" s="20"/>
      <c r="P956" s="20"/>
      <c r="Q956" s="21"/>
      <c r="R956" s="22" t="s">
        <v>16</v>
      </c>
      <c r="S956" s="22">
        <v>2</v>
      </c>
      <c r="T956" s="25">
        <v>5854</v>
      </c>
      <c r="U956" s="22">
        <v>0</v>
      </c>
      <c r="V956" s="20" t="str">
        <f t="shared" si="75"/>
        <v>K-152x154x100</v>
      </c>
    </row>
    <row r="957" spans="1:22" ht="15">
      <c r="A957" s="88" t="s">
        <v>695</v>
      </c>
      <c r="B957" s="76" t="s">
        <v>2182</v>
      </c>
      <c r="C957" s="2">
        <v>152</v>
      </c>
      <c r="D957" s="2">
        <v>100</v>
      </c>
      <c r="E957" s="2">
        <v>155</v>
      </c>
      <c r="F957" s="2">
        <v>145</v>
      </c>
      <c r="G957" s="21">
        <v>2.2799999999999998</v>
      </c>
      <c r="H957" s="20"/>
      <c r="I957" s="20"/>
      <c r="J957" s="20"/>
      <c r="K957" s="89"/>
      <c r="L957" s="780"/>
      <c r="M957" s="20"/>
      <c r="N957" s="20"/>
      <c r="O957" s="20"/>
      <c r="P957" s="20"/>
      <c r="Q957" s="21"/>
      <c r="R957" s="22" t="s">
        <v>16</v>
      </c>
      <c r="S957" s="22">
        <v>2</v>
      </c>
      <c r="T957" s="25">
        <v>4715</v>
      </c>
      <c r="U957" s="22">
        <v>0</v>
      </c>
      <c r="V957" s="20" t="str">
        <f t="shared" si="75"/>
        <v>K-152x155x100</v>
      </c>
    </row>
    <row r="958" spans="1:22" ht="15">
      <c r="A958" s="88" t="s">
        <v>696</v>
      </c>
      <c r="B958" s="76" t="s">
        <v>2182</v>
      </c>
      <c r="C958" s="2">
        <v>152</v>
      </c>
      <c r="D958" s="2">
        <v>100</v>
      </c>
      <c r="E958" s="2">
        <v>156</v>
      </c>
      <c r="F958" s="2">
        <v>144</v>
      </c>
      <c r="G958" s="21">
        <v>2.2799999999999998</v>
      </c>
      <c r="H958" s="20"/>
      <c r="I958" s="20"/>
      <c r="J958" s="20"/>
      <c r="K958" s="89"/>
      <c r="L958" s="780"/>
      <c r="M958" s="20"/>
      <c r="N958" s="20"/>
      <c r="O958" s="20"/>
      <c r="P958" s="20"/>
      <c r="Q958" s="21"/>
      <c r="R958" s="22" t="s">
        <v>16</v>
      </c>
      <c r="S958" s="22">
        <v>2</v>
      </c>
      <c r="T958" s="25">
        <v>3955</v>
      </c>
      <c r="U958" s="22"/>
      <c r="V958" s="20"/>
    </row>
    <row r="959" spans="1:22" ht="15">
      <c r="A959" s="88" t="s">
        <v>697</v>
      </c>
      <c r="B959" s="76" t="s">
        <v>2182</v>
      </c>
      <c r="C959" s="2">
        <v>152</v>
      </c>
      <c r="D959" s="2">
        <v>100</v>
      </c>
      <c r="E959" s="2">
        <v>156.5</v>
      </c>
      <c r="F959" s="2">
        <v>143.5</v>
      </c>
      <c r="G959" s="21">
        <v>2.2799999999999998</v>
      </c>
      <c r="H959" s="20"/>
      <c r="I959" s="20"/>
      <c r="J959" s="20"/>
      <c r="K959" s="89"/>
      <c r="L959" s="780"/>
      <c r="M959" s="20"/>
      <c r="N959" s="20"/>
      <c r="O959" s="20"/>
      <c r="P959" s="20"/>
      <c r="Q959" s="21"/>
      <c r="R959" s="22" t="s">
        <v>16</v>
      </c>
      <c r="S959" s="22">
        <v>2</v>
      </c>
      <c r="T959" s="25">
        <v>3663</v>
      </c>
      <c r="U959" s="22">
        <v>0</v>
      </c>
      <c r="V959" s="20" t="str">
        <f t="shared" ref="V959:V989" si="76">B959&amp;"-"&amp;C959&amp;"x"&amp;E959&amp;"x"&amp;D959</f>
        <v>K-152x156,5x100</v>
      </c>
    </row>
    <row r="960" spans="1:22" ht="15">
      <c r="A960" s="88" t="s">
        <v>698</v>
      </c>
      <c r="B960" s="76" t="s">
        <v>2182</v>
      </c>
      <c r="C960" s="2">
        <v>152</v>
      </c>
      <c r="D960" s="2">
        <v>100</v>
      </c>
      <c r="E960" s="2">
        <v>160</v>
      </c>
      <c r="F960" s="2">
        <v>140</v>
      </c>
      <c r="G960" s="21">
        <v>2.2799999999999998</v>
      </c>
      <c r="H960" s="20"/>
      <c r="I960" s="20"/>
      <c r="J960" s="20"/>
      <c r="K960" s="89"/>
      <c r="L960" s="780"/>
      <c r="M960" s="20"/>
      <c r="N960" s="20"/>
      <c r="O960" s="20"/>
      <c r="P960" s="20"/>
      <c r="Q960" s="21"/>
      <c r="R960" s="22" t="s">
        <v>16</v>
      </c>
      <c r="S960" s="22">
        <v>2</v>
      </c>
      <c r="T960" s="25">
        <v>2437</v>
      </c>
      <c r="U960" s="22">
        <v>0</v>
      </c>
      <c r="V960" s="20" t="str">
        <f t="shared" si="76"/>
        <v>K-152x160x100</v>
      </c>
    </row>
    <row r="961" spans="1:22" ht="15">
      <c r="A961" s="88" t="s">
        <v>699</v>
      </c>
      <c r="B961" s="76" t="s">
        <v>2182</v>
      </c>
      <c r="C961" s="2">
        <v>152</v>
      </c>
      <c r="D961" s="2">
        <v>100</v>
      </c>
      <c r="E961" s="2">
        <v>162.69999999999999</v>
      </c>
      <c r="F961" s="2">
        <v>137.30000000000001</v>
      </c>
      <c r="G961" s="21">
        <v>2.2799999999999998</v>
      </c>
      <c r="H961" s="20"/>
      <c r="I961" s="20"/>
      <c r="J961" s="20"/>
      <c r="K961" s="89"/>
      <c r="L961" s="780"/>
      <c r="M961" s="20"/>
      <c r="N961" s="20"/>
      <c r="O961" s="20"/>
      <c r="P961" s="20"/>
      <c r="Q961" s="21"/>
      <c r="R961" s="22" t="s">
        <v>16</v>
      </c>
      <c r="S961" s="22">
        <v>2</v>
      </c>
      <c r="T961" s="25">
        <v>1954</v>
      </c>
      <c r="U961" s="22">
        <v>0</v>
      </c>
      <c r="V961" s="20" t="str">
        <f t="shared" si="76"/>
        <v>K-152x162,7x100</v>
      </c>
    </row>
    <row r="962" spans="1:22" ht="15">
      <c r="A962" s="88" t="s">
        <v>700</v>
      </c>
      <c r="B962" s="76" t="s">
        <v>2182</v>
      </c>
      <c r="C962" s="2">
        <v>152</v>
      </c>
      <c r="D962" s="2">
        <v>100</v>
      </c>
      <c r="E962" s="2">
        <v>165</v>
      </c>
      <c r="F962" s="2">
        <v>135</v>
      </c>
      <c r="G962" s="21">
        <v>2.2799999999999998</v>
      </c>
      <c r="H962" s="20"/>
      <c r="I962" s="20"/>
      <c r="J962" s="20"/>
      <c r="K962" s="89"/>
      <c r="L962" s="780"/>
      <c r="M962" s="20"/>
      <c r="N962" s="20"/>
      <c r="O962" s="20"/>
      <c r="P962" s="20"/>
      <c r="Q962" s="21"/>
      <c r="R962" s="22" t="s">
        <v>16</v>
      </c>
      <c r="S962" s="22">
        <v>2</v>
      </c>
      <c r="T962" s="25">
        <v>1680</v>
      </c>
      <c r="U962" s="22">
        <v>0</v>
      </c>
      <c r="V962" s="20" t="str">
        <f t="shared" si="76"/>
        <v>K-152x165x100</v>
      </c>
    </row>
    <row r="963" spans="1:22" ht="15">
      <c r="A963" s="88" t="s">
        <v>701</v>
      </c>
      <c r="B963" s="76" t="s">
        <v>2182</v>
      </c>
      <c r="C963" s="2">
        <v>152</v>
      </c>
      <c r="D963" s="2">
        <v>100</v>
      </c>
      <c r="E963" s="2">
        <v>170</v>
      </c>
      <c r="F963" s="2">
        <v>130</v>
      </c>
      <c r="G963" s="21">
        <v>2.2799999999999998</v>
      </c>
      <c r="H963" s="20"/>
      <c r="I963" s="20"/>
      <c r="J963" s="20"/>
      <c r="K963" s="89"/>
      <c r="L963" s="780"/>
      <c r="M963" s="20"/>
      <c r="N963" s="20"/>
      <c r="O963" s="20"/>
      <c r="P963" s="20"/>
      <c r="Q963" s="21"/>
      <c r="R963" s="22" t="s">
        <v>16</v>
      </c>
      <c r="S963" s="22">
        <v>2</v>
      </c>
      <c r="T963" s="25">
        <v>1303</v>
      </c>
      <c r="U963" s="22">
        <v>0</v>
      </c>
      <c r="V963" s="20" t="str">
        <f t="shared" si="76"/>
        <v>K-152x170x100</v>
      </c>
    </row>
    <row r="964" spans="1:22" ht="15">
      <c r="A964" s="88" t="s">
        <v>702</v>
      </c>
      <c r="B964" s="76" t="s">
        <v>2182</v>
      </c>
      <c r="C964" s="2">
        <v>178</v>
      </c>
      <c r="D964" s="2">
        <v>100</v>
      </c>
      <c r="E964" s="2">
        <v>154</v>
      </c>
      <c r="F964" s="2">
        <v>146</v>
      </c>
      <c r="G964" s="21">
        <v>2.67</v>
      </c>
      <c r="H964" s="20"/>
      <c r="I964" s="20"/>
      <c r="J964" s="20"/>
      <c r="K964" s="89"/>
      <c r="L964" s="780"/>
      <c r="M964" s="20"/>
      <c r="N964" s="20"/>
      <c r="O964" s="20"/>
      <c r="P964" s="20"/>
      <c r="Q964" s="21"/>
      <c r="R964" s="22" t="s">
        <v>16</v>
      </c>
      <c r="S964" s="22">
        <v>2</v>
      </c>
      <c r="T964" s="25">
        <v>6855</v>
      </c>
      <c r="U964" s="22">
        <v>0</v>
      </c>
      <c r="V964" s="20" t="str">
        <f t="shared" si="76"/>
        <v>K-178x154x100</v>
      </c>
    </row>
    <row r="965" spans="1:22" ht="15">
      <c r="A965" s="88" t="s">
        <v>703</v>
      </c>
      <c r="B965" s="76" t="s">
        <v>2182</v>
      </c>
      <c r="C965" s="2">
        <v>178</v>
      </c>
      <c r="D965" s="2">
        <v>100</v>
      </c>
      <c r="E965" s="2">
        <v>155</v>
      </c>
      <c r="F965" s="2">
        <v>145</v>
      </c>
      <c r="G965" s="21">
        <v>2.67</v>
      </c>
      <c r="H965" s="20"/>
      <c r="I965" s="20"/>
      <c r="J965" s="20"/>
      <c r="K965" s="89"/>
      <c r="L965" s="780"/>
      <c r="M965" s="20"/>
      <c r="N965" s="20"/>
      <c r="O965" s="20"/>
      <c r="P965" s="20"/>
      <c r="Q965" s="21"/>
      <c r="R965" s="22" t="s">
        <v>16</v>
      </c>
      <c r="S965" s="22">
        <v>2</v>
      </c>
      <c r="T965" s="25">
        <v>5520</v>
      </c>
      <c r="U965" s="22">
        <v>0</v>
      </c>
      <c r="V965" s="20" t="str">
        <f t="shared" si="76"/>
        <v>K-178x155x100</v>
      </c>
    </row>
    <row r="966" spans="1:22" ht="15">
      <c r="A966" s="88" t="s">
        <v>704</v>
      </c>
      <c r="B966" s="76" t="s">
        <v>2182</v>
      </c>
      <c r="C966" s="2">
        <v>178</v>
      </c>
      <c r="D966" s="2">
        <v>100</v>
      </c>
      <c r="E966" s="2">
        <v>159</v>
      </c>
      <c r="F966" s="2">
        <v>141</v>
      </c>
      <c r="G966" s="21">
        <v>2.67</v>
      </c>
      <c r="H966" s="20"/>
      <c r="I966" s="20"/>
      <c r="J966" s="20"/>
      <c r="K966" s="89"/>
      <c r="L966" s="780"/>
      <c r="M966" s="20"/>
      <c r="N966" s="20"/>
      <c r="O966" s="20"/>
      <c r="P966" s="20"/>
      <c r="Q966" s="21"/>
      <c r="R966" s="22" t="s">
        <v>16</v>
      </c>
      <c r="S966" s="22">
        <v>2</v>
      </c>
      <c r="T966" s="25">
        <v>3149</v>
      </c>
      <c r="U966" s="22">
        <v>0</v>
      </c>
      <c r="V966" s="20" t="str">
        <f t="shared" si="76"/>
        <v>K-178x159x100</v>
      </c>
    </row>
    <row r="967" spans="1:22" ht="15">
      <c r="A967" s="88" t="s">
        <v>705</v>
      </c>
      <c r="B967" s="76" t="s">
        <v>2182</v>
      </c>
      <c r="C967" s="2">
        <v>178</v>
      </c>
      <c r="D967" s="2">
        <v>100</v>
      </c>
      <c r="E967" s="2">
        <v>160</v>
      </c>
      <c r="F967" s="2">
        <v>140</v>
      </c>
      <c r="G967" s="21">
        <v>2.67</v>
      </c>
      <c r="H967" s="20"/>
      <c r="I967" s="20"/>
      <c r="J967" s="20"/>
      <c r="K967" s="89"/>
      <c r="L967" s="780"/>
      <c r="M967" s="20"/>
      <c r="N967" s="20"/>
      <c r="O967" s="20"/>
      <c r="P967" s="20"/>
      <c r="Q967" s="21"/>
      <c r="R967" s="22" t="s">
        <v>16</v>
      </c>
      <c r="S967" s="22">
        <v>2</v>
      </c>
      <c r="T967" s="25">
        <v>2852</v>
      </c>
      <c r="U967" s="22">
        <v>0</v>
      </c>
      <c r="V967" s="20" t="str">
        <f t="shared" si="76"/>
        <v>K-178x160x100</v>
      </c>
    </row>
    <row r="968" spans="1:22" ht="15">
      <c r="A968" s="88" t="s">
        <v>706</v>
      </c>
      <c r="B968" s="76" t="s">
        <v>2182</v>
      </c>
      <c r="C968" s="2">
        <v>178</v>
      </c>
      <c r="D968" s="2">
        <v>100</v>
      </c>
      <c r="E968" s="2">
        <v>165</v>
      </c>
      <c r="F968" s="2">
        <v>135</v>
      </c>
      <c r="G968" s="21">
        <v>2.67</v>
      </c>
      <c r="H968" s="20"/>
      <c r="I968" s="20"/>
      <c r="J968" s="20"/>
      <c r="K968" s="89"/>
      <c r="L968" s="780"/>
      <c r="M968" s="20"/>
      <c r="N968" s="20"/>
      <c r="O968" s="20"/>
      <c r="P968" s="20"/>
      <c r="Q968" s="21"/>
      <c r="R968" s="22" t="s">
        <v>16</v>
      </c>
      <c r="S968" s="22">
        <v>2</v>
      </c>
      <c r="T968" s="25">
        <v>1965</v>
      </c>
      <c r="U968" s="22">
        <v>0</v>
      </c>
      <c r="V968" s="20" t="str">
        <f t="shared" si="76"/>
        <v>K-178x165x100</v>
      </c>
    </row>
    <row r="969" spans="1:22" ht="15">
      <c r="A969" s="88" t="s">
        <v>707</v>
      </c>
      <c r="B969" s="76" t="s">
        <v>2182</v>
      </c>
      <c r="C969" s="2">
        <v>178</v>
      </c>
      <c r="D969" s="2">
        <v>100</v>
      </c>
      <c r="E969" s="2">
        <v>170</v>
      </c>
      <c r="F969" s="2">
        <v>130</v>
      </c>
      <c r="G969" s="21">
        <v>2.67</v>
      </c>
      <c r="H969" s="20"/>
      <c r="I969" s="20"/>
      <c r="J969" s="20"/>
      <c r="K969" s="89"/>
      <c r="L969" s="780"/>
      <c r="M969" s="20"/>
      <c r="N969" s="20"/>
      <c r="O969" s="20"/>
      <c r="P969" s="20"/>
      <c r="Q969" s="21"/>
      <c r="R969" s="22" t="s">
        <v>16</v>
      </c>
      <c r="S969" s="22">
        <v>2</v>
      </c>
      <c r="T969" s="25">
        <v>1523</v>
      </c>
      <c r="U969" s="22">
        <v>0</v>
      </c>
      <c r="V969" s="20" t="str">
        <f t="shared" si="76"/>
        <v>K-178x170x100</v>
      </c>
    </row>
    <row r="970" spans="1:22" ht="15">
      <c r="A970" s="88" t="s">
        <v>708</v>
      </c>
      <c r="B970" s="76" t="s">
        <v>2182</v>
      </c>
      <c r="C970" s="2">
        <v>203</v>
      </c>
      <c r="D970" s="2">
        <v>100</v>
      </c>
      <c r="E970" s="2">
        <v>150</v>
      </c>
      <c r="F970" s="2">
        <v>150</v>
      </c>
      <c r="G970" s="21">
        <v>3.0449999999999999</v>
      </c>
      <c r="H970" s="20"/>
      <c r="I970" s="20"/>
      <c r="J970" s="20"/>
      <c r="K970" s="89"/>
      <c r="L970" s="780"/>
      <c r="M970" s="20"/>
      <c r="N970" s="20"/>
      <c r="O970" s="20"/>
      <c r="P970" s="20"/>
      <c r="Q970" s="21"/>
      <c r="R970" s="22" t="s">
        <v>16</v>
      </c>
      <c r="S970" s="22">
        <v>2</v>
      </c>
      <c r="T970" s="25" t="s">
        <v>16</v>
      </c>
      <c r="U970" s="22">
        <v>0</v>
      </c>
      <c r="V970" s="20" t="str">
        <f t="shared" si="76"/>
        <v>K-203x150x100</v>
      </c>
    </row>
    <row r="971" spans="1:22" ht="15">
      <c r="A971" s="88" t="s">
        <v>709</v>
      </c>
      <c r="B971" s="76" t="s">
        <v>2182</v>
      </c>
      <c r="C971" s="2">
        <v>203</v>
      </c>
      <c r="D971" s="2">
        <v>100</v>
      </c>
      <c r="E971" s="2">
        <v>154</v>
      </c>
      <c r="F971" s="2">
        <v>146</v>
      </c>
      <c r="G971" s="21">
        <v>3.0449999999999999</v>
      </c>
      <c r="H971" s="20"/>
      <c r="I971" s="20"/>
      <c r="J971" s="20"/>
      <c r="K971" s="89"/>
      <c r="L971" s="780"/>
      <c r="M971" s="20"/>
      <c r="N971" s="20"/>
      <c r="O971" s="20"/>
      <c r="P971" s="20"/>
      <c r="Q971" s="21"/>
      <c r="R971" s="22" t="s">
        <v>16</v>
      </c>
      <c r="S971" s="22">
        <v>2</v>
      </c>
      <c r="T971" s="25">
        <v>7917</v>
      </c>
      <c r="U971" s="22">
        <v>0</v>
      </c>
      <c r="V971" s="20" t="str">
        <f t="shared" si="76"/>
        <v>K-203x154x100</v>
      </c>
    </row>
    <row r="972" spans="1:22" ht="15">
      <c r="A972" s="88" t="s">
        <v>710</v>
      </c>
      <c r="B972" s="76" t="s">
        <v>2182</v>
      </c>
      <c r="C972" s="2">
        <v>203</v>
      </c>
      <c r="D972" s="2">
        <v>100</v>
      </c>
      <c r="E972" s="2">
        <v>155</v>
      </c>
      <c r="F972" s="2">
        <v>145</v>
      </c>
      <c r="G972" s="21">
        <v>3.0449999999999999</v>
      </c>
      <c r="H972" s="20"/>
      <c r="I972" s="20"/>
      <c r="J972" s="20"/>
      <c r="K972" s="89"/>
      <c r="L972" s="780"/>
      <c r="M972" s="20"/>
      <c r="N972" s="20"/>
      <c r="O972" s="20"/>
      <c r="P972" s="20"/>
      <c r="Q972" s="21"/>
      <c r="R972" s="22" t="s">
        <v>16</v>
      </c>
      <c r="S972" s="22">
        <v>2</v>
      </c>
      <c r="T972" s="25">
        <v>6295</v>
      </c>
      <c r="U972" s="22">
        <v>0</v>
      </c>
      <c r="V972" s="20" t="str">
        <f t="shared" si="76"/>
        <v>K-203x155x100</v>
      </c>
    </row>
    <row r="973" spans="1:22" ht="15">
      <c r="A973" s="88" t="s">
        <v>711</v>
      </c>
      <c r="B973" s="76" t="s">
        <v>2182</v>
      </c>
      <c r="C973" s="2">
        <v>203</v>
      </c>
      <c r="D973" s="2">
        <v>100</v>
      </c>
      <c r="E973" s="2">
        <v>159.5</v>
      </c>
      <c r="F973" s="2">
        <v>140.5</v>
      </c>
      <c r="G973" s="21">
        <v>3.0449999999999999</v>
      </c>
      <c r="H973" s="20"/>
      <c r="I973" s="20"/>
      <c r="J973" s="20"/>
      <c r="K973" s="89"/>
      <c r="L973" s="780"/>
      <c r="M973" s="20"/>
      <c r="N973" s="20"/>
      <c r="O973" s="20"/>
      <c r="P973" s="20"/>
      <c r="Q973" s="21"/>
      <c r="R973" s="22" t="s">
        <v>16</v>
      </c>
      <c r="S973" s="22">
        <v>2</v>
      </c>
      <c r="T973" s="25">
        <v>3412</v>
      </c>
      <c r="U973" s="22">
        <v>0</v>
      </c>
      <c r="V973" s="20" t="str">
        <f t="shared" si="76"/>
        <v>K-203x159,5x100</v>
      </c>
    </row>
    <row r="974" spans="1:22" ht="15">
      <c r="A974" s="88" t="s">
        <v>712</v>
      </c>
      <c r="B974" s="76" t="s">
        <v>2182</v>
      </c>
      <c r="C974" s="2">
        <v>203</v>
      </c>
      <c r="D974" s="2">
        <v>100</v>
      </c>
      <c r="E974" s="2">
        <v>160</v>
      </c>
      <c r="F974" s="2">
        <v>140</v>
      </c>
      <c r="G974" s="21">
        <v>3.0449999999999999</v>
      </c>
      <c r="H974" s="20"/>
      <c r="I974" s="20"/>
      <c r="J974" s="20"/>
      <c r="K974" s="89"/>
      <c r="L974" s="780"/>
      <c r="M974" s="20"/>
      <c r="N974" s="20"/>
      <c r="O974" s="20"/>
      <c r="P974" s="20"/>
      <c r="Q974" s="21"/>
      <c r="R974" s="22" t="s">
        <v>16</v>
      </c>
      <c r="S974" s="22">
        <v>2</v>
      </c>
      <c r="T974" s="25">
        <v>3252</v>
      </c>
      <c r="U974" s="22">
        <v>0</v>
      </c>
      <c r="V974" s="20" t="str">
        <f t="shared" si="76"/>
        <v>K-203x160x100</v>
      </c>
    </row>
    <row r="975" spans="1:22" ht="15">
      <c r="A975" s="88" t="s">
        <v>713</v>
      </c>
      <c r="B975" s="76" t="s">
        <v>2182</v>
      </c>
      <c r="C975" s="2">
        <v>203</v>
      </c>
      <c r="D975" s="2">
        <v>100</v>
      </c>
      <c r="E975" s="2">
        <v>165</v>
      </c>
      <c r="F975" s="2">
        <v>135</v>
      </c>
      <c r="G975" s="21">
        <v>3.0449999999999999</v>
      </c>
      <c r="H975" s="20"/>
      <c r="I975" s="20"/>
      <c r="J975" s="20"/>
      <c r="K975" s="89"/>
      <c r="L975" s="780"/>
      <c r="M975" s="20"/>
      <c r="N975" s="20"/>
      <c r="O975" s="20"/>
      <c r="P975" s="20"/>
      <c r="Q975" s="21"/>
      <c r="R975" s="22" t="s">
        <v>16</v>
      </c>
      <c r="S975" s="22">
        <v>2</v>
      </c>
      <c r="T975" s="25">
        <v>2239</v>
      </c>
      <c r="U975" s="22">
        <v>0</v>
      </c>
      <c r="V975" s="20" t="str">
        <f t="shared" si="76"/>
        <v>K-203x165x100</v>
      </c>
    </row>
    <row r="976" spans="1:22" ht="15">
      <c r="A976" s="88" t="s">
        <v>714</v>
      </c>
      <c r="B976" s="76" t="s">
        <v>2182</v>
      </c>
      <c r="C976" s="2">
        <v>203</v>
      </c>
      <c r="D976" s="2">
        <v>100</v>
      </c>
      <c r="E976" s="2">
        <v>170</v>
      </c>
      <c r="F976" s="2">
        <v>130</v>
      </c>
      <c r="G976" s="21">
        <v>3.0449999999999999</v>
      </c>
      <c r="H976" s="20"/>
      <c r="I976" s="20"/>
      <c r="J976" s="20"/>
      <c r="K976" s="89"/>
      <c r="L976" s="780"/>
      <c r="M976" s="20"/>
      <c r="N976" s="20"/>
      <c r="O976" s="20"/>
      <c r="P976" s="20"/>
      <c r="Q976" s="21"/>
      <c r="R976" s="22" t="s">
        <v>16</v>
      </c>
      <c r="S976" s="22">
        <v>2</v>
      </c>
      <c r="T976" s="25">
        <v>1734</v>
      </c>
      <c r="U976" s="22">
        <v>0</v>
      </c>
      <c r="V976" s="20" t="str">
        <f t="shared" si="76"/>
        <v>K-203x170x100</v>
      </c>
    </row>
    <row r="977" spans="1:22" ht="15">
      <c r="A977" s="88" t="s">
        <v>715</v>
      </c>
      <c r="B977" s="76" t="s">
        <v>2182</v>
      </c>
      <c r="C977" s="2">
        <v>203</v>
      </c>
      <c r="D977" s="2">
        <v>100</v>
      </c>
      <c r="E977" s="2">
        <v>172.2</v>
      </c>
      <c r="F977" s="2">
        <v>127.8</v>
      </c>
      <c r="G977" s="21">
        <v>3.0449999999999999</v>
      </c>
      <c r="H977" s="20"/>
      <c r="I977" s="20"/>
      <c r="J977" s="20"/>
      <c r="K977" s="89"/>
      <c r="L977" s="780"/>
      <c r="M977" s="20"/>
      <c r="N977" s="20"/>
      <c r="O977" s="20"/>
      <c r="P977" s="20"/>
      <c r="Q977" s="21"/>
      <c r="R977" s="22" t="s">
        <v>16</v>
      </c>
      <c r="S977" s="22">
        <v>2</v>
      </c>
      <c r="T977" s="25">
        <v>1584</v>
      </c>
      <c r="U977" s="22">
        <v>0</v>
      </c>
      <c r="V977" s="20" t="str">
        <f t="shared" si="76"/>
        <v>K-203x172,2x100</v>
      </c>
    </row>
    <row r="978" spans="1:22" ht="15">
      <c r="A978" s="88" t="s">
        <v>716</v>
      </c>
      <c r="B978" s="76" t="s">
        <v>2182</v>
      </c>
      <c r="C978" s="2">
        <v>229</v>
      </c>
      <c r="D978" s="2">
        <v>100</v>
      </c>
      <c r="E978" s="2">
        <v>150</v>
      </c>
      <c r="F978" s="2">
        <v>150</v>
      </c>
      <c r="G978" s="21">
        <v>3.4350000000000001</v>
      </c>
      <c r="H978" s="20"/>
      <c r="I978" s="20"/>
      <c r="J978" s="20"/>
      <c r="K978" s="89"/>
      <c r="L978" s="780"/>
      <c r="M978" s="20"/>
      <c r="N978" s="20"/>
      <c r="O978" s="20"/>
      <c r="P978" s="20"/>
      <c r="Q978" s="21"/>
      <c r="R978" s="22" t="s">
        <v>16</v>
      </c>
      <c r="S978" s="22">
        <v>2</v>
      </c>
      <c r="T978" s="25" t="s">
        <v>16</v>
      </c>
      <c r="U978" s="22">
        <v>0</v>
      </c>
      <c r="V978" s="20" t="str">
        <f t="shared" si="76"/>
        <v>K-229x150x100</v>
      </c>
    </row>
    <row r="979" spans="1:22" ht="15">
      <c r="A979" s="88" t="s">
        <v>717</v>
      </c>
      <c r="B979" s="76" t="s">
        <v>2182</v>
      </c>
      <c r="C979" s="2">
        <v>229</v>
      </c>
      <c r="D979" s="2">
        <v>100</v>
      </c>
      <c r="E979" s="2">
        <v>154</v>
      </c>
      <c r="F979" s="2">
        <v>146</v>
      </c>
      <c r="G979" s="21">
        <v>3.4350000000000001</v>
      </c>
      <c r="H979" s="20"/>
      <c r="I979" s="20"/>
      <c r="J979" s="20"/>
      <c r="K979" s="89"/>
      <c r="L979" s="780"/>
      <c r="M979" s="20"/>
      <c r="N979" s="20"/>
      <c r="O979" s="20"/>
      <c r="P979" s="20"/>
      <c r="Q979" s="21"/>
      <c r="R979" s="22" t="s">
        <v>16</v>
      </c>
      <c r="S979" s="22">
        <v>2</v>
      </c>
      <c r="T979" s="25">
        <v>8818</v>
      </c>
      <c r="U979" s="22">
        <v>0</v>
      </c>
      <c r="V979" s="20" t="str">
        <f t="shared" si="76"/>
        <v>K-229x154x100</v>
      </c>
    </row>
    <row r="980" spans="1:22" ht="15">
      <c r="A980" s="88" t="s">
        <v>718</v>
      </c>
      <c r="B980" s="76" t="s">
        <v>2182</v>
      </c>
      <c r="C980" s="2">
        <v>229</v>
      </c>
      <c r="D980" s="2">
        <v>100</v>
      </c>
      <c r="E980" s="2">
        <v>158</v>
      </c>
      <c r="F980" s="2">
        <v>142</v>
      </c>
      <c r="G980" s="21">
        <v>3.4350000000000001</v>
      </c>
      <c r="H980" s="20"/>
      <c r="I980" s="20"/>
      <c r="J980" s="20"/>
      <c r="K980" s="89"/>
      <c r="L980" s="780"/>
      <c r="M980" s="20"/>
      <c r="N980" s="20"/>
      <c r="O980" s="20"/>
      <c r="P980" s="20"/>
      <c r="Q980" s="21"/>
      <c r="R980" s="22" t="s">
        <v>16</v>
      </c>
      <c r="S980" s="22">
        <v>2</v>
      </c>
      <c r="T980" s="25">
        <v>4526</v>
      </c>
      <c r="U980" s="22">
        <v>0</v>
      </c>
      <c r="V980" s="20" t="str">
        <f t="shared" si="76"/>
        <v>K-229x158x100</v>
      </c>
    </row>
    <row r="981" spans="1:22" ht="15">
      <c r="A981" s="88" t="s">
        <v>719</v>
      </c>
      <c r="B981" s="76" t="s">
        <v>2182</v>
      </c>
      <c r="C981" s="2">
        <v>229</v>
      </c>
      <c r="D981" s="2">
        <v>100</v>
      </c>
      <c r="E981" s="2">
        <v>165</v>
      </c>
      <c r="F981" s="2">
        <v>135</v>
      </c>
      <c r="G981" s="21">
        <v>3.4350000000000001</v>
      </c>
      <c r="H981" s="20"/>
      <c r="I981" s="20"/>
      <c r="J981" s="20"/>
      <c r="K981" s="89"/>
      <c r="L981" s="780"/>
      <c r="M981" s="20"/>
      <c r="N981" s="20"/>
      <c r="O981" s="20"/>
      <c r="P981" s="20"/>
      <c r="Q981" s="21"/>
      <c r="R981" s="22" t="s">
        <v>16</v>
      </c>
      <c r="S981" s="22">
        <v>2</v>
      </c>
      <c r="T981" s="25">
        <v>2524</v>
      </c>
      <c r="U981" s="22">
        <v>0</v>
      </c>
      <c r="V981" s="20" t="str">
        <f t="shared" si="76"/>
        <v>K-229x165x100</v>
      </c>
    </row>
    <row r="982" spans="1:22" ht="15">
      <c r="A982" s="88" t="s">
        <v>720</v>
      </c>
      <c r="B982" s="76" t="s">
        <v>2182</v>
      </c>
      <c r="C982" s="2">
        <v>229</v>
      </c>
      <c r="D982" s="2">
        <v>100</v>
      </c>
      <c r="E982" s="2">
        <v>175</v>
      </c>
      <c r="F982" s="2">
        <v>125</v>
      </c>
      <c r="G982" s="21">
        <v>3.4350000000000001</v>
      </c>
      <c r="H982" s="20"/>
      <c r="I982" s="20"/>
      <c r="J982" s="20"/>
      <c r="K982" s="89"/>
      <c r="L982" s="780"/>
      <c r="M982" s="20"/>
      <c r="N982" s="20"/>
      <c r="O982" s="20"/>
      <c r="P982" s="20"/>
      <c r="Q982" s="21"/>
      <c r="R982" s="22" t="s">
        <v>16</v>
      </c>
      <c r="S982" s="22">
        <v>2</v>
      </c>
      <c r="T982" s="26">
        <v>1613</v>
      </c>
      <c r="U982" s="22">
        <v>0</v>
      </c>
      <c r="V982" s="20" t="str">
        <f t="shared" si="76"/>
        <v>K-229x175x100</v>
      </c>
    </row>
    <row r="983" spans="1:22" ht="15">
      <c r="A983" s="88" t="s">
        <v>721</v>
      </c>
      <c r="B983" s="76" t="s">
        <v>2182</v>
      </c>
      <c r="C983" s="2">
        <v>178</v>
      </c>
      <c r="D983" s="2">
        <v>100</v>
      </c>
      <c r="E983" s="2">
        <v>110</v>
      </c>
      <c r="F983" s="2">
        <v>90</v>
      </c>
      <c r="G983" s="21">
        <v>1.78</v>
      </c>
      <c r="H983" s="20"/>
      <c r="I983" s="20"/>
      <c r="J983" s="20"/>
      <c r="K983" s="89"/>
      <c r="L983" s="780"/>
      <c r="M983" s="20"/>
      <c r="N983" s="20"/>
      <c r="O983" s="20"/>
      <c r="P983" s="20"/>
      <c r="Q983" s="21"/>
      <c r="R983" s="22" t="s">
        <v>16</v>
      </c>
      <c r="S983" s="22">
        <v>2</v>
      </c>
      <c r="T983" s="27">
        <v>1961</v>
      </c>
      <c r="U983" s="22">
        <v>0</v>
      </c>
      <c r="V983" s="20" t="str">
        <f t="shared" si="76"/>
        <v>K-178x110x100</v>
      </c>
    </row>
    <row r="984" spans="1:22" ht="15">
      <c r="A984" s="88" t="s">
        <v>722</v>
      </c>
      <c r="B984" s="76" t="s">
        <v>2182</v>
      </c>
      <c r="C984" s="2">
        <v>178</v>
      </c>
      <c r="D984" s="2">
        <v>100</v>
      </c>
      <c r="E984" s="2">
        <v>122.5</v>
      </c>
      <c r="F984" s="2">
        <v>102.5</v>
      </c>
      <c r="G984" s="21">
        <v>2.0030000000000001</v>
      </c>
      <c r="H984" s="20"/>
      <c r="I984" s="20"/>
      <c r="J984" s="20"/>
      <c r="K984" s="89"/>
      <c r="L984" s="780"/>
      <c r="M984" s="20"/>
      <c r="N984" s="20"/>
      <c r="O984" s="20"/>
      <c r="P984" s="20"/>
      <c r="Q984" s="21"/>
      <c r="R984" s="22" t="s">
        <v>16</v>
      </c>
      <c r="S984" s="22">
        <v>2</v>
      </c>
      <c r="T984" s="25">
        <v>2184</v>
      </c>
      <c r="U984" s="22">
        <v>0</v>
      </c>
      <c r="V984" s="20" t="str">
        <f t="shared" si="76"/>
        <v>K-178x122,5x100</v>
      </c>
    </row>
    <row r="985" spans="1:22" ht="15">
      <c r="A985" s="88" t="s">
        <v>723</v>
      </c>
      <c r="B985" s="76" t="s">
        <v>2182</v>
      </c>
      <c r="C985" s="2">
        <v>203</v>
      </c>
      <c r="D985" s="2">
        <v>100</v>
      </c>
      <c r="E985" s="2">
        <v>104</v>
      </c>
      <c r="F985" s="2">
        <v>96</v>
      </c>
      <c r="G985" s="21">
        <v>2.0299999999999998</v>
      </c>
      <c r="H985" s="20"/>
      <c r="I985" s="20"/>
      <c r="J985" s="20"/>
      <c r="K985" s="89"/>
      <c r="L985" s="780"/>
      <c r="M985" s="20"/>
      <c r="N985" s="20"/>
      <c r="O985" s="20"/>
      <c r="P985" s="20"/>
      <c r="Q985" s="21"/>
      <c r="R985" s="22" t="s">
        <v>16</v>
      </c>
      <c r="S985" s="22">
        <v>2</v>
      </c>
      <c r="T985" s="25">
        <v>5279</v>
      </c>
      <c r="U985" s="22">
        <v>0</v>
      </c>
      <c r="V985" s="20" t="str">
        <f t="shared" si="76"/>
        <v>K-203x104x100</v>
      </c>
    </row>
    <row r="986" spans="1:22" ht="14.25" customHeight="1">
      <c r="A986" s="88" t="s">
        <v>724</v>
      </c>
      <c r="B986" s="76" t="s">
        <v>2182</v>
      </c>
      <c r="C986" s="2">
        <v>203</v>
      </c>
      <c r="D986" s="2">
        <v>100</v>
      </c>
      <c r="E986" s="2">
        <v>116.5</v>
      </c>
      <c r="F986" s="2">
        <v>108.5</v>
      </c>
      <c r="G986" s="21">
        <v>2.2839999999999998</v>
      </c>
      <c r="H986" s="20"/>
      <c r="I986" s="20"/>
      <c r="J986" s="20"/>
      <c r="K986" s="89"/>
      <c r="L986" s="780"/>
      <c r="M986" s="20"/>
      <c r="N986" s="20"/>
      <c r="O986" s="20"/>
      <c r="P986" s="20"/>
      <c r="Q986" s="21"/>
      <c r="R986" s="22" t="s">
        <v>16</v>
      </c>
      <c r="S986" s="22">
        <v>2</v>
      </c>
      <c r="T986" s="25">
        <v>5914</v>
      </c>
      <c r="U986" s="22">
        <v>0</v>
      </c>
      <c r="V986" s="20" t="str">
        <f t="shared" si="76"/>
        <v>K-203x116,5x100</v>
      </c>
    </row>
    <row r="987" spans="1:22" ht="15">
      <c r="A987" s="88" t="s">
        <v>725</v>
      </c>
      <c r="B987" s="76" t="s">
        <v>2182</v>
      </c>
      <c r="C987" s="2">
        <v>229</v>
      </c>
      <c r="D987" s="2">
        <v>100</v>
      </c>
      <c r="E987" s="2">
        <v>104</v>
      </c>
      <c r="F987" s="2">
        <v>96</v>
      </c>
      <c r="G987" s="21">
        <v>2.29</v>
      </c>
      <c r="H987" s="20"/>
      <c r="I987" s="20"/>
      <c r="J987" s="20"/>
      <c r="K987" s="89"/>
      <c r="L987" s="780"/>
      <c r="M987" s="20"/>
      <c r="N987" s="20"/>
      <c r="O987" s="20"/>
      <c r="P987" s="20"/>
      <c r="Q987" s="21"/>
      <c r="R987" s="22" t="s">
        <v>16</v>
      </c>
      <c r="S987" s="22">
        <v>2</v>
      </c>
      <c r="T987" s="25">
        <v>5955</v>
      </c>
      <c r="U987" s="22">
        <v>0</v>
      </c>
      <c r="V987" s="20" t="str">
        <f t="shared" si="76"/>
        <v>K-229x104x100</v>
      </c>
    </row>
    <row r="988" spans="1:22" ht="15">
      <c r="A988" s="88" t="s">
        <v>726</v>
      </c>
      <c r="B988" s="76" t="s">
        <v>2182</v>
      </c>
      <c r="C988" s="2">
        <v>229</v>
      </c>
      <c r="D988" s="2">
        <v>100</v>
      </c>
      <c r="E988" s="2">
        <v>116.5</v>
      </c>
      <c r="F988" s="2">
        <v>108.5</v>
      </c>
      <c r="G988" s="21">
        <v>2.5760000000000001</v>
      </c>
      <c r="H988" s="20"/>
      <c r="I988" s="20"/>
      <c r="J988" s="20"/>
      <c r="K988" s="89"/>
      <c r="L988" s="780"/>
      <c r="M988" s="20"/>
      <c r="N988" s="20"/>
      <c r="O988" s="20"/>
      <c r="P988" s="20"/>
      <c r="Q988" s="21"/>
      <c r="R988" s="22" t="s">
        <v>16</v>
      </c>
      <c r="S988" s="22">
        <v>2</v>
      </c>
      <c r="T988" s="25">
        <v>6671</v>
      </c>
      <c r="U988" s="22">
        <v>0</v>
      </c>
      <c r="V988" s="20" t="str">
        <f t="shared" si="76"/>
        <v>K-229x116,5x100</v>
      </c>
    </row>
    <row r="989" spans="1:22" ht="15.6" thickBot="1">
      <c r="A989" s="90" t="s">
        <v>727</v>
      </c>
      <c r="B989" s="80" t="s">
        <v>2182</v>
      </c>
      <c r="C989" s="81">
        <v>152</v>
      </c>
      <c r="D989" s="81">
        <v>100</v>
      </c>
      <c r="E989" s="81">
        <v>154</v>
      </c>
      <c r="F989" s="81">
        <v>146</v>
      </c>
      <c r="G989" s="103">
        <v>1.7330000000000001</v>
      </c>
      <c r="H989" s="82"/>
      <c r="I989" s="82"/>
      <c r="J989" s="82"/>
      <c r="K989" s="91"/>
      <c r="L989" s="781"/>
      <c r="M989" s="20"/>
      <c r="N989" s="20"/>
      <c r="O989" s="20"/>
      <c r="P989" s="20"/>
      <c r="Q989" s="21"/>
      <c r="R989" s="22" t="s">
        <v>16</v>
      </c>
      <c r="S989" s="22">
        <v>2</v>
      </c>
      <c r="T989" s="25">
        <v>5854</v>
      </c>
      <c r="U989" s="22">
        <v>0</v>
      </c>
      <c r="V989" s="20" t="str">
        <f t="shared" si="76"/>
        <v>K-152x154x100</v>
      </c>
    </row>
    <row r="990" spans="1:22" ht="25.2" thickBot="1">
      <c r="A990" s="64" t="s">
        <v>124</v>
      </c>
      <c r="B990" s="72"/>
      <c r="C990" s="73"/>
      <c r="D990" s="73"/>
      <c r="E990" s="73"/>
      <c r="F990" s="73"/>
      <c r="G990" s="104"/>
      <c r="H990" s="73"/>
      <c r="I990" s="73"/>
      <c r="J990" s="73"/>
      <c r="K990" s="73"/>
      <c r="L990" s="93"/>
      <c r="M990" s="20"/>
      <c r="N990" s="20"/>
      <c r="O990" s="20"/>
      <c r="P990" s="20"/>
      <c r="Q990" s="21"/>
      <c r="R990" s="22"/>
      <c r="S990" s="22"/>
      <c r="T990" s="20"/>
      <c r="U990" s="22"/>
      <c r="V990" s="20"/>
    </row>
    <row r="991" spans="1:22" ht="15">
      <c r="A991" s="85" t="s">
        <v>728</v>
      </c>
      <c r="B991" s="561" t="s">
        <v>2182</v>
      </c>
      <c r="C991" s="77">
        <v>100</v>
      </c>
      <c r="D991" s="77">
        <v>100</v>
      </c>
      <c r="E991" s="77">
        <v>153</v>
      </c>
      <c r="F991" s="77">
        <v>147</v>
      </c>
      <c r="G991" s="86">
        <v>1.5</v>
      </c>
      <c r="H991" s="78"/>
      <c r="I991" s="78"/>
      <c r="J991" s="78"/>
      <c r="K991" s="87"/>
      <c r="L991" s="779" t="s">
        <v>124</v>
      </c>
      <c r="M991" s="20"/>
      <c r="N991" s="20"/>
      <c r="O991" s="20"/>
      <c r="P991" s="20"/>
      <c r="Q991" s="21"/>
      <c r="R991" s="22" t="s">
        <v>16</v>
      </c>
      <c r="S991" s="22">
        <v>2</v>
      </c>
      <c r="T991" s="25">
        <v>5102</v>
      </c>
      <c r="U991" s="22">
        <v>0</v>
      </c>
      <c r="V991" s="20" t="str">
        <f t="shared" ref="V991:V1022" si="77">B991&amp;"-"&amp;C991&amp;"x"&amp;E991&amp;"x"&amp;D991</f>
        <v>K-100x153x100</v>
      </c>
    </row>
    <row r="992" spans="1:22" ht="15">
      <c r="A992" s="88" t="s">
        <v>729</v>
      </c>
      <c r="B992" s="76" t="s">
        <v>2182</v>
      </c>
      <c r="C992" s="2">
        <v>100</v>
      </c>
      <c r="D992" s="2">
        <v>100</v>
      </c>
      <c r="E992" s="2">
        <v>160</v>
      </c>
      <c r="F992" s="2">
        <v>140</v>
      </c>
      <c r="G992" s="21">
        <v>1.5</v>
      </c>
      <c r="H992" s="20"/>
      <c r="I992" s="20"/>
      <c r="J992" s="20"/>
      <c r="K992" s="89"/>
      <c r="L992" s="780"/>
      <c r="M992" s="20"/>
      <c r="N992" s="20"/>
      <c r="O992" s="20"/>
      <c r="P992" s="20"/>
      <c r="Q992" s="21"/>
      <c r="R992" s="22" t="s">
        <v>16</v>
      </c>
      <c r="S992" s="22">
        <v>2</v>
      </c>
      <c r="T992" s="25">
        <v>1608</v>
      </c>
      <c r="U992" s="22">
        <v>0</v>
      </c>
      <c r="V992" s="20" t="str">
        <f t="shared" si="77"/>
        <v>K-100x160x100</v>
      </c>
    </row>
    <row r="993" spans="1:22" ht="15">
      <c r="A993" s="88" t="s">
        <v>730</v>
      </c>
      <c r="B993" s="76" t="s">
        <v>2182</v>
      </c>
      <c r="C993" s="2">
        <v>130</v>
      </c>
      <c r="D993" s="2">
        <v>100</v>
      </c>
      <c r="E993" s="2">
        <v>153</v>
      </c>
      <c r="F993" s="2">
        <v>147</v>
      </c>
      <c r="G993" s="21">
        <v>1.95</v>
      </c>
      <c r="H993" s="20"/>
      <c r="I993" s="20"/>
      <c r="J993" s="20"/>
      <c r="K993" s="89"/>
      <c r="L993" s="780"/>
      <c r="M993" s="20"/>
      <c r="N993" s="20"/>
      <c r="O993" s="20"/>
      <c r="P993" s="20"/>
      <c r="Q993" s="21"/>
      <c r="R993" s="22" t="s">
        <v>16</v>
      </c>
      <c r="S993" s="22">
        <v>2</v>
      </c>
      <c r="T993" s="25">
        <v>6632</v>
      </c>
      <c r="U993" s="22">
        <v>0</v>
      </c>
      <c r="V993" s="20" t="str">
        <f t="shared" si="77"/>
        <v>K-130x153x100</v>
      </c>
    </row>
    <row r="994" spans="1:22" ht="15">
      <c r="A994" s="88" t="s">
        <v>731</v>
      </c>
      <c r="B994" s="76" t="s">
        <v>2182</v>
      </c>
      <c r="C994" s="2">
        <v>130</v>
      </c>
      <c r="D994" s="2">
        <v>100</v>
      </c>
      <c r="E994" s="2">
        <v>160</v>
      </c>
      <c r="F994" s="2">
        <v>140</v>
      </c>
      <c r="G994" s="21">
        <v>1.95</v>
      </c>
      <c r="H994" s="20"/>
      <c r="I994" s="20"/>
      <c r="J994" s="20"/>
      <c r="K994" s="89"/>
      <c r="L994" s="780"/>
      <c r="M994" s="20"/>
      <c r="N994" s="20"/>
      <c r="O994" s="20"/>
      <c r="P994" s="20"/>
      <c r="Q994" s="21"/>
      <c r="R994" s="22" t="s">
        <v>16</v>
      </c>
      <c r="S994" s="22">
        <v>2</v>
      </c>
      <c r="T994" s="25">
        <v>2086</v>
      </c>
      <c r="U994" s="22">
        <v>0</v>
      </c>
      <c r="V994" s="20" t="str">
        <f t="shared" si="77"/>
        <v>K-130x160x100</v>
      </c>
    </row>
    <row r="995" spans="1:22" ht="15">
      <c r="A995" s="88" t="s">
        <v>732</v>
      </c>
      <c r="B995" s="76" t="s">
        <v>2182</v>
      </c>
      <c r="C995" s="2">
        <v>130</v>
      </c>
      <c r="D995" s="2">
        <v>100</v>
      </c>
      <c r="E995" s="2">
        <v>165</v>
      </c>
      <c r="F995" s="2">
        <v>135</v>
      </c>
      <c r="G995" s="21">
        <v>1.95</v>
      </c>
      <c r="H995" s="20"/>
      <c r="I995" s="20"/>
      <c r="J995" s="20"/>
      <c r="K995" s="89"/>
      <c r="L995" s="780"/>
      <c r="M995" s="20"/>
      <c r="N995" s="20"/>
      <c r="O995" s="20"/>
      <c r="P995" s="20"/>
      <c r="Q995" s="21"/>
      <c r="R995" s="22" t="s">
        <v>16</v>
      </c>
      <c r="S995" s="22">
        <v>2</v>
      </c>
      <c r="T995" s="25">
        <v>1439</v>
      </c>
      <c r="U995" s="22">
        <v>0</v>
      </c>
      <c r="V995" s="20" t="str">
        <f t="shared" si="77"/>
        <v>K-130x165x100</v>
      </c>
    </row>
    <row r="996" spans="1:22" ht="15">
      <c r="A996" s="88" t="s">
        <v>733</v>
      </c>
      <c r="B996" s="76" t="s">
        <v>2182</v>
      </c>
      <c r="C996" s="2">
        <v>130</v>
      </c>
      <c r="D996" s="2">
        <v>100</v>
      </c>
      <c r="E996" s="2">
        <v>170</v>
      </c>
      <c r="F996" s="2">
        <v>130</v>
      </c>
      <c r="G996" s="21">
        <v>1.95</v>
      </c>
      <c r="H996" s="20"/>
      <c r="I996" s="20"/>
      <c r="J996" s="20"/>
      <c r="K996" s="89"/>
      <c r="L996" s="780"/>
      <c r="M996" s="20"/>
      <c r="N996" s="20"/>
      <c r="O996" s="20"/>
      <c r="P996" s="20"/>
      <c r="Q996" s="21"/>
      <c r="R996" s="22" t="s">
        <v>16</v>
      </c>
      <c r="S996" s="22">
        <v>2</v>
      </c>
      <c r="T996" s="25">
        <v>1118</v>
      </c>
      <c r="U996" s="22">
        <v>0</v>
      </c>
      <c r="V996" s="20" t="str">
        <f t="shared" si="77"/>
        <v>K-130x170x100</v>
      </c>
    </row>
    <row r="997" spans="1:22" ht="15">
      <c r="A997" s="88" t="s">
        <v>734</v>
      </c>
      <c r="B997" s="76" t="s">
        <v>2182</v>
      </c>
      <c r="C997" s="2">
        <v>140</v>
      </c>
      <c r="D997" s="2">
        <v>100</v>
      </c>
      <c r="E997" s="2">
        <v>154</v>
      </c>
      <c r="F997" s="2">
        <v>146</v>
      </c>
      <c r="G997" s="21">
        <v>2.1</v>
      </c>
      <c r="H997" s="20"/>
      <c r="I997" s="20"/>
      <c r="J997" s="20"/>
      <c r="K997" s="89"/>
      <c r="L997" s="780"/>
      <c r="M997" s="20"/>
      <c r="N997" s="20"/>
      <c r="O997" s="20"/>
      <c r="P997" s="20"/>
      <c r="Q997" s="21"/>
      <c r="R997" s="22" t="s">
        <v>16</v>
      </c>
      <c r="S997" s="22">
        <v>2</v>
      </c>
      <c r="T997" s="25">
        <v>5392</v>
      </c>
      <c r="U997" s="22">
        <v>0</v>
      </c>
      <c r="V997" s="20" t="str">
        <f t="shared" si="77"/>
        <v>K-140x154x100</v>
      </c>
    </row>
    <row r="998" spans="1:22" ht="15">
      <c r="A998" s="88" t="s">
        <v>735</v>
      </c>
      <c r="B998" s="76" t="s">
        <v>2182</v>
      </c>
      <c r="C998" s="2">
        <v>140</v>
      </c>
      <c r="D998" s="2">
        <v>100</v>
      </c>
      <c r="E998" s="2">
        <v>160</v>
      </c>
      <c r="F998" s="2">
        <v>140</v>
      </c>
      <c r="G998" s="21">
        <v>2.1</v>
      </c>
      <c r="H998" s="20"/>
      <c r="I998" s="20"/>
      <c r="J998" s="20"/>
      <c r="K998" s="89"/>
      <c r="L998" s="780"/>
      <c r="M998" s="20"/>
      <c r="N998" s="20"/>
      <c r="O998" s="20"/>
      <c r="P998" s="20"/>
      <c r="Q998" s="21"/>
      <c r="R998" s="22" t="s">
        <v>16</v>
      </c>
      <c r="S998" s="22">
        <v>2</v>
      </c>
      <c r="T998" s="25">
        <v>2246</v>
      </c>
      <c r="U998" s="22">
        <v>0</v>
      </c>
      <c r="V998" s="20" t="str">
        <f t="shared" si="77"/>
        <v>K-140x160x100</v>
      </c>
    </row>
    <row r="999" spans="1:22" ht="15">
      <c r="A999" s="88" t="s">
        <v>736</v>
      </c>
      <c r="B999" s="76" t="s">
        <v>2182</v>
      </c>
      <c r="C999" s="2">
        <v>150</v>
      </c>
      <c r="D999" s="2">
        <v>100</v>
      </c>
      <c r="E999" s="2">
        <v>153</v>
      </c>
      <c r="F999" s="2">
        <v>147</v>
      </c>
      <c r="G999" s="21">
        <v>2.25</v>
      </c>
      <c r="H999" s="20"/>
      <c r="I999" s="20"/>
      <c r="J999" s="20"/>
      <c r="K999" s="89"/>
      <c r="L999" s="780"/>
      <c r="M999" s="20"/>
      <c r="N999" s="20"/>
      <c r="O999" s="20"/>
      <c r="P999" s="20"/>
      <c r="Q999" s="21"/>
      <c r="R999" s="22" t="s">
        <v>16</v>
      </c>
      <c r="S999" s="22">
        <v>2</v>
      </c>
      <c r="T999" s="25">
        <v>7652</v>
      </c>
      <c r="U999" s="22">
        <v>0</v>
      </c>
      <c r="V999" s="20" t="str">
        <f t="shared" si="77"/>
        <v>K-150x153x100</v>
      </c>
    </row>
    <row r="1000" spans="1:22" ht="15">
      <c r="A1000" s="88" t="s">
        <v>737</v>
      </c>
      <c r="B1000" s="76" t="s">
        <v>2182</v>
      </c>
      <c r="C1000" s="2">
        <v>150</v>
      </c>
      <c r="D1000" s="2">
        <v>100</v>
      </c>
      <c r="E1000" s="2">
        <v>154</v>
      </c>
      <c r="F1000" s="2">
        <v>146</v>
      </c>
      <c r="G1000" s="21">
        <v>2.25</v>
      </c>
      <c r="H1000" s="20"/>
      <c r="I1000" s="20"/>
      <c r="J1000" s="20"/>
      <c r="K1000" s="89"/>
      <c r="L1000" s="780"/>
      <c r="M1000" s="20"/>
      <c r="N1000" s="20"/>
      <c r="O1000" s="20"/>
      <c r="P1000" s="20"/>
      <c r="Q1000" s="21"/>
      <c r="R1000" s="22" t="s">
        <v>16</v>
      </c>
      <c r="S1000" s="22">
        <v>2</v>
      </c>
      <c r="T1000" s="25">
        <v>5777</v>
      </c>
      <c r="U1000" s="22">
        <v>0</v>
      </c>
      <c r="V1000" s="20" t="str">
        <f t="shared" si="77"/>
        <v>K-150x154x100</v>
      </c>
    </row>
    <row r="1001" spans="1:22" ht="15">
      <c r="A1001" s="88" t="s">
        <v>738</v>
      </c>
      <c r="B1001" s="76" t="s">
        <v>2182</v>
      </c>
      <c r="C1001" s="2">
        <v>150</v>
      </c>
      <c r="D1001" s="2">
        <v>100</v>
      </c>
      <c r="E1001" s="2">
        <v>155</v>
      </c>
      <c r="F1001" s="2">
        <v>145</v>
      </c>
      <c r="G1001" s="21">
        <v>2.25</v>
      </c>
      <c r="H1001" s="20"/>
      <c r="I1001" s="20"/>
      <c r="J1001" s="20"/>
      <c r="K1001" s="89"/>
      <c r="L1001" s="780"/>
      <c r="M1001" s="20"/>
      <c r="N1001" s="20"/>
      <c r="O1001" s="20"/>
      <c r="P1001" s="20"/>
      <c r="Q1001" s="21"/>
      <c r="R1001" s="22" t="s">
        <v>16</v>
      </c>
      <c r="S1001" s="22">
        <v>2</v>
      </c>
      <c r="T1001" s="25">
        <v>4653</v>
      </c>
      <c r="U1001" s="22">
        <v>0</v>
      </c>
      <c r="V1001" s="20" t="str">
        <f t="shared" si="77"/>
        <v>K-150x155x100</v>
      </c>
    </row>
    <row r="1002" spans="1:22" ht="15">
      <c r="A1002" s="88" t="s">
        <v>739</v>
      </c>
      <c r="B1002" s="76" t="s">
        <v>2182</v>
      </c>
      <c r="C1002" s="2">
        <v>150</v>
      </c>
      <c r="D1002" s="2">
        <v>100</v>
      </c>
      <c r="E1002" s="2">
        <v>156.5</v>
      </c>
      <c r="F1002" s="2">
        <v>143.5</v>
      </c>
      <c r="G1002" s="21">
        <v>2.25</v>
      </c>
      <c r="H1002" s="20"/>
      <c r="I1002" s="20"/>
      <c r="J1002" s="20"/>
      <c r="K1002" s="89"/>
      <c r="L1002" s="780"/>
      <c r="M1002" s="20"/>
      <c r="N1002" s="20"/>
      <c r="O1002" s="20"/>
      <c r="P1002" s="20"/>
      <c r="Q1002" s="21"/>
      <c r="R1002" s="22" t="s">
        <v>16</v>
      </c>
      <c r="S1002" s="22">
        <v>2</v>
      </c>
      <c r="T1002" s="25">
        <v>3615</v>
      </c>
      <c r="U1002" s="22">
        <v>0</v>
      </c>
      <c r="V1002" s="20" t="str">
        <f t="shared" si="77"/>
        <v>K-150x156,5x100</v>
      </c>
    </row>
    <row r="1003" spans="1:22" ht="15">
      <c r="A1003" s="88" t="s">
        <v>740</v>
      </c>
      <c r="B1003" s="76" t="s">
        <v>2182</v>
      </c>
      <c r="C1003" s="2">
        <v>150</v>
      </c>
      <c r="D1003" s="2">
        <v>100</v>
      </c>
      <c r="E1003" s="2">
        <v>158</v>
      </c>
      <c r="F1003" s="2">
        <v>142</v>
      </c>
      <c r="G1003" s="21">
        <v>2.25</v>
      </c>
      <c r="H1003" s="20"/>
      <c r="I1003" s="20"/>
      <c r="J1003" s="20"/>
      <c r="K1003" s="89"/>
      <c r="L1003" s="780"/>
      <c r="M1003" s="20"/>
      <c r="N1003" s="20"/>
      <c r="O1003" s="20"/>
      <c r="P1003" s="20"/>
      <c r="Q1003" s="21"/>
      <c r="R1003" s="22" t="s">
        <v>16</v>
      </c>
      <c r="S1003" s="22">
        <v>2</v>
      </c>
      <c r="T1003" s="25">
        <v>2967</v>
      </c>
      <c r="U1003" s="22">
        <v>0</v>
      </c>
      <c r="V1003" s="20" t="str">
        <f t="shared" si="77"/>
        <v>K-150x158x100</v>
      </c>
    </row>
    <row r="1004" spans="1:22" ht="15">
      <c r="A1004" s="88" t="s">
        <v>741</v>
      </c>
      <c r="B1004" s="76" t="s">
        <v>2182</v>
      </c>
      <c r="C1004" s="2">
        <v>150</v>
      </c>
      <c r="D1004" s="2">
        <v>100</v>
      </c>
      <c r="E1004" s="2">
        <v>160</v>
      </c>
      <c r="F1004" s="2">
        <v>140</v>
      </c>
      <c r="G1004" s="21">
        <v>2.25</v>
      </c>
      <c r="H1004" s="20"/>
      <c r="I1004" s="20"/>
      <c r="J1004" s="20"/>
      <c r="K1004" s="89"/>
      <c r="L1004" s="780"/>
      <c r="M1004" s="20"/>
      <c r="N1004" s="20"/>
      <c r="O1004" s="20"/>
      <c r="P1004" s="20"/>
      <c r="Q1004" s="21"/>
      <c r="R1004" s="22" t="s">
        <v>16</v>
      </c>
      <c r="S1004" s="22">
        <v>2</v>
      </c>
      <c r="T1004" s="25">
        <v>2405</v>
      </c>
      <c r="U1004" s="22">
        <v>0</v>
      </c>
      <c r="V1004" s="20" t="str">
        <f t="shared" si="77"/>
        <v>K-150x160x100</v>
      </c>
    </row>
    <row r="1005" spans="1:22" ht="15">
      <c r="A1005" s="88" t="s">
        <v>742</v>
      </c>
      <c r="B1005" s="76" t="s">
        <v>2182</v>
      </c>
      <c r="C1005" s="2">
        <v>150</v>
      </c>
      <c r="D1005" s="2">
        <v>100</v>
      </c>
      <c r="E1005" s="2">
        <v>162.5</v>
      </c>
      <c r="F1005" s="2">
        <v>137.5</v>
      </c>
      <c r="G1005" s="21">
        <v>2.25</v>
      </c>
      <c r="H1005" s="20"/>
      <c r="I1005" s="20"/>
      <c r="J1005" s="20"/>
      <c r="K1005" s="89"/>
      <c r="L1005" s="780"/>
      <c r="M1005" s="20"/>
      <c r="N1005" s="20"/>
      <c r="O1005" s="20"/>
      <c r="P1005" s="20"/>
      <c r="Q1005" s="21"/>
      <c r="R1005" s="22" t="s">
        <v>16</v>
      </c>
      <c r="S1005" s="22">
        <v>2</v>
      </c>
      <c r="T1005" s="25">
        <v>1957</v>
      </c>
      <c r="U1005" s="22">
        <v>0</v>
      </c>
      <c r="V1005" s="20" t="str">
        <f t="shared" si="77"/>
        <v>K-150x162,5x100</v>
      </c>
    </row>
    <row r="1006" spans="1:22" ht="15">
      <c r="A1006" s="88" t="s">
        <v>743</v>
      </c>
      <c r="B1006" s="76" t="s">
        <v>2182</v>
      </c>
      <c r="C1006" s="2">
        <v>150</v>
      </c>
      <c r="D1006" s="2">
        <v>100</v>
      </c>
      <c r="E1006" s="2">
        <v>165</v>
      </c>
      <c r="F1006" s="2">
        <v>135</v>
      </c>
      <c r="G1006" s="21">
        <v>2.25</v>
      </c>
      <c r="H1006" s="20"/>
      <c r="I1006" s="20"/>
      <c r="J1006" s="20"/>
      <c r="K1006" s="89"/>
      <c r="L1006" s="780"/>
      <c r="M1006" s="20"/>
      <c r="N1006" s="20"/>
      <c r="O1006" s="20"/>
      <c r="P1006" s="20"/>
      <c r="Q1006" s="21"/>
      <c r="R1006" s="22" t="s">
        <v>16</v>
      </c>
      <c r="S1006" s="22">
        <v>2</v>
      </c>
      <c r="T1006" s="25">
        <v>1658</v>
      </c>
      <c r="U1006" s="22">
        <v>0</v>
      </c>
      <c r="V1006" s="20" t="str">
        <f t="shared" si="77"/>
        <v>K-150x165x100</v>
      </c>
    </row>
    <row r="1007" spans="1:22" ht="15">
      <c r="A1007" s="88" t="s">
        <v>744</v>
      </c>
      <c r="B1007" s="76" t="s">
        <v>2182</v>
      </c>
      <c r="C1007" s="2">
        <v>150</v>
      </c>
      <c r="D1007" s="2">
        <v>100</v>
      </c>
      <c r="E1007" s="2">
        <v>170</v>
      </c>
      <c r="F1007" s="2">
        <v>130</v>
      </c>
      <c r="G1007" s="21">
        <v>2.25</v>
      </c>
      <c r="H1007" s="20"/>
      <c r="I1007" s="20"/>
      <c r="J1007" s="20"/>
      <c r="K1007" s="89"/>
      <c r="L1007" s="780"/>
      <c r="M1007" s="20"/>
      <c r="N1007" s="20"/>
      <c r="O1007" s="20"/>
      <c r="P1007" s="20"/>
      <c r="Q1007" s="21"/>
      <c r="R1007" s="22" t="s">
        <v>16</v>
      </c>
      <c r="S1007" s="22">
        <v>2</v>
      </c>
      <c r="T1007" s="25">
        <v>1286</v>
      </c>
      <c r="U1007" s="22">
        <v>0</v>
      </c>
      <c r="V1007" s="20" t="str">
        <f t="shared" si="77"/>
        <v>K-150x170x100</v>
      </c>
    </row>
    <row r="1008" spans="1:22" ht="15">
      <c r="A1008" s="88" t="s">
        <v>745</v>
      </c>
      <c r="B1008" s="76" t="s">
        <v>2182</v>
      </c>
      <c r="C1008" s="2">
        <v>150</v>
      </c>
      <c r="D1008" s="2">
        <v>100</v>
      </c>
      <c r="E1008" s="2">
        <v>185</v>
      </c>
      <c r="F1008" s="2">
        <v>115</v>
      </c>
      <c r="G1008" s="21">
        <v>2.25</v>
      </c>
      <c r="H1008" s="20"/>
      <c r="I1008" s="20"/>
      <c r="J1008" s="20"/>
      <c r="K1008" s="89"/>
      <c r="L1008" s="780"/>
      <c r="M1008" s="20"/>
      <c r="N1008" s="20"/>
      <c r="O1008" s="20"/>
      <c r="P1008" s="20"/>
      <c r="Q1008" s="21"/>
      <c r="R1008" s="22" t="s">
        <v>16</v>
      </c>
      <c r="S1008" s="22">
        <v>2</v>
      </c>
      <c r="T1008" s="25">
        <v>814</v>
      </c>
      <c r="U1008" s="22">
        <v>0</v>
      </c>
      <c r="V1008" s="20" t="str">
        <f t="shared" si="77"/>
        <v>K-150x185x100</v>
      </c>
    </row>
    <row r="1009" spans="1:22" ht="15">
      <c r="A1009" s="88" t="s">
        <v>746</v>
      </c>
      <c r="B1009" s="76" t="s">
        <v>2182</v>
      </c>
      <c r="C1009" s="2">
        <v>170</v>
      </c>
      <c r="D1009" s="2">
        <v>100</v>
      </c>
      <c r="E1009" s="2">
        <v>155</v>
      </c>
      <c r="F1009" s="2">
        <v>145</v>
      </c>
      <c r="G1009" s="21">
        <v>2.5499999999999998</v>
      </c>
      <c r="H1009" s="20"/>
      <c r="I1009" s="20"/>
      <c r="J1009" s="20"/>
      <c r="K1009" s="89"/>
      <c r="L1009" s="780"/>
      <c r="M1009" s="20"/>
      <c r="N1009" s="20"/>
      <c r="O1009" s="20"/>
      <c r="P1009" s="20"/>
      <c r="Q1009" s="21"/>
      <c r="R1009" s="22" t="s">
        <v>16</v>
      </c>
      <c r="S1009" s="22">
        <v>2</v>
      </c>
      <c r="T1009" s="25">
        <v>5272</v>
      </c>
      <c r="U1009" s="22">
        <v>0</v>
      </c>
      <c r="V1009" s="20" t="str">
        <f t="shared" si="77"/>
        <v>K-170x155x100</v>
      </c>
    </row>
    <row r="1010" spans="1:22" ht="15">
      <c r="A1010" s="88" t="s">
        <v>747</v>
      </c>
      <c r="B1010" s="76" t="s">
        <v>2182</v>
      </c>
      <c r="C1010" s="2">
        <v>170</v>
      </c>
      <c r="D1010" s="2">
        <v>100</v>
      </c>
      <c r="E1010" s="2">
        <v>157.5</v>
      </c>
      <c r="F1010" s="2">
        <v>142.5</v>
      </c>
      <c r="G1010" s="21">
        <v>2.5499999999999998</v>
      </c>
      <c r="H1010" s="20"/>
      <c r="I1010" s="20"/>
      <c r="J1010" s="20"/>
      <c r="K1010" s="89"/>
      <c r="L1010" s="780"/>
      <c r="M1010" s="20"/>
      <c r="N1010" s="20"/>
      <c r="O1010" s="20"/>
      <c r="P1010" s="20"/>
      <c r="Q1010" s="21"/>
      <c r="R1010" s="22" t="s">
        <v>16</v>
      </c>
      <c r="S1010" s="22">
        <v>2</v>
      </c>
      <c r="T1010" s="25">
        <v>3573</v>
      </c>
      <c r="U1010" s="22">
        <v>0</v>
      </c>
      <c r="V1010" s="20" t="str">
        <f t="shared" si="77"/>
        <v>K-170x157,5x100</v>
      </c>
    </row>
    <row r="1011" spans="1:22" ht="15">
      <c r="A1011" s="88" t="s">
        <v>748</v>
      </c>
      <c r="B1011" s="76" t="s">
        <v>2182</v>
      </c>
      <c r="C1011" s="2">
        <v>170</v>
      </c>
      <c r="D1011" s="2">
        <v>100</v>
      </c>
      <c r="E1011" s="2">
        <v>164</v>
      </c>
      <c r="F1011" s="2">
        <v>136</v>
      </c>
      <c r="G1011" s="21">
        <v>2.5499999999999998</v>
      </c>
      <c r="H1011" s="20"/>
      <c r="I1011" s="20"/>
      <c r="J1011" s="20"/>
      <c r="K1011" s="89"/>
      <c r="L1011" s="780"/>
      <c r="M1011" s="20"/>
      <c r="N1011" s="20"/>
      <c r="O1011" s="20"/>
      <c r="P1011" s="20"/>
      <c r="Q1011" s="21"/>
      <c r="R1011" s="22" t="s">
        <v>16</v>
      </c>
      <c r="S1011" s="22">
        <v>2</v>
      </c>
      <c r="T1011" s="25">
        <v>1998</v>
      </c>
      <c r="U1011" s="22">
        <v>0</v>
      </c>
      <c r="V1011" s="20" t="str">
        <f t="shared" si="77"/>
        <v>K-170x164x100</v>
      </c>
    </row>
    <row r="1012" spans="1:22" ht="15">
      <c r="A1012" s="88" t="s">
        <v>749</v>
      </c>
      <c r="B1012" s="76" t="s">
        <v>2182</v>
      </c>
      <c r="C1012" s="2">
        <v>170</v>
      </c>
      <c r="D1012" s="2">
        <v>100</v>
      </c>
      <c r="E1012" s="2">
        <v>167.5</v>
      </c>
      <c r="F1012" s="2">
        <v>132.5</v>
      </c>
      <c r="G1012" s="21">
        <v>2.5499999999999998</v>
      </c>
      <c r="H1012" s="20"/>
      <c r="I1012" s="20"/>
      <c r="J1012" s="20"/>
      <c r="K1012" s="89"/>
      <c r="L1012" s="780"/>
      <c r="M1012" s="20"/>
      <c r="N1012" s="20"/>
      <c r="O1012" s="20"/>
      <c r="P1012" s="20"/>
      <c r="Q1012" s="21"/>
      <c r="R1012" s="22" t="s">
        <v>16</v>
      </c>
      <c r="S1012" s="22">
        <v>2</v>
      </c>
      <c r="T1012" s="25">
        <v>1636</v>
      </c>
      <c r="U1012" s="22">
        <v>0</v>
      </c>
      <c r="V1012" s="20" t="str">
        <f t="shared" si="77"/>
        <v>K-170x167,5x100</v>
      </c>
    </row>
    <row r="1013" spans="1:22" ht="15">
      <c r="A1013" s="88" t="s">
        <v>750</v>
      </c>
      <c r="B1013" s="76" t="s">
        <v>2182</v>
      </c>
      <c r="C1013" s="2">
        <v>170</v>
      </c>
      <c r="D1013" s="2">
        <v>100</v>
      </c>
      <c r="E1013" s="2">
        <v>170</v>
      </c>
      <c r="F1013" s="2">
        <v>130</v>
      </c>
      <c r="G1013" s="21">
        <v>2.5499999999999998</v>
      </c>
      <c r="H1013" s="20"/>
      <c r="I1013" s="20"/>
      <c r="J1013" s="20"/>
      <c r="K1013" s="89"/>
      <c r="L1013" s="780"/>
      <c r="M1013" s="20"/>
      <c r="N1013" s="20"/>
      <c r="O1013" s="20"/>
      <c r="P1013" s="20"/>
      <c r="Q1013" s="21"/>
      <c r="R1013" s="22" t="s">
        <v>16</v>
      </c>
      <c r="S1013" s="22">
        <v>2</v>
      </c>
      <c r="T1013" s="25">
        <v>1455</v>
      </c>
      <c r="U1013" s="22">
        <v>0</v>
      </c>
      <c r="V1013" s="20" t="str">
        <f t="shared" si="77"/>
        <v>K-170x170x100</v>
      </c>
    </row>
    <row r="1014" spans="1:22" ht="15">
      <c r="A1014" s="88" t="s">
        <v>751</v>
      </c>
      <c r="B1014" s="76" t="s">
        <v>2182</v>
      </c>
      <c r="C1014" s="2">
        <v>180</v>
      </c>
      <c r="D1014" s="2">
        <v>100</v>
      </c>
      <c r="E1014" s="2">
        <v>152</v>
      </c>
      <c r="F1014" s="2">
        <v>148</v>
      </c>
      <c r="G1014" s="21">
        <v>2.7</v>
      </c>
      <c r="H1014" s="20"/>
      <c r="I1014" s="20"/>
      <c r="J1014" s="20"/>
      <c r="K1014" s="89"/>
      <c r="L1014" s="780"/>
      <c r="M1014" s="20"/>
      <c r="N1014" s="20"/>
      <c r="O1014" s="20"/>
      <c r="P1014" s="20"/>
      <c r="Q1014" s="21"/>
      <c r="R1014" s="22" t="s">
        <v>16</v>
      </c>
      <c r="S1014" s="22">
        <v>2</v>
      </c>
      <c r="T1014" s="25">
        <v>13681</v>
      </c>
      <c r="U1014" s="22">
        <v>0</v>
      </c>
      <c r="V1014" s="20" t="str">
        <f t="shared" si="77"/>
        <v>K-180x152x100</v>
      </c>
    </row>
    <row r="1015" spans="1:22" ht="15">
      <c r="A1015" s="88" t="s">
        <v>752</v>
      </c>
      <c r="B1015" s="76" t="s">
        <v>2182</v>
      </c>
      <c r="C1015" s="2">
        <v>180</v>
      </c>
      <c r="D1015" s="2">
        <v>100</v>
      </c>
      <c r="E1015" s="2">
        <v>153</v>
      </c>
      <c r="F1015" s="2">
        <v>147</v>
      </c>
      <c r="G1015" s="21">
        <v>2.7</v>
      </c>
      <c r="H1015" s="20"/>
      <c r="I1015" s="20"/>
      <c r="J1015" s="20"/>
      <c r="K1015" s="89"/>
      <c r="L1015" s="780"/>
      <c r="M1015" s="20"/>
      <c r="N1015" s="20"/>
      <c r="O1015" s="20"/>
      <c r="P1015" s="20"/>
      <c r="Q1015" s="21"/>
      <c r="R1015" s="22" t="s">
        <v>16</v>
      </c>
      <c r="S1015" s="22">
        <v>2</v>
      </c>
      <c r="T1015" s="25">
        <v>9181</v>
      </c>
      <c r="U1015" s="22">
        <v>0</v>
      </c>
      <c r="V1015" s="20" t="str">
        <f t="shared" si="77"/>
        <v>K-180x153x100</v>
      </c>
    </row>
    <row r="1016" spans="1:22" ht="15">
      <c r="A1016" s="88" t="s">
        <v>753</v>
      </c>
      <c r="B1016" s="76" t="s">
        <v>2182</v>
      </c>
      <c r="C1016" s="2">
        <v>180</v>
      </c>
      <c r="D1016" s="2">
        <v>100</v>
      </c>
      <c r="E1016" s="2">
        <v>154</v>
      </c>
      <c r="F1016" s="2">
        <v>146</v>
      </c>
      <c r="G1016" s="21">
        <v>2.7</v>
      </c>
      <c r="H1016" s="20"/>
      <c r="I1016" s="20"/>
      <c r="J1016" s="20"/>
      <c r="K1016" s="89"/>
      <c r="L1016" s="780"/>
      <c r="M1016" s="20"/>
      <c r="N1016" s="20"/>
      <c r="O1016" s="20"/>
      <c r="P1016" s="20"/>
      <c r="Q1016" s="21"/>
      <c r="R1016" s="22" t="s">
        <v>16</v>
      </c>
      <c r="S1016" s="22">
        <v>2</v>
      </c>
      <c r="T1016" s="25">
        <v>6932</v>
      </c>
      <c r="U1016" s="22">
        <v>0</v>
      </c>
      <c r="V1016" s="20" t="str">
        <f t="shared" si="77"/>
        <v>K-180x154x100</v>
      </c>
    </row>
    <row r="1017" spans="1:22" ht="15">
      <c r="A1017" s="88" t="s">
        <v>754</v>
      </c>
      <c r="B1017" s="76" t="s">
        <v>2182</v>
      </c>
      <c r="C1017" s="2">
        <v>180</v>
      </c>
      <c r="D1017" s="2">
        <v>100</v>
      </c>
      <c r="E1017" s="2">
        <v>158</v>
      </c>
      <c r="F1017" s="2">
        <v>142</v>
      </c>
      <c r="G1017" s="21">
        <v>2.7</v>
      </c>
      <c r="H1017" s="20"/>
      <c r="I1017" s="20"/>
      <c r="J1017" s="20"/>
      <c r="K1017" s="89"/>
      <c r="L1017" s="780"/>
      <c r="M1017" s="20"/>
      <c r="N1017" s="20"/>
      <c r="O1017" s="20"/>
      <c r="P1017" s="20"/>
      <c r="Q1017" s="21"/>
      <c r="R1017" s="22" t="s">
        <v>16</v>
      </c>
      <c r="S1017" s="22">
        <v>2</v>
      </c>
      <c r="T1017" s="25">
        <v>3559</v>
      </c>
      <c r="U1017" s="22">
        <v>0</v>
      </c>
      <c r="V1017" s="20" t="str">
        <f t="shared" si="77"/>
        <v>K-180x158x100</v>
      </c>
    </row>
    <row r="1018" spans="1:22" ht="15">
      <c r="A1018" s="88" t="s">
        <v>755</v>
      </c>
      <c r="B1018" s="76" t="s">
        <v>2182</v>
      </c>
      <c r="C1018" s="2">
        <v>180</v>
      </c>
      <c r="D1018" s="2">
        <v>100</v>
      </c>
      <c r="E1018" s="2">
        <v>160</v>
      </c>
      <c r="F1018" s="2">
        <v>140</v>
      </c>
      <c r="G1018" s="21">
        <v>2.7</v>
      </c>
      <c r="H1018" s="20"/>
      <c r="I1018" s="20"/>
      <c r="J1018" s="20"/>
      <c r="K1018" s="89"/>
      <c r="L1018" s="780"/>
      <c r="M1018" s="20"/>
      <c r="N1018" s="20"/>
      <c r="O1018" s="20"/>
      <c r="P1018" s="20"/>
      <c r="Q1018" s="21"/>
      <c r="R1018" s="22" t="s">
        <v>16</v>
      </c>
      <c r="S1018" s="22">
        <v>2</v>
      </c>
      <c r="T1018" s="25">
        <v>2884</v>
      </c>
      <c r="U1018" s="22">
        <v>0</v>
      </c>
      <c r="V1018" s="20" t="str">
        <f t="shared" si="77"/>
        <v>K-180x160x100</v>
      </c>
    </row>
    <row r="1019" spans="1:22" ht="15">
      <c r="A1019" s="88" t="s">
        <v>756</v>
      </c>
      <c r="B1019" s="76" t="s">
        <v>2182</v>
      </c>
      <c r="C1019" s="2">
        <v>180</v>
      </c>
      <c r="D1019" s="2">
        <v>100</v>
      </c>
      <c r="E1019" s="2">
        <v>165</v>
      </c>
      <c r="F1019" s="2">
        <v>135</v>
      </c>
      <c r="G1019" s="21">
        <v>2.7</v>
      </c>
      <c r="H1019" s="20"/>
      <c r="I1019" s="20"/>
      <c r="J1019" s="20"/>
      <c r="K1019" s="89"/>
      <c r="L1019" s="780"/>
      <c r="M1019" s="20"/>
      <c r="N1019" s="20"/>
      <c r="O1019" s="20"/>
      <c r="P1019" s="20"/>
      <c r="Q1019" s="21"/>
      <c r="R1019" s="22" t="s">
        <v>16</v>
      </c>
      <c r="S1019" s="22">
        <v>2</v>
      </c>
      <c r="T1019" s="25">
        <v>1987</v>
      </c>
      <c r="U1019" s="22">
        <v>0</v>
      </c>
      <c r="V1019" s="20" t="str">
        <f t="shared" si="77"/>
        <v>K-180x165x100</v>
      </c>
    </row>
    <row r="1020" spans="1:22" ht="15">
      <c r="A1020" s="88" t="s">
        <v>757</v>
      </c>
      <c r="B1020" s="76" t="s">
        <v>2182</v>
      </c>
      <c r="C1020" s="2">
        <v>180</v>
      </c>
      <c r="D1020" s="2">
        <v>100</v>
      </c>
      <c r="E1020" s="2">
        <v>170</v>
      </c>
      <c r="F1020" s="2">
        <v>130</v>
      </c>
      <c r="G1020" s="21">
        <v>2.7</v>
      </c>
      <c r="H1020" s="20"/>
      <c r="I1020" s="20"/>
      <c r="J1020" s="20"/>
      <c r="K1020" s="89"/>
      <c r="L1020" s="780"/>
      <c r="M1020" s="20"/>
      <c r="N1020" s="20"/>
      <c r="O1020" s="20"/>
      <c r="P1020" s="20"/>
      <c r="Q1020" s="21"/>
      <c r="R1020" s="22" t="s">
        <v>16</v>
      </c>
      <c r="S1020" s="22">
        <v>2</v>
      </c>
      <c r="T1020" s="25">
        <v>1539</v>
      </c>
      <c r="U1020" s="22">
        <v>0</v>
      </c>
      <c r="V1020" s="20" t="str">
        <f t="shared" si="77"/>
        <v>K-180x170x100</v>
      </c>
    </row>
    <row r="1021" spans="1:22" ht="15">
      <c r="A1021" s="88" t="s">
        <v>758</v>
      </c>
      <c r="B1021" s="76" t="s">
        <v>2182</v>
      </c>
      <c r="C1021" s="2">
        <v>180</v>
      </c>
      <c r="D1021" s="2">
        <v>100</v>
      </c>
      <c r="E1021" s="2">
        <v>174</v>
      </c>
      <c r="F1021" s="2">
        <v>126</v>
      </c>
      <c r="G1021" s="21">
        <v>2.7</v>
      </c>
      <c r="H1021" s="20"/>
      <c r="I1021" s="20"/>
      <c r="J1021" s="20"/>
      <c r="K1021" s="89"/>
      <c r="L1021" s="780"/>
      <c r="M1021" s="20"/>
      <c r="N1021" s="20"/>
      <c r="O1021" s="20"/>
      <c r="P1021" s="20"/>
      <c r="Q1021" s="21"/>
      <c r="R1021" s="22" t="s">
        <v>16</v>
      </c>
      <c r="S1021" s="22">
        <v>2</v>
      </c>
      <c r="T1021" s="25">
        <v>1317</v>
      </c>
      <c r="U1021" s="22">
        <v>0</v>
      </c>
      <c r="V1021" s="20" t="str">
        <f t="shared" si="77"/>
        <v>K-180x174x100</v>
      </c>
    </row>
    <row r="1022" spans="1:22" ht="15">
      <c r="A1022" s="88" t="s">
        <v>759</v>
      </c>
      <c r="B1022" s="76" t="s">
        <v>2182</v>
      </c>
      <c r="C1022" s="2">
        <v>200</v>
      </c>
      <c r="D1022" s="2">
        <v>100</v>
      </c>
      <c r="E1022" s="2">
        <v>150</v>
      </c>
      <c r="F1022" s="2">
        <v>150</v>
      </c>
      <c r="G1022" s="21">
        <v>3</v>
      </c>
      <c r="H1022" s="20"/>
      <c r="I1022" s="20"/>
      <c r="J1022" s="20"/>
      <c r="K1022" s="89"/>
      <c r="L1022" s="780"/>
      <c r="M1022" s="20"/>
      <c r="N1022" s="20"/>
      <c r="O1022" s="20"/>
      <c r="P1022" s="20"/>
      <c r="Q1022" s="21"/>
      <c r="R1022" s="22" t="s">
        <v>16</v>
      </c>
      <c r="S1022" s="22">
        <v>2</v>
      </c>
      <c r="T1022" s="25" t="s">
        <v>16</v>
      </c>
      <c r="U1022" s="22">
        <v>0</v>
      </c>
      <c r="V1022" s="20" t="str">
        <f t="shared" si="77"/>
        <v>K-200x150x100</v>
      </c>
    </row>
    <row r="1023" spans="1:22" ht="15">
      <c r="A1023" s="88" t="s">
        <v>760</v>
      </c>
      <c r="B1023" s="76" t="s">
        <v>2182</v>
      </c>
      <c r="C1023" s="2">
        <v>200</v>
      </c>
      <c r="D1023" s="2">
        <v>100</v>
      </c>
      <c r="E1023" s="2">
        <v>154</v>
      </c>
      <c r="F1023" s="2">
        <v>146</v>
      </c>
      <c r="G1023" s="21">
        <v>3</v>
      </c>
      <c r="H1023" s="20"/>
      <c r="I1023" s="20"/>
      <c r="J1023" s="20"/>
      <c r="K1023" s="89"/>
      <c r="L1023" s="780"/>
      <c r="M1023" s="20"/>
      <c r="N1023" s="20"/>
      <c r="O1023" s="20"/>
      <c r="P1023" s="20"/>
      <c r="Q1023" s="21"/>
      <c r="R1023" s="22" t="s">
        <v>16</v>
      </c>
      <c r="S1023" s="22">
        <v>2</v>
      </c>
      <c r="T1023" s="25">
        <v>7702</v>
      </c>
      <c r="U1023" s="22">
        <v>0</v>
      </c>
      <c r="V1023" s="20" t="str">
        <f t="shared" ref="V1023:V1050" si="78">B1023&amp;"-"&amp;C1023&amp;"x"&amp;E1023&amp;"x"&amp;D1023</f>
        <v>K-200x154x100</v>
      </c>
    </row>
    <row r="1024" spans="1:22" ht="15">
      <c r="A1024" s="88" t="s">
        <v>761</v>
      </c>
      <c r="B1024" s="76" t="s">
        <v>2182</v>
      </c>
      <c r="C1024" s="2">
        <v>200</v>
      </c>
      <c r="D1024" s="2">
        <v>100</v>
      </c>
      <c r="E1024" s="2">
        <v>155</v>
      </c>
      <c r="F1024" s="2">
        <v>145</v>
      </c>
      <c r="G1024" s="21">
        <v>3</v>
      </c>
      <c r="H1024" s="20"/>
      <c r="I1024" s="20"/>
      <c r="J1024" s="20"/>
      <c r="K1024" s="89"/>
      <c r="L1024" s="780"/>
      <c r="M1024" s="20"/>
      <c r="N1024" s="20"/>
      <c r="O1024" s="20"/>
      <c r="P1024" s="20"/>
      <c r="Q1024" s="21"/>
      <c r="R1024" s="22" t="s">
        <v>16</v>
      </c>
      <c r="S1024" s="22">
        <v>2</v>
      </c>
      <c r="T1024" s="25">
        <v>6202</v>
      </c>
      <c r="U1024" s="22">
        <v>0</v>
      </c>
      <c r="V1024" s="20" t="str">
        <f t="shared" si="78"/>
        <v>K-200x155x100</v>
      </c>
    </row>
    <row r="1025" spans="1:22" ht="15">
      <c r="A1025" s="88" t="s">
        <v>762</v>
      </c>
      <c r="B1025" s="76" t="s">
        <v>2182</v>
      </c>
      <c r="C1025" s="2">
        <v>200</v>
      </c>
      <c r="D1025" s="2">
        <v>100</v>
      </c>
      <c r="E1025" s="2">
        <v>158</v>
      </c>
      <c r="F1025" s="2">
        <v>142</v>
      </c>
      <c r="G1025" s="21">
        <v>3</v>
      </c>
      <c r="H1025" s="20"/>
      <c r="I1025" s="20"/>
      <c r="J1025" s="20"/>
      <c r="K1025" s="89"/>
      <c r="L1025" s="780"/>
      <c r="M1025" s="20"/>
      <c r="N1025" s="20"/>
      <c r="O1025" s="20"/>
      <c r="P1025" s="20"/>
      <c r="Q1025" s="21"/>
      <c r="R1025" s="22" t="s">
        <v>16</v>
      </c>
      <c r="S1025" s="22">
        <v>2</v>
      </c>
      <c r="T1025" s="25">
        <v>3953</v>
      </c>
      <c r="U1025" s="22">
        <v>0</v>
      </c>
      <c r="V1025" s="20" t="str">
        <f t="shared" si="78"/>
        <v>K-200x158x100</v>
      </c>
    </row>
    <row r="1026" spans="1:22" ht="15">
      <c r="A1026" s="88" t="s">
        <v>763</v>
      </c>
      <c r="B1026" s="76" t="s">
        <v>2182</v>
      </c>
      <c r="C1026" s="2">
        <v>200</v>
      </c>
      <c r="D1026" s="2">
        <v>100</v>
      </c>
      <c r="E1026" s="2">
        <v>159.5</v>
      </c>
      <c r="F1026" s="2">
        <v>140.5</v>
      </c>
      <c r="G1026" s="21">
        <v>3</v>
      </c>
      <c r="H1026" s="20"/>
      <c r="I1026" s="20"/>
      <c r="J1026" s="20"/>
      <c r="K1026" s="89"/>
      <c r="L1026" s="780"/>
      <c r="M1026" s="20"/>
      <c r="N1026" s="20"/>
      <c r="O1026" s="20"/>
      <c r="P1026" s="20"/>
      <c r="Q1026" s="21"/>
      <c r="R1026" s="22" t="s">
        <v>16</v>
      </c>
      <c r="S1026" s="22">
        <v>2</v>
      </c>
      <c r="T1026" s="25">
        <v>3362</v>
      </c>
      <c r="U1026" s="22">
        <v>0</v>
      </c>
      <c r="V1026" s="20" t="str">
        <f t="shared" si="78"/>
        <v>K-200x159,5x100</v>
      </c>
    </row>
    <row r="1027" spans="1:22" ht="15">
      <c r="A1027" s="88" t="s">
        <v>764</v>
      </c>
      <c r="B1027" s="76" t="s">
        <v>2182</v>
      </c>
      <c r="C1027" s="2">
        <v>200</v>
      </c>
      <c r="D1027" s="2">
        <v>100</v>
      </c>
      <c r="E1027" s="2">
        <v>165</v>
      </c>
      <c r="F1027" s="2">
        <v>135</v>
      </c>
      <c r="G1027" s="21">
        <v>3</v>
      </c>
      <c r="H1027" s="20"/>
      <c r="I1027" s="20"/>
      <c r="J1027" s="20"/>
      <c r="K1027" s="89"/>
      <c r="L1027" s="780"/>
      <c r="M1027" s="20"/>
      <c r="N1027" s="20"/>
      <c r="O1027" s="20"/>
      <c r="P1027" s="20"/>
      <c r="Q1027" s="21"/>
      <c r="R1027" s="22" t="s">
        <v>16</v>
      </c>
      <c r="S1027" s="22">
        <v>2</v>
      </c>
      <c r="T1027" s="25">
        <v>2206</v>
      </c>
      <c r="U1027" s="22">
        <v>0</v>
      </c>
      <c r="V1027" s="20" t="str">
        <f t="shared" si="78"/>
        <v>K-200x165x100</v>
      </c>
    </row>
    <row r="1028" spans="1:22" ht="15">
      <c r="A1028" s="88" t="s">
        <v>765</v>
      </c>
      <c r="B1028" s="76" t="s">
        <v>2182</v>
      </c>
      <c r="C1028" s="2">
        <v>200</v>
      </c>
      <c r="D1028" s="2">
        <v>100</v>
      </c>
      <c r="E1028" s="2">
        <v>167</v>
      </c>
      <c r="F1028" s="2">
        <v>133</v>
      </c>
      <c r="G1028" s="21">
        <v>3</v>
      </c>
      <c r="H1028" s="20"/>
      <c r="I1028" s="20"/>
      <c r="J1028" s="20"/>
      <c r="K1028" s="89"/>
      <c r="L1028" s="780"/>
      <c r="M1028" s="20"/>
      <c r="N1028" s="20"/>
      <c r="O1028" s="20"/>
      <c r="P1028" s="20"/>
      <c r="Q1028" s="21"/>
      <c r="R1028" s="22" t="s">
        <v>16</v>
      </c>
      <c r="S1028" s="22">
        <v>2</v>
      </c>
      <c r="T1028" s="25">
        <v>1972</v>
      </c>
      <c r="U1028" s="22">
        <v>0</v>
      </c>
      <c r="V1028" s="20" t="str">
        <f t="shared" si="78"/>
        <v>K-200x167x100</v>
      </c>
    </row>
    <row r="1029" spans="1:22" ht="15">
      <c r="A1029" s="88" t="s">
        <v>766</v>
      </c>
      <c r="B1029" s="76" t="s">
        <v>2182</v>
      </c>
      <c r="C1029" s="2">
        <v>200</v>
      </c>
      <c r="D1029" s="2">
        <v>100</v>
      </c>
      <c r="E1029" s="2">
        <v>180</v>
      </c>
      <c r="F1029" s="2">
        <v>120</v>
      </c>
      <c r="G1029" s="21">
        <v>3</v>
      </c>
      <c r="H1029" s="20"/>
      <c r="I1029" s="20"/>
      <c r="J1029" s="20"/>
      <c r="K1029" s="89"/>
      <c r="L1029" s="780"/>
      <c r="M1029" s="20"/>
      <c r="N1029" s="20"/>
      <c r="O1029" s="20"/>
      <c r="P1029" s="20"/>
      <c r="Q1029" s="21"/>
      <c r="R1029" s="22" t="s">
        <v>16</v>
      </c>
      <c r="S1029" s="22">
        <v>2</v>
      </c>
      <c r="T1029" s="25">
        <v>1213</v>
      </c>
      <c r="U1029" s="22">
        <v>0</v>
      </c>
      <c r="V1029" s="20" t="str">
        <f t="shared" si="78"/>
        <v>K-200x180x100</v>
      </c>
    </row>
    <row r="1030" spans="1:22" ht="15">
      <c r="A1030" s="88" t="s">
        <v>767</v>
      </c>
      <c r="B1030" s="76" t="s">
        <v>2182</v>
      </c>
      <c r="C1030" s="2">
        <v>200</v>
      </c>
      <c r="D1030" s="2">
        <v>100</v>
      </c>
      <c r="E1030" s="2">
        <v>185</v>
      </c>
      <c r="F1030" s="2">
        <v>115</v>
      </c>
      <c r="G1030" s="21">
        <v>3</v>
      </c>
      <c r="H1030" s="20"/>
      <c r="I1030" s="20"/>
      <c r="J1030" s="20"/>
      <c r="K1030" s="89"/>
      <c r="L1030" s="780"/>
      <c r="M1030" s="20"/>
      <c r="N1030" s="20"/>
      <c r="O1030" s="20"/>
      <c r="P1030" s="20"/>
      <c r="Q1030" s="21"/>
      <c r="R1030" s="22" t="s">
        <v>16</v>
      </c>
      <c r="S1030" s="22">
        <v>2</v>
      </c>
      <c r="T1030" s="25">
        <v>1073</v>
      </c>
      <c r="U1030" s="22">
        <v>0</v>
      </c>
      <c r="V1030" s="20" t="str">
        <f t="shared" si="78"/>
        <v>K-200x185x100</v>
      </c>
    </row>
    <row r="1031" spans="1:22" ht="15">
      <c r="A1031" s="88" t="s">
        <v>768</v>
      </c>
      <c r="B1031" s="76" t="s">
        <v>2182</v>
      </c>
      <c r="C1031" s="2">
        <v>220</v>
      </c>
      <c r="D1031" s="2">
        <v>100</v>
      </c>
      <c r="E1031" s="2">
        <v>154</v>
      </c>
      <c r="F1031" s="2">
        <v>146</v>
      </c>
      <c r="G1031" s="21">
        <v>3.3</v>
      </c>
      <c r="H1031" s="20"/>
      <c r="I1031" s="20"/>
      <c r="J1031" s="20"/>
      <c r="K1031" s="89"/>
      <c r="L1031" s="780"/>
      <c r="M1031" s="20"/>
      <c r="N1031" s="20"/>
      <c r="O1031" s="20"/>
      <c r="P1031" s="20"/>
      <c r="Q1031" s="21"/>
      <c r="R1031" s="22" t="s">
        <v>16</v>
      </c>
      <c r="S1031" s="22">
        <v>2</v>
      </c>
      <c r="T1031" s="25">
        <v>8471</v>
      </c>
      <c r="U1031" s="22">
        <v>0</v>
      </c>
      <c r="V1031" s="20" t="str">
        <f t="shared" si="78"/>
        <v>K-220x154x100</v>
      </c>
    </row>
    <row r="1032" spans="1:22" ht="15">
      <c r="A1032" s="88" t="s">
        <v>769</v>
      </c>
      <c r="B1032" s="76" t="s">
        <v>2182</v>
      </c>
      <c r="C1032" s="2">
        <v>220</v>
      </c>
      <c r="D1032" s="2">
        <v>100</v>
      </c>
      <c r="E1032" s="2">
        <v>159.5</v>
      </c>
      <c r="F1032" s="2">
        <v>140.5</v>
      </c>
      <c r="G1032" s="21">
        <v>3.3</v>
      </c>
      <c r="H1032" s="20"/>
      <c r="I1032" s="20"/>
      <c r="J1032" s="20"/>
      <c r="K1032" s="89"/>
      <c r="L1032" s="780"/>
      <c r="M1032" s="20"/>
      <c r="N1032" s="20"/>
      <c r="O1032" s="20"/>
      <c r="P1032" s="20"/>
      <c r="Q1032" s="21"/>
      <c r="R1032" s="22" t="s">
        <v>16</v>
      </c>
      <c r="S1032" s="22">
        <v>2</v>
      </c>
      <c r="T1032" s="25">
        <v>3697</v>
      </c>
      <c r="U1032" s="22">
        <v>0</v>
      </c>
      <c r="V1032" s="20" t="str">
        <f t="shared" si="78"/>
        <v>K-220x159,5x100</v>
      </c>
    </row>
    <row r="1033" spans="1:22" ht="15">
      <c r="A1033" s="88" t="s">
        <v>770</v>
      </c>
      <c r="B1033" s="76" t="s">
        <v>2182</v>
      </c>
      <c r="C1033" s="2">
        <v>220</v>
      </c>
      <c r="D1033" s="2">
        <v>100</v>
      </c>
      <c r="E1033" s="2">
        <v>168.5</v>
      </c>
      <c r="F1033" s="2">
        <v>131.5</v>
      </c>
      <c r="G1033" s="21">
        <v>3.3</v>
      </c>
      <c r="H1033" s="20"/>
      <c r="I1033" s="20"/>
      <c r="J1033" s="20"/>
      <c r="K1033" s="89"/>
      <c r="L1033" s="780"/>
      <c r="M1033" s="20"/>
      <c r="N1033" s="20"/>
      <c r="O1033" s="20"/>
      <c r="P1033" s="20"/>
      <c r="Q1033" s="21"/>
      <c r="R1033" s="22" t="s">
        <v>16</v>
      </c>
      <c r="S1033" s="22">
        <v>2</v>
      </c>
      <c r="T1033" s="25">
        <v>2011</v>
      </c>
      <c r="U1033" s="22">
        <v>0</v>
      </c>
      <c r="V1033" s="20" t="str">
        <f t="shared" si="78"/>
        <v>K-220x168,5x100</v>
      </c>
    </row>
    <row r="1034" spans="1:22" ht="15">
      <c r="A1034" s="88" t="s">
        <v>771</v>
      </c>
      <c r="B1034" s="76" t="s">
        <v>2182</v>
      </c>
      <c r="C1034" s="2">
        <v>220</v>
      </c>
      <c r="D1034" s="2">
        <v>100</v>
      </c>
      <c r="E1034" s="2">
        <v>170</v>
      </c>
      <c r="F1034" s="2">
        <v>130</v>
      </c>
      <c r="G1034" s="21">
        <v>3.3</v>
      </c>
      <c r="H1034" s="20"/>
      <c r="I1034" s="20"/>
      <c r="J1034" s="20"/>
      <c r="K1034" s="89"/>
      <c r="L1034" s="780"/>
      <c r="M1034" s="20"/>
      <c r="N1034" s="20"/>
      <c r="O1034" s="20"/>
      <c r="P1034" s="20"/>
      <c r="Q1034" s="21"/>
      <c r="R1034" s="22" t="s">
        <v>16</v>
      </c>
      <c r="S1034" s="22">
        <v>2</v>
      </c>
      <c r="T1034" s="25">
        <v>1878</v>
      </c>
      <c r="U1034" s="22">
        <v>0</v>
      </c>
      <c r="V1034" s="20" t="str">
        <f t="shared" si="78"/>
        <v>K-220x170x100</v>
      </c>
    </row>
    <row r="1035" spans="1:22" ht="15">
      <c r="A1035" s="303" t="s">
        <v>772</v>
      </c>
      <c r="B1035" s="76" t="s">
        <v>2182</v>
      </c>
      <c r="C1035" s="2">
        <v>220</v>
      </c>
      <c r="D1035" s="2">
        <v>100</v>
      </c>
      <c r="E1035" s="2">
        <v>179.5</v>
      </c>
      <c r="F1035" s="2">
        <v>120.5</v>
      </c>
      <c r="G1035" s="21">
        <v>3.3</v>
      </c>
      <c r="H1035" s="20"/>
      <c r="I1035" s="20"/>
      <c r="J1035" s="20"/>
      <c r="K1035" s="89"/>
      <c r="L1035" s="780"/>
      <c r="M1035" s="20"/>
      <c r="N1035" s="20"/>
      <c r="O1035" s="20"/>
      <c r="P1035" s="20"/>
      <c r="Q1035" s="21"/>
      <c r="R1035" s="22" t="s">
        <v>16</v>
      </c>
      <c r="S1035" s="22">
        <v>2</v>
      </c>
      <c r="T1035" s="25">
        <v>1351</v>
      </c>
      <c r="U1035" s="22">
        <v>0</v>
      </c>
      <c r="V1035" s="20" t="str">
        <f t="shared" si="78"/>
        <v>K-220x179,5x100</v>
      </c>
    </row>
    <row r="1036" spans="1:22" ht="15">
      <c r="A1036" s="88" t="s">
        <v>773</v>
      </c>
      <c r="B1036" s="76" t="s">
        <v>2182</v>
      </c>
      <c r="C1036" s="2">
        <v>230</v>
      </c>
      <c r="D1036" s="2">
        <v>100</v>
      </c>
      <c r="E1036" s="2">
        <v>150</v>
      </c>
      <c r="F1036" s="2">
        <v>150</v>
      </c>
      <c r="G1036" s="21">
        <v>3.45</v>
      </c>
      <c r="H1036" s="20"/>
      <c r="I1036" s="20"/>
      <c r="J1036" s="20"/>
      <c r="K1036" s="89"/>
      <c r="L1036" s="780"/>
      <c r="M1036" s="20"/>
      <c r="N1036" s="20"/>
      <c r="O1036" s="20"/>
      <c r="P1036" s="20"/>
      <c r="Q1036" s="21"/>
      <c r="R1036" s="22" t="s">
        <v>16</v>
      </c>
      <c r="S1036" s="22">
        <v>2</v>
      </c>
      <c r="T1036" s="25" t="s">
        <v>16</v>
      </c>
      <c r="U1036" s="22">
        <v>0</v>
      </c>
      <c r="V1036" s="20" t="str">
        <f t="shared" si="78"/>
        <v>K-230x150x100</v>
      </c>
    </row>
    <row r="1037" spans="1:22" ht="15">
      <c r="A1037" s="88" t="s">
        <v>774</v>
      </c>
      <c r="B1037" s="76" t="s">
        <v>2182</v>
      </c>
      <c r="C1037" s="2">
        <v>230</v>
      </c>
      <c r="D1037" s="2">
        <v>100</v>
      </c>
      <c r="E1037" s="2">
        <v>154</v>
      </c>
      <c r="F1037" s="2">
        <v>146</v>
      </c>
      <c r="G1037" s="21">
        <v>3.45</v>
      </c>
      <c r="H1037" s="20"/>
      <c r="I1037" s="20"/>
      <c r="J1037" s="20"/>
      <c r="K1037" s="89"/>
      <c r="L1037" s="780"/>
      <c r="M1037" s="20"/>
      <c r="N1037" s="20"/>
      <c r="O1037" s="20"/>
      <c r="P1037" s="20"/>
      <c r="Q1037" s="21"/>
      <c r="R1037" s="22" t="s">
        <v>16</v>
      </c>
      <c r="S1037" s="22">
        <v>2</v>
      </c>
      <c r="T1037" s="25">
        <v>8856</v>
      </c>
      <c r="U1037" s="22">
        <v>0</v>
      </c>
      <c r="V1037" s="20" t="str">
        <f t="shared" si="78"/>
        <v>K-230x154x100</v>
      </c>
    </row>
    <row r="1038" spans="1:22" ht="15">
      <c r="A1038" s="88" t="s">
        <v>775</v>
      </c>
      <c r="B1038" s="76" t="s">
        <v>2182</v>
      </c>
      <c r="C1038" s="2">
        <v>230</v>
      </c>
      <c r="D1038" s="2">
        <v>100</v>
      </c>
      <c r="E1038" s="2">
        <v>158</v>
      </c>
      <c r="F1038" s="2">
        <v>142</v>
      </c>
      <c r="G1038" s="21">
        <v>3.45</v>
      </c>
      <c r="H1038" s="20"/>
      <c r="I1038" s="20"/>
      <c r="J1038" s="20"/>
      <c r="K1038" s="89"/>
      <c r="L1038" s="780"/>
      <c r="M1038" s="20"/>
      <c r="N1038" s="20"/>
      <c r="O1038" s="20"/>
      <c r="P1038" s="20"/>
      <c r="Q1038" s="21"/>
      <c r="R1038" s="22" t="s">
        <v>16</v>
      </c>
      <c r="S1038" s="22">
        <v>2</v>
      </c>
      <c r="T1038" s="25">
        <v>4545</v>
      </c>
      <c r="U1038" s="22">
        <v>0</v>
      </c>
      <c r="V1038" s="20" t="str">
        <f t="shared" si="78"/>
        <v>K-230x158x100</v>
      </c>
    </row>
    <row r="1039" spans="1:22" ht="15">
      <c r="A1039" s="88" t="s">
        <v>776</v>
      </c>
      <c r="B1039" s="76" t="s">
        <v>2182</v>
      </c>
      <c r="C1039" s="2">
        <v>230</v>
      </c>
      <c r="D1039" s="2">
        <v>100</v>
      </c>
      <c r="E1039" s="2">
        <v>160</v>
      </c>
      <c r="F1039" s="2">
        <v>140</v>
      </c>
      <c r="G1039" s="21">
        <v>3.45</v>
      </c>
      <c r="H1039" s="20"/>
      <c r="I1039" s="20"/>
      <c r="J1039" s="20"/>
      <c r="K1039" s="89"/>
      <c r="L1039" s="780"/>
      <c r="M1039" s="20"/>
      <c r="N1039" s="20"/>
      <c r="O1039" s="20"/>
      <c r="P1039" s="20"/>
      <c r="Q1039" s="21"/>
      <c r="R1039" s="22" t="s">
        <v>16</v>
      </c>
      <c r="S1039" s="22">
        <v>2</v>
      </c>
      <c r="T1039" s="25">
        <v>3683</v>
      </c>
      <c r="U1039" s="22">
        <v>0</v>
      </c>
      <c r="V1039" s="20" t="str">
        <f t="shared" si="78"/>
        <v>K-230x160x100</v>
      </c>
    </row>
    <row r="1040" spans="1:22" ht="15">
      <c r="A1040" s="88" t="s">
        <v>777</v>
      </c>
      <c r="B1040" s="76" t="s">
        <v>2182</v>
      </c>
      <c r="C1040" s="2">
        <v>230</v>
      </c>
      <c r="D1040" s="2">
        <v>100</v>
      </c>
      <c r="E1040" s="2">
        <v>165</v>
      </c>
      <c r="F1040" s="2">
        <v>135</v>
      </c>
      <c r="G1040" s="21">
        <v>3.45</v>
      </c>
      <c r="H1040" s="20"/>
      <c r="I1040" s="20"/>
      <c r="J1040" s="20"/>
      <c r="K1040" s="89"/>
      <c r="L1040" s="780"/>
      <c r="M1040" s="20"/>
      <c r="N1040" s="20"/>
      <c r="O1040" s="20"/>
      <c r="P1040" s="20"/>
      <c r="Q1040" s="21"/>
      <c r="R1040" s="22" t="s">
        <v>16</v>
      </c>
      <c r="S1040" s="22">
        <v>2</v>
      </c>
      <c r="T1040" s="25">
        <v>2535</v>
      </c>
      <c r="U1040" s="22">
        <v>0</v>
      </c>
      <c r="V1040" s="20" t="str">
        <f t="shared" si="78"/>
        <v>K-230x165x100</v>
      </c>
    </row>
    <row r="1041" spans="1:22" ht="15">
      <c r="A1041" s="88" t="s">
        <v>778</v>
      </c>
      <c r="B1041" s="76" t="s">
        <v>2182</v>
      </c>
      <c r="C1041" s="2">
        <v>230</v>
      </c>
      <c r="D1041" s="2">
        <v>100</v>
      </c>
      <c r="E1041" s="2">
        <v>170</v>
      </c>
      <c r="F1041" s="2">
        <v>130</v>
      </c>
      <c r="G1041" s="21">
        <v>3.45</v>
      </c>
      <c r="H1041" s="20"/>
      <c r="I1041" s="20"/>
      <c r="J1041" s="20"/>
      <c r="K1041" s="89"/>
      <c r="L1041" s="780"/>
      <c r="M1041" s="20"/>
      <c r="N1041" s="20"/>
      <c r="O1041" s="20"/>
      <c r="P1041" s="20"/>
      <c r="Q1041" s="21"/>
      <c r="R1041" s="22" t="s">
        <v>16</v>
      </c>
      <c r="S1041" s="22">
        <v>2</v>
      </c>
      <c r="T1041" s="25">
        <v>1962</v>
      </c>
      <c r="U1041" s="22">
        <v>0</v>
      </c>
      <c r="V1041" s="20" t="str">
        <f t="shared" si="78"/>
        <v>K-230x170x100</v>
      </c>
    </row>
    <row r="1042" spans="1:22" ht="15">
      <c r="A1042" s="88" t="s">
        <v>779</v>
      </c>
      <c r="B1042" s="76" t="s">
        <v>2182</v>
      </c>
      <c r="C1042" s="2">
        <v>230</v>
      </c>
      <c r="D1042" s="2">
        <v>100</v>
      </c>
      <c r="E1042" s="2">
        <v>175</v>
      </c>
      <c r="F1042" s="2">
        <v>125</v>
      </c>
      <c r="G1042" s="21">
        <v>3.45</v>
      </c>
      <c r="H1042" s="20"/>
      <c r="I1042" s="20"/>
      <c r="J1042" s="20"/>
      <c r="K1042" s="89"/>
      <c r="L1042" s="780"/>
      <c r="M1042" s="20"/>
      <c r="N1042" s="20"/>
      <c r="O1042" s="20"/>
      <c r="P1042" s="20"/>
      <c r="Q1042" s="21"/>
      <c r="R1042" s="22" t="s">
        <v>16</v>
      </c>
      <c r="S1042" s="22">
        <v>2</v>
      </c>
      <c r="T1042" s="25">
        <v>1619</v>
      </c>
      <c r="U1042" s="22">
        <v>0</v>
      </c>
      <c r="V1042" s="20" t="str">
        <f t="shared" si="78"/>
        <v>K-230x175x100</v>
      </c>
    </row>
    <row r="1043" spans="1:22" ht="15">
      <c r="A1043" s="88" t="s">
        <v>780</v>
      </c>
      <c r="B1043" s="76" t="s">
        <v>2182</v>
      </c>
      <c r="C1043" s="2">
        <v>150</v>
      </c>
      <c r="D1043" s="2">
        <v>100</v>
      </c>
      <c r="E1043" s="2">
        <v>104</v>
      </c>
      <c r="F1043" s="2">
        <v>96</v>
      </c>
      <c r="G1043" s="21">
        <v>1.5</v>
      </c>
      <c r="H1043" s="20"/>
      <c r="I1043" s="20"/>
      <c r="J1043" s="20"/>
      <c r="K1043" s="89"/>
      <c r="L1043" s="780"/>
      <c r="M1043" s="20"/>
      <c r="N1043" s="20"/>
      <c r="O1043" s="20"/>
      <c r="P1043" s="20"/>
      <c r="Q1043" s="21"/>
      <c r="R1043" s="22" t="s">
        <v>16</v>
      </c>
      <c r="S1043" s="22">
        <v>2</v>
      </c>
      <c r="T1043" s="25">
        <v>3901</v>
      </c>
      <c r="U1043" s="22">
        <v>0</v>
      </c>
      <c r="V1043" s="20" t="str">
        <f t="shared" si="78"/>
        <v>K-150x104x100</v>
      </c>
    </row>
    <row r="1044" spans="1:22" ht="15">
      <c r="A1044" s="88" t="s">
        <v>781</v>
      </c>
      <c r="B1044" s="76" t="s">
        <v>2182</v>
      </c>
      <c r="C1044" s="2">
        <v>150</v>
      </c>
      <c r="D1044" s="2">
        <v>100</v>
      </c>
      <c r="E1044" s="2">
        <v>124</v>
      </c>
      <c r="F1044" s="2">
        <v>116</v>
      </c>
      <c r="G1044" s="21">
        <v>1.8</v>
      </c>
      <c r="H1044" s="20"/>
      <c r="I1044" s="20"/>
      <c r="J1044" s="20"/>
      <c r="K1044" s="89"/>
      <c r="L1044" s="780"/>
      <c r="M1044" s="20"/>
      <c r="N1044" s="20"/>
      <c r="O1044" s="20"/>
      <c r="P1044" s="20"/>
      <c r="Q1044" s="21"/>
      <c r="R1044" s="22" t="s">
        <v>16</v>
      </c>
      <c r="S1044" s="22">
        <v>2</v>
      </c>
      <c r="T1044" s="25">
        <v>4652</v>
      </c>
      <c r="U1044" s="22">
        <v>0</v>
      </c>
      <c r="V1044" s="20" t="str">
        <f t="shared" si="78"/>
        <v>K-150x124x100</v>
      </c>
    </row>
    <row r="1045" spans="1:22" ht="15">
      <c r="A1045" s="88" t="s">
        <v>782</v>
      </c>
      <c r="B1045" s="76" t="s">
        <v>2182</v>
      </c>
      <c r="C1045" s="2">
        <v>150</v>
      </c>
      <c r="D1045" s="2">
        <v>100</v>
      </c>
      <c r="E1045" s="2">
        <v>110</v>
      </c>
      <c r="F1045" s="2">
        <v>90</v>
      </c>
      <c r="G1045" s="21">
        <v>1.5</v>
      </c>
      <c r="H1045" s="20"/>
      <c r="I1045" s="20"/>
      <c r="J1045" s="20"/>
      <c r="K1045" s="89"/>
      <c r="L1045" s="780"/>
      <c r="M1045" s="20"/>
      <c r="N1045" s="20"/>
      <c r="O1045" s="20"/>
      <c r="P1045" s="20"/>
      <c r="Q1045" s="21"/>
      <c r="R1045" s="22" t="s">
        <v>16</v>
      </c>
      <c r="S1045" s="22">
        <v>2</v>
      </c>
      <c r="T1045" s="25">
        <v>1654</v>
      </c>
      <c r="U1045" s="22">
        <v>0</v>
      </c>
      <c r="V1045" s="20" t="str">
        <f t="shared" si="78"/>
        <v>K-150x110x100</v>
      </c>
    </row>
    <row r="1046" spans="1:22" ht="15">
      <c r="A1046" s="88" t="s">
        <v>783</v>
      </c>
      <c r="B1046" s="76" t="s">
        <v>2182</v>
      </c>
      <c r="C1046" s="2">
        <v>150</v>
      </c>
      <c r="D1046" s="2">
        <v>100</v>
      </c>
      <c r="E1046" s="2">
        <v>130</v>
      </c>
      <c r="F1046" s="2">
        <v>110</v>
      </c>
      <c r="G1046" s="21">
        <v>1.8</v>
      </c>
      <c r="H1046" s="20"/>
      <c r="I1046" s="20"/>
      <c r="J1046" s="20"/>
      <c r="K1046" s="89"/>
      <c r="L1046" s="780"/>
      <c r="M1046" s="20"/>
      <c r="N1046" s="20"/>
      <c r="O1046" s="20"/>
      <c r="P1046" s="20"/>
      <c r="Q1046" s="21"/>
      <c r="R1046" s="22" t="s">
        <v>16</v>
      </c>
      <c r="S1046" s="22">
        <v>2</v>
      </c>
      <c r="T1046" s="25">
        <v>1954</v>
      </c>
      <c r="U1046" s="22">
        <v>0</v>
      </c>
      <c r="V1046" s="20" t="str">
        <f t="shared" si="78"/>
        <v>K-150x130x100</v>
      </c>
    </row>
    <row r="1047" spans="1:22" ht="15">
      <c r="A1047" s="88" t="s">
        <v>784</v>
      </c>
      <c r="B1047" s="76" t="s">
        <v>2182</v>
      </c>
      <c r="C1047" s="2">
        <v>180</v>
      </c>
      <c r="D1047" s="2">
        <v>100</v>
      </c>
      <c r="E1047" s="2">
        <v>104</v>
      </c>
      <c r="F1047" s="2">
        <v>96</v>
      </c>
      <c r="G1047" s="21">
        <v>1.8</v>
      </c>
      <c r="H1047" s="20"/>
      <c r="I1047" s="20"/>
      <c r="J1047" s="20"/>
      <c r="K1047" s="89"/>
      <c r="L1047" s="780"/>
      <c r="M1047" s="20"/>
      <c r="N1047" s="20"/>
      <c r="O1047" s="20"/>
      <c r="P1047" s="20"/>
      <c r="Q1047" s="21"/>
      <c r="R1047" s="22" t="s">
        <v>16</v>
      </c>
      <c r="S1047" s="22">
        <v>2</v>
      </c>
      <c r="T1047" s="25">
        <v>4681</v>
      </c>
      <c r="U1047" s="22">
        <v>0</v>
      </c>
      <c r="V1047" s="20" t="str">
        <f t="shared" si="78"/>
        <v>K-180x104x100</v>
      </c>
    </row>
    <row r="1048" spans="1:22" ht="15">
      <c r="A1048" s="88" t="s">
        <v>785</v>
      </c>
      <c r="B1048" s="76" t="s">
        <v>2182</v>
      </c>
      <c r="C1048" s="2">
        <v>180</v>
      </c>
      <c r="D1048" s="2">
        <v>100</v>
      </c>
      <c r="E1048" s="2">
        <v>124</v>
      </c>
      <c r="F1048" s="2">
        <v>116</v>
      </c>
      <c r="G1048" s="21">
        <v>2.16</v>
      </c>
      <c r="H1048" s="20"/>
      <c r="I1048" s="20"/>
      <c r="J1048" s="20"/>
      <c r="K1048" s="89"/>
      <c r="L1048" s="780"/>
      <c r="M1048" s="20"/>
      <c r="N1048" s="20"/>
      <c r="O1048" s="20"/>
      <c r="P1048" s="20"/>
      <c r="Q1048" s="21"/>
      <c r="R1048" s="22" t="s">
        <v>16</v>
      </c>
      <c r="S1048" s="22">
        <v>2</v>
      </c>
      <c r="T1048" s="25">
        <v>5581</v>
      </c>
      <c r="U1048" s="22">
        <v>0</v>
      </c>
      <c r="V1048" s="20" t="str">
        <f t="shared" si="78"/>
        <v>K-180x124x100</v>
      </c>
    </row>
    <row r="1049" spans="1:22" ht="15">
      <c r="A1049" s="88" t="s">
        <v>786</v>
      </c>
      <c r="B1049" s="76" t="s">
        <v>2182</v>
      </c>
      <c r="C1049" s="2">
        <v>180</v>
      </c>
      <c r="D1049" s="2">
        <v>100</v>
      </c>
      <c r="E1049" s="2">
        <v>110</v>
      </c>
      <c r="F1049" s="2">
        <v>90</v>
      </c>
      <c r="G1049" s="21">
        <v>1.8</v>
      </c>
      <c r="H1049" s="20"/>
      <c r="I1049" s="20"/>
      <c r="J1049" s="20"/>
      <c r="K1049" s="89"/>
      <c r="L1049" s="780"/>
      <c r="M1049" s="20"/>
      <c r="N1049" s="20"/>
      <c r="O1049" s="20"/>
      <c r="P1049" s="20"/>
      <c r="Q1049" s="21"/>
      <c r="R1049" s="22" t="s">
        <v>16</v>
      </c>
      <c r="S1049" s="22">
        <v>2</v>
      </c>
      <c r="T1049" s="25">
        <v>1983</v>
      </c>
      <c r="U1049" s="22">
        <v>0</v>
      </c>
      <c r="V1049" s="20" t="str">
        <f t="shared" si="78"/>
        <v>K-180x110x100</v>
      </c>
    </row>
    <row r="1050" spans="1:22" ht="15.6" thickBot="1">
      <c r="A1050" s="90" t="s">
        <v>787</v>
      </c>
      <c r="B1050" s="80" t="s">
        <v>2182</v>
      </c>
      <c r="C1050" s="81">
        <v>180</v>
      </c>
      <c r="D1050" s="81">
        <v>100</v>
      </c>
      <c r="E1050" s="81">
        <v>130</v>
      </c>
      <c r="F1050" s="81">
        <v>110</v>
      </c>
      <c r="G1050" s="103">
        <v>2.16</v>
      </c>
      <c r="H1050" s="82"/>
      <c r="I1050" s="82"/>
      <c r="J1050" s="82"/>
      <c r="K1050" s="91"/>
      <c r="L1050" s="781"/>
      <c r="M1050" s="20"/>
      <c r="N1050" s="20"/>
      <c r="O1050" s="20"/>
      <c r="P1050" s="20"/>
      <c r="Q1050" s="21"/>
      <c r="R1050" s="22" t="s">
        <v>16</v>
      </c>
      <c r="S1050" s="22">
        <v>2</v>
      </c>
      <c r="T1050" s="25">
        <v>2344</v>
      </c>
      <c r="U1050" s="22">
        <v>0</v>
      </c>
      <c r="V1050" s="20" t="str">
        <f t="shared" si="78"/>
        <v>K-180x130x100</v>
      </c>
    </row>
    <row r="1051" spans="1:22" ht="25.2" thickBot="1">
      <c r="A1051" s="64" t="s">
        <v>119</v>
      </c>
      <c r="B1051" s="72"/>
      <c r="C1051" s="73"/>
      <c r="D1051" s="73"/>
      <c r="E1051" s="73"/>
      <c r="F1051" s="73"/>
      <c r="G1051" s="104"/>
      <c r="H1051" s="73"/>
      <c r="I1051" s="73"/>
      <c r="J1051" s="73"/>
      <c r="K1051" s="73"/>
      <c r="L1051" s="93"/>
      <c r="M1051" s="20"/>
      <c r="N1051" s="20"/>
      <c r="O1051" s="20"/>
      <c r="P1051" s="20"/>
      <c r="Q1051" s="21"/>
      <c r="R1051" s="22"/>
      <c r="S1051" s="22"/>
      <c r="T1051" s="20"/>
      <c r="U1051" s="22"/>
      <c r="V1051" s="20"/>
    </row>
    <row r="1052" spans="1:22" ht="12.75" customHeight="1">
      <c r="A1052" s="561" t="s">
        <v>2184</v>
      </c>
      <c r="B1052" s="305" t="s">
        <v>2182</v>
      </c>
      <c r="C1052" s="77">
        <v>102</v>
      </c>
      <c r="D1052" s="77">
        <v>100</v>
      </c>
      <c r="E1052" s="77">
        <v>211</v>
      </c>
      <c r="F1052" s="77">
        <v>185.7</v>
      </c>
      <c r="G1052" s="86">
        <f>2016*10^-3</f>
        <v>2.016</v>
      </c>
      <c r="H1052" s="78">
        <f t="shared" ref="H1052:H1063" si="79">ROUND(C1052*E1052*F1052/10^6,3)</f>
        <v>3.9969999999999999</v>
      </c>
      <c r="I1052" s="78">
        <f t="shared" ref="I1052:I1063" si="80">IF(D1052="","-",ROUND((F1052+D1052)*C1052/2*E1052/10^6,3))</f>
        <v>3.0739999999999998</v>
      </c>
      <c r="J1052" s="78">
        <f t="shared" ref="J1052:J1063" si="81">IF(D1052="","-",ROUND((E1052+F1052)*C1052/2*D1052/10^6,3))</f>
        <v>2.0230000000000001</v>
      </c>
      <c r="K1052" s="79"/>
      <c r="L1052" s="782" t="s">
        <v>119</v>
      </c>
      <c r="M1052" s="20"/>
      <c r="N1052" s="20"/>
      <c r="O1052" s="20"/>
      <c r="P1052" s="20"/>
      <c r="Q1052" s="21"/>
      <c r="R1052" s="22" t="s">
        <v>16</v>
      </c>
      <c r="S1052" s="22">
        <v>2</v>
      </c>
      <c r="T1052" s="20" t="e">
        <f t="shared" ref="T1052:T1063" si="82">(E1052+U1052)/2/(SIN(RADIANS((ATAN(((E1052+U1052)-(F1052+U1052))/2/C1052)*180/PI()))))*2</f>
        <v>#REF!</v>
      </c>
      <c r="U1052" s="22" t="e">
        <f>#REF!</f>
        <v>#REF!</v>
      </c>
      <c r="V1052" s="20" t="str">
        <f>B1053&amp;"-"&amp;C1052&amp;"x"&amp;E1052&amp;"x"&amp;D1052</f>
        <v>K-102x211x100</v>
      </c>
    </row>
    <row r="1053" spans="1:22">
      <c r="A1053" s="76" t="s">
        <v>2185</v>
      </c>
      <c r="B1053" s="305" t="s">
        <v>2182</v>
      </c>
      <c r="C1053" s="2">
        <v>102</v>
      </c>
      <c r="D1053" s="2">
        <v>100</v>
      </c>
      <c r="E1053" s="2">
        <v>211</v>
      </c>
      <c r="F1053" s="2">
        <v>198.4</v>
      </c>
      <c r="G1053" s="21">
        <f>2081*10^-3</f>
        <v>2.081</v>
      </c>
      <c r="H1053" s="20">
        <f t="shared" si="79"/>
        <v>4.2699999999999996</v>
      </c>
      <c r="I1053" s="20">
        <f t="shared" si="80"/>
        <v>3.2109999999999999</v>
      </c>
      <c r="J1053" s="20">
        <f t="shared" si="81"/>
        <v>2.0880000000000001</v>
      </c>
      <c r="K1053" s="75"/>
      <c r="L1053" s="783"/>
      <c r="M1053" s="20"/>
      <c r="N1053" s="20"/>
      <c r="O1053" s="20"/>
      <c r="P1053" s="20"/>
      <c r="Q1053" s="21"/>
      <c r="R1053" s="22" t="s">
        <v>16</v>
      </c>
      <c r="S1053" s="22">
        <v>2</v>
      </c>
      <c r="T1053" s="20" t="e">
        <f t="shared" si="82"/>
        <v>#REF!</v>
      </c>
      <c r="U1053" s="22" t="e">
        <f>#REF!</f>
        <v>#REF!</v>
      </c>
      <c r="V1053" s="20" t="e">
        <f>#REF!&amp;"-"&amp;C1053&amp;"x"&amp;E1053&amp;"x"&amp;D1053</f>
        <v>#REF!</v>
      </c>
    </row>
    <row r="1054" spans="1:22">
      <c r="A1054" s="76" t="s">
        <v>2186</v>
      </c>
      <c r="B1054" s="305" t="s">
        <v>2182</v>
      </c>
      <c r="C1054" s="2">
        <v>102</v>
      </c>
      <c r="D1054" s="2">
        <v>100</v>
      </c>
      <c r="E1054" s="2">
        <v>211</v>
      </c>
      <c r="F1054" s="2">
        <v>202.7</v>
      </c>
      <c r="G1054" s="21">
        <f>2098*10^-3</f>
        <v>2.0979999999999999</v>
      </c>
      <c r="H1054" s="20">
        <f t="shared" si="79"/>
        <v>4.3630000000000004</v>
      </c>
      <c r="I1054" s="20">
        <f t="shared" si="80"/>
        <v>3.2570000000000001</v>
      </c>
      <c r="J1054" s="20">
        <f t="shared" si="81"/>
        <v>2.11</v>
      </c>
      <c r="K1054" s="75"/>
      <c r="L1054" s="783"/>
      <c r="M1054" s="20"/>
      <c r="N1054" s="20"/>
      <c r="O1054" s="20"/>
      <c r="P1054" s="20"/>
      <c r="Q1054" s="21"/>
      <c r="R1054" s="22" t="s">
        <v>16</v>
      </c>
      <c r="S1054" s="22">
        <v>2</v>
      </c>
      <c r="T1054" s="20" t="e">
        <f t="shared" si="82"/>
        <v>#REF!</v>
      </c>
      <c r="U1054" s="22" t="e">
        <f>#REF!</f>
        <v>#REF!</v>
      </c>
      <c r="V1054" s="20" t="str">
        <f t="shared" ref="V1054:V1063" si="83">B1054&amp;"-"&amp;C1054&amp;"x"&amp;E1054&amp;"x"&amp;D1054</f>
        <v>K-102x211x100</v>
      </c>
    </row>
    <row r="1055" spans="1:22">
      <c r="A1055" s="76" t="s">
        <v>2187</v>
      </c>
      <c r="B1055" s="305" t="s">
        <v>2182</v>
      </c>
      <c r="C1055" s="2">
        <v>127</v>
      </c>
      <c r="D1055" s="2">
        <v>100</v>
      </c>
      <c r="E1055" s="2">
        <v>211</v>
      </c>
      <c r="F1055" s="2">
        <v>179.3</v>
      </c>
      <c r="G1055" s="21">
        <f>2474*10^-3</f>
        <v>2.4740000000000002</v>
      </c>
      <c r="H1055" s="20">
        <f t="shared" si="79"/>
        <v>4.8049999999999997</v>
      </c>
      <c r="I1055" s="20">
        <f t="shared" si="80"/>
        <v>3.742</v>
      </c>
      <c r="J1055" s="20">
        <f t="shared" si="81"/>
        <v>2.4780000000000002</v>
      </c>
      <c r="K1055" s="75"/>
      <c r="L1055" s="783"/>
      <c r="M1055" s="20"/>
      <c r="N1055" s="20"/>
      <c r="O1055" s="20"/>
      <c r="P1055" s="20"/>
      <c r="Q1055" s="21"/>
      <c r="R1055" s="22" t="s">
        <v>16</v>
      </c>
      <c r="S1055" s="22">
        <v>2</v>
      </c>
      <c r="T1055" s="20" t="e">
        <f t="shared" si="82"/>
        <v>#REF!</v>
      </c>
      <c r="U1055" s="22" t="e">
        <f>#REF!</f>
        <v>#REF!</v>
      </c>
      <c r="V1055" s="20" t="str">
        <f t="shared" si="83"/>
        <v>K-127x211x100</v>
      </c>
    </row>
    <row r="1056" spans="1:22">
      <c r="A1056" s="76" t="s">
        <v>2188</v>
      </c>
      <c r="B1056" s="305" t="s">
        <v>2182</v>
      </c>
      <c r="C1056" s="2">
        <v>127</v>
      </c>
      <c r="D1056" s="2">
        <v>100</v>
      </c>
      <c r="E1056" s="2">
        <v>211</v>
      </c>
      <c r="F1056" s="2">
        <v>195.3</v>
      </c>
      <c r="G1056" s="21">
        <f>2573*10^-3</f>
        <v>2.573</v>
      </c>
      <c r="H1056" s="20">
        <f t="shared" si="79"/>
        <v>5.2329999999999997</v>
      </c>
      <c r="I1056" s="20">
        <f t="shared" si="80"/>
        <v>3.9569999999999999</v>
      </c>
      <c r="J1056" s="20">
        <f t="shared" si="81"/>
        <v>2.58</v>
      </c>
      <c r="K1056" s="75"/>
      <c r="L1056" s="783"/>
      <c r="M1056" s="20"/>
      <c r="N1056" s="20"/>
      <c r="O1056" s="20"/>
      <c r="P1056" s="20"/>
      <c r="Q1056" s="21"/>
      <c r="R1056" s="22" t="s">
        <v>16</v>
      </c>
      <c r="S1056" s="22">
        <v>2</v>
      </c>
      <c r="T1056" s="20" t="e">
        <f t="shared" si="82"/>
        <v>#REF!</v>
      </c>
      <c r="U1056" s="22" t="e">
        <f>#REF!</f>
        <v>#REF!</v>
      </c>
      <c r="V1056" s="20" t="str">
        <f t="shared" si="83"/>
        <v>K-127x211x100</v>
      </c>
    </row>
    <row r="1057" spans="1:22">
      <c r="A1057" s="76" t="s">
        <v>2189</v>
      </c>
      <c r="B1057" s="305" t="s">
        <v>2182</v>
      </c>
      <c r="C1057" s="2">
        <v>127</v>
      </c>
      <c r="D1057" s="2">
        <v>100</v>
      </c>
      <c r="E1057" s="2">
        <v>211</v>
      </c>
      <c r="F1057" s="2">
        <v>200.4</v>
      </c>
      <c r="G1057" s="21">
        <f>2606*10^-3</f>
        <v>2.6059999999999999</v>
      </c>
      <c r="H1057" s="20">
        <f t="shared" si="79"/>
        <v>5.37</v>
      </c>
      <c r="I1057" s="20">
        <f t="shared" si="80"/>
        <v>4.0250000000000004</v>
      </c>
      <c r="J1057" s="20">
        <f t="shared" si="81"/>
        <v>2.6120000000000001</v>
      </c>
      <c r="K1057" s="75"/>
      <c r="L1057" s="783"/>
      <c r="M1057" s="20"/>
      <c r="N1057" s="20"/>
      <c r="O1057" s="20"/>
      <c r="P1057" s="20"/>
      <c r="Q1057" s="21"/>
      <c r="R1057" s="22" t="s">
        <v>16</v>
      </c>
      <c r="S1057" s="22">
        <v>2</v>
      </c>
      <c r="T1057" s="20" t="e">
        <f t="shared" si="82"/>
        <v>#REF!</v>
      </c>
      <c r="U1057" s="22" t="e">
        <f>#REF!</f>
        <v>#REF!</v>
      </c>
      <c r="V1057" s="20" t="str">
        <f t="shared" si="83"/>
        <v>K-127x211x100</v>
      </c>
    </row>
    <row r="1058" spans="1:22">
      <c r="A1058" s="76" t="s">
        <v>2190</v>
      </c>
      <c r="B1058" s="305" t="s">
        <v>2182</v>
      </c>
      <c r="C1058" s="2">
        <v>152</v>
      </c>
      <c r="D1058" s="2">
        <v>100</v>
      </c>
      <c r="E1058" s="2">
        <v>211</v>
      </c>
      <c r="F1058" s="2">
        <v>173</v>
      </c>
      <c r="G1058" s="21">
        <f>2933*10^-3</f>
        <v>2.9330000000000003</v>
      </c>
      <c r="H1058" s="20">
        <f t="shared" si="79"/>
        <v>5.548</v>
      </c>
      <c r="I1058" s="20">
        <f t="shared" si="80"/>
        <v>4.3780000000000001</v>
      </c>
      <c r="J1058" s="20">
        <f t="shared" si="81"/>
        <v>2.9180000000000001</v>
      </c>
      <c r="K1058" s="75"/>
      <c r="L1058" s="783"/>
      <c r="M1058" s="20"/>
      <c r="N1058" s="20"/>
      <c r="O1058" s="20"/>
      <c r="P1058" s="20"/>
      <c r="Q1058" s="21"/>
      <c r="R1058" s="22" t="s">
        <v>16</v>
      </c>
      <c r="S1058" s="22">
        <v>2</v>
      </c>
      <c r="T1058" s="20" t="e">
        <f t="shared" si="82"/>
        <v>#REF!</v>
      </c>
      <c r="U1058" s="22" t="e">
        <f>#REF!</f>
        <v>#REF!</v>
      </c>
      <c r="V1058" s="20" t="str">
        <f t="shared" si="83"/>
        <v>K-152x211x100</v>
      </c>
    </row>
    <row r="1059" spans="1:22">
      <c r="A1059" s="76" t="s">
        <v>2191</v>
      </c>
      <c r="B1059" s="305" t="s">
        <v>2182</v>
      </c>
      <c r="C1059" s="2">
        <v>152</v>
      </c>
      <c r="D1059" s="2">
        <v>100</v>
      </c>
      <c r="E1059" s="2">
        <v>211</v>
      </c>
      <c r="F1059" s="2">
        <v>192</v>
      </c>
      <c r="G1059" s="21">
        <f>3064*10^-3</f>
        <v>3.0640000000000001</v>
      </c>
      <c r="H1059" s="20">
        <f t="shared" si="79"/>
        <v>6.1580000000000004</v>
      </c>
      <c r="I1059" s="20">
        <f t="shared" si="80"/>
        <v>4.6829999999999998</v>
      </c>
      <c r="J1059" s="20">
        <f t="shared" si="81"/>
        <v>3.0630000000000002</v>
      </c>
      <c r="K1059" s="75"/>
      <c r="L1059" s="783"/>
      <c r="M1059" s="20"/>
      <c r="N1059" s="20"/>
      <c r="O1059" s="20"/>
      <c r="P1059" s="20"/>
      <c r="Q1059" s="21"/>
      <c r="R1059" s="22" t="s">
        <v>16</v>
      </c>
      <c r="S1059" s="22">
        <v>2</v>
      </c>
      <c r="T1059" s="20" t="e">
        <f t="shared" si="82"/>
        <v>#REF!</v>
      </c>
      <c r="U1059" s="22" t="e">
        <f>#REF!</f>
        <v>#REF!</v>
      </c>
      <c r="V1059" s="20" t="str">
        <f t="shared" si="83"/>
        <v>K-152x211x100</v>
      </c>
    </row>
    <row r="1060" spans="1:22">
      <c r="A1060" s="76" t="s">
        <v>2192</v>
      </c>
      <c r="B1060" s="305" t="s">
        <v>2182</v>
      </c>
      <c r="C1060" s="2">
        <v>152</v>
      </c>
      <c r="D1060" s="2">
        <v>100</v>
      </c>
      <c r="E1060" s="2">
        <v>211</v>
      </c>
      <c r="F1060" s="2">
        <v>198.4</v>
      </c>
      <c r="G1060" s="21">
        <f>3114*10^-3</f>
        <v>3.1139999999999999</v>
      </c>
      <c r="H1060" s="20">
        <f t="shared" si="79"/>
        <v>6.3630000000000004</v>
      </c>
      <c r="I1060" s="20">
        <f t="shared" si="80"/>
        <v>4.7850000000000001</v>
      </c>
      <c r="J1060" s="20">
        <f t="shared" si="81"/>
        <v>3.1110000000000002</v>
      </c>
      <c r="K1060" s="75"/>
      <c r="L1060" s="783"/>
      <c r="M1060" s="20"/>
      <c r="N1060" s="20"/>
      <c r="O1060" s="20"/>
      <c r="P1060" s="20"/>
      <c r="Q1060" s="21"/>
      <c r="R1060" s="22" t="s">
        <v>16</v>
      </c>
      <c r="S1060" s="22">
        <v>2</v>
      </c>
      <c r="T1060" s="20" t="e">
        <f t="shared" si="82"/>
        <v>#REF!</v>
      </c>
      <c r="U1060" s="22" t="e">
        <f>U1052</f>
        <v>#REF!</v>
      </c>
      <c r="V1060" s="20" t="str">
        <f t="shared" si="83"/>
        <v>K-152x211x100</v>
      </c>
    </row>
    <row r="1061" spans="1:22">
      <c r="A1061" s="76" t="s">
        <v>2193</v>
      </c>
      <c r="B1061" s="305" t="s">
        <v>2182</v>
      </c>
      <c r="C1061" s="2">
        <v>203</v>
      </c>
      <c r="D1061" s="2">
        <v>100</v>
      </c>
      <c r="E1061" s="2">
        <v>211</v>
      </c>
      <c r="F1061" s="2">
        <v>160</v>
      </c>
      <c r="G1061" s="21">
        <f>3769*10^-3</f>
        <v>3.7690000000000001</v>
      </c>
      <c r="H1061" s="20">
        <f t="shared" si="79"/>
        <v>6.8529999999999998</v>
      </c>
      <c r="I1061" s="20">
        <f t="shared" si="80"/>
        <v>5.5679999999999996</v>
      </c>
      <c r="J1061" s="20">
        <f t="shared" si="81"/>
        <v>3.766</v>
      </c>
      <c r="K1061" s="75"/>
      <c r="L1061" s="783"/>
      <c r="M1061" s="20"/>
      <c r="N1061" s="20"/>
      <c r="O1061" s="20"/>
      <c r="P1061" s="20"/>
      <c r="Q1061" s="21"/>
      <c r="R1061" s="22" t="s">
        <v>16</v>
      </c>
      <c r="S1061" s="22">
        <v>2</v>
      </c>
      <c r="T1061" s="20" t="e">
        <f t="shared" si="82"/>
        <v>#REF!</v>
      </c>
      <c r="U1061" s="22" t="e">
        <f>U1053</f>
        <v>#REF!</v>
      </c>
      <c r="V1061" s="20" t="str">
        <f t="shared" si="83"/>
        <v>K-203x211x100</v>
      </c>
    </row>
    <row r="1062" spans="1:22">
      <c r="A1062" s="76" t="s">
        <v>2194</v>
      </c>
      <c r="B1062" s="305" t="s">
        <v>2182</v>
      </c>
      <c r="C1062" s="2">
        <v>203</v>
      </c>
      <c r="D1062" s="2">
        <v>100</v>
      </c>
      <c r="E1062" s="2">
        <v>211</v>
      </c>
      <c r="F1062" s="2">
        <v>185.7</v>
      </c>
      <c r="G1062" s="21">
        <f>4031*10^-3</f>
        <v>4.0309999999999997</v>
      </c>
      <c r="H1062" s="20">
        <f t="shared" si="79"/>
        <v>7.9539999999999997</v>
      </c>
      <c r="I1062" s="20">
        <f t="shared" si="80"/>
        <v>6.1189999999999998</v>
      </c>
      <c r="J1062" s="20">
        <f t="shared" si="81"/>
        <v>4.0270000000000001</v>
      </c>
      <c r="K1062" s="75"/>
      <c r="L1062" s="783"/>
      <c r="M1062" s="20"/>
      <c r="N1062" s="20"/>
      <c r="O1062" s="20"/>
      <c r="P1062" s="20"/>
      <c r="Q1062" s="21"/>
      <c r="R1062" s="22" t="s">
        <v>16</v>
      </c>
      <c r="S1062" s="22">
        <v>2</v>
      </c>
      <c r="T1062" s="20" t="e">
        <f t="shared" si="82"/>
        <v>#REF!</v>
      </c>
      <c r="U1062" s="22" t="e">
        <f>U1054</f>
        <v>#REF!</v>
      </c>
      <c r="V1062" s="20" t="str">
        <f t="shared" si="83"/>
        <v>K-203x211x100</v>
      </c>
    </row>
    <row r="1063" spans="1:22" ht="13.8" thickBot="1">
      <c r="A1063" s="80" t="s">
        <v>2195</v>
      </c>
      <c r="B1063" s="305" t="s">
        <v>2182</v>
      </c>
      <c r="C1063" s="81">
        <v>203</v>
      </c>
      <c r="D1063" s="81">
        <v>100</v>
      </c>
      <c r="E1063" s="81">
        <v>211</v>
      </c>
      <c r="F1063" s="81">
        <v>194.1</v>
      </c>
      <c r="G1063" s="103">
        <f>4113*10^-3</f>
        <v>4.1130000000000004</v>
      </c>
      <c r="H1063" s="82">
        <f t="shared" si="79"/>
        <v>8.3140000000000001</v>
      </c>
      <c r="I1063" s="82">
        <f t="shared" si="80"/>
        <v>6.2990000000000004</v>
      </c>
      <c r="J1063" s="82">
        <f t="shared" si="81"/>
        <v>4.1120000000000001</v>
      </c>
      <c r="K1063" s="83"/>
      <c r="L1063" s="784"/>
      <c r="M1063" s="20"/>
      <c r="N1063" s="20"/>
      <c r="O1063" s="20"/>
      <c r="P1063" s="20"/>
      <c r="Q1063" s="21"/>
      <c r="R1063" s="22" t="s">
        <v>16</v>
      </c>
      <c r="S1063" s="22">
        <v>2</v>
      </c>
      <c r="T1063" s="20" t="e">
        <f t="shared" si="82"/>
        <v>#REF!</v>
      </c>
      <c r="U1063" s="22" t="e">
        <f>U1055</f>
        <v>#REF!</v>
      </c>
      <c r="V1063" s="20" t="str">
        <f t="shared" si="83"/>
        <v>K-203x211x100</v>
      </c>
    </row>
    <row r="1064" spans="1:22" ht="25.2" thickBot="1">
      <c r="A1064" s="64" t="s">
        <v>1842</v>
      </c>
      <c r="B1064" s="72"/>
      <c r="C1064" s="72"/>
      <c r="D1064" s="73"/>
      <c r="E1064" s="73"/>
      <c r="F1064" s="73"/>
      <c r="G1064" s="104"/>
      <c r="H1064" s="73"/>
      <c r="I1064" s="73"/>
      <c r="J1064" s="73"/>
      <c r="K1064" s="73"/>
      <c r="L1064" s="93"/>
      <c r="M1064" s="20"/>
      <c r="N1064" s="20"/>
      <c r="O1064" s="20"/>
      <c r="P1064" s="20"/>
      <c r="Q1064" s="21"/>
      <c r="R1064" s="22"/>
      <c r="S1064" s="22"/>
      <c r="T1064" s="20"/>
      <c r="U1064" s="22"/>
      <c r="V1064" s="20"/>
    </row>
    <row r="1065" spans="1:22" ht="12.75" customHeight="1">
      <c r="A1065" t="s">
        <v>1871</v>
      </c>
      <c r="B1065" s="77" t="s">
        <v>2183</v>
      </c>
      <c r="C1065" s="509">
        <v>50.8</v>
      </c>
      <c r="D1065" s="508">
        <v>100</v>
      </c>
      <c r="E1065" s="366">
        <v>210</v>
      </c>
      <c r="F1065" s="77">
        <v>203.7</v>
      </c>
      <c r="G1065" s="77">
        <v>1.054</v>
      </c>
      <c r="H1065" s="78"/>
      <c r="I1065" s="78"/>
      <c r="J1065" s="78"/>
      <c r="K1065" s="79"/>
      <c r="L1065" s="782" t="s">
        <v>1842</v>
      </c>
      <c r="M1065" s="20"/>
      <c r="N1065" s="20"/>
      <c r="O1065" s="20"/>
      <c r="P1065" s="20"/>
      <c r="Q1065" s="21"/>
      <c r="R1065" s="22" t="s">
        <v>16</v>
      </c>
      <c r="S1065" s="22">
        <v>2</v>
      </c>
      <c r="T1065" s="20" t="e">
        <f t="shared" ref="T1065:T1107" si="84">(E1065+U1065)/2/(SIN(RADIANS((ATAN(((E1065+U1065)-(F1065+U1065))/2/C1065)*180/PI()))))*2</f>
        <v>#REF!</v>
      </c>
      <c r="U1065" s="22" t="e">
        <f>#REF!</f>
        <v>#REF!</v>
      </c>
      <c r="V1065" s="20" t="str">
        <f t="shared" ref="V1065:V1107" si="85">B1065&amp;"-"&amp;C1065&amp;"x"&amp;E1065&amp;"x"&amp;D1065</f>
        <v>SU-50,8x210x100</v>
      </c>
    </row>
    <row r="1066" spans="1:22">
      <c r="A1066" t="s">
        <v>1843</v>
      </c>
      <c r="B1066" s="2" t="s">
        <v>2183</v>
      </c>
      <c r="C1066" s="509">
        <f>3*25.4</f>
        <v>76.199999999999989</v>
      </c>
      <c r="D1066" s="508">
        <v>100</v>
      </c>
      <c r="E1066" s="366">
        <v>210</v>
      </c>
      <c r="F1066" s="2">
        <v>199.4</v>
      </c>
      <c r="G1066" s="2">
        <v>1.56</v>
      </c>
      <c r="H1066" s="20"/>
      <c r="I1066" s="20"/>
      <c r="J1066" s="20"/>
      <c r="K1066" s="75"/>
      <c r="L1066" s="783"/>
      <c r="M1066" s="20"/>
      <c r="N1066" s="20"/>
      <c r="O1066" s="20"/>
      <c r="P1066" s="20"/>
      <c r="Q1066" s="21"/>
      <c r="R1066" s="22" t="s">
        <v>16</v>
      </c>
      <c r="S1066" s="22">
        <v>2</v>
      </c>
      <c r="T1066" s="20" t="e">
        <f t="shared" si="84"/>
        <v>#REF!</v>
      </c>
      <c r="U1066" s="22" t="e">
        <f>#REF!</f>
        <v>#REF!</v>
      </c>
      <c r="V1066" s="20" t="str">
        <f t="shared" si="85"/>
        <v>SU-76,2x210x100</v>
      </c>
    </row>
    <row r="1067" spans="1:22">
      <c r="A1067" s="358" t="s">
        <v>1872</v>
      </c>
      <c r="B1067" s="2" t="s">
        <v>2183</v>
      </c>
      <c r="C1067" s="509">
        <f>3*25.4</f>
        <v>76.199999999999989</v>
      </c>
      <c r="D1067" s="508">
        <v>76.2</v>
      </c>
      <c r="E1067" s="366">
        <v>210</v>
      </c>
      <c r="F1067" s="2">
        <v>199.4</v>
      </c>
      <c r="G1067" s="2">
        <v>1.19</v>
      </c>
      <c r="H1067" s="20"/>
      <c r="I1067" s="20"/>
      <c r="J1067" s="20"/>
      <c r="K1067" s="75"/>
      <c r="L1067" s="783"/>
      <c r="M1067" s="20"/>
      <c r="N1067" s="20"/>
      <c r="O1067" s="20"/>
      <c r="P1067" s="20"/>
      <c r="Q1067" s="21"/>
      <c r="R1067" s="22" t="s">
        <v>16</v>
      </c>
      <c r="S1067" s="22">
        <v>2</v>
      </c>
      <c r="T1067" s="20" t="e">
        <f t="shared" ref="T1067" si="86">(E1067+U1067)/2/(SIN(RADIANS((ATAN(((E1067+U1067)-(F1067+U1067))/2/C1067)*180/PI()))))*2</f>
        <v>#REF!</v>
      </c>
      <c r="U1067" s="22" t="e">
        <f>#REF!</f>
        <v>#REF!</v>
      </c>
      <c r="V1067" s="20" t="str">
        <f t="shared" ref="V1067" si="87">B1067&amp;"-"&amp;C1067&amp;"x"&amp;E1067&amp;"x"&amp;D1067</f>
        <v>SU-76,2x210x76,2</v>
      </c>
    </row>
    <row r="1068" spans="1:22">
      <c r="A1068" t="s">
        <v>1867</v>
      </c>
      <c r="B1068" s="2" t="s">
        <v>2183</v>
      </c>
      <c r="C1068" s="509">
        <v>76.2</v>
      </c>
      <c r="D1068" s="508">
        <v>100</v>
      </c>
      <c r="E1068" s="366">
        <v>210</v>
      </c>
      <c r="F1068" s="2">
        <v>201.6</v>
      </c>
      <c r="G1068" s="2">
        <v>1.56</v>
      </c>
      <c r="H1068" s="20"/>
      <c r="I1068" s="20"/>
      <c r="J1068" s="20"/>
      <c r="K1068" s="75"/>
      <c r="L1068" s="783"/>
      <c r="M1068" s="20"/>
      <c r="N1068" s="20"/>
      <c r="O1068" s="20"/>
      <c r="P1068" s="20"/>
      <c r="Q1068" s="21"/>
      <c r="R1068" s="22" t="s">
        <v>16</v>
      </c>
      <c r="S1068" s="22">
        <v>2</v>
      </c>
      <c r="T1068" s="20" t="e">
        <f t="shared" si="84"/>
        <v>#REF!</v>
      </c>
      <c r="U1068" s="22" t="e">
        <f>#REF!</f>
        <v>#REF!</v>
      </c>
      <c r="V1068" s="20" t="str">
        <f t="shared" si="85"/>
        <v>SU-76,2x210x100</v>
      </c>
    </row>
    <row r="1069" spans="1:22">
      <c r="A1069" t="s">
        <v>1869</v>
      </c>
      <c r="B1069" s="2" t="s">
        <v>2183</v>
      </c>
      <c r="C1069" s="509">
        <v>76.2</v>
      </c>
      <c r="D1069" s="508">
        <v>76.2</v>
      </c>
      <c r="E1069" s="366">
        <v>210</v>
      </c>
      <c r="F1069" s="2">
        <v>201.6</v>
      </c>
      <c r="G1069" s="2">
        <v>1.19</v>
      </c>
      <c r="H1069" s="20"/>
      <c r="I1069" s="20"/>
      <c r="J1069" s="20"/>
      <c r="K1069" s="75"/>
      <c r="L1069" s="783"/>
      <c r="M1069" s="20"/>
      <c r="N1069" s="20"/>
      <c r="O1069" s="20"/>
      <c r="P1069" s="20"/>
      <c r="Q1069" s="21"/>
      <c r="R1069" s="22"/>
      <c r="S1069" s="22"/>
      <c r="T1069" s="20"/>
      <c r="U1069" s="22"/>
      <c r="V1069" s="20" t="str">
        <f t="shared" si="85"/>
        <v>SU-76,2x210x76,2</v>
      </c>
    </row>
    <row r="1070" spans="1:22">
      <c r="A1070" t="s">
        <v>1844</v>
      </c>
      <c r="B1070" s="2" t="s">
        <v>2183</v>
      </c>
      <c r="C1070" s="509">
        <v>101.6</v>
      </c>
      <c r="D1070" s="508">
        <v>100</v>
      </c>
      <c r="E1070" s="366">
        <v>210</v>
      </c>
      <c r="F1070" s="2">
        <v>188.6</v>
      </c>
      <c r="G1070" s="2">
        <v>2.02</v>
      </c>
      <c r="H1070" s="20"/>
      <c r="I1070" s="20"/>
      <c r="J1070" s="20"/>
      <c r="K1070" s="75"/>
      <c r="L1070" s="783"/>
      <c r="M1070" s="20"/>
      <c r="N1070" s="20"/>
      <c r="O1070" s="20"/>
      <c r="P1070" s="20"/>
      <c r="Q1070" s="21"/>
      <c r="R1070" s="22"/>
      <c r="S1070" s="22"/>
      <c r="T1070" s="20"/>
      <c r="U1070" s="22"/>
      <c r="V1070" s="20" t="str">
        <f t="shared" si="85"/>
        <v>SU-101,6x210x100</v>
      </c>
    </row>
    <row r="1071" spans="1:22">
      <c r="A1071" t="s">
        <v>1863</v>
      </c>
      <c r="B1071" s="2" t="s">
        <v>2183</v>
      </c>
      <c r="C1071" s="509">
        <v>101.6</v>
      </c>
      <c r="D1071" s="508">
        <v>76.2</v>
      </c>
      <c r="E1071" s="366">
        <v>210</v>
      </c>
      <c r="F1071" s="2">
        <v>188.6</v>
      </c>
      <c r="G1071" s="2">
        <v>1.5429999999999999</v>
      </c>
      <c r="H1071" s="20"/>
      <c r="I1071" s="20"/>
      <c r="J1071" s="20"/>
      <c r="K1071" s="75"/>
      <c r="L1071" s="783"/>
      <c r="M1071" s="20"/>
      <c r="N1071" s="20"/>
      <c r="O1071" s="20"/>
      <c r="P1071" s="20"/>
      <c r="Q1071" s="21"/>
      <c r="R1071" s="22"/>
      <c r="S1071" s="22"/>
      <c r="T1071" s="20"/>
      <c r="U1071" s="22"/>
      <c r="V1071" s="20" t="str">
        <f t="shared" si="85"/>
        <v>SU-101,6x210x76,2</v>
      </c>
    </row>
    <row r="1072" spans="1:22">
      <c r="A1072" t="s">
        <v>1848</v>
      </c>
      <c r="B1072" s="2" t="s">
        <v>2183</v>
      </c>
      <c r="C1072" s="509">
        <v>101.6</v>
      </c>
      <c r="D1072" s="508">
        <v>100</v>
      </c>
      <c r="E1072" s="366">
        <v>210</v>
      </c>
      <c r="F1072" s="2">
        <v>195.8</v>
      </c>
      <c r="G1072" s="2">
        <v>2.06</v>
      </c>
      <c r="H1072" s="20"/>
      <c r="I1072" s="20"/>
      <c r="J1072" s="20"/>
      <c r="K1072" s="75"/>
      <c r="L1072" s="783"/>
      <c r="M1072" s="20"/>
      <c r="N1072" s="20"/>
      <c r="O1072" s="20"/>
      <c r="P1072" s="20"/>
      <c r="Q1072" s="21"/>
      <c r="R1072" s="22"/>
      <c r="S1072" s="22"/>
      <c r="T1072" s="20"/>
      <c r="U1072" s="22"/>
      <c r="V1072" s="20" t="str">
        <f t="shared" si="85"/>
        <v>SU-101,6x210x100</v>
      </c>
    </row>
    <row r="1073" spans="1:22">
      <c r="A1073" t="s">
        <v>1864</v>
      </c>
      <c r="B1073" s="2" t="s">
        <v>2183</v>
      </c>
      <c r="C1073" s="509">
        <v>101.6</v>
      </c>
      <c r="D1073" s="508">
        <v>76.2</v>
      </c>
      <c r="E1073" s="366">
        <v>210</v>
      </c>
      <c r="F1073" s="2">
        <v>195.8</v>
      </c>
      <c r="G1073" s="2">
        <v>1.57</v>
      </c>
      <c r="H1073" s="20"/>
      <c r="I1073" s="20"/>
      <c r="J1073" s="20"/>
      <c r="K1073" s="75"/>
      <c r="L1073" s="783"/>
      <c r="M1073" s="20"/>
      <c r="N1073" s="20"/>
      <c r="O1073" s="20"/>
      <c r="P1073" s="20"/>
      <c r="Q1073" s="21"/>
      <c r="R1073" s="22"/>
      <c r="S1073" s="22"/>
      <c r="T1073" s="20"/>
      <c r="U1073" s="22"/>
      <c r="V1073" s="20" t="str">
        <f t="shared" si="85"/>
        <v>SU-101,6x210x76,2</v>
      </c>
    </row>
    <row r="1074" spans="1:22">
      <c r="A1074" t="s">
        <v>1845</v>
      </c>
      <c r="B1074" s="2" t="s">
        <v>2183</v>
      </c>
      <c r="C1074" s="509">
        <v>101.6</v>
      </c>
      <c r="D1074" s="508">
        <v>100</v>
      </c>
      <c r="E1074" s="366">
        <v>210</v>
      </c>
      <c r="F1074" s="2">
        <v>199.4</v>
      </c>
      <c r="G1074" s="2">
        <v>2.0790000000000002</v>
      </c>
      <c r="H1074" s="20"/>
      <c r="I1074" s="20"/>
      <c r="J1074" s="20"/>
      <c r="K1074" s="75"/>
      <c r="L1074" s="783"/>
      <c r="M1074" s="20"/>
      <c r="N1074" s="20"/>
      <c r="O1074" s="20"/>
      <c r="P1074" s="20"/>
      <c r="Q1074" s="21"/>
      <c r="R1074" s="22"/>
      <c r="S1074" s="22"/>
      <c r="T1074" s="20"/>
      <c r="U1074" s="22"/>
      <c r="V1074" s="20" t="str">
        <f t="shared" si="85"/>
        <v>SU-101,6x210x100</v>
      </c>
    </row>
    <row r="1075" spans="1:22">
      <c r="A1075" t="s">
        <v>1865</v>
      </c>
      <c r="B1075" s="2" t="s">
        <v>2183</v>
      </c>
      <c r="C1075" s="509">
        <v>101.6</v>
      </c>
      <c r="D1075" s="508">
        <v>76.2</v>
      </c>
      <c r="E1075" s="366">
        <v>210</v>
      </c>
      <c r="F1075" s="2">
        <v>199.4</v>
      </c>
      <c r="G1075" s="2">
        <v>1.56</v>
      </c>
      <c r="H1075" s="20"/>
      <c r="I1075" s="20"/>
      <c r="J1075" s="20"/>
      <c r="K1075" s="75"/>
      <c r="L1075" s="783"/>
      <c r="M1075" s="20"/>
      <c r="N1075" s="20"/>
      <c r="O1075" s="20"/>
      <c r="P1075" s="20"/>
      <c r="Q1075" s="21"/>
      <c r="R1075" s="22"/>
      <c r="S1075" s="22"/>
      <c r="T1075" s="20"/>
      <c r="U1075" s="22"/>
      <c r="V1075" s="20" t="str">
        <f t="shared" si="85"/>
        <v>SU-101,6x210x76,2</v>
      </c>
    </row>
    <row r="1076" spans="1:22">
      <c r="A1076" t="s">
        <v>1849</v>
      </c>
      <c r="B1076" s="2" t="s">
        <v>2183</v>
      </c>
      <c r="C1076" s="509">
        <v>127</v>
      </c>
      <c r="D1076" s="508">
        <v>100</v>
      </c>
      <c r="E1076" s="366">
        <v>210</v>
      </c>
      <c r="F1076" s="2">
        <v>183.4</v>
      </c>
      <c r="G1076" s="2">
        <v>2.5</v>
      </c>
      <c r="H1076" s="20"/>
      <c r="I1076" s="20"/>
      <c r="J1076" s="20"/>
      <c r="K1076" s="75"/>
      <c r="L1076" s="783"/>
      <c r="M1076" s="20"/>
      <c r="N1076" s="20"/>
      <c r="O1076" s="20"/>
      <c r="P1076" s="20"/>
      <c r="Q1076" s="21"/>
      <c r="R1076" s="22"/>
      <c r="S1076" s="22"/>
      <c r="T1076" s="20"/>
      <c r="U1076" s="22"/>
      <c r="V1076" s="20" t="str">
        <f t="shared" si="85"/>
        <v>SU-127x210x100</v>
      </c>
    </row>
    <row r="1077" spans="1:22">
      <c r="A1077" s="358" t="s">
        <v>1884</v>
      </c>
      <c r="B1077" s="2" t="s">
        <v>2183</v>
      </c>
      <c r="C1077" s="509">
        <v>127</v>
      </c>
      <c r="D1077" s="508">
        <v>76.2</v>
      </c>
      <c r="E1077" s="366">
        <v>210</v>
      </c>
      <c r="F1077" s="2">
        <v>183.4</v>
      </c>
      <c r="G1077" s="2">
        <v>1.91</v>
      </c>
      <c r="H1077" s="20"/>
      <c r="I1077" s="20"/>
      <c r="J1077" s="20"/>
      <c r="K1077" s="75"/>
      <c r="L1077" s="783"/>
      <c r="M1077" s="20"/>
      <c r="N1077" s="20"/>
      <c r="O1077" s="20"/>
      <c r="P1077" s="20"/>
      <c r="Q1077" s="21"/>
      <c r="R1077" s="22"/>
      <c r="S1077" s="22"/>
      <c r="T1077" s="20"/>
      <c r="U1077" s="22"/>
      <c r="V1077" s="20" t="str">
        <f t="shared" ref="V1077" si="88">B1077&amp;"-"&amp;C1077&amp;"x"&amp;E1077&amp;"x"&amp;D1077</f>
        <v>SU-127x210x76,2</v>
      </c>
    </row>
    <row r="1078" spans="1:22">
      <c r="A1078" s="358" t="s">
        <v>1883</v>
      </c>
      <c r="B1078" s="2" t="s">
        <v>2183</v>
      </c>
      <c r="C1078" s="509">
        <v>127</v>
      </c>
      <c r="D1078" s="508">
        <v>100</v>
      </c>
      <c r="E1078" s="366">
        <v>210</v>
      </c>
      <c r="F1078" s="2">
        <v>187.8</v>
      </c>
      <c r="G1078" s="2">
        <v>2.5299999999999998</v>
      </c>
      <c r="H1078" s="20"/>
      <c r="I1078" s="20"/>
      <c r="J1078" s="20"/>
      <c r="K1078" s="75"/>
      <c r="L1078" s="783"/>
      <c r="M1078" s="20"/>
      <c r="N1078" s="20"/>
      <c r="O1078" s="20"/>
      <c r="P1078" s="20"/>
      <c r="Q1078" s="21"/>
      <c r="R1078" s="22"/>
      <c r="S1078" s="22"/>
      <c r="T1078" s="20"/>
      <c r="U1078" s="22"/>
      <c r="V1078" s="20" t="str">
        <f t="shared" si="85"/>
        <v>SU-127x210x100</v>
      </c>
    </row>
    <row r="1079" spans="1:22">
      <c r="A1079" s="358" t="s">
        <v>1870</v>
      </c>
      <c r="B1079" s="2" t="s">
        <v>2183</v>
      </c>
      <c r="C1079" s="509">
        <v>127</v>
      </c>
      <c r="D1079" s="508">
        <v>76.2</v>
      </c>
      <c r="E1079" s="366">
        <v>210</v>
      </c>
      <c r="F1079" s="2">
        <v>187.8</v>
      </c>
      <c r="G1079" s="2">
        <v>1.93</v>
      </c>
      <c r="H1079" s="20"/>
      <c r="I1079" s="20"/>
      <c r="J1079" s="20"/>
      <c r="K1079" s="75"/>
      <c r="L1079" s="783"/>
      <c r="M1079" s="20"/>
      <c r="N1079" s="20"/>
      <c r="O1079" s="20"/>
      <c r="P1079" s="20"/>
      <c r="Q1079" s="21"/>
      <c r="R1079" s="22"/>
      <c r="S1079" s="22"/>
      <c r="T1079" s="20"/>
      <c r="U1079" s="22"/>
      <c r="V1079" s="20" t="str">
        <f t="shared" ref="V1079" si="89">B1079&amp;"-"&amp;C1079&amp;"x"&amp;E1079&amp;"x"&amp;D1079</f>
        <v>SU-127x210x76,2</v>
      </c>
    </row>
    <row r="1080" spans="1:22">
      <c r="A1080" t="s">
        <v>1850</v>
      </c>
      <c r="B1080" s="2" t="s">
        <v>2183</v>
      </c>
      <c r="C1080" s="509">
        <v>127</v>
      </c>
      <c r="D1080" s="508">
        <v>100</v>
      </c>
      <c r="E1080" s="366">
        <v>210</v>
      </c>
      <c r="F1080" s="2">
        <v>192.2</v>
      </c>
      <c r="G1080" s="2">
        <v>2.5499999999999998</v>
      </c>
      <c r="H1080" s="20"/>
      <c r="I1080" s="20"/>
      <c r="J1080" s="20"/>
      <c r="K1080" s="75"/>
      <c r="L1080" s="783"/>
      <c r="M1080" s="20"/>
      <c r="N1080" s="20"/>
      <c r="O1080" s="20"/>
      <c r="P1080" s="20"/>
      <c r="Q1080" s="21"/>
      <c r="R1080" s="22"/>
      <c r="S1080" s="22"/>
      <c r="T1080" s="20"/>
      <c r="U1080" s="22"/>
      <c r="V1080" s="20" t="str">
        <f t="shared" si="85"/>
        <v>SU-127x210x100</v>
      </c>
    </row>
    <row r="1081" spans="1:22">
      <c r="A1081" t="s">
        <v>1866</v>
      </c>
      <c r="B1081" s="2" t="s">
        <v>2183</v>
      </c>
      <c r="C1081" s="509">
        <v>127</v>
      </c>
      <c r="D1081" s="508">
        <v>76.2</v>
      </c>
      <c r="E1081" s="366">
        <v>210</v>
      </c>
      <c r="F1081" s="2">
        <v>192.2</v>
      </c>
      <c r="G1081" s="2">
        <v>1.94</v>
      </c>
      <c r="H1081" s="20"/>
      <c r="I1081" s="20"/>
      <c r="J1081" s="20"/>
      <c r="K1081" s="75"/>
      <c r="L1081" s="783"/>
      <c r="M1081" s="20"/>
      <c r="N1081" s="20"/>
      <c r="O1081" s="20"/>
      <c r="P1081" s="20"/>
      <c r="Q1081" s="21"/>
      <c r="R1081" s="22"/>
      <c r="S1081" s="22"/>
      <c r="T1081" s="20"/>
      <c r="U1081" s="22"/>
      <c r="V1081" s="20" t="str">
        <f t="shared" si="85"/>
        <v>SU-127x210x76,2</v>
      </c>
    </row>
    <row r="1082" spans="1:22">
      <c r="A1082" t="s">
        <v>1851</v>
      </c>
      <c r="B1082" s="2" t="s">
        <v>2183</v>
      </c>
      <c r="C1082" s="509">
        <v>127</v>
      </c>
      <c r="D1082" s="508">
        <v>100</v>
      </c>
      <c r="E1082" s="366">
        <v>210</v>
      </c>
      <c r="F1082" s="2">
        <v>196.7</v>
      </c>
      <c r="G1082" s="2">
        <v>2.58</v>
      </c>
      <c r="H1082" s="20"/>
      <c r="I1082" s="20"/>
      <c r="J1082" s="20"/>
      <c r="K1082" s="75"/>
      <c r="L1082" s="783"/>
      <c r="M1082" s="20"/>
      <c r="N1082" s="20"/>
      <c r="O1082" s="20"/>
      <c r="P1082" s="20"/>
      <c r="Q1082" s="21"/>
      <c r="R1082" s="22"/>
      <c r="S1082" s="22"/>
      <c r="T1082" s="20"/>
      <c r="U1082" s="22"/>
      <c r="V1082" s="20" t="str">
        <f t="shared" si="85"/>
        <v>SU-127x210x100</v>
      </c>
    </row>
    <row r="1083" spans="1:22">
      <c r="A1083" s="358" t="s">
        <v>1873</v>
      </c>
      <c r="B1083" s="2" t="s">
        <v>2183</v>
      </c>
      <c r="C1083" s="509">
        <v>127</v>
      </c>
      <c r="D1083" s="508">
        <v>76.2</v>
      </c>
      <c r="E1083" s="366">
        <v>210</v>
      </c>
      <c r="F1083" s="2">
        <v>196.7</v>
      </c>
      <c r="G1083" s="2">
        <v>1.97</v>
      </c>
      <c r="H1083" s="20"/>
      <c r="I1083" s="20"/>
      <c r="J1083" s="20"/>
      <c r="K1083" s="75"/>
      <c r="L1083" s="783"/>
      <c r="M1083" s="20"/>
      <c r="N1083" s="20"/>
      <c r="O1083" s="20"/>
      <c r="P1083" s="20"/>
      <c r="Q1083" s="21"/>
      <c r="R1083" s="22"/>
      <c r="S1083" s="22"/>
      <c r="T1083" s="20"/>
      <c r="U1083" s="22"/>
      <c r="V1083" s="20" t="str">
        <f t="shared" ref="V1083:V1084" si="90">B1083&amp;"-"&amp;C1083&amp;"x"&amp;E1083&amp;"x"&amp;D1083</f>
        <v>SU-127x210x76,2</v>
      </c>
    </row>
    <row r="1084" spans="1:22">
      <c r="A1084" t="s">
        <v>1852</v>
      </c>
      <c r="B1084" s="2" t="s">
        <v>2183</v>
      </c>
      <c r="C1084" s="509">
        <v>152.4</v>
      </c>
      <c r="D1084" s="508">
        <v>100</v>
      </c>
      <c r="E1084" s="366">
        <v>210</v>
      </c>
      <c r="F1084" s="2">
        <v>178</v>
      </c>
      <c r="G1084" s="2">
        <v>2.96</v>
      </c>
      <c r="H1084" s="20"/>
      <c r="I1084" s="20"/>
      <c r="J1084" s="20"/>
      <c r="K1084" s="75"/>
      <c r="L1084" s="783"/>
      <c r="M1084" s="20"/>
      <c r="N1084" s="20"/>
      <c r="O1084" s="20"/>
      <c r="P1084" s="20"/>
      <c r="Q1084" s="21"/>
      <c r="R1084" s="22"/>
      <c r="S1084" s="22"/>
      <c r="T1084" s="20"/>
      <c r="U1084" s="22"/>
      <c r="V1084" s="20" t="str">
        <f t="shared" si="90"/>
        <v>SU-152,4x210x100</v>
      </c>
    </row>
    <row r="1085" spans="1:22">
      <c r="A1085" s="358" t="s">
        <v>1874</v>
      </c>
      <c r="B1085" s="2" t="s">
        <v>2183</v>
      </c>
      <c r="C1085" s="509">
        <v>152.4</v>
      </c>
      <c r="D1085" s="508">
        <v>76.2</v>
      </c>
      <c r="E1085" s="366">
        <v>210</v>
      </c>
      <c r="F1085" s="2">
        <v>178</v>
      </c>
      <c r="G1085" s="2">
        <v>2.2519999999999998</v>
      </c>
      <c r="H1085" s="20"/>
      <c r="I1085" s="20"/>
      <c r="J1085" s="20"/>
      <c r="K1085" s="75"/>
      <c r="L1085" s="783"/>
      <c r="M1085" s="20"/>
      <c r="N1085" s="20"/>
      <c r="O1085" s="20"/>
      <c r="P1085" s="20"/>
      <c r="Q1085" s="21"/>
      <c r="R1085" s="22"/>
      <c r="S1085" s="22"/>
      <c r="T1085" s="20"/>
      <c r="U1085" s="22"/>
      <c r="V1085" s="20" t="str">
        <f t="shared" ref="V1085:V1105" si="91">B1085&amp;"-"&amp;C1085&amp;"x"&amp;E1085&amp;"x"&amp;D1085</f>
        <v>SU-152,4x210x76,2</v>
      </c>
    </row>
    <row r="1086" spans="1:22">
      <c r="A1086" t="s">
        <v>1859</v>
      </c>
      <c r="B1086" s="2" t="s">
        <v>2183</v>
      </c>
      <c r="C1086" s="509">
        <v>152.4</v>
      </c>
      <c r="D1086" s="508">
        <v>100</v>
      </c>
      <c r="E1086" s="366">
        <v>210</v>
      </c>
      <c r="F1086" s="2">
        <v>183.3</v>
      </c>
      <c r="G1086" s="2">
        <v>3</v>
      </c>
      <c r="H1086" s="20"/>
      <c r="I1086" s="20"/>
      <c r="J1086" s="20"/>
      <c r="K1086" s="75"/>
      <c r="L1086" s="783"/>
      <c r="M1086" s="20"/>
      <c r="N1086" s="20"/>
      <c r="O1086" s="20"/>
      <c r="P1086" s="20"/>
      <c r="Q1086" s="21"/>
      <c r="R1086" s="22"/>
      <c r="S1086" s="22"/>
      <c r="T1086" s="20"/>
      <c r="U1086" s="22"/>
      <c r="V1086" s="20" t="str">
        <f t="shared" si="91"/>
        <v>SU-152,4x210x100</v>
      </c>
    </row>
    <row r="1087" spans="1:22">
      <c r="A1087" t="s">
        <v>1847</v>
      </c>
      <c r="B1087" s="2" t="s">
        <v>2183</v>
      </c>
      <c r="C1087" s="509">
        <v>152.4</v>
      </c>
      <c r="D1087" s="508">
        <v>100</v>
      </c>
      <c r="E1087" s="366">
        <v>210</v>
      </c>
      <c r="F1087" s="2">
        <v>188.7</v>
      </c>
      <c r="G1087" s="2">
        <v>3.04</v>
      </c>
      <c r="H1087" s="20"/>
      <c r="I1087" s="20"/>
      <c r="J1087" s="20"/>
      <c r="K1087" s="75"/>
      <c r="L1087" s="783"/>
      <c r="M1087" s="20"/>
      <c r="N1087" s="20"/>
      <c r="O1087" s="20"/>
      <c r="P1087" s="20"/>
      <c r="Q1087" s="21"/>
      <c r="R1087" s="22"/>
      <c r="S1087" s="22"/>
      <c r="T1087" s="20"/>
      <c r="U1087" s="22"/>
      <c r="V1087" s="20" t="str">
        <f t="shared" si="91"/>
        <v>SU-152,4x210x100</v>
      </c>
    </row>
    <row r="1088" spans="1:22">
      <c r="A1088" s="358" t="s">
        <v>1875</v>
      </c>
      <c r="B1088" s="2" t="s">
        <v>2183</v>
      </c>
      <c r="C1088" s="509">
        <v>152.4</v>
      </c>
      <c r="D1088" s="508">
        <v>76.2</v>
      </c>
      <c r="E1088" s="366">
        <v>210</v>
      </c>
      <c r="F1088" s="2">
        <v>188.7</v>
      </c>
      <c r="G1088" s="2">
        <v>2.3140000000000001</v>
      </c>
      <c r="H1088" s="20"/>
      <c r="I1088" s="20"/>
      <c r="J1088" s="20"/>
      <c r="K1088" s="75"/>
      <c r="L1088" s="783"/>
      <c r="M1088" s="20"/>
      <c r="N1088" s="20"/>
      <c r="O1088" s="20"/>
      <c r="P1088" s="20"/>
      <c r="Q1088" s="21"/>
      <c r="R1088" s="22"/>
      <c r="S1088" s="22"/>
      <c r="T1088" s="20"/>
      <c r="U1088" s="22"/>
      <c r="V1088" s="20" t="str">
        <f t="shared" si="91"/>
        <v>SU-152,4x210x76,2</v>
      </c>
    </row>
    <row r="1089" spans="1:22">
      <c r="A1089" t="s">
        <v>1846</v>
      </c>
      <c r="B1089" s="2" t="s">
        <v>2183</v>
      </c>
      <c r="C1089" s="509">
        <v>152.4</v>
      </c>
      <c r="D1089" s="508">
        <v>100</v>
      </c>
      <c r="E1089" s="366">
        <v>210</v>
      </c>
      <c r="F1089" s="2">
        <v>194</v>
      </c>
      <c r="G1089" s="2">
        <v>3.089</v>
      </c>
      <c r="H1089" s="20"/>
      <c r="I1089" s="20"/>
      <c r="J1089" s="20"/>
      <c r="K1089" s="75"/>
      <c r="L1089" s="783"/>
      <c r="M1089" s="20"/>
      <c r="N1089" s="20"/>
      <c r="O1089" s="20"/>
      <c r="P1089" s="20"/>
      <c r="Q1089" s="21"/>
      <c r="R1089" s="22"/>
      <c r="S1089" s="22"/>
      <c r="T1089" s="20"/>
      <c r="U1089" s="22"/>
      <c r="V1089" s="20" t="str">
        <f t="shared" si="91"/>
        <v>SU-152,4x210x100</v>
      </c>
    </row>
    <row r="1090" spans="1:22">
      <c r="A1090" t="s">
        <v>1862</v>
      </c>
      <c r="B1090" s="2" t="s">
        <v>2183</v>
      </c>
      <c r="C1090" s="509">
        <v>152.4</v>
      </c>
      <c r="D1090" s="508">
        <v>76.2</v>
      </c>
      <c r="E1090" s="366">
        <v>210</v>
      </c>
      <c r="F1090" s="2">
        <v>194</v>
      </c>
      <c r="G1090" s="2">
        <v>2.35</v>
      </c>
      <c r="H1090" s="20"/>
      <c r="I1090" s="20"/>
      <c r="J1090" s="20"/>
      <c r="K1090" s="75"/>
      <c r="L1090" s="783"/>
      <c r="M1090" s="20"/>
      <c r="N1090" s="20"/>
      <c r="O1090" s="20"/>
      <c r="P1090" s="20"/>
      <c r="Q1090" s="21"/>
      <c r="R1090" s="22"/>
      <c r="S1090" s="22"/>
      <c r="T1090" s="20"/>
      <c r="U1090" s="22"/>
      <c r="V1090" s="20" t="str">
        <f t="shared" si="91"/>
        <v>SU-152,4x210x76,2</v>
      </c>
    </row>
    <row r="1091" spans="1:22">
      <c r="A1091" t="s">
        <v>1861</v>
      </c>
      <c r="B1091" s="2" t="s">
        <v>2183</v>
      </c>
      <c r="C1091" s="509">
        <v>177.8</v>
      </c>
      <c r="D1091" s="508">
        <v>100</v>
      </c>
      <c r="E1091" s="366">
        <v>210</v>
      </c>
      <c r="F1091" s="2">
        <v>173</v>
      </c>
      <c r="G1091" s="2">
        <v>3.35</v>
      </c>
      <c r="H1091" s="20"/>
      <c r="I1091" s="20"/>
      <c r="J1091" s="20"/>
      <c r="K1091" s="75"/>
      <c r="L1091" s="783"/>
      <c r="M1091" s="20"/>
      <c r="N1091" s="20"/>
      <c r="O1091" s="20"/>
      <c r="P1091" s="20"/>
      <c r="Q1091" s="21"/>
      <c r="R1091" s="22"/>
      <c r="S1091" s="22"/>
      <c r="T1091" s="20"/>
      <c r="U1091" s="22"/>
      <c r="V1091" s="20" t="str">
        <f t="shared" si="91"/>
        <v>SU-177,8x210x100</v>
      </c>
    </row>
    <row r="1092" spans="1:22">
      <c r="A1092" s="358" t="s">
        <v>1876</v>
      </c>
      <c r="B1092" s="2" t="s">
        <v>2183</v>
      </c>
      <c r="C1092" s="509">
        <v>177.8</v>
      </c>
      <c r="D1092" s="508">
        <v>76.2</v>
      </c>
      <c r="E1092" s="366">
        <v>210</v>
      </c>
      <c r="F1092" s="2">
        <v>173</v>
      </c>
      <c r="G1092" s="2">
        <v>2.5939999999999999</v>
      </c>
      <c r="H1092" s="20"/>
      <c r="I1092" s="20"/>
      <c r="J1092" s="20"/>
      <c r="K1092" s="75"/>
      <c r="L1092" s="783"/>
      <c r="M1092" s="20"/>
      <c r="N1092" s="20"/>
      <c r="O1092" s="20"/>
      <c r="P1092" s="20"/>
      <c r="Q1092" s="21"/>
      <c r="R1092" s="22"/>
      <c r="S1092" s="22"/>
      <c r="T1092" s="20"/>
      <c r="U1092" s="22"/>
      <c r="V1092" s="20" t="str">
        <f t="shared" si="91"/>
        <v>SU-177,8x210x76,2</v>
      </c>
    </row>
    <row r="1093" spans="1:22">
      <c r="A1093" s="358" t="s">
        <v>1857</v>
      </c>
      <c r="B1093" s="2" t="s">
        <v>2183</v>
      </c>
      <c r="C1093" s="509">
        <v>177.8</v>
      </c>
      <c r="D1093" s="508">
        <v>100</v>
      </c>
      <c r="E1093" s="366">
        <v>210</v>
      </c>
      <c r="F1093" s="2">
        <v>178.9</v>
      </c>
      <c r="G1093" s="2">
        <v>3.46</v>
      </c>
      <c r="H1093" s="20"/>
      <c r="I1093" s="20"/>
      <c r="J1093" s="20"/>
      <c r="K1093" s="75"/>
      <c r="L1093" s="783"/>
      <c r="M1093" s="20"/>
      <c r="N1093" s="20"/>
      <c r="O1093" s="20"/>
      <c r="P1093" s="20"/>
      <c r="Q1093" s="21"/>
      <c r="R1093" s="22"/>
      <c r="S1093" s="22"/>
      <c r="T1093" s="20"/>
      <c r="U1093" s="22"/>
      <c r="V1093" s="20" t="str">
        <f t="shared" si="91"/>
        <v>SU-177,8x210x100</v>
      </c>
    </row>
    <row r="1094" spans="1:22">
      <c r="A1094" t="s">
        <v>1853</v>
      </c>
      <c r="B1094" s="2" t="s">
        <v>2183</v>
      </c>
      <c r="C1094" s="509">
        <v>177.8</v>
      </c>
      <c r="D1094" s="508">
        <v>100</v>
      </c>
      <c r="E1094" s="366">
        <v>210</v>
      </c>
      <c r="F1094" s="2">
        <v>185.2</v>
      </c>
      <c r="G1094" s="2">
        <v>3.51</v>
      </c>
      <c r="H1094" s="20"/>
      <c r="I1094" s="20"/>
      <c r="J1094" s="20"/>
      <c r="K1094" s="75"/>
      <c r="L1094" s="783"/>
      <c r="M1094" s="20"/>
      <c r="N1094" s="20"/>
      <c r="O1094" s="20"/>
      <c r="P1094" s="20"/>
      <c r="Q1094" s="21"/>
      <c r="R1094" s="22"/>
      <c r="S1094" s="22"/>
      <c r="T1094" s="20"/>
      <c r="U1094" s="22"/>
      <c r="V1094" s="20" t="str">
        <f t="shared" si="91"/>
        <v>SU-177,8x210x100</v>
      </c>
    </row>
    <row r="1095" spans="1:22">
      <c r="A1095" s="358" t="s">
        <v>1877</v>
      </c>
      <c r="B1095" s="2" t="s">
        <v>2183</v>
      </c>
      <c r="C1095" s="509">
        <v>177.8</v>
      </c>
      <c r="D1095" s="508">
        <v>76.2</v>
      </c>
      <c r="E1095" s="366">
        <v>210</v>
      </c>
      <c r="F1095" s="2">
        <v>185.2</v>
      </c>
      <c r="G1095" s="2">
        <v>2.6760000000000002</v>
      </c>
      <c r="H1095" s="20"/>
      <c r="I1095" s="20"/>
      <c r="J1095" s="20"/>
      <c r="K1095" s="75"/>
      <c r="L1095" s="783"/>
      <c r="M1095" s="20"/>
      <c r="N1095" s="20"/>
      <c r="O1095" s="20"/>
      <c r="P1095" s="20"/>
      <c r="Q1095" s="21"/>
      <c r="R1095" s="22"/>
      <c r="S1095" s="22"/>
      <c r="T1095" s="20"/>
      <c r="U1095" s="22"/>
      <c r="V1095" s="20" t="str">
        <f t="shared" si="91"/>
        <v>SU-177,8x210x76,2</v>
      </c>
    </row>
    <row r="1096" spans="1:22">
      <c r="A1096" t="s">
        <v>1854</v>
      </c>
      <c r="B1096" s="2" t="s">
        <v>2183</v>
      </c>
      <c r="C1096" s="509">
        <v>177.8</v>
      </c>
      <c r="D1096" s="508">
        <v>100</v>
      </c>
      <c r="E1096" s="366">
        <v>210</v>
      </c>
      <c r="F1096" s="2">
        <v>191.4</v>
      </c>
      <c r="G1096" s="2">
        <v>3.57</v>
      </c>
      <c r="H1096" s="20"/>
      <c r="I1096" s="20"/>
      <c r="J1096" s="20"/>
      <c r="K1096" s="75"/>
      <c r="L1096" s="783"/>
      <c r="M1096" s="20"/>
      <c r="N1096" s="20"/>
      <c r="O1096" s="20"/>
      <c r="P1096" s="20"/>
      <c r="Q1096" s="21"/>
      <c r="R1096" s="22"/>
      <c r="S1096" s="22"/>
      <c r="T1096" s="20"/>
      <c r="U1096" s="22"/>
      <c r="V1096" s="20" t="str">
        <f t="shared" si="91"/>
        <v>SU-177,8x210x100</v>
      </c>
    </row>
    <row r="1097" spans="1:22">
      <c r="A1097" s="358" t="s">
        <v>1878</v>
      </c>
      <c r="B1097" s="2" t="s">
        <v>2183</v>
      </c>
      <c r="C1097" s="509">
        <v>177.8</v>
      </c>
      <c r="D1097" s="508">
        <v>76.2</v>
      </c>
      <c r="E1097" s="366">
        <v>210</v>
      </c>
      <c r="F1097" s="2">
        <v>191.4</v>
      </c>
      <c r="G1097" s="2">
        <v>2.72</v>
      </c>
      <c r="H1097" s="20"/>
      <c r="I1097" s="20"/>
      <c r="J1097" s="20"/>
      <c r="K1097" s="75"/>
      <c r="L1097" s="783"/>
      <c r="M1097" s="20"/>
      <c r="N1097" s="20"/>
      <c r="O1097" s="20"/>
      <c r="P1097" s="20"/>
      <c r="Q1097" s="21"/>
      <c r="R1097" s="22"/>
      <c r="S1097" s="22"/>
      <c r="T1097" s="20"/>
      <c r="U1097" s="22"/>
      <c r="V1097" s="20" t="str">
        <f t="shared" si="91"/>
        <v>SU-177,8x210x76,2</v>
      </c>
    </row>
    <row r="1098" spans="1:22">
      <c r="A1098" t="s">
        <v>1860</v>
      </c>
      <c r="B1098" s="2" t="s">
        <v>2183</v>
      </c>
      <c r="C1098" s="509">
        <v>203.2</v>
      </c>
      <c r="D1098" s="508">
        <v>100</v>
      </c>
      <c r="E1098" s="366">
        <v>210</v>
      </c>
      <c r="F1098" s="2">
        <v>181.6</v>
      </c>
      <c r="G1098" s="2">
        <v>3.98</v>
      </c>
      <c r="H1098" s="20"/>
      <c r="I1098" s="20"/>
      <c r="J1098" s="20"/>
      <c r="K1098" s="75"/>
      <c r="L1098" s="783"/>
      <c r="M1098" s="20"/>
      <c r="N1098" s="20"/>
      <c r="O1098" s="20"/>
      <c r="P1098" s="20"/>
      <c r="Q1098" s="21"/>
      <c r="R1098" s="22"/>
      <c r="S1098" s="22"/>
      <c r="T1098" s="20"/>
      <c r="U1098" s="22"/>
      <c r="V1098" s="20" t="str">
        <f t="shared" si="91"/>
        <v>SU-203,2x210x100</v>
      </c>
    </row>
    <row r="1099" spans="1:22">
      <c r="A1099" s="358" t="s">
        <v>1879</v>
      </c>
      <c r="B1099" s="2" t="s">
        <v>2183</v>
      </c>
      <c r="C1099" s="509">
        <v>203.2</v>
      </c>
      <c r="D1099" s="508">
        <v>76.2</v>
      </c>
      <c r="E1099" s="366">
        <v>210</v>
      </c>
      <c r="F1099" s="2">
        <v>181.6</v>
      </c>
      <c r="G1099" s="2">
        <v>3.03</v>
      </c>
      <c r="H1099" s="20"/>
      <c r="I1099" s="20"/>
      <c r="J1099" s="20"/>
      <c r="K1099" s="75"/>
      <c r="L1099" s="783"/>
      <c r="M1099" s="20"/>
      <c r="N1099" s="20"/>
      <c r="O1099" s="20"/>
      <c r="P1099" s="20"/>
      <c r="Q1099" s="21"/>
      <c r="R1099" s="22"/>
      <c r="S1099" s="22"/>
      <c r="T1099" s="20"/>
      <c r="U1099" s="22"/>
      <c r="V1099" s="20" t="str">
        <f t="shared" si="91"/>
        <v>SU-203,2x210x76,2</v>
      </c>
    </row>
    <row r="1100" spans="1:22">
      <c r="A1100" t="s">
        <v>1858</v>
      </c>
      <c r="B1100" s="2" t="s">
        <v>2183</v>
      </c>
      <c r="C1100" s="509">
        <v>203.2</v>
      </c>
      <c r="D1100" s="508">
        <v>100</v>
      </c>
      <c r="E1100" s="366">
        <v>210</v>
      </c>
      <c r="F1100" s="2">
        <v>188.7</v>
      </c>
      <c r="G1100" s="2">
        <v>4.05</v>
      </c>
      <c r="H1100" s="20"/>
      <c r="I1100" s="20"/>
      <c r="J1100" s="20"/>
      <c r="K1100" s="75"/>
      <c r="L1100" s="783"/>
      <c r="M1100" s="20"/>
      <c r="N1100" s="20"/>
      <c r="O1100" s="20"/>
      <c r="P1100" s="20"/>
      <c r="Q1100" s="21"/>
      <c r="R1100" s="22"/>
      <c r="S1100" s="22"/>
      <c r="T1100" s="20"/>
      <c r="U1100" s="22"/>
      <c r="V1100" s="20" t="str">
        <f t="shared" si="91"/>
        <v>SU-203,2x210x100</v>
      </c>
    </row>
    <row r="1101" spans="1:22">
      <c r="A1101" s="358" t="s">
        <v>1880</v>
      </c>
      <c r="B1101" s="2" t="s">
        <v>2183</v>
      </c>
      <c r="C1101" s="509">
        <v>203.2</v>
      </c>
      <c r="D1101" s="508">
        <v>76.2</v>
      </c>
      <c r="E1101" s="366">
        <v>210</v>
      </c>
      <c r="F1101" s="2">
        <v>188.7</v>
      </c>
      <c r="G1101" s="2">
        <v>3.09</v>
      </c>
      <c r="H1101" s="20"/>
      <c r="I1101" s="20"/>
      <c r="J1101" s="20"/>
      <c r="K1101" s="75"/>
      <c r="L1101" s="783"/>
      <c r="M1101" s="20"/>
      <c r="N1101" s="20"/>
      <c r="O1101" s="20"/>
      <c r="P1101" s="20"/>
      <c r="Q1101" s="21"/>
      <c r="R1101" s="22"/>
      <c r="S1101" s="22"/>
      <c r="T1101" s="20"/>
      <c r="U1101" s="22"/>
      <c r="V1101" s="20" t="str">
        <f t="shared" si="91"/>
        <v>SU-203,2x210x76,2</v>
      </c>
    </row>
    <row r="1102" spans="1:22">
      <c r="A1102" t="s">
        <v>1855</v>
      </c>
      <c r="B1102" s="2" t="s">
        <v>2183</v>
      </c>
      <c r="C1102" s="509">
        <v>228.6</v>
      </c>
      <c r="D1102" s="508">
        <v>100</v>
      </c>
      <c r="E1102" s="366">
        <v>210</v>
      </c>
      <c r="F1102" s="2">
        <v>178.1</v>
      </c>
      <c r="G1102" s="2">
        <v>4.4400000000000004</v>
      </c>
      <c r="H1102" s="20"/>
      <c r="I1102" s="20"/>
      <c r="J1102" s="20"/>
      <c r="K1102" s="75"/>
      <c r="L1102" s="783"/>
      <c r="M1102" s="20"/>
      <c r="N1102" s="20"/>
      <c r="O1102" s="20"/>
      <c r="P1102" s="20"/>
      <c r="Q1102" s="21"/>
      <c r="R1102" s="22"/>
      <c r="S1102" s="22"/>
      <c r="T1102" s="20"/>
      <c r="U1102" s="22"/>
      <c r="V1102" s="20" t="str">
        <f t="shared" si="91"/>
        <v>SU-228,6x210x100</v>
      </c>
    </row>
    <row r="1103" spans="1:22">
      <c r="A1103" t="s">
        <v>1868</v>
      </c>
      <c r="B1103" s="2" t="s">
        <v>2183</v>
      </c>
      <c r="C1103" s="509">
        <v>228.6</v>
      </c>
      <c r="D1103" s="508">
        <v>76.2</v>
      </c>
      <c r="E1103" s="366">
        <v>210</v>
      </c>
      <c r="F1103" s="2">
        <v>178.1</v>
      </c>
      <c r="G1103" s="2">
        <v>3.38</v>
      </c>
      <c r="H1103" s="20"/>
      <c r="I1103" s="20"/>
      <c r="J1103" s="20"/>
      <c r="K1103" s="75"/>
      <c r="L1103" s="783"/>
      <c r="M1103" s="20"/>
      <c r="N1103" s="20"/>
      <c r="O1103" s="20"/>
      <c r="P1103" s="20"/>
      <c r="Q1103" s="21"/>
      <c r="R1103" s="22"/>
      <c r="S1103" s="22"/>
      <c r="T1103" s="20"/>
      <c r="U1103" s="22"/>
      <c r="V1103" s="20" t="str">
        <f t="shared" si="91"/>
        <v>SU-228,6x210x76,2</v>
      </c>
    </row>
    <row r="1104" spans="1:22">
      <c r="A1104" t="s">
        <v>1856</v>
      </c>
      <c r="B1104" s="2" t="s">
        <v>2183</v>
      </c>
      <c r="C1104" s="509">
        <v>228.6</v>
      </c>
      <c r="D1104" s="508">
        <v>100</v>
      </c>
      <c r="E1104" s="366">
        <v>210</v>
      </c>
      <c r="F1104" s="2">
        <v>186</v>
      </c>
      <c r="G1104" s="2">
        <v>4.53</v>
      </c>
      <c r="H1104" s="20"/>
      <c r="I1104" s="20"/>
      <c r="J1104" s="20"/>
      <c r="K1104" s="75"/>
      <c r="L1104" s="783"/>
      <c r="M1104" s="20"/>
      <c r="N1104" s="20"/>
      <c r="O1104" s="20"/>
      <c r="P1104" s="20"/>
      <c r="Q1104" s="21"/>
      <c r="R1104" s="22"/>
      <c r="S1104" s="22"/>
      <c r="T1104" s="20"/>
      <c r="U1104" s="22"/>
      <c r="V1104" s="20" t="str">
        <f t="shared" si="91"/>
        <v>SU-228,6x210x100</v>
      </c>
    </row>
    <row r="1105" spans="1:22">
      <c r="A1105" s="358" t="s">
        <v>1881</v>
      </c>
      <c r="B1105" s="2" t="s">
        <v>2183</v>
      </c>
      <c r="C1105" s="509">
        <v>228.6</v>
      </c>
      <c r="D1105" s="508">
        <v>76.2</v>
      </c>
      <c r="E1105" s="366">
        <v>210</v>
      </c>
      <c r="F1105" s="2">
        <v>186</v>
      </c>
      <c r="G1105" s="2">
        <v>3.44</v>
      </c>
      <c r="H1105" s="20"/>
      <c r="I1105" s="20"/>
      <c r="J1105" s="20"/>
      <c r="K1105" s="75"/>
      <c r="L1105" s="783"/>
      <c r="M1105" s="20"/>
      <c r="N1105" s="20"/>
      <c r="O1105" s="20"/>
      <c r="P1105" s="20"/>
      <c r="Q1105" s="21"/>
      <c r="R1105" s="22"/>
      <c r="S1105" s="22"/>
      <c r="T1105" s="20"/>
      <c r="U1105" s="22"/>
      <c r="V1105" s="20" t="str">
        <f t="shared" si="91"/>
        <v>SU-228,6x210x76,2</v>
      </c>
    </row>
    <row r="1106" spans="1:22">
      <c r="A1106" s="76"/>
      <c r="G1106" s="21"/>
      <c r="H1106" s="20"/>
      <c r="I1106" s="20"/>
      <c r="J1106" s="20"/>
      <c r="K1106" s="75"/>
      <c r="L1106" s="783"/>
      <c r="M1106" s="20"/>
      <c r="N1106" s="20"/>
      <c r="O1106" s="20"/>
      <c r="P1106" s="20"/>
      <c r="Q1106" s="21"/>
      <c r="R1106" s="22"/>
      <c r="S1106" s="22"/>
      <c r="T1106" s="20"/>
      <c r="U1106" s="22"/>
      <c r="V1106" s="20"/>
    </row>
    <row r="1107" spans="1:22" ht="13.8" thickBot="1">
      <c r="A1107" s="80"/>
      <c r="B1107" s="81"/>
      <c r="C1107" s="81"/>
      <c r="D1107" s="81"/>
      <c r="E1107" s="81"/>
      <c r="F1107" s="81"/>
      <c r="G1107" s="103">
        <f>4113*10^-3</f>
        <v>4.1130000000000004</v>
      </c>
      <c r="H1107" s="82">
        <f t="shared" ref="H1107" si="92">ROUND(C1107*E1107*F1107/10^6,3)</f>
        <v>0</v>
      </c>
      <c r="I1107" s="82" t="str">
        <f t="shared" ref="I1107" si="93">IF(D1107="","-",ROUND((F1107+D1107)*C1107/2*E1107/10^6,3))</f>
        <v>-</v>
      </c>
      <c r="J1107" s="82" t="str">
        <f t="shared" ref="J1107" si="94">IF(D1107="","-",ROUND((E1107+F1107)*C1107/2*D1107/10^6,3))</f>
        <v>-</v>
      </c>
      <c r="K1107" s="83"/>
      <c r="L1107" s="784"/>
      <c r="M1107" s="20"/>
      <c r="N1107" s="20"/>
      <c r="O1107" s="20"/>
      <c r="P1107" s="20"/>
      <c r="Q1107" s="21"/>
      <c r="R1107" s="22" t="s">
        <v>16</v>
      </c>
      <c r="S1107" s="22">
        <v>2</v>
      </c>
      <c r="T1107" s="20" t="e">
        <f t="shared" si="84"/>
        <v>#REF!</v>
      </c>
      <c r="U1107" s="22" t="e">
        <f>#REF!</f>
        <v>#REF!</v>
      </c>
      <c r="V1107" s="20" t="str">
        <f t="shared" si="85"/>
        <v>-xx</v>
      </c>
    </row>
    <row r="1108" spans="1:22" ht="25.2" thickBot="1">
      <c r="A1108" s="64" t="s">
        <v>644</v>
      </c>
      <c r="B1108" s="72"/>
      <c r="C1108" s="72"/>
      <c r="D1108" s="72"/>
      <c r="E1108" s="72"/>
      <c r="F1108" s="72"/>
      <c r="G1108" s="102"/>
      <c r="H1108" s="72"/>
      <c r="I1108" s="72"/>
      <c r="J1108" s="72"/>
      <c r="K1108" s="72"/>
      <c r="L1108" s="74"/>
      <c r="M1108" s="20"/>
      <c r="N1108" s="20"/>
      <c r="O1108" s="20"/>
      <c r="P1108" s="20"/>
      <c r="Q1108" s="21"/>
      <c r="R1108" s="22"/>
      <c r="S1108" s="22"/>
      <c r="T1108" s="20"/>
      <c r="U1108" s="22"/>
      <c r="V1108" s="20"/>
    </row>
    <row r="1109" spans="1:22" ht="14.4">
      <c r="A1109" s="400" t="s">
        <v>1592</v>
      </c>
      <c r="B1109" s="77" t="s">
        <v>78</v>
      </c>
      <c r="C1109" s="410">
        <v>160</v>
      </c>
      <c r="D1109" s="424">
        <v>198</v>
      </c>
      <c r="E1109" s="410">
        <v>78</v>
      </c>
      <c r="F1109" s="410">
        <v>65</v>
      </c>
      <c r="G1109" s="21">
        <f t="shared" ref="G1109:G1172" si="95">IF(B1109="","",AVERAGE(E1109:F1109)*D1109*C1109/10^6)</f>
        <v>2.26512</v>
      </c>
      <c r="H1109" s="78">
        <f t="shared" ref="H1109:H1140" si="96">ROUND(C1109*D1109*E1109/10^6,3)</f>
        <v>2.4710000000000001</v>
      </c>
      <c r="I1109" s="78">
        <f t="shared" ref="I1109:I1140" si="97">IF(F1109="","-",ROUND((E1109+F1109)*C1109/2*D1109/10^6,3))</f>
        <v>2.2650000000000001</v>
      </c>
      <c r="J1109" s="78">
        <f t="shared" ref="J1109:J1140" si="98">IF(F1109="","-",ROUND((D1109+E1109)*C1109/2*F1109/10^6,3))</f>
        <v>1.4350000000000001</v>
      </c>
      <c r="K1109" s="79"/>
      <c r="L1109" s="780"/>
      <c r="M1109" s="20"/>
      <c r="N1109" s="20"/>
      <c r="O1109" s="20"/>
      <c r="P1109" s="20"/>
      <c r="Q1109" s="21"/>
      <c r="R1109" s="22" t="s">
        <v>16</v>
      </c>
      <c r="S1109" s="22" t="s">
        <v>16</v>
      </c>
      <c r="T1109" s="20"/>
      <c r="U1109" s="22">
        <f>U1108</f>
        <v>0</v>
      </c>
      <c r="V1109" s="20"/>
    </row>
    <row r="1110" spans="1:22" ht="14.4">
      <c r="A1110" s="406" t="s">
        <v>1593</v>
      </c>
      <c r="B1110" s="2" t="s">
        <v>78</v>
      </c>
      <c r="C1110" s="411">
        <v>160</v>
      </c>
      <c r="D1110" s="423">
        <v>198</v>
      </c>
      <c r="E1110" s="411">
        <v>76</v>
      </c>
      <c r="F1110" s="411">
        <v>67</v>
      </c>
      <c r="G1110" s="21">
        <f t="shared" si="95"/>
        <v>2.26512</v>
      </c>
      <c r="H1110" s="20">
        <f t="shared" si="96"/>
        <v>2.4079999999999999</v>
      </c>
      <c r="I1110" s="20">
        <f t="shared" si="97"/>
        <v>2.2650000000000001</v>
      </c>
      <c r="J1110" s="20">
        <f t="shared" si="98"/>
        <v>1.4690000000000001</v>
      </c>
      <c r="K1110" s="75"/>
      <c r="L1110" s="780"/>
      <c r="M1110" s="20"/>
      <c r="N1110" s="20"/>
      <c r="O1110" s="20"/>
      <c r="P1110" s="20"/>
      <c r="Q1110" s="21"/>
      <c r="R1110" s="22" t="s">
        <v>16</v>
      </c>
      <c r="S1110" s="22" t="s">
        <v>16</v>
      </c>
      <c r="T1110" s="20"/>
      <c r="U1110" s="22" t="e">
        <f>#REF!</f>
        <v>#REF!</v>
      </c>
      <c r="V1110" s="20"/>
    </row>
    <row r="1111" spans="1:22" ht="14.4">
      <c r="A1111" s="406" t="s">
        <v>1594</v>
      </c>
      <c r="B1111" s="2" t="s">
        <v>78</v>
      </c>
      <c r="C1111" s="411">
        <v>160</v>
      </c>
      <c r="D1111" s="423">
        <v>198</v>
      </c>
      <c r="E1111" s="411">
        <v>75</v>
      </c>
      <c r="F1111" s="411">
        <v>68</v>
      </c>
      <c r="G1111" s="21">
        <f t="shared" si="95"/>
        <v>2.26512</v>
      </c>
      <c r="H1111" s="20">
        <f t="shared" si="96"/>
        <v>2.3759999999999999</v>
      </c>
      <c r="I1111" s="20">
        <f t="shared" si="97"/>
        <v>2.2650000000000001</v>
      </c>
      <c r="J1111" s="20">
        <f t="shared" si="98"/>
        <v>1.4850000000000001</v>
      </c>
      <c r="K1111" s="75"/>
      <c r="L1111" s="780"/>
      <c r="M1111" s="20"/>
      <c r="N1111" s="20"/>
      <c r="O1111" s="20"/>
      <c r="P1111" s="20"/>
      <c r="Q1111" s="21"/>
      <c r="R1111" s="22" t="s">
        <v>16</v>
      </c>
      <c r="S1111" s="22" t="s">
        <v>16</v>
      </c>
      <c r="T1111" s="20"/>
      <c r="U1111" s="22" t="e">
        <f t="shared" ref="U1111:U1119" si="99">U1110</f>
        <v>#REF!</v>
      </c>
      <c r="V1111" s="20"/>
    </row>
    <row r="1112" spans="1:22" ht="14.4">
      <c r="A1112" s="401" t="s">
        <v>1595</v>
      </c>
      <c r="B1112" s="2" t="s">
        <v>78</v>
      </c>
      <c r="C1112" s="412">
        <v>160</v>
      </c>
      <c r="D1112" s="418">
        <v>198</v>
      </c>
      <c r="E1112" s="412">
        <v>74</v>
      </c>
      <c r="F1112" s="412">
        <v>69</v>
      </c>
      <c r="G1112" s="21">
        <f t="shared" si="95"/>
        <v>2.26512</v>
      </c>
      <c r="H1112" s="20">
        <f t="shared" si="96"/>
        <v>2.3439999999999999</v>
      </c>
      <c r="I1112" s="20">
        <f t="shared" si="97"/>
        <v>2.2650000000000001</v>
      </c>
      <c r="J1112" s="20">
        <f t="shared" si="98"/>
        <v>1.5009999999999999</v>
      </c>
      <c r="K1112" s="75"/>
      <c r="L1112" s="780"/>
      <c r="M1112" s="20"/>
      <c r="N1112" s="20"/>
      <c r="O1112" s="20"/>
      <c r="P1112" s="20"/>
      <c r="Q1112" s="21"/>
      <c r="R1112" s="22" t="s">
        <v>16</v>
      </c>
      <c r="S1112" s="22" t="s">
        <v>16</v>
      </c>
      <c r="T1112" s="20"/>
      <c r="U1112" s="22" t="e">
        <f t="shared" si="99"/>
        <v>#REF!</v>
      </c>
      <c r="V1112" s="20"/>
    </row>
    <row r="1113" spans="1:22" ht="14.4">
      <c r="A1113" s="401" t="s">
        <v>1596</v>
      </c>
      <c r="B1113" s="2" t="s">
        <v>78</v>
      </c>
      <c r="C1113" s="412">
        <v>160</v>
      </c>
      <c r="D1113" s="418">
        <v>198</v>
      </c>
      <c r="E1113" s="412">
        <v>73</v>
      </c>
      <c r="F1113" s="412">
        <v>70</v>
      </c>
      <c r="G1113" s="21">
        <f t="shared" si="95"/>
        <v>2.26512</v>
      </c>
      <c r="H1113" s="20">
        <f t="shared" si="96"/>
        <v>2.3130000000000002</v>
      </c>
      <c r="I1113" s="20">
        <f t="shared" si="97"/>
        <v>2.2650000000000001</v>
      </c>
      <c r="J1113" s="20">
        <f t="shared" si="98"/>
        <v>1.518</v>
      </c>
      <c r="K1113" s="75"/>
      <c r="L1113" s="780"/>
      <c r="M1113" s="20"/>
      <c r="N1113" s="20"/>
      <c r="O1113" s="20"/>
      <c r="P1113" s="20"/>
      <c r="Q1113" s="21"/>
      <c r="R1113" s="22" t="s">
        <v>16</v>
      </c>
      <c r="S1113" s="22" t="s">
        <v>16</v>
      </c>
      <c r="T1113" s="20"/>
      <c r="U1113" s="22" t="e">
        <f t="shared" si="99"/>
        <v>#REF!</v>
      </c>
      <c r="V1113" s="20"/>
    </row>
    <row r="1114" spans="1:22" ht="14.4">
      <c r="A1114" s="399" t="s">
        <v>79</v>
      </c>
      <c r="B1114" s="2" t="s">
        <v>78</v>
      </c>
      <c r="C1114" s="408">
        <v>180</v>
      </c>
      <c r="D1114" s="417">
        <v>198</v>
      </c>
      <c r="E1114" s="408">
        <v>78</v>
      </c>
      <c r="F1114" s="408">
        <v>65</v>
      </c>
      <c r="G1114" s="21">
        <f t="shared" si="95"/>
        <v>2.54826</v>
      </c>
      <c r="H1114" s="20">
        <f t="shared" si="96"/>
        <v>2.78</v>
      </c>
      <c r="I1114" s="20">
        <f t="shared" si="97"/>
        <v>2.548</v>
      </c>
      <c r="J1114" s="20">
        <f t="shared" si="98"/>
        <v>1.615</v>
      </c>
      <c r="K1114" s="75"/>
      <c r="L1114" s="780"/>
      <c r="M1114" s="20"/>
      <c r="N1114" s="20"/>
      <c r="O1114" s="20"/>
      <c r="P1114" s="20"/>
      <c r="Q1114" s="21"/>
      <c r="R1114" s="22" t="s">
        <v>16</v>
      </c>
      <c r="S1114" s="22" t="s">
        <v>16</v>
      </c>
      <c r="T1114" s="20"/>
      <c r="U1114" s="22" t="e">
        <f t="shared" si="99"/>
        <v>#REF!</v>
      </c>
      <c r="V1114" s="20"/>
    </row>
    <row r="1115" spans="1:22" ht="14.4">
      <c r="A1115" s="399" t="s">
        <v>80</v>
      </c>
      <c r="B1115" s="2" t="s">
        <v>78</v>
      </c>
      <c r="C1115" s="408">
        <v>180</v>
      </c>
      <c r="D1115" s="417">
        <v>198</v>
      </c>
      <c r="E1115" s="408">
        <v>76.5</v>
      </c>
      <c r="F1115" s="408">
        <v>66.5</v>
      </c>
      <c r="G1115" s="21">
        <f t="shared" si="95"/>
        <v>2.54826</v>
      </c>
      <c r="H1115" s="20">
        <f t="shared" si="96"/>
        <v>2.726</v>
      </c>
      <c r="I1115" s="20">
        <f t="shared" si="97"/>
        <v>2.548</v>
      </c>
      <c r="J1115" s="20">
        <f t="shared" si="98"/>
        <v>1.643</v>
      </c>
      <c r="K1115" s="75"/>
      <c r="L1115" s="780"/>
      <c r="M1115" s="20"/>
      <c r="N1115" s="20"/>
      <c r="O1115" s="20"/>
      <c r="P1115" s="20"/>
      <c r="Q1115" s="21"/>
      <c r="R1115" s="22" t="s">
        <v>16</v>
      </c>
      <c r="S1115" s="22" t="s">
        <v>16</v>
      </c>
      <c r="T1115" s="20"/>
      <c r="U1115" s="22" t="e">
        <f t="shared" si="99"/>
        <v>#REF!</v>
      </c>
      <c r="V1115" s="20"/>
    </row>
    <row r="1116" spans="1:22" ht="14.4">
      <c r="A1116" s="399" t="s">
        <v>81</v>
      </c>
      <c r="B1116" s="2" t="s">
        <v>78</v>
      </c>
      <c r="C1116" s="408">
        <v>180</v>
      </c>
      <c r="D1116" s="417">
        <v>198</v>
      </c>
      <c r="E1116" s="408">
        <v>75</v>
      </c>
      <c r="F1116" s="408">
        <v>68</v>
      </c>
      <c r="G1116" s="21">
        <f t="shared" si="95"/>
        <v>2.54826</v>
      </c>
      <c r="H1116" s="20">
        <f t="shared" si="96"/>
        <v>2.673</v>
      </c>
      <c r="I1116" s="20">
        <f t="shared" si="97"/>
        <v>2.548</v>
      </c>
      <c r="J1116" s="20">
        <f t="shared" si="98"/>
        <v>1.671</v>
      </c>
      <c r="K1116" s="75"/>
      <c r="L1116" s="780"/>
      <c r="M1116" s="20"/>
      <c r="N1116" s="20"/>
      <c r="O1116" s="20"/>
      <c r="P1116" s="20"/>
      <c r="Q1116" s="21"/>
      <c r="R1116" s="22" t="s">
        <v>16</v>
      </c>
      <c r="S1116" s="22" t="s">
        <v>16</v>
      </c>
      <c r="T1116" s="20"/>
      <c r="U1116" s="22" t="e">
        <f t="shared" si="99"/>
        <v>#REF!</v>
      </c>
      <c r="V1116" s="20"/>
    </row>
    <row r="1117" spans="1:22" ht="14.4">
      <c r="A1117" s="399" t="s">
        <v>1597</v>
      </c>
      <c r="B1117" s="2" t="s">
        <v>78</v>
      </c>
      <c r="C1117" s="408">
        <v>180</v>
      </c>
      <c r="D1117" s="417">
        <v>198</v>
      </c>
      <c r="E1117" s="408">
        <v>74.5</v>
      </c>
      <c r="F1117" s="408">
        <v>68.5</v>
      </c>
      <c r="G1117" s="21">
        <f t="shared" si="95"/>
        <v>2.54826</v>
      </c>
      <c r="H1117" s="20">
        <f t="shared" si="96"/>
        <v>2.6549999999999998</v>
      </c>
      <c r="I1117" s="20">
        <f t="shared" si="97"/>
        <v>2.548</v>
      </c>
      <c r="J1117" s="20">
        <f t="shared" si="98"/>
        <v>1.68</v>
      </c>
      <c r="K1117" s="75"/>
      <c r="L1117" s="780"/>
      <c r="M1117" s="20"/>
      <c r="N1117" s="20"/>
      <c r="O1117" s="20"/>
      <c r="P1117" s="20"/>
      <c r="Q1117" s="21"/>
      <c r="R1117" s="22" t="s">
        <v>16</v>
      </c>
      <c r="S1117" s="22" t="s">
        <v>16</v>
      </c>
      <c r="T1117" s="20"/>
      <c r="U1117" s="22" t="e">
        <f t="shared" si="99"/>
        <v>#REF!</v>
      </c>
      <c r="V1117" s="20"/>
    </row>
    <row r="1118" spans="1:22" ht="14.4">
      <c r="A1118" s="399" t="s">
        <v>82</v>
      </c>
      <c r="B1118" s="2" t="s">
        <v>78</v>
      </c>
      <c r="C1118" s="408">
        <v>180</v>
      </c>
      <c r="D1118" s="417">
        <v>198</v>
      </c>
      <c r="E1118" s="408">
        <v>74</v>
      </c>
      <c r="F1118" s="408">
        <v>69</v>
      </c>
      <c r="G1118" s="21">
        <f t="shared" si="95"/>
        <v>2.54826</v>
      </c>
      <c r="H1118" s="20">
        <f t="shared" si="96"/>
        <v>2.637</v>
      </c>
      <c r="I1118" s="20">
        <f t="shared" si="97"/>
        <v>2.548</v>
      </c>
      <c r="J1118" s="20">
        <f t="shared" si="98"/>
        <v>1.6890000000000001</v>
      </c>
      <c r="K1118" s="75"/>
      <c r="L1118" s="780"/>
      <c r="M1118" s="20"/>
      <c r="N1118" s="20"/>
      <c r="O1118" s="20"/>
      <c r="P1118" s="20"/>
      <c r="Q1118" s="21"/>
      <c r="R1118" s="22" t="s">
        <v>16</v>
      </c>
      <c r="S1118" s="22" t="s">
        <v>16</v>
      </c>
      <c r="T1118" s="20"/>
      <c r="U1118" s="22" t="e">
        <f t="shared" si="99"/>
        <v>#REF!</v>
      </c>
      <c r="V1118" s="20"/>
    </row>
    <row r="1119" spans="1:22" ht="14.4">
      <c r="A1119" s="403" t="s">
        <v>83</v>
      </c>
      <c r="B1119" s="2" t="s">
        <v>78</v>
      </c>
      <c r="C1119" s="409">
        <v>200</v>
      </c>
      <c r="D1119" s="419">
        <v>198</v>
      </c>
      <c r="E1119" s="409">
        <v>78</v>
      </c>
      <c r="F1119" s="409">
        <v>65</v>
      </c>
      <c r="G1119" s="21">
        <f t="shared" si="95"/>
        <v>2.8313999999999999</v>
      </c>
      <c r="H1119" s="20">
        <f t="shared" si="96"/>
        <v>3.089</v>
      </c>
      <c r="I1119" s="20">
        <f t="shared" si="97"/>
        <v>2.831</v>
      </c>
      <c r="J1119" s="20">
        <f t="shared" si="98"/>
        <v>1.794</v>
      </c>
      <c r="K1119" s="75"/>
      <c r="L1119" s="780"/>
      <c r="M1119" s="20"/>
      <c r="N1119" s="20"/>
      <c r="O1119" s="20"/>
      <c r="P1119" s="20"/>
      <c r="Q1119" s="21"/>
      <c r="R1119" s="22" t="s">
        <v>16</v>
      </c>
      <c r="S1119" s="22" t="s">
        <v>16</v>
      </c>
      <c r="T1119" s="20"/>
      <c r="U1119" s="22" t="e">
        <f t="shared" si="99"/>
        <v>#REF!</v>
      </c>
      <c r="V1119" s="20"/>
    </row>
    <row r="1120" spans="1:22" ht="14.4">
      <c r="A1120" s="403" t="s">
        <v>84</v>
      </c>
      <c r="B1120" s="2" t="s">
        <v>78</v>
      </c>
      <c r="C1120" s="409">
        <v>200</v>
      </c>
      <c r="D1120" s="419">
        <v>198</v>
      </c>
      <c r="E1120" s="409">
        <v>76.5</v>
      </c>
      <c r="F1120" s="409">
        <v>66.5</v>
      </c>
      <c r="G1120" s="21">
        <f t="shared" si="95"/>
        <v>2.8313999999999999</v>
      </c>
      <c r="H1120" s="20">
        <f t="shared" si="96"/>
        <v>3.0289999999999999</v>
      </c>
      <c r="I1120" s="20">
        <f t="shared" si="97"/>
        <v>2.831</v>
      </c>
      <c r="J1120" s="20">
        <f t="shared" si="98"/>
        <v>1.825</v>
      </c>
      <c r="K1120" s="75"/>
      <c r="L1120" s="780"/>
      <c r="M1120" s="20"/>
      <c r="N1120" s="20"/>
      <c r="O1120" s="20"/>
      <c r="P1120" s="20"/>
      <c r="Q1120" s="21"/>
      <c r="R1120" s="22"/>
      <c r="S1120" s="22"/>
      <c r="T1120" s="20"/>
      <c r="U1120" s="22"/>
      <c r="V1120" s="20"/>
    </row>
    <row r="1121" spans="1:22" ht="14.4">
      <c r="A1121" s="403" t="s">
        <v>85</v>
      </c>
      <c r="B1121" s="2" t="s">
        <v>78</v>
      </c>
      <c r="C1121" s="409">
        <v>200</v>
      </c>
      <c r="D1121" s="419">
        <v>198</v>
      </c>
      <c r="E1121" s="409">
        <v>75</v>
      </c>
      <c r="F1121" s="409">
        <v>68</v>
      </c>
      <c r="G1121" s="21">
        <f t="shared" si="95"/>
        <v>2.8313999999999999</v>
      </c>
      <c r="H1121" s="20">
        <f t="shared" si="96"/>
        <v>2.97</v>
      </c>
      <c r="I1121" s="20">
        <f t="shared" si="97"/>
        <v>2.831</v>
      </c>
      <c r="J1121" s="20">
        <f t="shared" si="98"/>
        <v>1.8560000000000001</v>
      </c>
      <c r="K1121" s="75"/>
      <c r="L1121" s="780"/>
      <c r="M1121" s="20"/>
      <c r="N1121" s="20"/>
      <c r="O1121" s="20"/>
      <c r="P1121" s="20"/>
      <c r="Q1121" s="21"/>
      <c r="R1121" s="22"/>
      <c r="S1121" s="22"/>
      <c r="T1121" s="20"/>
      <c r="U1121" s="22"/>
      <c r="V1121" s="20"/>
    </row>
    <row r="1122" spans="1:22" ht="14.4">
      <c r="A1122" s="403" t="s">
        <v>1598</v>
      </c>
      <c r="B1122" s="2" t="s">
        <v>78</v>
      </c>
      <c r="C1122" s="409">
        <v>200</v>
      </c>
      <c r="D1122" s="419">
        <v>198</v>
      </c>
      <c r="E1122" s="409">
        <v>74.5</v>
      </c>
      <c r="F1122" s="409">
        <v>68.5</v>
      </c>
      <c r="G1122" s="21">
        <f t="shared" si="95"/>
        <v>2.8313999999999999</v>
      </c>
      <c r="H1122" s="20">
        <f t="shared" si="96"/>
        <v>2.95</v>
      </c>
      <c r="I1122" s="20">
        <f t="shared" si="97"/>
        <v>2.831</v>
      </c>
      <c r="J1122" s="20">
        <f t="shared" si="98"/>
        <v>1.867</v>
      </c>
      <c r="K1122" s="75"/>
      <c r="L1122" s="780"/>
      <c r="M1122" s="20"/>
      <c r="N1122" s="20"/>
      <c r="O1122" s="20"/>
      <c r="P1122" s="20"/>
      <c r="Q1122" s="21"/>
      <c r="R1122" s="22"/>
      <c r="S1122" s="22"/>
      <c r="T1122" s="20"/>
      <c r="U1122" s="22"/>
      <c r="V1122" s="20"/>
    </row>
    <row r="1123" spans="1:22" ht="14.4">
      <c r="A1123" s="403" t="s">
        <v>86</v>
      </c>
      <c r="B1123" s="2" t="s">
        <v>78</v>
      </c>
      <c r="C1123" s="409">
        <v>200</v>
      </c>
      <c r="D1123" s="419">
        <v>198</v>
      </c>
      <c r="E1123" s="409">
        <v>74</v>
      </c>
      <c r="F1123" s="409">
        <v>69</v>
      </c>
      <c r="G1123" s="21">
        <f t="shared" si="95"/>
        <v>2.8313999999999999</v>
      </c>
      <c r="H1123" s="20">
        <f t="shared" si="96"/>
        <v>2.93</v>
      </c>
      <c r="I1123" s="20">
        <f t="shared" si="97"/>
        <v>2.831</v>
      </c>
      <c r="J1123" s="20">
        <f t="shared" si="98"/>
        <v>1.877</v>
      </c>
      <c r="K1123" s="75"/>
      <c r="L1123" s="780"/>
      <c r="M1123" s="20"/>
      <c r="N1123" s="20"/>
      <c r="O1123" s="20"/>
      <c r="P1123" s="20"/>
      <c r="Q1123" s="21"/>
      <c r="R1123" s="22"/>
      <c r="S1123" s="22"/>
      <c r="T1123" s="20"/>
      <c r="U1123" s="22"/>
      <c r="V1123" s="20"/>
    </row>
    <row r="1124" spans="1:22" ht="14.4">
      <c r="A1124" s="403" t="s">
        <v>1599</v>
      </c>
      <c r="B1124" s="2" t="s">
        <v>78</v>
      </c>
      <c r="C1124" s="409">
        <v>200</v>
      </c>
      <c r="D1124" s="419">
        <v>198</v>
      </c>
      <c r="E1124" s="409">
        <v>73.5</v>
      </c>
      <c r="F1124" s="409">
        <v>69.5</v>
      </c>
      <c r="G1124" s="21">
        <f t="shared" si="95"/>
        <v>2.8313999999999999</v>
      </c>
      <c r="H1124" s="20">
        <f t="shared" si="96"/>
        <v>2.911</v>
      </c>
      <c r="I1124" s="20">
        <f t="shared" si="97"/>
        <v>2.831</v>
      </c>
      <c r="J1124" s="20">
        <f t="shared" si="98"/>
        <v>1.887</v>
      </c>
      <c r="K1124" s="75"/>
      <c r="L1124" s="780"/>
      <c r="M1124" s="20"/>
      <c r="N1124" s="20"/>
      <c r="O1124" s="20"/>
      <c r="P1124" s="20"/>
      <c r="Q1124" s="21"/>
      <c r="R1124" s="22"/>
      <c r="S1124" s="22"/>
      <c r="T1124" s="20"/>
      <c r="U1124" s="22"/>
      <c r="V1124" s="20"/>
    </row>
    <row r="1125" spans="1:22" ht="14.4">
      <c r="A1125" s="402" t="s">
        <v>87</v>
      </c>
      <c r="B1125" s="2" t="s">
        <v>78</v>
      </c>
      <c r="C1125" s="413">
        <v>220</v>
      </c>
      <c r="D1125" s="420">
        <v>198</v>
      </c>
      <c r="E1125" s="413">
        <v>78</v>
      </c>
      <c r="F1125" s="413">
        <v>65</v>
      </c>
      <c r="G1125" s="21">
        <f t="shared" si="95"/>
        <v>3.1145399999999999</v>
      </c>
      <c r="H1125" s="20">
        <f t="shared" si="96"/>
        <v>3.3980000000000001</v>
      </c>
      <c r="I1125" s="20">
        <f t="shared" si="97"/>
        <v>3.1150000000000002</v>
      </c>
      <c r="J1125" s="20">
        <f t="shared" si="98"/>
        <v>1.9730000000000001</v>
      </c>
      <c r="K1125" s="75"/>
      <c r="L1125" s="780"/>
      <c r="M1125" s="20"/>
      <c r="N1125" s="20"/>
      <c r="O1125" s="20"/>
      <c r="P1125" s="20"/>
      <c r="Q1125" s="21"/>
      <c r="R1125" s="22"/>
      <c r="S1125" s="22"/>
      <c r="T1125" s="20"/>
      <c r="U1125" s="22"/>
      <c r="V1125" s="20"/>
    </row>
    <row r="1126" spans="1:22" ht="14.4">
      <c r="A1126" s="402" t="s">
        <v>88</v>
      </c>
      <c r="B1126" s="2" t="s">
        <v>78</v>
      </c>
      <c r="C1126" s="413">
        <v>220</v>
      </c>
      <c r="D1126" s="420">
        <v>198</v>
      </c>
      <c r="E1126" s="413">
        <v>76.5</v>
      </c>
      <c r="F1126" s="413">
        <v>66.5</v>
      </c>
      <c r="G1126" s="21">
        <f t="shared" si="95"/>
        <v>3.1145399999999999</v>
      </c>
      <c r="H1126" s="20">
        <f t="shared" si="96"/>
        <v>3.3319999999999999</v>
      </c>
      <c r="I1126" s="20">
        <f t="shared" si="97"/>
        <v>3.1150000000000002</v>
      </c>
      <c r="J1126" s="20">
        <f t="shared" si="98"/>
        <v>2.008</v>
      </c>
      <c r="K1126" s="75"/>
      <c r="L1126" s="780"/>
      <c r="M1126" s="20"/>
      <c r="N1126" s="20"/>
      <c r="O1126" s="20"/>
      <c r="P1126" s="20"/>
      <c r="Q1126" s="21"/>
      <c r="R1126" s="22"/>
      <c r="S1126" s="22"/>
      <c r="T1126" s="20"/>
      <c r="U1126" s="22"/>
      <c r="V1126" s="20"/>
    </row>
    <row r="1127" spans="1:22" ht="14.4">
      <c r="A1127" s="402" t="s">
        <v>89</v>
      </c>
      <c r="B1127" s="2" t="s">
        <v>78</v>
      </c>
      <c r="C1127" s="413">
        <v>220</v>
      </c>
      <c r="D1127" s="420">
        <v>198</v>
      </c>
      <c r="E1127" s="413">
        <v>75</v>
      </c>
      <c r="F1127" s="413">
        <v>68</v>
      </c>
      <c r="G1127" s="21">
        <f t="shared" si="95"/>
        <v>3.1145399999999999</v>
      </c>
      <c r="H1127" s="20">
        <f t="shared" si="96"/>
        <v>3.2669999999999999</v>
      </c>
      <c r="I1127" s="20">
        <f t="shared" si="97"/>
        <v>3.1150000000000002</v>
      </c>
      <c r="J1127" s="20">
        <f t="shared" si="98"/>
        <v>2.0419999999999998</v>
      </c>
      <c r="K1127" s="75"/>
      <c r="L1127" s="780"/>
      <c r="M1127" s="20"/>
      <c r="N1127" s="20"/>
      <c r="O1127" s="20"/>
      <c r="P1127" s="20"/>
      <c r="Q1127" s="21"/>
      <c r="R1127" s="22"/>
      <c r="S1127" s="22"/>
      <c r="T1127" s="20"/>
      <c r="U1127" s="22"/>
      <c r="V1127" s="20"/>
    </row>
    <row r="1128" spans="1:22" ht="14.4">
      <c r="A1128" s="402" t="s">
        <v>1600</v>
      </c>
      <c r="B1128" s="2" t="s">
        <v>78</v>
      </c>
      <c r="C1128" s="413">
        <v>220</v>
      </c>
      <c r="D1128" s="420">
        <v>198</v>
      </c>
      <c r="E1128" s="413">
        <v>74.5</v>
      </c>
      <c r="F1128" s="413">
        <v>68.5</v>
      </c>
      <c r="G1128" s="21">
        <f t="shared" si="95"/>
        <v>3.1145399999999999</v>
      </c>
      <c r="H1128" s="20">
        <f t="shared" si="96"/>
        <v>3.2450000000000001</v>
      </c>
      <c r="I1128" s="20">
        <f t="shared" si="97"/>
        <v>3.1150000000000002</v>
      </c>
      <c r="J1128" s="20">
        <f t="shared" si="98"/>
        <v>2.0529999999999999</v>
      </c>
      <c r="K1128" s="75"/>
      <c r="L1128" s="780"/>
      <c r="M1128" s="20"/>
      <c r="N1128" s="20"/>
      <c r="O1128" s="20"/>
      <c r="P1128" s="20"/>
      <c r="Q1128" s="21"/>
      <c r="R1128" s="22"/>
      <c r="S1128" s="22"/>
      <c r="T1128" s="20"/>
      <c r="U1128" s="22"/>
      <c r="V1128" s="20"/>
    </row>
    <row r="1129" spans="1:22" ht="14.4">
      <c r="A1129" s="402" t="s">
        <v>90</v>
      </c>
      <c r="B1129" s="2" t="s">
        <v>78</v>
      </c>
      <c r="C1129" s="413">
        <v>220</v>
      </c>
      <c r="D1129" s="420">
        <v>198</v>
      </c>
      <c r="E1129" s="413">
        <v>74</v>
      </c>
      <c r="F1129" s="413">
        <v>69</v>
      </c>
      <c r="G1129" s="21">
        <f t="shared" si="95"/>
        <v>3.1145399999999999</v>
      </c>
      <c r="H1129" s="20">
        <f t="shared" si="96"/>
        <v>3.2229999999999999</v>
      </c>
      <c r="I1129" s="20">
        <f t="shared" si="97"/>
        <v>3.1150000000000002</v>
      </c>
      <c r="J1129" s="20">
        <f t="shared" si="98"/>
        <v>2.0640000000000001</v>
      </c>
      <c r="K1129" s="75"/>
      <c r="L1129" s="780"/>
      <c r="M1129" s="20"/>
      <c r="N1129" s="20"/>
      <c r="O1129" s="20"/>
      <c r="P1129" s="20"/>
      <c r="Q1129" s="21"/>
      <c r="R1129" s="22"/>
      <c r="S1129" s="22"/>
      <c r="T1129" s="20"/>
      <c r="U1129" s="22"/>
      <c r="V1129" s="20"/>
    </row>
    <row r="1130" spans="1:22" ht="14.4">
      <c r="A1130" s="402" t="s">
        <v>1601</v>
      </c>
      <c r="B1130" s="2" t="s">
        <v>78</v>
      </c>
      <c r="C1130" s="413">
        <v>220</v>
      </c>
      <c r="D1130" s="420">
        <v>198</v>
      </c>
      <c r="E1130" s="413">
        <v>73.5</v>
      </c>
      <c r="F1130" s="413">
        <v>69.5</v>
      </c>
      <c r="G1130" s="21">
        <f t="shared" si="95"/>
        <v>3.1145399999999999</v>
      </c>
      <c r="H1130" s="20">
        <f t="shared" si="96"/>
        <v>3.202</v>
      </c>
      <c r="I1130" s="20">
        <f t="shared" si="97"/>
        <v>3.1150000000000002</v>
      </c>
      <c r="J1130" s="20">
        <f t="shared" si="98"/>
        <v>2.0760000000000001</v>
      </c>
      <c r="K1130" s="75"/>
      <c r="L1130" s="780"/>
      <c r="M1130" s="20"/>
      <c r="N1130" s="20"/>
      <c r="O1130" s="20"/>
      <c r="P1130" s="20"/>
      <c r="Q1130" s="21"/>
      <c r="R1130" s="22"/>
      <c r="S1130" s="22"/>
      <c r="T1130" s="20"/>
      <c r="U1130" s="22"/>
      <c r="V1130" s="20"/>
    </row>
    <row r="1131" spans="1:22" ht="14.4">
      <c r="A1131" s="404" t="s">
        <v>1602</v>
      </c>
      <c r="B1131" s="2" t="s">
        <v>78</v>
      </c>
      <c r="C1131" s="414">
        <v>250</v>
      </c>
      <c r="D1131" s="422">
        <v>198</v>
      </c>
      <c r="E1131" s="414">
        <v>82</v>
      </c>
      <c r="F1131" s="414">
        <v>61</v>
      </c>
      <c r="G1131" s="21">
        <f t="shared" si="95"/>
        <v>3.53925</v>
      </c>
      <c r="H1131" s="20">
        <f t="shared" si="96"/>
        <v>4.0590000000000002</v>
      </c>
      <c r="I1131" s="20">
        <f t="shared" si="97"/>
        <v>3.5390000000000001</v>
      </c>
      <c r="J1131" s="20">
        <f t="shared" si="98"/>
        <v>2.1349999999999998</v>
      </c>
      <c r="K1131" s="75"/>
      <c r="L1131" s="780"/>
      <c r="M1131" s="20"/>
      <c r="N1131" s="20"/>
      <c r="O1131" s="20"/>
      <c r="P1131" s="20"/>
      <c r="Q1131" s="21"/>
      <c r="R1131" s="22"/>
      <c r="S1131" s="22"/>
      <c r="T1131" s="20"/>
      <c r="U1131" s="22"/>
      <c r="V1131" s="20"/>
    </row>
    <row r="1132" spans="1:22" ht="14.4">
      <c r="A1132" s="404" t="s">
        <v>91</v>
      </c>
      <c r="B1132" s="2" t="s">
        <v>78</v>
      </c>
      <c r="C1132" s="414">
        <v>250</v>
      </c>
      <c r="D1132" s="422">
        <v>198</v>
      </c>
      <c r="E1132" s="414">
        <v>78</v>
      </c>
      <c r="F1132" s="414">
        <v>65</v>
      </c>
      <c r="G1132" s="21">
        <f t="shared" si="95"/>
        <v>3.53925</v>
      </c>
      <c r="H1132" s="20">
        <f t="shared" si="96"/>
        <v>3.8610000000000002</v>
      </c>
      <c r="I1132" s="20">
        <f t="shared" si="97"/>
        <v>3.5390000000000001</v>
      </c>
      <c r="J1132" s="20">
        <f t="shared" si="98"/>
        <v>2.2429999999999999</v>
      </c>
      <c r="K1132" s="75"/>
      <c r="L1132" s="780"/>
      <c r="M1132" s="20"/>
      <c r="N1132" s="20"/>
      <c r="O1132" s="20"/>
      <c r="P1132" s="20"/>
      <c r="Q1132" s="21"/>
      <c r="R1132" s="22"/>
      <c r="S1132" s="22"/>
      <c r="T1132" s="20"/>
      <c r="U1132" s="22"/>
      <c r="V1132" s="20"/>
    </row>
    <row r="1133" spans="1:22" ht="14.4">
      <c r="A1133" s="404" t="s">
        <v>92</v>
      </c>
      <c r="B1133" s="2" t="s">
        <v>78</v>
      </c>
      <c r="C1133" s="414">
        <v>250</v>
      </c>
      <c r="D1133" s="422">
        <v>198</v>
      </c>
      <c r="E1133" s="414">
        <v>76.5</v>
      </c>
      <c r="F1133" s="414">
        <v>66.5</v>
      </c>
      <c r="G1133" s="21">
        <f t="shared" si="95"/>
        <v>3.53925</v>
      </c>
      <c r="H1133" s="20">
        <f t="shared" si="96"/>
        <v>3.7869999999999999</v>
      </c>
      <c r="I1133" s="20">
        <f t="shared" si="97"/>
        <v>3.5390000000000001</v>
      </c>
      <c r="J1133" s="20">
        <f t="shared" si="98"/>
        <v>2.282</v>
      </c>
      <c r="K1133" s="75"/>
      <c r="L1133" s="780"/>
      <c r="M1133" s="20"/>
      <c r="N1133" s="20"/>
      <c r="O1133" s="20"/>
      <c r="P1133" s="20"/>
      <c r="Q1133" s="21"/>
      <c r="R1133" s="22"/>
      <c r="S1133" s="22"/>
      <c r="T1133" s="20"/>
      <c r="U1133" s="22"/>
      <c r="V1133" s="20"/>
    </row>
    <row r="1134" spans="1:22" ht="14.4">
      <c r="A1134" s="404" t="s">
        <v>93</v>
      </c>
      <c r="B1134" s="2" t="s">
        <v>78</v>
      </c>
      <c r="C1134" s="414">
        <v>250</v>
      </c>
      <c r="D1134" s="422">
        <v>198</v>
      </c>
      <c r="E1134" s="414">
        <v>75</v>
      </c>
      <c r="F1134" s="414">
        <v>68</v>
      </c>
      <c r="G1134" s="21">
        <f t="shared" si="95"/>
        <v>3.53925</v>
      </c>
      <c r="H1134" s="20">
        <f t="shared" si="96"/>
        <v>3.7130000000000001</v>
      </c>
      <c r="I1134" s="20">
        <f t="shared" si="97"/>
        <v>3.5390000000000001</v>
      </c>
      <c r="J1134" s="20">
        <f t="shared" si="98"/>
        <v>2.3210000000000002</v>
      </c>
      <c r="K1134" s="75"/>
      <c r="L1134" s="780"/>
      <c r="M1134" s="20"/>
      <c r="N1134" s="20"/>
      <c r="O1134" s="20"/>
      <c r="P1134" s="20"/>
      <c r="Q1134" s="21"/>
      <c r="R1134" s="22"/>
      <c r="S1134" s="22"/>
      <c r="T1134" s="20"/>
      <c r="U1134" s="22"/>
      <c r="V1134" s="20"/>
    </row>
    <row r="1135" spans="1:22" ht="14.4">
      <c r="A1135" s="404" t="s">
        <v>94</v>
      </c>
      <c r="B1135" s="2" t="s">
        <v>78</v>
      </c>
      <c r="C1135" s="414">
        <v>250</v>
      </c>
      <c r="D1135" s="422">
        <v>198</v>
      </c>
      <c r="E1135" s="414">
        <v>74.5</v>
      </c>
      <c r="F1135" s="414">
        <v>68.5</v>
      </c>
      <c r="G1135" s="21">
        <f t="shared" si="95"/>
        <v>3.53925</v>
      </c>
      <c r="H1135" s="20">
        <f t="shared" si="96"/>
        <v>3.6880000000000002</v>
      </c>
      <c r="I1135" s="20">
        <f t="shared" si="97"/>
        <v>3.5390000000000001</v>
      </c>
      <c r="J1135" s="20">
        <f t="shared" si="98"/>
        <v>2.3330000000000002</v>
      </c>
      <c r="K1135" s="75"/>
      <c r="L1135" s="780"/>
      <c r="M1135" s="20"/>
      <c r="N1135" s="20"/>
      <c r="O1135" s="20"/>
      <c r="P1135" s="20"/>
      <c r="Q1135" s="21"/>
      <c r="R1135" s="22"/>
      <c r="S1135" s="22"/>
      <c r="T1135" s="20"/>
      <c r="U1135" s="22"/>
      <c r="V1135" s="20"/>
    </row>
    <row r="1136" spans="1:22" ht="14.4">
      <c r="A1136" s="404" t="s">
        <v>19</v>
      </c>
      <c r="B1136" s="2" t="s">
        <v>78</v>
      </c>
      <c r="C1136" s="414">
        <v>250</v>
      </c>
      <c r="D1136" s="422">
        <v>198</v>
      </c>
      <c r="E1136" s="414">
        <v>74</v>
      </c>
      <c r="F1136" s="414">
        <v>69</v>
      </c>
      <c r="G1136" s="21">
        <f t="shared" si="95"/>
        <v>3.53925</v>
      </c>
      <c r="H1136" s="20">
        <f t="shared" si="96"/>
        <v>3.6629999999999998</v>
      </c>
      <c r="I1136" s="20">
        <f t="shared" si="97"/>
        <v>3.5390000000000001</v>
      </c>
      <c r="J1136" s="20">
        <f t="shared" si="98"/>
        <v>2.3460000000000001</v>
      </c>
      <c r="K1136" s="75"/>
      <c r="L1136" s="780"/>
      <c r="M1136" s="20"/>
      <c r="N1136" s="20"/>
      <c r="O1136" s="20"/>
      <c r="P1136" s="20"/>
      <c r="Q1136" s="21"/>
      <c r="R1136" s="22"/>
      <c r="S1136" s="22"/>
      <c r="T1136" s="20"/>
      <c r="U1136" s="22"/>
      <c r="V1136" s="20"/>
    </row>
    <row r="1137" spans="1:22" ht="14.4">
      <c r="A1137" s="404" t="s">
        <v>18</v>
      </c>
      <c r="B1137" s="2" t="s">
        <v>78</v>
      </c>
      <c r="C1137" s="414">
        <v>250</v>
      </c>
      <c r="D1137" s="422">
        <v>198</v>
      </c>
      <c r="E1137" s="414">
        <v>73.5</v>
      </c>
      <c r="F1137" s="414">
        <v>69.5</v>
      </c>
      <c r="G1137" s="21">
        <f t="shared" si="95"/>
        <v>3.53925</v>
      </c>
      <c r="H1137" s="20">
        <f t="shared" si="96"/>
        <v>3.6379999999999999</v>
      </c>
      <c r="I1137" s="20">
        <f t="shared" si="97"/>
        <v>3.5390000000000001</v>
      </c>
      <c r="J1137" s="20">
        <f t="shared" si="98"/>
        <v>2.359</v>
      </c>
      <c r="K1137" s="75"/>
      <c r="L1137" s="780"/>
      <c r="M1137" s="20"/>
      <c r="N1137" s="20"/>
      <c r="O1137" s="20"/>
      <c r="P1137" s="20"/>
      <c r="Q1137" s="21"/>
      <c r="R1137" s="22"/>
      <c r="S1137" s="22"/>
      <c r="T1137" s="20"/>
      <c r="U1137" s="22"/>
      <c r="V1137" s="20"/>
    </row>
    <row r="1138" spans="1:22" ht="14.4">
      <c r="A1138" s="405" t="s">
        <v>1603</v>
      </c>
      <c r="B1138" s="2" t="s">
        <v>78</v>
      </c>
      <c r="C1138" s="415">
        <v>300</v>
      </c>
      <c r="D1138" s="421">
        <v>198</v>
      </c>
      <c r="E1138" s="415">
        <v>81</v>
      </c>
      <c r="F1138" s="415">
        <v>62</v>
      </c>
      <c r="G1138" s="21">
        <f t="shared" si="95"/>
        <v>4.2470999999999997</v>
      </c>
      <c r="H1138" s="20">
        <f t="shared" si="96"/>
        <v>4.8109999999999999</v>
      </c>
      <c r="I1138" s="20">
        <f t="shared" si="97"/>
        <v>4.2469999999999999</v>
      </c>
      <c r="J1138" s="20">
        <f t="shared" si="98"/>
        <v>2.5950000000000002</v>
      </c>
      <c r="K1138" s="75"/>
      <c r="L1138" s="780"/>
      <c r="M1138" s="20"/>
      <c r="N1138" s="20"/>
      <c r="O1138" s="20"/>
      <c r="P1138" s="20"/>
      <c r="Q1138" s="21"/>
      <c r="R1138" s="22"/>
      <c r="S1138" s="22"/>
      <c r="T1138" s="20"/>
      <c r="U1138" s="22"/>
      <c r="V1138" s="20"/>
    </row>
    <row r="1139" spans="1:22" ht="14.4">
      <c r="A1139" s="405" t="s">
        <v>1604</v>
      </c>
      <c r="B1139" s="2" t="s">
        <v>78</v>
      </c>
      <c r="C1139" s="415">
        <v>300</v>
      </c>
      <c r="D1139" s="421">
        <v>198</v>
      </c>
      <c r="E1139" s="415">
        <v>77</v>
      </c>
      <c r="F1139" s="415">
        <v>66</v>
      </c>
      <c r="G1139" s="21">
        <f t="shared" si="95"/>
        <v>4.2470999999999997</v>
      </c>
      <c r="H1139" s="20">
        <f t="shared" si="96"/>
        <v>4.5739999999999998</v>
      </c>
      <c r="I1139" s="20">
        <f t="shared" si="97"/>
        <v>4.2469999999999999</v>
      </c>
      <c r="J1139" s="20">
        <f t="shared" si="98"/>
        <v>2.7229999999999999</v>
      </c>
      <c r="K1139" s="75"/>
      <c r="L1139" s="780"/>
      <c r="M1139" s="20"/>
      <c r="N1139" s="20"/>
      <c r="O1139" s="20"/>
      <c r="P1139" s="20"/>
      <c r="Q1139" s="21"/>
      <c r="R1139" s="22"/>
      <c r="S1139" s="22"/>
      <c r="T1139" s="20"/>
      <c r="U1139" s="22"/>
      <c r="V1139" s="20"/>
    </row>
    <row r="1140" spans="1:22" ht="15" thickBot="1">
      <c r="A1140" s="407" t="s">
        <v>1605</v>
      </c>
      <c r="B1140" s="2" t="s">
        <v>78</v>
      </c>
      <c r="C1140" s="416">
        <v>300</v>
      </c>
      <c r="D1140" s="425">
        <v>198</v>
      </c>
      <c r="E1140" s="416">
        <v>74.5</v>
      </c>
      <c r="F1140" s="416">
        <v>68.5</v>
      </c>
      <c r="G1140" s="21">
        <f t="shared" si="95"/>
        <v>4.2470999999999997</v>
      </c>
      <c r="H1140" s="20">
        <f t="shared" si="96"/>
        <v>4.4249999999999998</v>
      </c>
      <c r="I1140" s="20">
        <f t="shared" si="97"/>
        <v>4.2469999999999999</v>
      </c>
      <c r="J1140" s="20">
        <f t="shared" si="98"/>
        <v>2.8</v>
      </c>
      <c r="K1140" s="75"/>
      <c r="L1140" s="780"/>
      <c r="M1140" s="20"/>
      <c r="N1140" s="20"/>
      <c r="O1140" s="20"/>
      <c r="P1140" s="20"/>
      <c r="Q1140" s="21"/>
      <c r="R1140" s="22"/>
      <c r="S1140" s="22"/>
      <c r="T1140" s="20"/>
      <c r="U1140" s="22"/>
      <c r="V1140" s="20"/>
    </row>
    <row r="1141" spans="1:22">
      <c r="A1141" s="76"/>
      <c r="B1141" s="2" t="s">
        <v>78</v>
      </c>
      <c r="G1141" s="21" t="str">
        <f t="shared" ref="G1141:G1164" si="100">IF(B1141="","",IF(OR(B1141="PA",B1141="PL"),H1141,IF(OR(B1141="VDZ",B1141="ISO",B1141="A1",B1141="A2",B1141="A3",B1141="AE",B1141="A2/3",B1141="A3/4",B1141="C1",B1141="C2",B1141="C3",B1141="CE",B1141="C2/3",B1141="C3/4"),I1141,J1141)))</f>
        <v>-</v>
      </c>
      <c r="H1141" s="20">
        <f t="shared" ref="H1141:H1174" si="101">ROUND(C1141*D1141*E1141/10^6,3)</f>
        <v>0</v>
      </c>
      <c r="I1141" s="20" t="str">
        <f t="shared" ref="I1141:I1174" si="102">IF(F1141="","-",ROUND((E1141+F1141)*C1141/2*D1141/10^6,3))</f>
        <v>-</v>
      </c>
      <c r="J1141" s="20" t="str">
        <f t="shared" ref="J1141:J1174" si="103">IF(F1141="","-",ROUND((D1141+E1141)*C1141/2*F1141/10^6,3))</f>
        <v>-</v>
      </c>
      <c r="K1141" s="75"/>
      <c r="L1141" s="780"/>
      <c r="M1141" s="20"/>
      <c r="N1141" s="20"/>
      <c r="O1141" s="20"/>
      <c r="P1141" s="20"/>
      <c r="Q1141" s="21"/>
      <c r="R1141" s="22"/>
      <c r="S1141" s="22"/>
      <c r="T1141" s="20"/>
      <c r="U1141" s="22"/>
      <c r="V1141" s="20"/>
    </row>
    <row r="1142" spans="1:22" ht="14.4">
      <c r="A1142" s="399" t="s">
        <v>1606</v>
      </c>
      <c r="B1142" s="2" t="s">
        <v>78</v>
      </c>
      <c r="C1142" s="408">
        <v>180</v>
      </c>
      <c r="D1142" s="417">
        <v>300</v>
      </c>
      <c r="E1142" s="408">
        <v>78</v>
      </c>
      <c r="F1142" s="408">
        <v>65</v>
      </c>
      <c r="G1142" s="21">
        <f t="shared" si="95"/>
        <v>3.8610000000000002</v>
      </c>
      <c r="H1142" s="20">
        <f t="shared" si="101"/>
        <v>4.2119999999999997</v>
      </c>
      <c r="I1142" s="20">
        <f t="shared" si="102"/>
        <v>3.8610000000000002</v>
      </c>
      <c r="J1142" s="20">
        <f t="shared" si="103"/>
        <v>2.2109999999999999</v>
      </c>
      <c r="K1142" s="75"/>
      <c r="L1142" s="780"/>
      <c r="M1142" s="20"/>
      <c r="N1142" s="20"/>
      <c r="O1142" s="20"/>
      <c r="P1142" s="20"/>
      <c r="Q1142" s="21"/>
      <c r="R1142" s="22"/>
      <c r="S1142" s="22"/>
      <c r="T1142" s="20"/>
      <c r="U1142" s="22"/>
      <c r="V1142" s="20"/>
    </row>
    <row r="1143" spans="1:22" ht="14.4">
      <c r="A1143" s="399" t="s">
        <v>1607</v>
      </c>
      <c r="B1143" s="2" t="s">
        <v>78</v>
      </c>
      <c r="C1143" s="408">
        <v>180</v>
      </c>
      <c r="D1143" s="417">
        <v>300</v>
      </c>
      <c r="E1143" s="408">
        <v>76.5</v>
      </c>
      <c r="F1143" s="408">
        <v>66.5</v>
      </c>
      <c r="G1143" s="21">
        <f t="shared" si="95"/>
        <v>3.8610000000000002</v>
      </c>
      <c r="H1143" s="20">
        <f t="shared" si="101"/>
        <v>4.1310000000000002</v>
      </c>
      <c r="I1143" s="20">
        <f t="shared" si="102"/>
        <v>3.8610000000000002</v>
      </c>
      <c r="J1143" s="20">
        <f t="shared" si="103"/>
        <v>2.2530000000000001</v>
      </c>
      <c r="K1143" s="75"/>
      <c r="L1143" s="780"/>
      <c r="M1143" s="20"/>
      <c r="N1143" s="20"/>
      <c r="O1143" s="20"/>
      <c r="P1143" s="20"/>
      <c r="Q1143" s="21"/>
      <c r="R1143" s="22"/>
      <c r="S1143" s="22"/>
      <c r="T1143" s="20"/>
      <c r="U1143" s="22"/>
      <c r="V1143" s="20"/>
    </row>
    <row r="1144" spans="1:22" ht="14.4">
      <c r="A1144" s="399" t="s">
        <v>1608</v>
      </c>
      <c r="B1144" s="2" t="s">
        <v>78</v>
      </c>
      <c r="C1144" s="408">
        <v>180</v>
      </c>
      <c r="D1144" s="417">
        <v>300</v>
      </c>
      <c r="E1144" s="408">
        <v>75</v>
      </c>
      <c r="F1144" s="408">
        <v>68</v>
      </c>
      <c r="G1144" s="21">
        <f t="shared" si="95"/>
        <v>3.8610000000000002</v>
      </c>
      <c r="H1144" s="20">
        <f t="shared" si="101"/>
        <v>4.05</v>
      </c>
      <c r="I1144" s="20">
        <f t="shared" si="102"/>
        <v>3.8610000000000002</v>
      </c>
      <c r="J1144" s="20">
        <f t="shared" si="103"/>
        <v>2.2949999999999999</v>
      </c>
      <c r="K1144" s="75"/>
      <c r="L1144" s="780"/>
      <c r="M1144" s="20"/>
      <c r="N1144" s="20"/>
      <c r="O1144" s="20"/>
      <c r="P1144" s="20"/>
      <c r="Q1144" s="21"/>
      <c r="R1144" s="22"/>
      <c r="S1144" s="22"/>
      <c r="T1144" s="20"/>
      <c r="U1144" s="22"/>
      <c r="V1144" s="20"/>
    </row>
    <row r="1145" spans="1:22" ht="14.4">
      <c r="A1145" s="399" t="s">
        <v>1609</v>
      </c>
      <c r="B1145" s="2" t="s">
        <v>78</v>
      </c>
      <c r="C1145" s="408">
        <v>180</v>
      </c>
      <c r="D1145" s="417">
        <v>300</v>
      </c>
      <c r="E1145" s="408">
        <v>74</v>
      </c>
      <c r="F1145" s="408">
        <v>69</v>
      </c>
      <c r="G1145" s="21">
        <f t="shared" si="95"/>
        <v>3.8610000000000002</v>
      </c>
      <c r="H1145" s="20">
        <f t="shared" si="101"/>
        <v>3.996</v>
      </c>
      <c r="I1145" s="20">
        <f t="shared" si="102"/>
        <v>3.8610000000000002</v>
      </c>
      <c r="J1145" s="20">
        <f t="shared" si="103"/>
        <v>2.323</v>
      </c>
      <c r="K1145" s="75"/>
      <c r="L1145" s="780"/>
      <c r="M1145" s="20"/>
      <c r="N1145" s="20"/>
      <c r="O1145" s="20"/>
      <c r="P1145" s="20"/>
      <c r="Q1145" s="21"/>
      <c r="R1145" s="22"/>
      <c r="S1145" s="22"/>
      <c r="T1145" s="20"/>
      <c r="U1145" s="22"/>
      <c r="V1145" s="20"/>
    </row>
    <row r="1146" spans="1:22" ht="14.4">
      <c r="A1146" s="403" t="s">
        <v>1610</v>
      </c>
      <c r="B1146" s="2" t="s">
        <v>78</v>
      </c>
      <c r="C1146" s="409">
        <v>200</v>
      </c>
      <c r="D1146" s="419">
        <v>300</v>
      </c>
      <c r="E1146" s="409">
        <v>78</v>
      </c>
      <c r="F1146" s="409">
        <v>65</v>
      </c>
      <c r="G1146" s="21">
        <f t="shared" si="95"/>
        <v>4.29</v>
      </c>
      <c r="H1146" s="20">
        <f t="shared" si="101"/>
        <v>4.68</v>
      </c>
      <c r="I1146" s="20">
        <f t="shared" si="102"/>
        <v>4.29</v>
      </c>
      <c r="J1146" s="20">
        <f t="shared" si="103"/>
        <v>2.4569999999999999</v>
      </c>
      <c r="K1146" s="75"/>
      <c r="L1146" s="780"/>
      <c r="M1146" s="20"/>
      <c r="N1146" s="20"/>
      <c r="O1146" s="20"/>
      <c r="P1146" s="20"/>
      <c r="Q1146" s="21"/>
      <c r="R1146" s="22"/>
      <c r="S1146" s="22"/>
      <c r="T1146" s="20"/>
      <c r="U1146" s="22"/>
      <c r="V1146" s="20"/>
    </row>
    <row r="1147" spans="1:22" ht="14.4">
      <c r="A1147" s="403" t="s">
        <v>1611</v>
      </c>
      <c r="B1147" s="2" t="s">
        <v>78</v>
      </c>
      <c r="C1147" s="409">
        <v>200</v>
      </c>
      <c r="D1147" s="419">
        <v>300</v>
      </c>
      <c r="E1147" s="409">
        <v>76.5</v>
      </c>
      <c r="F1147" s="409">
        <v>66.5</v>
      </c>
      <c r="G1147" s="21">
        <f t="shared" si="95"/>
        <v>4.29</v>
      </c>
      <c r="H1147" s="20">
        <f t="shared" si="101"/>
        <v>4.59</v>
      </c>
      <c r="I1147" s="20">
        <f t="shared" si="102"/>
        <v>4.29</v>
      </c>
      <c r="J1147" s="20">
        <f t="shared" si="103"/>
        <v>2.504</v>
      </c>
      <c r="K1147" s="75"/>
      <c r="L1147" s="780"/>
      <c r="M1147" s="20"/>
      <c r="N1147" s="20"/>
      <c r="O1147" s="20"/>
      <c r="P1147" s="20"/>
      <c r="Q1147" s="21"/>
      <c r="R1147" s="22"/>
      <c r="S1147" s="22"/>
      <c r="T1147" s="20"/>
      <c r="U1147" s="22"/>
      <c r="V1147" s="20"/>
    </row>
    <row r="1148" spans="1:22" ht="14.4">
      <c r="A1148" s="403" t="s">
        <v>1612</v>
      </c>
      <c r="B1148" s="2" t="s">
        <v>78</v>
      </c>
      <c r="C1148" s="409">
        <v>200</v>
      </c>
      <c r="D1148" s="419">
        <v>300</v>
      </c>
      <c r="E1148" s="409">
        <v>75</v>
      </c>
      <c r="F1148" s="409">
        <v>68</v>
      </c>
      <c r="G1148" s="21">
        <f t="shared" si="95"/>
        <v>4.29</v>
      </c>
      <c r="H1148" s="20">
        <f t="shared" si="101"/>
        <v>4.5</v>
      </c>
      <c r="I1148" s="20">
        <f t="shared" si="102"/>
        <v>4.29</v>
      </c>
      <c r="J1148" s="20">
        <f t="shared" si="103"/>
        <v>2.5499999999999998</v>
      </c>
      <c r="K1148" s="75"/>
      <c r="L1148" s="780"/>
      <c r="M1148" s="20"/>
      <c r="N1148" s="20"/>
      <c r="O1148" s="20"/>
      <c r="P1148" s="20"/>
      <c r="Q1148" s="21"/>
      <c r="R1148" s="22"/>
      <c r="S1148" s="22"/>
      <c r="T1148" s="20"/>
      <c r="U1148" s="22"/>
      <c r="V1148" s="20"/>
    </row>
    <row r="1149" spans="1:22" ht="14.4">
      <c r="A1149" s="403" t="s">
        <v>1613</v>
      </c>
      <c r="B1149" s="2" t="s">
        <v>78</v>
      </c>
      <c r="C1149" s="409">
        <v>200</v>
      </c>
      <c r="D1149" s="419">
        <v>300</v>
      </c>
      <c r="E1149" s="409">
        <v>74.5</v>
      </c>
      <c r="F1149" s="409">
        <v>68.5</v>
      </c>
      <c r="G1149" s="21">
        <f t="shared" si="95"/>
        <v>4.29</v>
      </c>
      <c r="H1149" s="20">
        <f t="shared" si="101"/>
        <v>4.47</v>
      </c>
      <c r="I1149" s="20">
        <f t="shared" si="102"/>
        <v>4.29</v>
      </c>
      <c r="J1149" s="20">
        <f t="shared" si="103"/>
        <v>2.5649999999999999</v>
      </c>
      <c r="K1149" s="75"/>
      <c r="L1149" s="780"/>
      <c r="M1149" s="20"/>
      <c r="N1149" s="20"/>
      <c r="O1149" s="20"/>
      <c r="P1149" s="20"/>
      <c r="Q1149" s="21"/>
      <c r="R1149" s="22"/>
      <c r="S1149" s="22"/>
      <c r="T1149" s="20"/>
      <c r="U1149" s="22"/>
      <c r="V1149" s="20"/>
    </row>
    <row r="1150" spans="1:22" ht="14.4">
      <c r="A1150" s="403" t="s">
        <v>1614</v>
      </c>
      <c r="B1150" s="2" t="s">
        <v>78</v>
      </c>
      <c r="C1150" s="409">
        <v>200</v>
      </c>
      <c r="D1150" s="419">
        <v>300</v>
      </c>
      <c r="E1150" s="409">
        <v>74</v>
      </c>
      <c r="F1150" s="409">
        <v>69</v>
      </c>
      <c r="G1150" s="21">
        <f t="shared" si="95"/>
        <v>4.29</v>
      </c>
      <c r="H1150" s="20">
        <f t="shared" si="101"/>
        <v>4.4400000000000004</v>
      </c>
      <c r="I1150" s="20">
        <f t="shared" si="102"/>
        <v>4.29</v>
      </c>
      <c r="J1150" s="20">
        <f t="shared" si="103"/>
        <v>2.581</v>
      </c>
      <c r="K1150" s="75"/>
      <c r="L1150" s="780"/>
      <c r="M1150" s="20"/>
      <c r="N1150" s="20"/>
      <c r="O1150" s="20"/>
      <c r="P1150" s="20"/>
      <c r="Q1150" s="21"/>
      <c r="R1150" s="22"/>
      <c r="S1150" s="22"/>
      <c r="T1150" s="20"/>
      <c r="U1150" s="22"/>
      <c r="V1150" s="20"/>
    </row>
    <row r="1151" spans="1:22" ht="14.4">
      <c r="A1151" s="403" t="s">
        <v>1615</v>
      </c>
      <c r="B1151" s="2" t="s">
        <v>78</v>
      </c>
      <c r="C1151" s="409">
        <v>200</v>
      </c>
      <c r="D1151" s="419">
        <v>300</v>
      </c>
      <c r="E1151" s="409">
        <v>73.5</v>
      </c>
      <c r="F1151" s="409">
        <v>69.5</v>
      </c>
      <c r="G1151" s="21">
        <f t="shared" si="95"/>
        <v>4.29</v>
      </c>
      <c r="H1151" s="20">
        <f t="shared" si="101"/>
        <v>4.41</v>
      </c>
      <c r="I1151" s="20">
        <f t="shared" si="102"/>
        <v>4.29</v>
      </c>
      <c r="J1151" s="20">
        <f t="shared" si="103"/>
        <v>2.5960000000000001</v>
      </c>
      <c r="K1151" s="75"/>
      <c r="L1151" s="780"/>
      <c r="M1151" s="20"/>
      <c r="N1151" s="20"/>
      <c r="O1151" s="20"/>
      <c r="P1151" s="20"/>
      <c r="Q1151" s="21"/>
      <c r="R1151" s="22"/>
      <c r="S1151" s="22"/>
      <c r="T1151" s="20"/>
      <c r="U1151" s="22"/>
      <c r="V1151" s="20"/>
    </row>
    <row r="1152" spans="1:22" ht="14.4">
      <c r="A1152" s="402" t="s">
        <v>1616</v>
      </c>
      <c r="B1152" s="2" t="s">
        <v>78</v>
      </c>
      <c r="C1152" s="413">
        <v>220</v>
      </c>
      <c r="D1152" s="420">
        <v>300</v>
      </c>
      <c r="E1152" s="413">
        <v>78</v>
      </c>
      <c r="F1152" s="413">
        <v>65</v>
      </c>
      <c r="G1152" s="21">
        <f t="shared" si="95"/>
        <v>4.7190000000000003</v>
      </c>
      <c r="H1152" s="20">
        <f t="shared" si="101"/>
        <v>5.1479999999999997</v>
      </c>
      <c r="I1152" s="20">
        <f t="shared" si="102"/>
        <v>4.7190000000000003</v>
      </c>
      <c r="J1152" s="20">
        <f t="shared" si="103"/>
        <v>2.7029999999999998</v>
      </c>
      <c r="K1152" s="75"/>
      <c r="L1152" s="780"/>
      <c r="M1152" s="20"/>
      <c r="N1152" s="20"/>
      <c r="O1152" s="20"/>
      <c r="P1152" s="20"/>
      <c r="Q1152" s="21"/>
      <c r="R1152" s="22"/>
      <c r="S1152" s="22"/>
      <c r="T1152" s="20"/>
      <c r="U1152" s="22"/>
      <c r="V1152" s="20"/>
    </row>
    <row r="1153" spans="1:22" ht="14.4">
      <c r="A1153" s="402" t="s">
        <v>1617</v>
      </c>
      <c r="B1153" s="2" t="s">
        <v>78</v>
      </c>
      <c r="C1153" s="413">
        <v>220</v>
      </c>
      <c r="D1153" s="420">
        <v>300</v>
      </c>
      <c r="E1153" s="413">
        <v>76.5</v>
      </c>
      <c r="F1153" s="413">
        <v>66.5</v>
      </c>
      <c r="G1153" s="21">
        <f t="shared" si="95"/>
        <v>4.7190000000000003</v>
      </c>
      <c r="H1153" s="20">
        <f t="shared" si="101"/>
        <v>5.0490000000000004</v>
      </c>
      <c r="I1153" s="20">
        <f t="shared" si="102"/>
        <v>4.7190000000000003</v>
      </c>
      <c r="J1153" s="20">
        <f t="shared" si="103"/>
        <v>2.754</v>
      </c>
      <c r="K1153" s="75"/>
      <c r="L1153" s="780"/>
      <c r="M1153" s="20"/>
      <c r="N1153" s="20"/>
      <c r="O1153" s="20"/>
      <c r="P1153" s="20"/>
      <c r="Q1153" s="21"/>
      <c r="R1153" s="22"/>
      <c r="S1153" s="22"/>
      <c r="T1153" s="20"/>
      <c r="U1153" s="22"/>
      <c r="V1153" s="20"/>
    </row>
    <row r="1154" spans="1:22" ht="14.4">
      <c r="A1154" s="402" t="s">
        <v>1618</v>
      </c>
      <c r="B1154" s="2" t="s">
        <v>78</v>
      </c>
      <c r="C1154" s="413">
        <v>220</v>
      </c>
      <c r="D1154" s="420">
        <v>300</v>
      </c>
      <c r="E1154" s="413">
        <v>75</v>
      </c>
      <c r="F1154" s="413">
        <v>68</v>
      </c>
      <c r="G1154" s="21">
        <f t="shared" si="95"/>
        <v>4.7190000000000003</v>
      </c>
      <c r="H1154" s="20">
        <f t="shared" si="101"/>
        <v>4.95</v>
      </c>
      <c r="I1154" s="20">
        <f t="shared" si="102"/>
        <v>4.7190000000000003</v>
      </c>
      <c r="J1154" s="20">
        <f t="shared" si="103"/>
        <v>2.8050000000000002</v>
      </c>
      <c r="K1154" s="75"/>
      <c r="L1154" s="780"/>
      <c r="M1154" s="20"/>
      <c r="N1154" s="20"/>
      <c r="O1154" s="20"/>
      <c r="P1154" s="20"/>
      <c r="Q1154" s="21"/>
      <c r="R1154" s="22"/>
      <c r="S1154" s="22"/>
      <c r="T1154" s="20"/>
      <c r="U1154" s="22"/>
      <c r="V1154" s="20"/>
    </row>
    <row r="1155" spans="1:22" ht="14.4">
      <c r="A1155" s="402" t="s">
        <v>1619</v>
      </c>
      <c r="B1155" s="2" t="s">
        <v>78</v>
      </c>
      <c r="C1155" s="413">
        <v>220</v>
      </c>
      <c r="D1155" s="420">
        <v>300</v>
      </c>
      <c r="E1155" s="413">
        <v>74.5</v>
      </c>
      <c r="F1155" s="413">
        <v>68.5</v>
      </c>
      <c r="G1155" s="21">
        <f t="shared" si="95"/>
        <v>4.7190000000000003</v>
      </c>
      <c r="H1155" s="20">
        <f t="shared" si="101"/>
        <v>4.9169999999999998</v>
      </c>
      <c r="I1155" s="20">
        <f t="shared" si="102"/>
        <v>4.7190000000000003</v>
      </c>
      <c r="J1155" s="20">
        <f t="shared" si="103"/>
        <v>2.8220000000000001</v>
      </c>
      <c r="K1155" s="75"/>
      <c r="L1155" s="780"/>
      <c r="M1155" s="20"/>
      <c r="N1155" s="20"/>
      <c r="O1155" s="20"/>
      <c r="P1155" s="20"/>
      <c r="Q1155" s="21"/>
      <c r="R1155" s="22"/>
      <c r="S1155" s="22"/>
      <c r="T1155" s="20"/>
      <c r="U1155" s="22"/>
      <c r="V1155" s="20"/>
    </row>
    <row r="1156" spans="1:22" ht="14.4">
      <c r="A1156" s="402" t="s">
        <v>1620</v>
      </c>
      <c r="B1156" s="2" t="s">
        <v>78</v>
      </c>
      <c r="C1156" s="413">
        <v>220</v>
      </c>
      <c r="D1156" s="420">
        <v>300</v>
      </c>
      <c r="E1156" s="413">
        <v>74</v>
      </c>
      <c r="F1156" s="413">
        <v>69</v>
      </c>
      <c r="G1156" s="21">
        <f t="shared" si="95"/>
        <v>4.7190000000000003</v>
      </c>
      <c r="H1156" s="20">
        <f t="shared" si="101"/>
        <v>4.8840000000000003</v>
      </c>
      <c r="I1156" s="20">
        <f t="shared" si="102"/>
        <v>4.7190000000000003</v>
      </c>
      <c r="J1156" s="20">
        <f t="shared" si="103"/>
        <v>2.839</v>
      </c>
      <c r="K1156" s="75"/>
      <c r="L1156" s="780"/>
      <c r="M1156" s="20"/>
      <c r="N1156" s="20"/>
      <c r="O1156" s="20"/>
      <c r="P1156" s="20"/>
      <c r="Q1156" s="21"/>
      <c r="R1156" s="22"/>
      <c r="S1156" s="22"/>
      <c r="T1156" s="20"/>
      <c r="U1156" s="22"/>
      <c r="V1156" s="20"/>
    </row>
    <row r="1157" spans="1:22" ht="14.4">
      <c r="A1157" s="402" t="s">
        <v>1621</v>
      </c>
      <c r="B1157" s="2" t="s">
        <v>78</v>
      </c>
      <c r="C1157" s="413">
        <v>220</v>
      </c>
      <c r="D1157" s="420">
        <v>300</v>
      </c>
      <c r="E1157" s="413">
        <v>73.5</v>
      </c>
      <c r="F1157" s="413">
        <v>69.5</v>
      </c>
      <c r="G1157" s="21">
        <f t="shared" si="95"/>
        <v>4.7190000000000003</v>
      </c>
      <c r="H1157" s="20">
        <f t="shared" si="101"/>
        <v>4.851</v>
      </c>
      <c r="I1157" s="20">
        <f t="shared" si="102"/>
        <v>4.7190000000000003</v>
      </c>
      <c r="J1157" s="20">
        <f t="shared" si="103"/>
        <v>2.855</v>
      </c>
      <c r="K1157" s="75"/>
      <c r="L1157" s="780"/>
      <c r="M1157" s="20"/>
      <c r="N1157" s="20"/>
      <c r="O1157" s="20"/>
      <c r="P1157" s="20"/>
      <c r="Q1157" s="21"/>
      <c r="R1157" s="22"/>
      <c r="S1157" s="22"/>
      <c r="T1157" s="20"/>
      <c r="U1157" s="22"/>
      <c r="V1157" s="20"/>
    </row>
    <row r="1158" spans="1:22" ht="14.4">
      <c r="A1158" s="404" t="s">
        <v>1622</v>
      </c>
      <c r="B1158" s="2" t="s">
        <v>78</v>
      </c>
      <c r="C1158" s="414">
        <v>250</v>
      </c>
      <c r="D1158" s="422">
        <v>300</v>
      </c>
      <c r="E1158" s="414">
        <v>82</v>
      </c>
      <c r="F1158" s="414">
        <v>61</v>
      </c>
      <c r="G1158" s="21">
        <f t="shared" si="95"/>
        <v>5.3624999999999998</v>
      </c>
      <c r="H1158" s="20">
        <f t="shared" si="101"/>
        <v>6.15</v>
      </c>
      <c r="I1158" s="20">
        <f t="shared" si="102"/>
        <v>5.3630000000000004</v>
      </c>
      <c r="J1158" s="20">
        <f t="shared" si="103"/>
        <v>2.9129999999999998</v>
      </c>
      <c r="K1158" s="75"/>
      <c r="L1158" s="780"/>
      <c r="M1158" s="20"/>
      <c r="N1158" s="20"/>
      <c r="O1158" s="20"/>
      <c r="P1158" s="20"/>
      <c r="Q1158" s="21"/>
      <c r="R1158" s="22"/>
      <c r="S1158" s="22"/>
      <c r="T1158" s="20"/>
      <c r="U1158" s="22"/>
      <c r="V1158" s="20"/>
    </row>
    <row r="1159" spans="1:22" ht="14.4">
      <c r="A1159" s="404" t="s">
        <v>1623</v>
      </c>
      <c r="B1159" s="2" t="s">
        <v>78</v>
      </c>
      <c r="C1159" s="414">
        <v>250</v>
      </c>
      <c r="D1159" s="422">
        <v>300</v>
      </c>
      <c r="E1159" s="414">
        <v>78</v>
      </c>
      <c r="F1159" s="414">
        <v>65</v>
      </c>
      <c r="G1159" s="21">
        <f t="shared" si="95"/>
        <v>5.3624999999999998</v>
      </c>
      <c r="H1159" s="20">
        <f t="shared" si="101"/>
        <v>5.85</v>
      </c>
      <c r="I1159" s="20">
        <f t="shared" si="102"/>
        <v>5.3630000000000004</v>
      </c>
      <c r="J1159" s="20">
        <f t="shared" si="103"/>
        <v>3.0710000000000002</v>
      </c>
      <c r="K1159" s="75"/>
      <c r="L1159" s="780"/>
      <c r="M1159" s="20"/>
      <c r="N1159" s="20"/>
      <c r="O1159" s="20"/>
      <c r="P1159" s="20"/>
      <c r="Q1159" s="21"/>
      <c r="R1159" s="22"/>
      <c r="S1159" s="22"/>
      <c r="T1159" s="20"/>
      <c r="U1159" s="22"/>
      <c r="V1159" s="20"/>
    </row>
    <row r="1160" spans="1:22" ht="14.4">
      <c r="A1160" s="404" t="s">
        <v>1624</v>
      </c>
      <c r="B1160" s="2" t="s">
        <v>78</v>
      </c>
      <c r="C1160" s="414">
        <v>250</v>
      </c>
      <c r="D1160" s="422">
        <v>300</v>
      </c>
      <c r="E1160" s="414">
        <v>76.5</v>
      </c>
      <c r="F1160" s="414">
        <v>66.5</v>
      </c>
      <c r="G1160" s="21">
        <f t="shared" si="95"/>
        <v>5.3624999999999998</v>
      </c>
      <c r="H1160" s="20">
        <f t="shared" si="101"/>
        <v>5.7380000000000004</v>
      </c>
      <c r="I1160" s="20">
        <f t="shared" si="102"/>
        <v>5.3630000000000004</v>
      </c>
      <c r="J1160" s="20">
        <f t="shared" si="103"/>
        <v>3.13</v>
      </c>
      <c r="K1160" s="75"/>
      <c r="L1160" s="780"/>
      <c r="M1160" s="20"/>
      <c r="N1160" s="20"/>
      <c r="O1160" s="20"/>
      <c r="P1160" s="20"/>
      <c r="Q1160" s="21"/>
      <c r="R1160" s="22"/>
      <c r="S1160" s="22"/>
      <c r="T1160" s="20"/>
      <c r="U1160" s="22"/>
      <c r="V1160" s="20"/>
    </row>
    <row r="1161" spans="1:22" ht="14.4">
      <c r="A1161" s="404" t="s">
        <v>1625</v>
      </c>
      <c r="B1161" s="2" t="s">
        <v>78</v>
      </c>
      <c r="C1161" s="414">
        <v>250</v>
      </c>
      <c r="D1161" s="422">
        <v>300</v>
      </c>
      <c r="E1161" s="414">
        <v>74.5</v>
      </c>
      <c r="F1161" s="414">
        <v>68.5</v>
      </c>
      <c r="G1161" s="21">
        <f t="shared" si="95"/>
        <v>5.3624999999999998</v>
      </c>
      <c r="H1161" s="20">
        <f t="shared" si="101"/>
        <v>5.5880000000000001</v>
      </c>
      <c r="I1161" s="20">
        <f t="shared" si="102"/>
        <v>5.3630000000000004</v>
      </c>
      <c r="J1161" s="20">
        <f t="shared" si="103"/>
        <v>3.2069999999999999</v>
      </c>
      <c r="K1161" s="75"/>
      <c r="L1161" s="780"/>
      <c r="M1161" s="20"/>
      <c r="N1161" s="20"/>
      <c r="O1161" s="20"/>
      <c r="P1161" s="20"/>
      <c r="Q1161" s="21"/>
      <c r="R1161" s="22"/>
      <c r="S1161" s="22"/>
      <c r="T1161" s="20"/>
      <c r="U1161" s="22"/>
      <c r="V1161" s="20"/>
    </row>
    <row r="1162" spans="1:22" ht="14.4">
      <c r="A1162" s="404" t="s">
        <v>1626</v>
      </c>
      <c r="B1162" s="2" t="s">
        <v>78</v>
      </c>
      <c r="C1162" s="414">
        <v>250</v>
      </c>
      <c r="D1162" s="422">
        <v>300</v>
      </c>
      <c r="E1162" s="414">
        <v>74</v>
      </c>
      <c r="F1162" s="414">
        <v>69</v>
      </c>
      <c r="G1162" s="21">
        <f t="shared" si="95"/>
        <v>5.3624999999999998</v>
      </c>
      <c r="H1162" s="20">
        <f t="shared" si="101"/>
        <v>5.55</v>
      </c>
      <c r="I1162" s="20">
        <f t="shared" si="102"/>
        <v>5.3630000000000004</v>
      </c>
      <c r="J1162" s="20">
        <f t="shared" si="103"/>
        <v>3.226</v>
      </c>
      <c r="K1162" s="75"/>
      <c r="L1162" s="780"/>
      <c r="M1162" s="20"/>
      <c r="N1162" s="20"/>
      <c r="O1162" s="20"/>
      <c r="P1162" s="20"/>
      <c r="Q1162" s="21"/>
      <c r="R1162" s="22"/>
      <c r="S1162" s="22"/>
      <c r="T1162" s="20"/>
      <c r="U1162" s="22"/>
      <c r="V1162" s="20"/>
    </row>
    <row r="1163" spans="1:22" ht="14.4">
      <c r="A1163" s="404" t="s">
        <v>1627</v>
      </c>
      <c r="B1163" s="2" t="s">
        <v>78</v>
      </c>
      <c r="C1163" s="414">
        <v>250</v>
      </c>
      <c r="D1163" s="422">
        <v>300</v>
      </c>
      <c r="E1163" s="414">
        <v>73.5</v>
      </c>
      <c r="F1163" s="414">
        <v>69.5</v>
      </c>
      <c r="G1163" s="21">
        <f t="shared" si="95"/>
        <v>5.3624999999999998</v>
      </c>
      <c r="H1163" s="20">
        <f t="shared" si="101"/>
        <v>5.5129999999999999</v>
      </c>
      <c r="I1163" s="20">
        <f t="shared" si="102"/>
        <v>5.3630000000000004</v>
      </c>
      <c r="J1163" s="20">
        <f t="shared" si="103"/>
        <v>3.2450000000000001</v>
      </c>
      <c r="K1163" s="75"/>
      <c r="L1163" s="780"/>
      <c r="M1163" s="20"/>
      <c r="N1163" s="20"/>
      <c r="O1163" s="20"/>
      <c r="P1163" s="20"/>
      <c r="Q1163" s="21"/>
      <c r="R1163" s="22"/>
      <c r="S1163" s="22"/>
      <c r="T1163" s="20"/>
      <c r="U1163" s="22"/>
      <c r="V1163" s="20"/>
    </row>
    <row r="1164" spans="1:22">
      <c r="A1164" s="76"/>
      <c r="B1164" s="2" t="s">
        <v>78</v>
      </c>
      <c r="G1164" s="21" t="str">
        <f t="shared" si="100"/>
        <v>-</v>
      </c>
      <c r="H1164" s="20">
        <f t="shared" si="101"/>
        <v>0</v>
      </c>
      <c r="I1164" s="20" t="str">
        <f t="shared" si="102"/>
        <v>-</v>
      </c>
      <c r="J1164" s="20" t="str">
        <f t="shared" si="103"/>
        <v>-</v>
      </c>
      <c r="K1164" s="75"/>
      <c r="L1164" s="780"/>
      <c r="M1164" s="20"/>
      <c r="N1164" s="20"/>
      <c r="O1164" s="20"/>
      <c r="P1164" s="20"/>
      <c r="Q1164" s="21"/>
      <c r="R1164" s="22"/>
      <c r="S1164" s="22"/>
      <c r="T1164" s="20"/>
      <c r="U1164" s="22"/>
      <c r="V1164" s="20"/>
    </row>
    <row r="1165" spans="1:22" ht="14.4">
      <c r="A1165" s="403" t="s">
        <v>1628</v>
      </c>
      <c r="B1165" s="2" t="s">
        <v>78</v>
      </c>
      <c r="C1165" s="409">
        <v>200</v>
      </c>
      <c r="D1165" s="419">
        <v>250</v>
      </c>
      <c r="E1165" s="409">
        <v>78</v>
      </c>
      <c r="F1165" s="409">
        <v>65</v>
      </c>
      <c r="G1165" s="21">
        <f t="shared" si="95"/>
        <v>3.5750000000000002</v>
      </c>
      <c r="H1165" s="20">
        <f t="shared" si="101"/>
        <v>3.9</v>
      </c>
      <c r="I1165" s="20">
        <f t="shared" si="102"/>
        <v>3.5750000000000002</v>
      </c>
      <c r="J1165" s="20">
        <f t="shared" si="103"/>
        <v>2.1320000000000001</v>
      </c>
      <c r="K1165" s="75"/>
      <c r="L1165" s="780"/>
      <c r="M1165" s="20"/>
      <c r="N1165" s="20"/>
      <c r="O1165" s="20"/>
      <c r="P1165" s="20"/>
      <c r="Q1165" s="21"/>
      <c r="R1165" s="22"/>
      <c r="S1165" s="22"/>
      <c r="T1165" s="20"/>
      <c r="U1165" s="22"/>
      <c r="V1165" s="20"/>
    </row>
    <row r="1166" spans="1:22" ht="14.4">
      <c r="A1166" s="403" t="s">
        <v>1629</v>
      </c>
      <c r="B1166" s="2" t="s">
        <v>78</v>
      </c>
      <c r="C1166" s="409">
        <v>200</v>
      </c>
      <c r="D1166" s="419">
        <v>250</v>
      </c>
      <c r="E1166" s="409">
        <v>76.5</v>
      </c>
      <c r="F1166" s="409">
        <v>66.5</v>
      </c>
      <c r="G1166" s="21">
        <f t="shared" si="95"/>
        <v>3.5750000000000002</v>
      </c>
      <c r="H1166" s="20">
        <f t="shared" si="101"/>
        <v>3.8250000000000002</v>
      </c>
      <c r="I1166" s="20">
        <f t="shared" si="102"/>
        <v>3.5750000000000002</v>
      </c>
      <c r="J1166" s="20">
        <f t="shared" si="103"/>
        <v>2.1709999999999998</v>
      </c>
      <c r="K1166" s="75"/>
      <c r="L1166" s="780"/>
      <c r="M1166" s="20"/>
      <c r="N1166" s="20"/>
      <c r="O1166" s="20"/>
      <c r="P1166" s="20"/>
      <c r="Q1166" s="21"/>
      <c r="R1166" s="22"/>
      <c r="S1166" s="22"/>
      <c r="T1166" s="20"/>
      <c r="U1166" s="22"/>
      <c r="V1166" s="20"/>
    </row>
    <row r="1167" spans="1:22" ht="14.4">
      <c r="A1167" s="403" t="s">
        <v>1630</v>
      </c>
      <c r="B1167" s="2" t="s">
        <v>78</v>
      </c>
      <c r="C1167" s="409">
        <v>200</v>
      </c>
      <c r="D1167" s="419">
        <v>250</v>
      </c>
      <c r="E1167" s="409">
        <v>75</v>
      </c>
      <c r="F1167" s="409">
        <v>68</v>
      </c>
      <c r="G1167" s="21">
        <f t="shared" si="95"/>
        <v>3.5750000000000002</v>
      </c>
      <c r="H1167" s="20">
        <f t="shared" si="101"/>
        <v>3.75</v>
      </c>
      <c r="I1167" s="20">
        <f t="shared" si="102"/>
        <v>3.5750000000000002</v>
      </c>
      <c r="J1167" s="20">
        <f t="shared" si="103"/>
        <v>2.21</v>
      </c>
      <c r="K1167" s="75"/>
      <c r="L1167" s="780"/>
      <c r="M1167" s="20"/>
      <c r="N1167" s="20"/>
      <c r="O1167" s="20"/>
      <c r="P1167" s="20"/>
      <c r="Q1167" s="21"/>
      <c r="R1167" s="22"/>
      <c r="S1167" s="22"/>
      <c r="T1167" s="20"/>
      <c r="U1167" s="22"/>
      <c r="V1167" s="20"/>
    </row>
    <row r="1168" spans="1:22" ht="14.4">
      <c r="A1168" s="403" t="s">
        <v>1631</v>
      </c>
      <c r="B1168" s="2" t="s">
        <v>78</v>
      </c>
      <c r="C1168" s="409">
        <v>200</v>
      </c>
      <c r="D1168" s="419">
        <v>250</v>
      </c>
      <c r="E1168" s="409">
        <v>74</v>
      </c>
      <c r="F1168" s="409">
        <v>69</v>
      </c>
      <c r="G1168" s="21">
        <f t="shared" si="95"/>
        <v>3.5750000000000002</v>
      </c>
      <c r="H1168" s="20">
        <f t="shared" si="101"/>
        <v>3.7</v>
      </c>
      <c r="I1168" s="20">
        <f t="shared" si="102"/>
        <v>3.5750000000000002</v>
      </c>
      <c r="J1168" s="20">
        <f t="shared" si="103"/>
        <v>2.2360000000000002</v>
      </c>
      <c r="K1168" s="75"/>
      <c r="L1168" s="780"/>
      <c r="M1168" s="20"/>
      <c r="N1168" s="20"/>
      <c r="O1168" s="20"/>
      <c r="P1168" s="20"/>
      <c r="Q1168" s="21"/>
      <c r="R1168" s="22"/>
      <c r="S1168" s="22"/>
      <c r="T1168" s="20"/>
      <c r="U1168" s="22"/>
      <c r="V1168" s="20"/>
    </row>
    <row r="1169" spans="1:22" ht="14.4">
      <c r="A1169" s="402" t="s">
        <v>1632</v>
      </c>
      <c r="B1169" s="2" t="s">
        <v>78</v>
      </c>
      <c r="C1169" s="413">
        <v>220</v>
      </c>
      <c r="D1169" s="420">
        <v>250</v>
      </c>
      <c r="E1169" s="413">
        <v>78</v>
      </c>
      <c r="F1169" s="413">
        <v>65</v>
      </c>
      <c r="G1169" s="21">
        <f t="shared" si="95"/>
        <v>3.9325000000000001</v>
      </c>
      <c r="H1169" s="20">
        <f t="shared" si="101"/>
        <v>4.29</v>
      </c>
      <c r="I1169" s="20">
        <f t="shared" si="102"/>
        <v>3.9329999999999998</v>
      </c>
      <c r="J1169" s="20">
        <f t="shared" si="103"/>
        <v>2.3450000000000002</v>
      </c>
      <c r="K1169" s="75"/>
      <c r="L1169" s="780"/>
      <c r="M1169" s="20"/>
      <c r="N1169" s="20"/>
      <c r="O1169" s="20"/>
      <c r="P1169" s="20"/>
      <c r="Q1169" s="21"/>
      <c r="R1169" s="22"/>
      <c r="S1169" s="22"/>
      <c r="T1169" s="20"/>
      <c r="U1169" s="22"/>
      <c r="V1169" s="20"/>
    </row>
    <row r="1170" spans="1:22" ht="14.4">
      <c r="A1170" s="402" t="s">
        <v>1633</v>
      </c>
      <c r="B1170" s="2" t="s">
        <v>78</v>
      </c>
      <c r="C1170" s="413">
        <v>220</v>
      </c>
      <c r="D1170" s="420">
        <v>250</v>
      </c>
      <c r="E1170" s="413">
        <v>76.5</v>
      </c>
      <c r="F1170" s="413">
        <v>66.5</v>
      </c>
      <c r="G1170" s="21">
        <f t="shared" si="95"/>
        <v>3.9325000000000001</v>
      </c>
      <c r="H1170" s="20">
        <f t="shared" si="101"/>
        <v>4.2080000000000002</v>
      </c>
      <c r="I1170" s="20">
        <f t="shared" si="102"/>
        <v>3.9329999999999998</v>
      </c>
      <c r="J1170" s="20">
        <f t="shared" si="103"/>
        <v>2.3879999999999999</v>
      </c>
      <c r="K1170" s="75"/>
      <c r="L1170" s="780"/>
      <c r="M1170" s="20"/>
      <c r="N1170" s="20"/>
      <c r="O1170" s="20"/>
      <c r="P1170" s="20"/>
      <c r="Q1170" s="21"/>
      <c r="R1170" s="22"/>
      <c r="S1170" s="22"/>
      <c r="T1170" s="20"/>
      <c r="U1170" s="22"/>
      <c r="V1170" s="20"/>
    </row>
    <row r="1171" spans="1:22" ht="14.4">
      <c r="A1171" s="402" t="s">
        <v>1634</v>
      </c>
      <c r="B1171" s="2" t="s">
        <v>78</v>
      </c>
      <c r="C1171" s="413">
        <v>220</v>
      </c>
      <c r="D1171" s="420">
        <v>250</v>
      </c>
      <c r="E1171" s="413">
        <v>75</v>
      </c>
      <c r="F1171" s="413">
        <v>68</v>
      </c>
      <c r="G1171" s="21">
        <f t="shared" si="95"/>
        <v>3.9325000000000001</v>
      </c>
      <c r="H1171" s="20">
        <f t="shared" si="101"/>
        <v>4.125</v>
      </c>
      <c r="I1171" s="20">
        <f t="shared" si="102"/>
        <v>3.9329999999999998</v>
      </c>
      <c r="J1171" s="20">
        <f t="shared" si="103"/>
        <v>2.431</v>
      </c>
      <c r="K1171" s="75"/>
      <c r="L1171" s="780"/>
      <c r="M1171" s="20"/>
      <c r="N1171" s="20"/>
      <c r="O1171" s="20"/>
      <c r="P1171" s="20"/>
      <c r="Q1171" s="21"/>
      <c r="R1171" s="22"/>
      <c r="S1171" s="22"/>
      <c r="T1171" s="20"/>
      <c r="U1171" s="22"/>
      <c r="V1171" s="20"/>
    </row>
    <row r="1172" spans="1:22" ht="14.4">
      <c r="A1172" s="402" t="s">
        <v>1635</v>
      </c>
      <c r="B1172" s="2" t="s">
        <v>78</v>
      </c>
      <c r="C1172" s="413">
        <v>220</v>
      </c>
      <c r="D1172" s="420">
        <v>250</v>
      </c>
      <c r="E1172" s="413">
        <v>74</v>
      </c>
      <c r="F1172" s="413">
        <v>69</v>
      </c>
      <c r="G1172" s="21">
        <f t="shared" si="95"/>
        <v>3.9325000000000001</v>
      </c>
      <c r="H1172" s="20">
        <f t="shared" si="101"/>
        <v>4.07</v>
      </c>
      <c r="I1172" s="20">
        <f t="shared" si="102"/>
        <v>3.9329999999999998</v>
      </c>
      <c r="J1172" s="20">
        <f t="shared" si="103"/>
        <v>2.4590000000000001</v>
      </c>
      <c r="K1172" s="75"/>
      <c r="L1172" s="780"/>
      <c r="M1172" s="20"/>
      <c r="N1172" s="20"/>
      <c r="O1172" s="20"/>
      <c r="P1172" s="20"/>
      <c r="Q1172" s="21"/>
      <c r="R1172" s="22"/>
      <c r="S1172" s="22"/>
      <c r="T1172" s="20"/>
      <c r="U1172" s="22"/>
      <c r="V1172" s="20"/>
    </row>
    <row r="1173" spans="1:22" ht="14.4">
      <c r="A1173" s="402" t="s">
        <v>1636</v>
      </c>
      <c r="B1173" s="2" t="s">
        <v>78</v>
      </c>
      <c r="C1173" s="413">
        <v>220</v>
      </c>
      <c r="D1173" s="420">
        <v>250</v>
      </c>
      <c r="E1173" s="413">
        <v>73.5</v>
      </c>
      <c r="F1173" s="413">
        <v>69.5</v>
      </c>
      <c r="G1173" s="21">
        <f t="shared" ref="G1173:G1174" si="104">IF(B1173="","",AVERAGE(E1173:F1173)*D1173*C1173/10^6)</f>
        <v>3.9325000000000001</v>
      </c>
      <c r="H1173" s="20">
        <f t="shared" si="101"/>
        <v>4.0430000000000001</v>
      </c>
      <c r="I1173" s="20">
        <f t="shared" si="102"/>
        <v>3.9329999999999998</v>
      </c>
      <c r="J1173" s="20">
        <f t="shared" si="103"/>
        <v>2.4729999999999999</v>
      </c>
      <c r="K1173" s="75"/>
      <c r="L1173" s="780"/>
      <c r="M1173" s="20"/>
      <c r="N1173" s="20"/>
      <c r="O1173" s="20"/>
      <c r="P1173" s="20"/>
      <c r="Q1173" s="21"/>
      <c r="R1173" s="22"/>
      <c r="S1173" s="22"/>
      <c r="T1173" s="20"/>
      <c r="U1173" s="22"/>
      <c r="V1173" s="20"/>
    </row>
    <row r="1174" spans="1:22" ht="14.4">
      <c r="A1174" s="404" t="s">
        <v>1637</v>
      </c>
      <c r="B1174" s="2" t="s">
        <v>78</v>
      </c>
      <c r="C1174" s="414">
        <v>250</v>
      </c>
      <c r="D1174" s="422">
        <v>250</v>
      </c>
      <c r="E1174" s="414">
        <v>76.5</v>
      </c>
      <c r="F1174" s="414">
        <v>66.5</v>
      </c>
      <c r="G1174" s="21">
        <f t="shared" si="104"/>
        <v>4.46875</v>
      </c>
      <c r="H1174" s="20">
        <f t="shared" si="101"/>
        <v>4.7809999999999997</v>
      </c>
      <c r="I1174" s="20">
        <f t="shared" si="102"/>
        <v>4.4690000000000003</v>
      </c>
      <c r="J1174" s="20">
        <f t="shared" si="103"/>
        <v>2.714</v>
      </c>
      <c r="K1174" s="75"/>
      <c r="L1174" s="780"/>
      <c r="M1174" s="20"/>
      <c r="N1174" s="20"/>
      <c r="O1174" s="20"/>
      <c r="P1174" s="20"/>
      <c r="Q1174" s="21"/>
      <c r="R1174" s="22"/>
      <c r="S1174" s="22"/>
      <c r="T1174" s="20"/>
      <c r="U1174" s="22"/>
      <c r="V1174" s="20"/>
    </row>
    <row r="1175" spans="1:22" ht="13.8" thickBot="1">
      <c r="A1175" s="76"/>
      <c r="E1175" s="3"/>
      <c r="F1175" s="3"/>
      <c r="G1175" s="21"/>
      <c r="H1175" s="20"/>
      <c r="I1175" s="20"/>
      <c r="J1175" s="20"/>
      <c r="K1175" s="75"/>
      <c r="L1175" s="780"/>
      <c r="M1175" s="20"/>
      <c r="N1175" s="20"/>
      <c r="O1175" s="20"/>
      <c r="P1175" s="20"/>
      <c r="Q1175" s="21"/>
      <c r="R1175" s="22"/>
      <c r="S1175" s="22"/>
      <c r="T1175" s="20"/>
      <c r="U1175" s="22"/>
      <c r="V1175" s="20"/>
    </row>
    <row r="1176" spans="1:22" ht="25.2" thickBot="1">
      <c r="A1176" s="64" t="s">
        <v>1638</v>
      </c>
      <c r="B1176" s="72"/>
      <c r="C1176" s="72"/>
      <c r="D1176" s="72"/>
      <c r="E1176" s="72"/>
      <c r="F1176" s="72"/>
      <c r="G1176" s="102"/>
      <c r="H1176" s="72"/>
      <c r="I1176" s="72"/>
      <c r="J1176" s="72"/>
      <c r="K1176" s="72"/>
      <c r="L1176" s="780"/>
      <c r="M1176" s="20"/>
      <c r="N1176" s="20"/>
      <c r="O1176" s="20"/>
      <c r="P1176" s="20"/>
      <c r="Q1176" s="21"/>
      <c r="R1176" s="22"/>
      <c r="S1176" s="22"/>
      <c r="T1176" s="20"/>
      <c r="U1176" s="22"/>
      <c r="V1176" s="20"/>
    </row>
    <row r="1177" spans="1:22" ht="14.4">
      <c r="A1177" s="400" t="s">
        <v>1639</v>
      </c>
      <c r="B1177" s="2" t="s">
        <v>78</v>
      </c>
      <c r="C1177" s="410">
        <v>160</v>
      </c>
      <c r="D1177" s="424">
        <v>198</v>
      </c>
      <c r="E1177" s="410">
        <v>85</v>
      </c>
      <c r="F1177" s="410">
        <v>77</v>
      </c>
      <c r="G1177" s="21">
        <f t="shared" ref="G1177:G1218" si="105">IF(B1177="","",AVERAGE(E1177:F1177)*D1177*C1177/10^6)</f>
        <v>2.5660799999999999</v>
      </c>
      <c r="H1177" s="20">
        <f t="shared" ref="H1177:H1218" si="106">ROUND(C1177*D1177*E1177/10^6,3)</f>
        <v>2.6930000000000001</v>
      </c>
      <c r="I1177" s="20">
        <f t="shared" ref="I1177:I1218" si="107">IF(F1177="","-",ROUND((E1177+F1177)*C1177/2*D1177/10^6,3))</f>
        <v>2.5659999999999998</v>
      </c>
      <c r="J1177" s="20">
        <f t="shared" ref="J1177:J1218" si="108">IF(F1177="","-",ROUND((D1177+E1177)*C1177/2*F1177/10^6,3))</f>
        <v>1.7430000000000001</v>
      </c>
      <c r="K1177" s="75"/>
      <c r="L1177" s="780"/>
      <c r="M1177" s="20"/>
      <c r="N1177" s="20"/>
      <c r="O1177" s="20"/>
      <c r="P1177" s="20"/>
      <c r="Q1177" s="21"/>
      <c r="R1177" s="22"/>
      <c r="S1177" s="22"/>
      <c r="T1177" s="20"/>
      <c r="U1177" s="22"/>
      <c r="V1177" s="20"/>
    </row>
    <row r="1178" spans="1:22" ht="14.4">
      <c r="A1178" s="406" t="s">
        <v>1640</v>
      </c>
      <c r="B1178" s="2" t="s">
        <v>78</v>
      </c>
      <c r="C1178" s="411">
        <v>160</v>
      </c>
      <c r="D1178" s="423">
        <v>198</v>
      </c>
      <c r="E1178" s="411">
        <v>65</v>
      </c>
      <c r="F1178" s="411">
        <v>60</v>
      </c>
      <c r="G1178" s="21">
        <f t="shared" si="105"/>
        <v>1.98</v>
      </c>
      <c r="H1178" s="20">
        <f t="shared" si="106"/>
        <v>2.0590000000000002</v>
      </c>
      <c r="I1178" s="20">
        <f t="shared" si="107"/>
        <v>1.98</v>
      </c>
      <c r="J1178" s="20">
        <f t="shared" si="108"/>
        <v>1.262</v>
      </c>
      <c r="K1178" s="75"/>
      <c r="L1178" s="780"/>
      <c r="M1178" s="20"/>
      <c r="N1178" s="20"/>
      <c r="O1178" s="20"/>
      <c r="P1178" s="20"/>
      <c r="Q1178" s="21"/>
      <c r="R1178" s="22"/>
      <c r="S1178" s="22"/>
      <c r="T1178" s="20"/>
      <c r="U1178" s="22"/>
      <c r="V1178" s="20"/>
    </row>
    <row r="1179" spans="1:22" ht="14.4">
      <c r="A1179" s="399" t="s">
        <v>1641</v>
      </c>
      <c r="B1179" s="2" t="s">
        <v>78</v>
      </c>
      <c r="C1179" s="408">
        <v>180</v>
      </c>
      <c r="D1179" s="417">
        <v>198</v>
      </c>
      <c r="E1179" s="408">
        <v>85</v>
      </c>
      <c r="F1179" s="408">
        <v>77</v>
      </c>
      <c r="G1179" s="21">
        <f t="shared" si="105"/>
        <v>2.8868399999999999</v>
      </c>
      <c r="H1179" s="20">
        <f t="shared" si="106"/>
        <v>3.0289999999999999</v>
      </c>
      <c r="I1179" s="20">
        <f t="shared" si="107"/>
        <v>2.887</v>
      </c>
      <c r="J1179" s="20">
        <f t="shared" si="108"/>
        <v>1.9610000000000001</v>
      </c>
      <c r="K1179" s="75"/>
      <c r="L1179" s="780"/>
      <c r="M1179" s="20"/>
      <c r="N1179" s="20"/>
      <c r="O1179" s="20"/>
      <c r="P1179" s="20"/>
      <c r="Q1179" s="21"/>
      <c r="R1179" s="22"/>
      <c r="S1179" s="22"/>
      <c r="T1179" s="20"/>
      <c r="U1179" s="22"/>
      <c r="V1179" s="20"/>
    </row>
    <row r="1180" spans="1:22" ht="14.4">
      <c r="A1180" s="399" t="s">
        <v>1642</v>
      </c>
      <c r="B1180" s="2" t="s">
        <v>78</v>
      </c>
      <c r="C1180" s="408">
        <v>180</v>
      </c>
      <c r="D1180" s="417">
        <v>198</v>
      </c>
      <c r="E1180" s="408">
        <v>65</v>
      </c>
      <c r="F1180" s="408">
        <v>60</v>
      </c>
      <c r="G1180" s="21">
        <f t="shared" si="105"/>
        <v>2.2275</v>
      </c>
      <c r="H1180" s="20">
        <f t="shared" si="106"/>
        <v>2.3170000000000002</v>
      </c>
      <c r="I1180" s="20">
        <f t="shared" si="107"/>
        <v>2.2280000000000002</v>
      </c>
      <c r="J1180" s="20">
        <f t="shared" si="108"/>
        <v>1.42</v>
      </c>
      <c r="K1180" s="75"/>
      <c r="L1180" s="780"/>
      <c r="M1180" s="20"/>
      <c r="N1180" s="20"/>
      <c r="O1180" s="20"/>
      <c r="P1180" s="20"/>
      <c r="Q1180" s="21"/>
      <c r="R1180" s="22"/>
      <c r="S1180" s="22"/>
      <c r="T1180" s="20"/>
      <c r="U1180" s="22"/>
      <c r="V1180" s="20"/>
    </row>
    <row r="1181" spans="1:22" ht="14.4">
      <c r="A1181" s="426" t="s">
        <v>1643</v>
      </c>
      <c r="B1181" s="2" t="s">
        <v>78</v>
      </c>
      <c r="C1181" s="427">
        <v>180</v>
      </c>
      <c r="D1181" s="428">
        <v>198</v>
      </c>
      <c r="E1181" s="427">
        <v>95</v>
      </c>
      <c r="F1181" s="427">
        <v>87</v>
      </c>
      <c r="G1181" s="21">
        <f t="shared" si="105"/>
        <v>3.2432400000000001</v>
      </c>
      <c r="H1181" s="20">
        <f t="shared" si="106"/>
        <v>3.3860000000000001</v>
      </c>
      <c r="I1181" s="20">
        <f t="shared" si="107"/>
        <v>3.2429999999999999</v>
      </c>
      <c r="J1181" s="20">
        <f t="shared" si="108"/>
        <v>2.294</v>
      </c>
      <c r="K1181" s="75"/>
      <c r="L1181" s="780"/>
      <c r="M1181" s="20"/>
      <c r="N1181" s="20"/>
      <c r="O1181" s="20"/>
      <c r="P1181" s="20"/>
      <c r="Q1181" s="21"/>
      <c r="R1181" s="22"/>
      <c r="S1181" s="22"/>
      <c r="T1181" s="20"/>
      <c r="U1181" s="22"/>
      <c r="V1181" s="20"/>
    </row>
    <row r="1182" spans="1:22" ht="14.4">
      <c r="A1182" s="403" t="s">
        <v>1644</v>
      </c>
      <c r="B1182" s="2" t="s">
        <v>78</v>
      </c>
      <c r="C1182" s="409">
        <v>200</v>
      </c>
      <c r="D1182" s="419">
        <v>198</v>
      </c>
      <c r="E1182" s="409">
        <v>85</v>
      </c>
      <c r="F1182" s="409">
        <v>77</v>
      </c>
      <c r="G1182" s="21">
        <f t="shared" si="105"/>
        <v>3.2075999999999998</v>
      </c>
      <c r="H1182" s="20">
        <f t="shared" si="106"/>
        <v>3.3660000000000001</v>
      </c>
      <c r="I1182" s="20">
        <f t="shared" si="107"/>
        <v>3.2080000000000002</v>
      </c>
      <c r="J1182" s="20">
        <f t="shared" si="108"/>
        <v>2.1789999999999998</v>
      </c>
      <c r="K1182" s="75"/>
      <c r="L1182" s="780"/>
      <c r="M1182" s="20"/>
      <c r="N1182" s="20"/>
      <c r="O1182" s="20"/>
      <c r="P1182" s="20"/>
      <c r="Q1182" s="21"/>
      <c r="R1182" s="22"/>
      <c r="S1182" s="22"/>
      <c r="T1182" s="20"/>
      <c r="U1182" s="22"/>
      <c r="V1182" s="20"/>
    </row>
    <row r="1183" spans="1:22" ht="14.4">
      <c r="A1183" s="403" t="s">
        <v>1645</v>
      </c>
      <c r="B1183" s="2" t="s">
        <v>78</v>
      </c>
      <c r="C1183" s="409">
        <v>200</v>
      </c>
      <c r="D1183" s="419">
        <v>198</v>
      </c>
      <c r="E1183" s="409">
        <v>65</v>
      </c>
      <c r="F1183" s="409">
        <v>60</v>
      </c>
      <c r="G1183" s="21">
        <f t="shared" si="105"/>
        <v>2.4750000000000001</v>
      </c>
      <c r="H1183" s="20">
        <f t="shared" si="106"/>
        <v>2.5739999999999998</v>
      </c>
      <c r="I1183" s="20">
        <f t="shared" si="107"/>
        <v>2.4750000000000001</v>
      </c>
      <c r="J1183" s="20">
        <f t="shared" si="108"/>
        <v>1.5780000000000001</v>
      </c>
      <c r="K1183" s="75"/>
      <c r="L1183" s="780"/>
      <c r="M1183" s="20"/>
      <c r="N1183" s="20"/>
      <c r="O1183" s="20"/>
      <c r="P1183" s="20"/>
      <c r="Q1183" s="21"/>
      <c r="R1183" s="22"/>
      <c r="S1183" s="22"/>
      <c r="T1183" s="20"/>
      <c r="U1183" s="22"/>
      <c r="V1183" s="20"/>
    </row>
    <row r="1184" spans="1:22" ht="14.4">
      <c r="A1184" s="426" t="s">
        <v>1646</v>
      </c>
      <c r="B1184" s="2" t="s">
        <v>78</v>
      </c>
      <c r="C1184" s="427">
        <v>200</v>
      </c>
      <c r="D1184" s="428">
        <v>198</v>
      </c>
      <c r="E1184" s="427">
        <v>95</v>
      </c>
      <c r="F1184" s="427">
        <v>87</v>
      </c>
      <c r="G1184" s="21">
        <f t="shared" si="105"/>
        <v>3.6036000000000001</v>
      </c>
      <c r="H1184" s="20">
        <f t="shared" si="106"/>
        <v>3.762</v>
      </c>
      <c r="I1184" s="20">
        <f t="shared" si="107"/>
        <v>3.6040000000000001</v>
      </c>
      <c r="J1184" s="20">
        <f t="shared" si="108"/>
        <v>2.5489999999999999</v>
      </c>
      <c r="K1184" s="75"/>
      <c r="L1184" s="780"/>
      <c r="M1184" s="20"/>
      <c r="N1184" s="20"/>
      <c r="O1184" s="20"/>
      <c r="P1184" s="20"/>
      <c r="Q1184" s="21"/>
      <c r="R1184" s="22"/>
      <c r="S1184" s="22"/>
      <c r="T1184" s="20"/>
      <c r="U1184" s="22"/>
      <c r="V1184" s="20"/>
    </row>
    <row r="1185" spans="1:22" ht="14.4">
      <c r="A1185" s="402" t="s">
        <v>1647</v>
      </c>
      <c r="B1185" s="2" t="s">
        <v>78</v>
      </c>
      <c r="C1185" s="413">
        <v>220</v>
      </c>
      <c r="D1185" s="420">
        <v>198</v>
      </c>
      <c r="E1185" s="413">
        <v>85</v>
      </c>
      <c r="F1185" s="413">
        <v>77</v>
      </c>
      <c r="G1185" s="21">
        <f t="shared" si="105"/>
        <v>3.5283600000000002</v>
      </c>
      <c r="H1185" s="20">
        <f t="shared" si="106"/>
        <v>3.7029999999999998</v>
      </c>
      <c r="I1185" s="20">
        <f t="shared" si="107"/>
        <v>3.528</v>
      </c>
      <c r="J1185" s="20">
        <f t="shared" si="108"/>
        <v>2.3969999999999998</v>
      </c>
      <c r="K1185" s="75"/>
      <c r="L1185" s="780"/>
      <c r="M1185" s="20"/>
      <c r="N1185" s="20"/>
      <c r="O1185" s="20"/>
      <c r="P1185" s="20"/>
      <c r="Q1185" s="21"/>
      <c r="R1185" s="22"/>
      <c r="S1185" s="22"/>
      <c r="T1185" s="20"/>
      <c r="U1185" s="22"/>
      <c r="V1185" s="20"/>
    </row>
    <row r="1186" spans="1:22" ht="14.4">
      <c r="A1186" s="402" t="s">
        <v>1648</v>
      </c>
      <c r="B1186" s="2" t="s">
        <v>78</v>
      </c>
      <c r="C1186" s="413">
        <v>220</v>
      </c>
      <c r="D1186" s="420">
        <v>198</v>
      </c>
      <c r="E1186" s="413">
        <v>65</v>
      </c>
      <c r="F1186" s="413">
        <v>60</v>
      </c>
      <c r="G1186" s="21">
        <f t="shared" si="105"/>
        <v>2.7225000000000001</v>
      </c>
      <c r="H1186" s="20">
        <f t="shared" si="106"/>
        <v>2.831</v>
      </c>
      <c r="I1186" s="20">
        <f t="shared" si="107"/>
        <v>2.7229999999999999</v>
      </c>
      <c r="J1186" s="20">
        <f t="shared" si="108"/>
        <v>1.736</v>
      </c>
      <c r="K1186" s="75"/>
      <c r="L1186" s="780"/>
      <c r="M1186" s="20"/>
      <c r="N1186" s="20"/>
      <c r="O1186" s="20"/>
      <c r="P1186" s="20"/>
      <c r="Q1186" s="21"/>
      <c r="R1186" s="22"/>
      <c r="S1186" s="22"/>
      <c r="T1186" s="20"/>
      <c r="U1186" s="22"/>
      <c r="V1186" s="20"/>
    </row>
    <row r="1187" spans="1:22" ht="14.4">
      <c r="A1187" s="426" t="s">
        <v>1649</v>
      </c>
      <c r="B1187" s="2" t="s">
        <v>78</v>
      </c>
      <c r="C1187" s="427">
        <v>220</v>
      </c>
      <c r="D1187" s="428">
        <v>198</v>
      </c>
      <c r="E1187" s="427">
        <v>95</v>
      </c>
      <c r="F1187" s="427">
        <v>87</v>
      </c>
      <c r="G1187" s="21">
        <f t="shared" si="105"/>
        <v>3.9639600000000002</v>
      </c>
      <c r="H1187" s="20">
        <f t="shared" si="106"/>
        <v>4.1379999999999999</v>
      </c>
      <c r="I1187" s="20">
        <f t="shared" si="107"/>
        <v>3.964</v>
      </c>
      <c r="J1187" s="20">
        <f t="shared" si="108"/>
        <v>2.8039999999999998</v>
      </c>
      <c r="K1187" s="75"/>
      <c r="L1187" s="780"/>
      <c r="M1187" s="20"/>
      <c r="N1187" s="20"/>
      <c r="O1187" s="20"/>
      <c r="P1187" s="20"/>
      <c r="Q1187" s="21"/>
      <c r="R1187" s="22"/>
      <c r="S1187" s="22"/>
      <c r="T1187" s="20"/>
      <c r="U1187" s="22"/>
      <c r="V1187" s="20"/>
    </row>
    <row r="1188" spans="1:22" ht="14.4">
      <c r="A1188" s="404" t="s">
        <v>1650</v>
      </c>
      <c r="B1188" s="2" t="s">
        <v>78</v>
      </c>
      <c r="C1188" s="414">
        <v>250</v>
      </c>
      <c r="D1188" s="422">
        <v>198</v>
      </c>
      <c r="E1188" s="414">
        <v>85</v>
      </c>
      <c r="F1188" s="414">
        <v>77</v>
      </c>
      <c r="G1188" s="21">
        <f t="shared" si="105"/>
        <v>4.0095000000000001</v>
      </c>
      <c r="H1188" s="20">
        <f t="shared" si="106"/>
        <v>4.2080000000000002</v>
      </c>
      <c r="I1188" s="20">
        <f t="shared" si="107"/>
        <v>4.01</v>
      </c>
      <c r="J1188" s="20">
        <f t="shared" si="108"/>
        <v>2.7240000000000002</v>
      </c>
      <c r="K1188" s="75"/>
      <c r="L1188" s="780"/>
      <c r="M1188" s="20"/>
      <c r="N1188" s="20"/>
      <c r="O1188" s="20"/>
      <c r="P1188" s="20"/>
      <c r="Q1188" s="21"/>
      <c r="R1188" s="22"/>
      <c r="S1188" s="22"/>
      <c r="T1188" s="20"/>
      <c r="U1188" s="22"/>
      <c r="V1188" s="20"/>
    </row>
    <row r="1189" spans="1:22" ht="14.4">
      <c r="A1189" s="404" t="s">
        <v>1651</v>
      </c>
      <c r="B1189" s="2" t="s">
        <v>78</v>
      </c>
      <c r="C1189" s="414">
        <v>250</v>
      </c>
      <c r="D1189" s="422">
        <v>198</v>
      </c>
      <c r="E1189" s="414">
        <v>65</v>
      </c>
      <c r="F1189" s="414">
        <v>60</v>
      </c>
      <c r="G1189" s="21">
        <f t="shared" si="105"/>
        <v>3.09375</v>
      </c>
      <c r="H1189" s="20">
        <f t="shared" si="106"/>
        <v>3.218</v>
      </c>
      <c r="I1189" s="20">
        <f t="shared" si="107"/>
        <v>3.0939999999999999</v>
      </c>
      <c r="J1189" s="20">
        <f t="shared" si="108"/>
        <v>1.9730000000000001</v>
      </c>
      <c r="K1189" s="75"/>
      <c r="L1189" s="780"/>
      <c r="M1189" s="20"/>
      <c r="N1189" s="20"/>
      <c r="O1189" s="20"/>
      <c r="P1189" s="20"/>
      <c r="Q1189" s="21"/>
      <c r="R1189" s="22"/>
      <c r="S1189" s="22"/>
      <c r="T1189" s="20"/>
      <c r="U1189" s="22"/>
      <c r="V1189" s="20"/>
    </row>
    <row r="1190" spans="1:22" ht="14.4">
      <c r="A1190" s="426" t="s">
        <v>1652</v>
      </c>
      <c r="B1190" s="2" t="s">
        <v>78</v>
      </c>
      <c r="C1190" s="427">
        <v>250</v>
      </c>
      <c r="D1190" s="428">
        <v>198</v>
      </c>
      <c r="E1190" s="427">
        <v>95</v>
      </c>
      <c r="F1190" s="427">
        <v>87</v>
      </c>
      <c r="G1190" s="21">
        <f t="shared" si="105"/>
        <v>4.5045000000000002</v>
      </c>
      <c r="H1190" s="20">
        <f t="shared" si="106"/>
        <v>4.7030000000000003</v>
      </c>
      <c r="I1190" s="20">
        <f t="shared" si="107"/>
        <v>4.5049999999999999</v>
      </c>
      <c r="J1190" s="20">
        <f t="shared" si="108"/>
        <v>3.1859999999999999</v>
      </c>
      <c r="K1190" s="75"/>
      <c r="L1190" s="780"/>
      <c r="M1190" s="20"/>
      <c r="N1190" s="20"/>
      <c r="O1190" s="20"/>
      <c r="P1190" s="20"/>
      <c r="Q1190" s="21"/>
      <c r="R1190" s="22"/>
      <c r="S1190" s="22"/>
      <c r="T1190" s="20"/>
      <c r="U1190" s="22"/>
      <c r="V1190" s="20"/>
    </row>
    <row r="1191" spans="1:22" ht="14.4">
      <c r="A1191" s="405" t="s">
        <v>1653</v>
      </c>
      <c r="B1191" s="2" t="s">
        <v>78</v>
      </c>
      <c r="C1191" s="415">
        <v>300</v>
      </c>
      <c r="D1191" s="421">
        <v>198</v>
      </c>
      <c r="E1191" s="415">
        <v>85</v>
      </c>
      <c r="F1191" s="415">
        <v>77</v>
      </c>
      <c r="G1191" s="21">
        <f t="shared" si="105"/>
        <v>4.8113999999999999</v>
      </c>
      <c r="H1191" s="20">
        <f t="shared" si="106"/>
        <v>5.0490000000000004</v>
      </c>
      <c r="I1191" s="20">
        <f t="shared" si="107"/>
        <v>4.8109999999999999</v>
      </c>
      <c r="J1191" s="20">
        <f t="shared" si="108"/>
        <v>3.2690000000000001</v>
      </c>
      <c r="K1191" s="75"/>
      <c r="L1191" s="780"/>
      <c r="M1191" s="20"/>
      <c r="N1191" s="20"/>
      <c r="O1191" s="20"/>
      <c r="P1191" s="20"/>
      <c r="Q1191" s="21"/>
      <c r="R1191" s="22"/>
      <c r="S1191" s="22"/>
      <c r="T1191" s="20"/>
      <c r="U1191" s="22"/>
      <c r="V1191" s="20"/>
    </row>
    <row r="1192" spans="1:22" ht="15" thickBot="1">
      <c r="A1192" s="407" t="s">
        <v>1654</v>
      </c>
      <c r="B1192" s="2" t="s">
        <v>78</v>
      </c>
      <c r="C1192" s="416">
        <v>300</v>
      </c>
      <c r="D1192" s="425">
        <v>198</v>
      </c>
      <c r="E1192" s="416">
        <v>65</v>
      </c>
      <c r="F1192" s="416">
        <v>60</v>
      </c>
      <c r="G1192" s="21">
        <f t="shared" si="105"/>
        <v>3.7124999999999999</v>
      </c>
      <c r="H1192" s="20">
        <f t="shared" si="106"/>
        <v>3.8610000000000002</v>
      </c>
      <c r="I1192" s="20">
        <f t="shared" si="107"/>
        <v>3.7130000000000001</v>
      </c>
      <c r="J1192" s="20">
        <f t="shared" si="108"/>
        <v>2.367</v>
      </c>
      <c r="K1192" s="75"/>
      <c r="L1192" s="780"/>
      <c r="M1192" s="20"/>
      <c r="N1192" s="20"/>
      <c r="O1192" s="20"/>
      <c r="P1192" s="20"/>
      <c r="Q1192" s="21"/>
      <c r="R1192" s="22"/>
      <c r="S1192" s="22"/>
      <c r="T1192" s="20"/>
      <c r="U1192" s="22"/>
      <c r="V1192" s="20"/>
    </row>
    <row r="1193" spans="1:22" ht="13.8" thickBot="1">
      <c r="A1193" s="76"/>
      <c r="B1193" s="2" t="s">
        <v>78</v>
      </c>
      <c r="G1193" s="21" t="str">
        <f t="shared" ref="G1193:G1206" si="109">IF(B1193="","",IF(OR(B1193="PA",B1193="PL"),H1193,IF(OR(B1193="VDZ",B1193="ISO",B1193="A1",B1193="A2",B1193="A3",B1193="AE",B1193="A2/3",B1193="A3/4",B1193="C1",B1193="C2",B1193="C3",B1193="CE",B1193="C2/3",B1193="C3/4"),I1193,J1193)))</f>
        <v>-</v>
      </c>
      <c r="H1193" s="20">
        <f t="shared" si="106"/>
        <v>0</v>
      </c>
      <c r="I1193" s="20" t="str">
        <f t="shared" si="107"/>
        <v>-</v>
      </c>
      <c r="J1193" s="20" t="str">
        <f t="shared" si="108"/>
        <v>-</v>
      </c>
      <c r="K1193" s="75"/>
      <c r="L1193" s="780"/>
      <c r="M1193" s="20"/>
      <c r="N1193" s="20"/>
      <c r="O1193" s="20"/>
      <c r="P1193" s="20"/>
      <c r="Q1193" s="21"/>
      <c r="R1193" s="22"/>
      <c r="S1193" s="22"/>
      <c r="T1193" s="20"/>
      <c r="U1193" s="22"/>
      <c r="V1193" s="20"/>
    </row>
    <row r="1194" spans="1:22" ht="14.4">
      <c r="A1194" s="400" t="s">
        <v>1655</v>
      </c>
      <c r="B1194" s="2" t="s">
        <v>78</v>
      </c>
      <c r="C1194" s="410">
        <v>160</v>
      </c>
      <c r="D1194" s="429">
        <v>300</v>
      </c>
      <c r="E1194" s="410">
        <v>85</v>
      </c>
      <c r="F1194" s="410">
        <v>77</v>
      </c>
      <c r="G1194" s="21">
        <f t="shared" si="105"/>
        <v>3.8879999999999999</v>
      </c>
      <c r="H1194" s="20">
        <f t="shared" si="106"/>
        <v>4.08</v>
      </c>
      <c r="I1194" s="20">
        <f t="shared" si="107"/>
        <v>3.8879999999999999</v>
      </c>
      <c r="J1194" s="20">
        <f t="shared" si="108"/>
        <v>2.3719999999999999</v>
      </c>
      <c r="K1194" s="75"/>
      <c r="L1194" s="780"/>
      <c r="M1194" s="20"/>
      <c r="N1194" s="20"/>
      <c r="O1194" s="20"/>
      <c r="P1194" s="20"/>
      <c r="Q1194" s="21"/>
      <c r="R1194" s="22"/>
      <c r="S1194" s="22"/>
      <c r="T1194" s="20"/>
      <c r="U1194" s="22"/>
      <c r="V1194" s="20"/>
    </row>
    <row r="1195" spans="1:22" ht="14.4">
      <c r="A1195" s="406" t="s">
        <v>1656</v>
      </c>
      <c r="B1195" s="2" t="s">
        <v>78</v>
      </c>
      <c r="C1195" s="411">
        <v>160</v>
      </c>
      <c r="D1195" s="418">
        <v>300</v>
      </c>
      <c r="E1195" s="411">
        <v>65</v>
      </c>
      <c r="F1195" s="411">
        <v>60</v>
      </c>
      <c r="G1195" s="21">
        <f t="shared" si="105"/>
        <v>3</v>
      </c>
      <c r="H1195" s="20">
        <f t="shared" si="106"/>
        <v>3.12</v>
      </c>
      <c r="I1195" s="20">
        <f t="shared" si="107"/>
        <v>3</v>
      </c>
      <c r="J1195" s="20">
        <f t="shared" si="108"/>
        <v>1.752</v>
      </c>
      <c r="K1195" s="75"/>
      <c r="L1195" s="780"/>
      <c r="M1195" s="20"/>
      <c r="N1195" s="20"/>
      <c r="O1195" s="20"/>
      <c r="P1195" s="20"/>
      <c r="Q1195" s="21"/>
      <c r="R1195" s="22"/>
      <c r="S1195" s="22"/>
      <c r="T1195" s="20"/>
      <c r="U1195" s="22"/>
      <c r="V1195" s="20"/>
    </row>
    <row r="1196" spans="1:22" ht="14.4">
      <c r="A1196" s="399" t="s">
        <v>1657</v>
      </c>
      <c r="B1196" s="2" t="s">
        <v>78</v>
      </c>
      <c r="C1196" s="408">
        <v>180</v>
      </c>
      <c r="D1196" s="417">
        <v>300</v>
      </c>
      <c r="E1196" s="408">
        <v>85</v>
      </c>
      <c r="F1196" s="408">
        <v>77</v>
      </c>
      <c r="G1196" s="21">
        <f t="shared" si="105"/>
        <v>4.3739999999999997</v>
      </c>
      <c r="H1196" s="20">
        <f t="shared" si="106"/>
        <v>4.59</v>
      </c>
      <c r="I1196" s="20">
        <f t="shared" si="107"/>
        <v>4.3739999999999997</v>
      </c>
      <c r="J1196" s="20">
        <f t="shared" si="108"/>
        <v>2.6680000000000001</v>
      </c>
      <c r="K1196" s="75"/>
      <c r="L1196" s="780"/>
      <c r="M1196" s="20"/>
      <c r="N1196" s="20"/>
      <c r="O1196" s="20"/>
      <c r="P1196" s="20"/>
      <c r="Q1196" s="21"/>
      <c r="R1196" s="22"/>
      <c r="S1196" s="22"/>
      <c r="T1196" s="20"/>
      <c r="U1196" s="22"/>
      <c r="V1196" s="20"/>
    </row>
    <row r="1197" spans="1:22" ht="14.4">
      <c r="A1197" s="399" t="s">
        <v>1658</v>
      </c>
      <c r="B1197" s="2" t="s">
        <v>78</v>
      </c>
      <c r="C1197" s="408">
        <v>180</v>
      </c>
      <c r="D1197" s="417">
        <v>300</v>
      </c>
      <c r="E1197" s="408">
        <v>65</v>
      </c>
      <c r="F1197" s="408">
        <v>60</v>
      </c>
      <c r="G1197" s="21">
        <f t="shared" si="105"/>
        <v>3.375</v>
      </c>
      <c r="H1197" s="20">
        <f t="shared" si="106"/>
        <v>3.51</v>
      </c>
      <c r="I1197" s="20">
        <f t="shared" si="107"/>
        <v>3.375</v>
      </c>
      <c r="J1197" s="20">
        <f t="shared" si="108"/>
        <v>1.9710000000000001</v>
      </c>
      <c r="K1197" s="75"/>
      <c r="L1197" s="780"/>
      <c r="M1197" s="20"/>
      <c r="N1197" s="20"/>
      <c r="O1197" s="20"/>
      <c r="P1197" s="20"/>
      <c r="Q1197" s="21"/>
      <c r="R1197" s="22"/>
      <c r="S1197" s="22"/>
      <c r="T1197" s="20"/>
      <c r="U1197" s="22"/>
      <c r="V1197" s="20"/>
    </row>
    <row r="1198" spans="1:22" ht="14.4">
      <c r="A1198" s="403" t="s">
        <v>1659</v>
      </c>
      <c r="B1198" s="2" t="s">
        <v>78</v>
      </c>
      <c r="C1198" s="409">
        <v>200</v>
      </c>
      <c r="D1198" s="419">
        <v>300</v>
      </c>
      <c r="E1198" s="409">
        <v>85</v>
      </c>
      <c r="F1198" s="409">
        <v>77</v>
      </c>
      <c r="G1198" s="21">
        <f t="shared" si="105"/>
        <v>4.8600000000000003</v>
      </c>
      <c r="H1198" s="20">
        <f t="shared" si="106"/>
        <v>5.0999999999999996</v>
      </c>
      <c r="I1198" s="20">
        <f t="shared" si="107"/>
        <v>4.8600000000000003</v>
      </c>
      <c r="J1198" s="20">
        <f t="shared" si="108"/>
        <v>2.9649999999999999</v>
      </c>
      <c r="K1198" s="75"/>
      <c r="L1198" s="780"/>
      <c r="M1198" s="20"/>
      <c r="N1198" s="20"/>
      <c r="O1198" s="20"/>
      <c r="P1198" s="20"/>
      <c r="Q1198" s="21"/>
      <c r="R1198" s="22"/>
      <c r="S1198" s="22"/>
      <c r="T1198" s="20"/>
      <c r="U1198" s="22"/>
      <c r="V1198" s="20"/>
    </row>
    <row r="1199" spans="1:22" ht="14.4">
      <c r="A1199" s="403" t="s">
        <v>1660</v>
      </c>
      <c r="B1199" s="2" t="s">
        <v>78</v>
      </c>
      <c r="C1199" s="409">
        <v>200</v>
      </c>
      <c r="D1199" s="419">
        <v>300</v>
      </c>
      <c r="E1199" s="409">
        <v>65</v>
      </c>
      <c r="F1199" s="409">
        <v>60</v>
      </c>
      <c r="G1199" s="21">
        <f t="shared" si="105"/>
        <v>3.75</v>
      </c>
      <c r="H1199" s="20">
        <f t="shared" si="106"/>
        <v>3.9</v>
      </c>
      <c r="I1199" s="20">
        <f t="shared" si="107"/>
        <v>3.75</v>
      </c>
      <c r="J1199" s="20">
        <f t="shared" si="108"/>
        <v>2.19</v>
      </c>
      <c r="K1199" s="75"/>
      <c r="L1199" s="780"/>
      <c r="M1199" s="20"/>
      <c r="N1199" s="20"/>
      <c r="O1199" s="20"/>
      <c r="P1199" s="20"/>
      <c r="Q1199" s="21"/>
      <c r="R1199" s="22"/>
      <c r="S1199" s="22"/>
      <c r="T1199" s="20"/>
      <c r="U1199" s="22"/>
      <c r="V1199" s="20"/>
    </row>
    <row r="1200" spans="1:22" ht="14.4">
      <c r="A1200" s="402" t="s">
        <v>1661</v>
      </c>
      <c r="B1200" s="2" t="s">
        <v>78</v>
      </c>
      <c r="C1200" s="413">
        <v>220</v>
      </c>
      <c r="D1200" s="420">
        <v>300</v>
      </c>
      <c r="E1200" s="413">
        <v>85</v>
      </c>
      <c r="F1200" s="413">
        <v>77</v>
      </c>
      <c r="G1200" s="21">
        <f t="shared" si="105"/>
        <v>5.3460000000000001</v>
      </c>
      <c r="H1200" s="20">
        <f t="shared" si="106"/>
        <v>5.61</v>
      </c>
      <c r="I1200" s="20">
        <f t="shared" si="107"/>
        <v>5.3460000000000001</v>
      </c>
      <c r="J1200" s="20">
        <f t="shared" si="108"/>
        <v>3.2610000000000001</v>
      </c>
      <c r="K1200" s="75"/>
      <c r="L1200" s="780"/>
      <c r="M1200" s="20"/>
      <c r="N1200" s="20"/>
      <c r="O1200" s="20"/>
      <c r="P1200" s="20"/>
      <c r="Q1200" s="21"/>
      <c r="R1200" s="22"/>
      <c r="S1200" s="22"/>
      <c r="T1200" s="20"/>
      <c r="U1200" s="22"/>
      <c r="V1200" s="20"/>
    </row>
    <row r="1201" spans="1:22" ht="14.4">
      <c r="A1201" s="402" t="s">
        <v>1662</v>
      </c>
      <c r="B1201" s="2" t="s">
        <v>78</v>
      </c>
      <c r="C1201" s="413">
        <v>220</v>
      </c>
      <c r="D1201" s="420">
        <v>300</v>
      </c>
      <c r="E1201" s="413">
        <v>65</v>
      </c>
      <c r="F1201" s="413">
        <v>60</v>
      </c>
      <c r="G1201" s="21">
        <f t="shared" si="105"/>
        <v>4.125</v>
      </c>
      <c r="H1201" s="20">
        <f t="shared" si="106"/>
        <v>4.29</v>
      </c>
      <c r="I1201" s="20">
        <f t="shared" si="107"/>
        <v>4.125</v>
      </c>
      <c r="J1201" s="20">
        <f t="shared" si="108"/>
        <v>2.4089999999999998</v>
      </c>
      <c r="K1201" s="75"/>
      <c r="L1201" s="780"/>
      <c r="M1201" s="20"/>
      <c r="N1201" s="20"/>
      <c r="O1201" s="20"/>
      <c r="P1201" s="20"/>
      <c r="Q1201" s="21"/>
      <c r="R1201" s="22" t="s">
        <v>16</v>
      </c>
      <c r="S1201" s="22" t="s">
        <v>16</v>
      </c>
      <c r="T1201" s="20"/>
      <c r="U1201" s="22" t="e">
        <f>U1119</f>
        <v>#REF!</v>
      </c>
      <c r="V1201" s="20"/>
    </row>
    <row r="1202" spans="1:22" ht="14.4">
      <c r="A1202" s="404" t="s">
        <v>1663</v>
      </c>
      <c r="B1202" s="2" t="s">
        <v>78</v>
      </c>
      <c r="C1202" s="414">
        <v>250</v>
      </c>
      <c r="D1202" s="422">
        <v>300</v>
      </c>
      <c r="E1202" s="414">
        <v>85</v>
      </c>
      <c r="F1202" s="414">
        <v>77</v>
      </c>
      <c r="G1202" s="21">
        <f t="shared" si="105"/>
        <v>6.0750000000000002</v>
      </c>
      <c r="H1202" s="20">
        <f t="shared" si="106"/>
        <v>6.375</v>
      </c>
      <c r="I1202" s="20">
        <f t="shared" si="107"/>
        <v>6.0750000000000002</v>
      </c>
      <c r="J1202" s="20">
        <f t="shared" si="108"/>
        <v>3.706</v>
      </c>
      <c r="K1202" s="75"/>
      <c r="L1202" s="780"/>
      <c r="M1202" s="20"/>
      <c r="N1202" s="20"/>
      <c r="O1202" s="20"/>
      <c r="P1202" s="20"/>
      <c r="Q1202" s="21"/>
      <c r="R1202" s="22" t="s">
        <v>16</v>
      </c>
      <c r="S1202" s="22" t="s">
        <v>16</v>
      </c>
      <c r="T1202" s="20"/>
      <c r="U1202" s="22" t="e">
        <f>#REF!</f>
        <v>#REF!</v>
      </c>
      <c r="V1202" s="20"/>
    </row>
    <row r="1203" spans="1:22" ht="14.4">
      <c r="A1203" s="404" t="s">
        <v>1664</v>
      </c>
      <c r="B1203" s="2" t="s">
        <v>78</v>
      </c>
      <c r="C1203" s="414">
        <v>250</v>
      </c>
      <c r="D1203" s="422">
        <v>300</v>
      </c>
      <c r="E1203" s="414">
        <v>65</v>
      </c>
      <c r="F1203" s="414">
        <v>60</v>
      </c>
      <c r="G1203" s="21">
        <f t="shared" si="105"/>
        <v>4.6875</v>
      </c>
      <c r="H1203" s="20">
        <f t="shared" si="106"/>
        <v>4.875</v>
      </c>
      <c r="I1203" s="20">
        <f t="shared" si="107"/>
        <v>4.6879999999999997</v>
      </c>
      <c r="J1203" s="20">
        <f t="shared" si="108"/>
        <v>2.738</v>
      </c>
      <c r="K1203" s="75"/>
      <c r="L1203" s="780"/>
      <c r="M1203" s="20"/>
      <c r="N1203" s="20"/>
      <c r="O1203" s="20"/>
      <c r="P1203" s="20"/>
      <c r="Q1203" s="21"/>
      <c r="R1203" s="22"/>
      <c r="S1203" s="22"/>
      <c r="T1203" s="20"/>
      <c r="U1203" s="22"/>
      <c r="V1203" s="20"/>
    </row>
    <row r="1204" spans="1:22" ht="14.4">
      <c r="A1204" s="405" t="s">
        <v>1665</v>
      </c>
      <c r="B1204" s="2" t="s">
        <v>78</v>
      </c>
      <c r="C1204" s="415">
        <v>300</v>
      </c>
      <c r="D1204" s="421">
        <v>300</v>
      </c>
      <c r="E1204" s="415">
        <v>85</v>
      </c>
      <c r="F1204" s="415">
        <v>77</v>
      </c>
      <c r="G1204" s="21">
        <f t="shared" si="105"/>
        <v>7.29</v>
      </c>
      <c r="H1204" s="20">
        <f t="shared" si="106"/>
        <v>7.65</v>
      </c>
      <c r="I1204" s="20">
        <f t="shared" si="107"/>
        <v>7.29</v>
      </c>
      <c r="J1204" s="20">
        <f t="shared" si="108"/>
        <v>4.4470000000000001</v>
      </c>
      <c r="K1204" s="75"/>
      <c r="L1204" s="780"/>
      <c r="M1204" s="20"/>
      <c r="N1204" s="20"/>
      <c r="O1204" s="20"/>
      <c r="P1204" s="20"/>
      <c r="Q1204" s="21"/>
      <c r="R1204" s="22"/>
      <c r="S1204" s="22"/>
      <c r="T1204" s="20"/>
      <c r="U1204" s="22"/>
      <c r="V1204" s="20"/>
    </row>
    <row r="1205" spans="1:22" ht="15" thickBot="1">
      <c r="A1205" s="407" t="s">
        <v>1666</v>
      </c>
      <c r="B1205" s="2" t="s">
        <v>78</v>
      </c>
      <c r="C1205" s="416">
        <v>300</v>
      </c>
      <c r="D1205" s="425">
        <v>300</v>
      </c>
      <c r="E1205" s="416">
        <v>65</v>
      </c>
      <c r="F1205" s="416">
        <v>60</v>
      </c>
      <c r="G1205" s="21">
        <f t="shared" si="105"/>
        <v>5.625</v>
      </c>
      <c r="H1205" s="20">
        <f t="shared" si="106"/>
        <v>5.85</v>
      </c>
      <c r="I1205" s="20">
        <f t="shared" si="107"/>
        <v>5.625</v>
      </c>
      <c r="J1205" s="20">
        <f t="shared" si="108"/>
        <v>3.2850000000000001</v>
      </c>
      <c r="K1205" s="75"/>
      <c r="L1205" s="780"/>
      <c r="M1205" s="20"/>
      <c r="N1205" s="20"/>
      <c r="O1205" s="20"/>
      <c r="P1205" s="20"/>
      <c r="Q1205" s="21"/>
      <c r="R1205" s="22"/>
      <c r="S1205" s="22"/>
      <c r="T1205" s="20"/>
      <c r="U1205" s="22"/>
      <c r="V1205" s="20"/>
    </row>
    <row r="1206" spans="1:22" ht="13.8" thickBot="1">
      <c r="A1206" s="305"/>
      <c r="B1206" s="2" t="s">
        <v>78</v>
      </c>
      <c r="G1206" s="21" t="str">
        <f t="shared" si="109"/>
        <v>-</v>
      </c>
      <c r="H1206" s="20">
        <f t="shared" si="106"/>
        <v>0</v>
      </c>
      <c r="I1206" s="20" t="str">
        <f t="shared" si="107"/>
        <v>-</v>
      </c>
      <c r="J1206" s="20" t="str">
        <f t="shared" si="108"/>
        <v>-</v>
      </c>
      <c r="K1206" s="75"/>
      <c r="L1206" s="780"/>
      <c r="M1206" s="20"/>
      <c r="N1206" s="20"/>
      <c r="O1206" s="20"/>
      <c r="P1206" s="20"/>
      <c r="Q1206" s="21"/>
      <c r="R1206" s="22" t="s">
        <v>16</v>
      </c>
      <c r="S1206" s="22" t="s">
        <v>16</v>
      </c>
      <c r="T1206" s="20"/>
      <c r="U1206" s="22" t="e">
        <f>U1202</f>
        <v>#REF!</v>
      </c>
      <c r="V1206" s="20"/>
    </row>
    <row r="1207" spans="1:22" ht="14.4">
      <c r="A1207" s="400" t="s">
        <v>1667</v>
      </c>
      <c r="B1207" s="2" t="s">
        <v>78</v>
      </c>
      <c r="C1207" s="410">
        <v>160</v>
      </c>
      <c r="D1207" s="429">
        <v>250</v>
      </c>
      <c r="E1207" s="410">
        <v>85</v>
      </c>
      <c r="F1207" s="410">
        <v>77</v>
      </c>
      <c r="G1207" s="21">
        <f t="shared" si="105"/>
        <v>3.24</v>
      </c>
      <c r="H1207" s="20">
        <f t="shared" si="106"/>
        <v>3.4</v>
      </c>
      <c r="I1207" s="20">
        <f t="shared" si="107"/>
        <v>3.24</v>
      </c>
      <c r="J1207" s="20">
        <f t="shared" si="108"/>
        <v>2.0640000000000001</v>
      </c>
      <c r="K1207" s="75"/>
      <c r="L1207" s="780"/>
      <c r="M1207" s="20"/>
      <c r="N1207" s="20"/>
      <c r="O1207" s="20"/>
      <c r="P1207" s="20"/>
      <c r="Q1207" s="21"/>
      <c r="R1207" s="22" t="s">
        <v>16</v>
      </c>
      <c r="S1207" s="22" t="s">
        <v>16</v>
      </c>
      <c r="T1207" s="20"/>
      <c r="U1207" s="22" t="e">
        <f>#REF!</f>
        <v>#REF!</v>
      </c>
      <c r="V1207" s="20"/>
    </row>
    <row r="1208" spans="1:22" ht="14.4">
      <c r="A1208" s="406" t="s">
        <v>1668</v>
      </c>
      <c r="B1208" s="2" t="s">
        <v>78</v>
      </c>
      <c r="C1208" s="411">
        <v>160</v>
      </c>
      <c r="D1208" s="418">
        <v>250</v>
      </c>
      <c r="E1208" s="411">
        <v>65</v>
      </c>
      <c r="F1208" s="411">
        <v>60</v>
      </c>
      <c r="G1208" s="21">
        <f t="shared" si="105"/>
        <v>2.5</v>
      </c>
      <c r="H1208" s="20">
        <f t="shared" si="106"/>
        <v>2.6</v>
      </c>
      <c r="I1208" s="20">
        <f t="shared" si="107"/>
        <v>2.5</v>
      </c>
      <c r="J1208" s="20">
        <f t="shared" si="108"/>
        <v>1.512</v>
      </c>
      <c r="K1208" s="75"/>
      <c r="L1208" s="780"/>
      <c r="M1208" s="20"/>
      <c r="N1208" s="20"/>
      <c r="O1208" s="20"/>
      <c r="P1208" s="20"/>
      <c r="Q1208" s="21"/>
      <c r="R1208" s="22"/>
      <c r="S1208" s="22"/>
      <c r="T1208" s="20"/>
      <c r="U1208" s="22"/>
      <c r="V1208" s="20"/>
    </row>
    <row r="1209" spans="1:22" ht="14.4">
      <c r="A1209" s="399" t="s">
        <v>1669</v>
      </c>
      <c r="B1209" s="2" t="s">
        <v>78</v>
      </c>
      <c r="C1209" s="408">
        <v>180</v>
      </c>
      <c r="D1209" s="417">
        <v>250</v>
      </c>
      <c r="E1209" s="408">
        <v>85</v>
      </c>
      <c r="F1209" s="408">
        <v>77</v>
      </c>
      <c r="G1209" s="21">
        <f t="shared" si="105"/>
        <v>3.645</v>
      </c>
      <c r="H1209" s="20">
        <f t="shared" si="106"/>
        <v>3.8250000000000002</v>
      </c>
      <c r="I1209" s="20">
        <f t="shared" si="107"/>
        <v>3.645</v>
      </c>
      <c r="J1209" s="20">
        <f t="shared" si="108"/>
        <v>2.3220000000000001</v>
      </c>
      <c r="K1209" s="75"/>
      <c r="L1209" s="780"/>
      <c r="M1209" s="20"/>
      <c r="N1209" s="20"/>
      <c r="O1209" s="20"/>
      <c r="P1209" s="20"/>
      <c r="Q1209" s="21"/>
      <c r="R1209" s="22"/>
      <c r="S1209" s="22"/>
      <c r="T1209" s="20"/>
      <c r="U1209" s="22"/>
      <c r="V1209" s="20"/>
    </row>
    <row r="1210" spans="1:22" ht="14.4">
      <c r="A1210" s="399" t="s">
        <v>1670</v>
      </c>
      <c r="B1210" s="2" t="s">
        <v>78</v>
      </c>
      <c r="C1210" s="408">
        <v>180</v>
      </c>
      <c r="D1210" s="417">
        <v>250</v>
      </c>
      <c r="E1210" s="408">
        <v>65</v>
      </c>
      <c r="F1210" s="408">
        <v>60</v>
      </c>
      <c r="G1210" s="21">
        <f t="shared" si="105"/>
        <v>2.8125</v>
      </c>
      <c r="H1210" s="20">
        <f t="shared" si="106"/>
        <v>2.9249999999999998</v>
      </c>
      <c r="I1210" s="20">
        <f t="shared" si="107"/>
        <v>2.8130000000000002</v>
      </c>
      <c r="J1210" s="20">
        <f t="shared" si="108"/>
        <v>1.7010000000000001</v>
      </c>
      <c r="K1210" s="75"/>
      <c r="L1210" s="780"/>
      <c r="M1210" s="20"/>
      <c r="N1210" s="20"/>
      <c r="O1210" s="20"/>
      <c r="P1210" s="20"/>
      <c r="Q1210" s="21"/>
      <c r="R1210" s="22"/>
      <c r="S1210" s="22"/>
      <c r="T1210" s="20"/>
      <c r="U1210" s="22"/>
      <c r="V1210" s="20"/>
    </row>
    <row r="1211" spans="1:22" ht="14.4">
      <c r="A1211" s="403" t="s">
        <v>1671</v>
      </c>
      <c r="B1211" s="2" t="s">
        <v>78</v>
      </c>
      <c r="C1211" s="409">
        <v>200</v>
      </c>
      <c r="D1211" s="419">
        <v>250</v>
      </c>
      <c r="E1211" s="409">
        <v>85</v>
      </c>
      <c r="F1211" s="409">
        <v>77</v>
      </c>
      <c r="G1211" s="21">
        <f t="shared" si="105"/>
        <v>4.05</v>
      </c>
      <c r="H1211" s="20">
        <f t="shared" si="106"/>
        <v>4.25</v>
      </c>
      <c r="I1211" s="20">
        <f t="shared" si="107"/>
        <v>4.05</v>
      </c>
      <c r="J1211" s="20">
        <f t="shared" si="108"/>
        <v>2.58</v>
      </c>
      <c r="K1211" s="75"/>
      <c r="L1211" s="780"/>
      <c r="M1211" s="20"/>
      <c r="N1211" s="20"/>
      <c r="O1211" s="20"/>
      <c r="P1211" s="20"/>
      <c r="Q1211" s="21"/>
      <c r="R1211" s="22"/>
      <c r="S1211" s="22"/>
      <c r="T1211" s="20"/>
      <c r="U1211" s="22"/>
      <c r="V1211" s="20"/>
    </row>
    <row r="1212" spans="1:22" ht="14.4">
      <c r="A1212" s="403" t="s">
        <v>1672</v>
      </c>
      <c r="B1212" s="2" t="s">
        <v>78</v>
      </c>
      <c r="C1212" s="409">
        <v>200</v>
      </c>
      <c r="D1212" s="419">
        <v>250</v>
      </c>
      <c r="E1212" s="409">
        <v>65</v>
      </c>
      <c r="F1212" s="409">
        <v>60</v>
      </c>
      <c r="G1212" s="21">
        <f t="shared" si="105"/>
        <v>3.125</v>
      </c>
      <c r="H1212" s="20">
        <f t="shared" si="106"/>
        <v>3.25</v>
      </c>
      <c r="I1212" s="20">
        <f t="shared" si="107"/>
        <v>3.125</v>
      </c>
      <c r="J1212" s="20">
        <f t="shared" si="108"/>
        <v>1.89</v>
      </c>
      <c r="K1212" s="75"/>
      <c r="L1212" s="780"/>
      <c r="M1212" s="20"/>
      <c r="N1212" s="20"/>
      <c r="O1212" s="20"/>
      <c r="P1212" s="20"/>
      <c r="Q1212" s="21"/>
      <c r="R1212" s="22"/>
      <c r="S1212" s="22"/>
      <c r="T1212" s="20"/>
      <c r="U1212" s="22"/>
      <c r="V1212" s="20"/>
    </row>
    <row r="1213" spans="1:22" ht="14.4">
      <c r="A1213" s="402" t="s">
        <v>1673</v>
      </c>
      <c r="B1213" s="2" t="s">
        <v>78</v>
      </c>
      <c r="C1213" s="413">
        <v>220</v>
      </c>
      <c r="D1213" s="420">
        <v>250</v>
      </c>
      <c r="E1213" s="413">
        <v>85</v>
      </c>
      <c r="F1213" s="413">
        <v>77</v>
      </c>
      <c r="G1213" s="21">
        <f t="shared" si="105"/>
        <v>4.4550000000000001</v>
      </c>
      <c r="H1213" s="20">
        <f t="shared" si="106"/>
        <v>4.6749999999999998</v>
      </c>
      <c r="I1213" s="20">
        <f t="shared" si="107"/>
        <v>4.4550000000000001</v>
      </c>
      <c r="J1213" s="20">
        <f t="shared" si="108"/>
        <v>2.8370000000000002</v>
      </c>
      <c r="K1213" s="75"/>
      <c r="L1213" s="780"/>
      <c r="M1213" s="20"/>
      <c r="N1213" s="20"/>
      <c r="O1213" s="20"/>
      <c r="P1213" s="20"/>
      <c r="Q1213" s="21"/>
      <c r="R1213" s="22"/>
      <c r="S1213" s="22"/>
      <c r="T1213" s="20"/>
      <c r="U1213" s="22"/>
      <c r="V1213" s="20"/>
    </row>
    <row r="1214" spans="1:22" ht="14.4">
      <c r="A1214" s="402" t="s">
        <v>1674</v>
      </c>
      <c r="B1214" s="2" t="s">
        <v>78</v>
      </c>
      <c r="C1214" s="413">
        <v>220</v>
      </c>
      <c r="D1214" s="420">
        <v>250</v>
      </c>
      <c r="E1214" s="413">
        <v>65</v>
      </c>
      <c r="F1214" s="413">
        <v>60</v>
      </c>
      <c r="G1214" s="21">
        <f t="shared" si="105"/>
        <v>3.4375</v>
      </c>
      <c r="H1214" s="20">
        <f t="shared" si="106"/>
        <v>3.5750000000000002</v>
      </c>
      <c r="I1214" s="20">
        <f t="shared" si="107"/>
        <v>3.4380000000000002</v>
      </c>
      <c r="J1214" s="20">
        <f t="shared" si="108"/>
        <v>2.0790000000000002</v>
      </c>
      <c r="K1214" s="75"/>
      <c r="L1214" s="780"/>
      <c r="M1214" s="20"/>
      <c r="N1214" s="20"/>
      <c r="O1214" s="20"/>
      <c r="P1214" s="20"/>
      <c r="Q1214" s="21"/>
      <c r="R1214" s="22"/>
      <c r="S1214" s="22"/>
      <c r="T1214" s="20"/>
      <c r="U1214" s="22"/>
      <c r="V1214" s="20"/>
    </row>
    <row r="1215" spans="1:22" ht="14.4">
      <c r="A1215" s="404" t="s">
        <v>1675</v>
      </c>
      <c r="B1215" s="2" t="s">
        <v>78</v>
      </c>
      <c r="C1215" s="414">
        <v>250</v>
      </c>
      <c r="D1215" s="422">
        <v>250</v>
      </c>
      <c r="E1215" s="414">
        <v>85</v>
      </c>
      <c r="F1215" s="414">
        <v>77</v>
      </c>
      <c r="G1215" s="21">
        <f t="shared" si="105"/>
        <v>5.0625</v>
      </c>
      <c r="H1215" s="20">
        <f t="shared" si="106"/>
        <v>5.3129999999999997</v>
      </c>
      <c r="I1215" s="20">
        <f t="shared" si="107"/>
        <v>5.0629999999999997</v>
      </c>
      <c r="J1215" s="20">
        <f t="shared" si="108"/>
        <v>3.2240000000000002</v>
      </c>
      <c r="K1215" s="75"/>
      <c r="L1215" s="780"/>
      <c r="M1215" s="20"/>
      <c r="N1215" s="20"/>
      <c r="O1215" s="20"/>
      <c r="P1215" s="20"/>
      <c r="Q1215" s="21"/>
      <c r="R1215" s="22"/>
      <c r="S1215" s="22"/>
      <c r="T1215" s="20"/>
      <c r="U1215" s="22"/>
      <c r="V1215" s="20"/>
    </row>
    <row r="1216" spans="1:22" ht="14.4">
      <c r="A1216" s="404" t="s">
        <v>1676</v>
      </c>
      <c r="B1216" s="2" t="s">
        <v>78</v>
      </c>
      <c r="C1216" s="414">
        <v>250</v>
      </c>
      <c r="D1216" s="422">
        <v>250</v>
      </c>
      <c r="E1216" s="414">
        <v>65</v>
      </c>
      <c r="F1216" s="414">
        <v>60</v>
      </c>
      <c r="G1216" s="21">
        <f t="shared" si="105"/>
        <v>3.90625</v>
      </c>
      <c r="H1216" s="20">
        <f t="shared" si="106"/>
        <v>4.0629999999999997</v>
      </c>
      <c r="I1216" s="20">
        <f t="shared" si="107"/>
        <v>3.9060000000000001</v>
      </c>
      <c r="J1216" s="20">
        <f t="shared" si="108"/>
        <v>2.363</v>
      </c>
      <c r="K1216" s="75"/>
      <c r="L1216" s="780"/>
      <c r="M1216" s="20"/>
      <c r="N1216" s="20"/>
      <c r="O1216" s="20"/>
      <c r="P1216" s="20"/>
      <c r="Q1216" s="21"/>
      <c r="R1216" s="22"/>
      <c r="S1216" s="22"/>
      <c r="T1216" s="20"/>
      <c r="U1216" s="22"/>
      <c r="V1216" s="20"/>
    </row>
    <row r="1217" spans="1:22" ht="14.4">
      <c r="A1217" s="405" t="s">
        <v>1677</v>
      </c>
      <c r="B1217" s="2" t="s">
        <v>78</v>
      </c>
      <c r="C1217" s="415">
        <v>300</v>
      </c>
      <c r="D1217" s="421">
        <v>250</v>
      </c>
      <c r="E1217" s="415">
        <v>85</v>
      </c>
      <c r="F1217" s="415">
        <v>77</v>
      </c>
      <c r="G1217" s="21">
        <f t="shared" si="105"/>
        <v>6.0750000000000002</v>
      </c>
      <c r="H1217" s="20">
        <f t="shared" si="106"/>
        <v>6.375</v>
      </c>
      <c r="I1217" s="20">
        <f t="shared" si="107"/>
        <v>6.0750000000000002</v>
      </c>
      <c r="J1217" s="20">
        <f t="shared" si="108"/>
        <v>3.8690000000000002</v>
      </c>
      <c r="K1217" s="75"/>
      <c r="L1217" s="780"/>
      <c r="M1217" s="20"/>
      <c r="N1217" s="20"/>
      <c r="O1217" s="20"/>
      <c r="P1217" s="20"/>
      <c r="Q1217" s="21"/>
      <c r="R1217" s="22"/>
      <c r="S1217" s="22"/>
      <c r="T1217" s="20"/>
      <c r="U1217" s="22"/>
      <c r="V1217" s="20"/>
    </row>
    <row r="1218" spans="1:22" ht="15" thickBot="1">
      <c r="A1218" s="407" t="s">
        <v>1678</v>
      </c>
      <c r="B1218" s="2" t="s">
        <v>78</v>
      </c>
      <c r="C1218" s="416">
        <v>300</v>
      </c>
      <c r="D1218" s="425">
        <v>250</v>
      </c>
      <c r="E1218" s="416">
        <v>65</v>
      </c>
      <c r="F1218" s="416">
        <v>60</v>
      </c>
      <c r="G1218" s="21">
        <f t="shared" si="105"/>
        <v>4.6875</v>
      </c>
      <c r="H1218" s="20">
        <f t="shared" si="106"/>
        <v>4.875</v>
      </c>
      <c r="I1218" s="20">
        <f t="shared" si="107"/>
        <v>4.6879999999999997</v>
      </c>
      <c r="J1218" s="20">
        <f t="shared" si="108"/>
        <v>2.835</v>
      </c>
      <c r="K1218" s="75"/>
      <c r="L1218" s="780"/>
      <c r="M1218" s="20"/>
      <c r="N1218" s="20"/>
      <c r="O1218" s="20"/>
      <c r="P1218" s="20"/>
      <c r="Q1218" s="21"/>
      <c r="R1218" s="22"/>
      <c r="S1218" s="22"/>
      <c r="T1218" s="20"/>
      <c r="U1218" s="22"/>
      <c r="V1218" s="20"/>
    </row>
    <row r="1219" spans="1:22">
      <c r="A1219" s="76"/>
      <c r="G1219" s="21"/>
      <c r="H1219" s="20"/>
      <c r="I1219" s="20"/>
      <c r="J1219" s="20"/>
      <c r="K1219" s="75"/>
      <c r="L1219" s="780"/>
      <c r="M1219" s="20"/>
      <c r="N1219" s="20"/>
      <c r="O1219" s="20"/>
      <c r="P1219" s="20"/>
      <c r="Q1219" s="21"/>
      <c r="R1219" s="22"/>
      <c r="S1219" s="22"/>
      <c r="T1219" s="20"/>
      <c r="U1219" s="22"/>
      <c r="V1219" s="20"/>
    </row>
    <row r="1220" spans="1:22" ht="13.8" thickBot="1">
      <c r="A1220" s="76"/>
      <c r="G1220" s="21"/>
      <c r="H1220" s="20"/>
      <c r="I1220" s="20"/>
      <c r="J1220" s="20"/>
      <c r="K1220" s="75"/>
      <c r="L1220" s="780"/>
      <c r="M1220" s="20"/>
      <c r="N1220" s="20"/>
      <c r="O1220" s="20"/>
      <c r="P1220" s="20"/>
      <c r="Q1220" s="21"/>
      <c r="R1220" s="22"/>
      <c r="S1220" s="22"/>
      <c r="T1220" s="20"/>
      <c r="U1220" s="22"/>
      <c r="V1220" s="20"/>
    </row>
    <row r="1221" spans="1:22" ht="25.2" thickBot="1">
      <c r="A1221" s="64" t="s">
        <v>1591</v>
      </c>
      <c r="B1221" s="92"/>
      <c r="C1221" s="70"/>
      <c r="D1221" s="70"/>
      <c r="E1221" s="70"/>
      <c r="F1221" s="70"/>
      <c r="G1221" s="105"/>
      <c r="H1221" s="71"/>
      <c r="I1221" s="71"/>
      <c r="J1221" s="71"/>
      <c r="K1221" s="71"/>
      <c r="L1221" s="780"/>
      <c r="M1221" s="20"/>
      <c r="N1221" s="20"/>
      <c r="O1221" s="20"/>
      <c r="P1221" s="20"/>
      <c r="Q1221" s="21"/>
      <c r="R1221" s="22"/>
      <c r="S1221" s="22"/>
      <c r="T1221" s="33"/>
      <c r="U1221" s="22"/>
      <c r="V1221" s="20"/>
    </row>
    <row r="1222" spans="1:22" s="306" customFormat="1" ht="14.4">
      <c r="A1222" s="563">
        <v>1510</v>
      </c>
      <c r="B1222" s="2" t="s">
        <v>77</v>
      </c>
      <c r="C1222" s="564">
        <v>100</v>
      </c>
      <c r="D1222" s="565">
        <v>198</v>
      </c>
      <c r="E1222" s="564">
        <v>103</v>
      </c>
      <c r="F1222" s="564">
        <v>89.2</v>
      </c>
      <c r="G1222" s="21">
        <f t="shared" ref="G1222:G1285" si="110">IF(B1222="","",AVERAGE(E1222:F1222)*D1222*C1222/10^6)</f>
        <v>1.9027799999999999</v>
      </c>
      <c r="H1222" s="20">
        <f t="shared" ref="H1222:H1285" si="111">ROUND(C1222*D1222*E1222/10^6,3)</f>
        <v>2.0390000000000001</v>
      </c>
      <c r="I1222" s="20">
        <f t="shared" ref="I1222:I1285" si="112">IF(F1222="","-",ROUND((E1222+F1222)*C1222/2*D1222/10^6,3))</f>
        <v>1.903</v>
      </c>
      <c r="J1222" s="20">
        <f t="shared" ref="J1222:J1285" si="113">IF(F1222="","-",ROUND((D1222+E1222)*C1222/2*F1222/10^6,3))</f>
        <v>1.3420000000000001</v>
      </c>
      <c r="K1222" s="75"/>
      <c r="L1222" s="780"/>
      <c r="M1222" s="20"/>
      <c r="N1222" s="20"/>
      <c r="O1222" s="20"/>
      <c r="P1222" s="20"/>
      <c r="Q1222" s="21"/>
      <c r="R1222" s="22" t="s">
        <v>16</v>
      </c>
      <c r="S1222" s="22" t="s">
        <v>16</v>
      </c>
      <c r="T1222" s="20"/>
      <c r="U1222" s="22" t="e">
        <f>#REF!</f>
        <v>#REF!</v>
      </c>
      <c r="V1222" s="20"/>
    </row>
    <row r="1223" spans="1:22" s="306" customFormat="1" ht="14.4">
      <c r="A1223" s="563">
        <v>210</v>
      </c>
      <c r="B1223" s="2" t="s">
        <v>77</v>
      </c>
      <c r="C1223" s="564">
        <v>100</v>
      </c>
      <c r="D1223" s="565">
        <v>198</v>
      </c>
      <c r="E1223" s="564">
        <v>103</v>
      </c>
      <c r="F1223" s="564">
        <v>92.5</v>
      </c>
      <c r="G1223" s="21">
        <f t="shared" si="110"/>
        <v>1.9354499999999999</v>
      </c>
      <c r="H1223" s="20">
        <f t="shared" si="111"/>
        <v>2.0390000000000001</v>
      </c>
      <c r="I1223" s="20">
        <f t="shared" si="112"/>
        <v>1.9350000000000001</v>
      </c>
      <c r="J1223" s="20">
        <f t="shared" si="113"/>
        <v>1.3919999999999999</v>
      </c>
      <c r="K1223" s="75"/>
      <c r="L1223" s="780"/>
      <c r="M1223" s="20"/>
      <c r="N1223" s="20"/>
      <c r="O1223" s="20"/>
      <c r="P1223" s="20"/>
      <c r="Q1223" s="21"/>
      <c r="R1223" s="22" t="s">
        <v>16</v>
      </c>
      <c r="S1223" s="22" t="s">
        <v>16</v>
      </c>
      <c r="T1223" s="20"/>
      <c r="U1223" s="22" t="e">
        <f>#REF!</f>
        <v>#REF!</v>
      </c>
      <c r="V1223" s="20"/>
    </row>
    <row r="1224" spans="1:22" s="306" customFormat="1" ht="14.4">
      <c r="A1224" s="563">
        <v>310</v>
      </c>
      <c r="B1224" s="2" t="s">
        <v>77</v>
      </c>
      <c r="C1224" s="564">
        <v>100</v>
      </c>
      <c r="D1224" s="565">
        <v>198</v>
      </c>
      <c r="E1224" s="564">
        <v>103</v>
      </c>
      <c r="F1224" s="564">
        <v>96</v>
      </c>
      <c r="G1224" s="21">
        <f t="shared" si="110"/>
        <v>1.9701</v>
      </c>
      <c r="H1224" s="20">
        <f t="shared" si="111"/>
        <v>2.0390000000000001</v>
      </c>
      <c r="I1224" s="20">
        <f t="shared" si="112"/>
        <v>1.97</v>
      </c>
      <c r="J1224" s="20">
        <f t="shared" si="113"/>
        <v>1.4450000000000001</v>
      </c>
      <c r="K1224" s="75"/>
      <c r="L1224" s="780"/>
      <c r="M1224" s="20"/>
      <c r="N1224" s="20"/>
      <c r="O1224" s="20"/>
      <c r="P1224" s="20"/>
      <c r="Q1224" s="21"/>
      <c r="R1224" s="22" t="s">
        <v>16</v>
      </c>
      <c r="S1224" s="22" t="s">
        <v>16</v>
      </c>
      <c r="T1224" s="20"/>
      <c r="U1224" s="22" t="e">
        <f>#REF!</f>
        <v>#REF!</v>
      </c>
      <c r="V1224" s="20"/>
    </row>
    <row r="1225" spans="1:22" s="306" customFormat="1" ht="14.4">
      <c r="A1225" s="566" t="s">
        <v>2140</v>
      </c>
      <c r="B1225" s="2" t="s">
        <v>77</v>
      </c>
      <c r="C1225" s="564">
        <v>100</v>
      </c>
      <c r="D1225" s="565">
        <v>198</v>
      </c>
      <c r="E1225" s="564">
        <v>71</v>
      </c>
      <c r="F1225" s="564">
        <v>64</v>
      </c>
      <c r="G1225" s="21">
        <f t="shared" si="110"/>
        <v>1.3365</v>
      </c>
      <c r="H1225" s="20">
        <f t="shared" si="111"/>
        <v>1.4059999999999999</v>
      </c>
      <c r="I1225" s="20">
        <f t="shared" si="112"/>
        <v>1.337</v>
      </c>
      <c r="J1225" s="20">
        <f t="shared" si="113"/>
        <v>0.86099999999999999</v>
      </c>
      <c r="K1225" s="75"/>
      <c r="L1225" s="780"/>
      <c r="M1225" s="20"/>
      <c r="N1225" s="20"/>
      <c r="O1225" s="20"/>
      <c r="P1225" s="20"/>
      <c r="Q1225" s="21"/>
      <c r="R1225" s="22" t="s">
        <v>16</v>
      </c>
      <c r="S1225" s="22" t="s">
        <v>16</v>
      </c>
      <c r="T1225" s="20"/>
      <c r="U1225" s="22" t="e">
        <f>#REF!</f>
        <v>#REF!</v>
      </c>
      <c r="V1225" s="20"/>
    </row>
    <row r="1226" spans="1:22" s="306" customFormat="1" ht="14.4">
      <c r="A1226" s="566" t="s">
        <v>2141</v>
      </c>
      <c r="B1226" s="2" t="s">
        <v>77</v>
      </c>
      <c r="C1226" s="564">
        <v>100</v>
      </c>
      <c r="D1226" s="565">
        <v>198</v>
      </c>
      <c r="E1226" s="564">
        <v>78</v>
      </c>
      <c r="F1226" s="564">
        <v>71</v>
      </c>
      <c r="G1226" s="21">
        <f t="shared" si="110"/>
        <v>1.4751000000000001</v>
      </c>
      <c r="H1226" s="20">
        <f t="shared" si="111"/>
        <v>1.544</v>
      </c>
      <c r="I1226" s="20">
        <f t="shared" si="112"/>
        <v>1.4750000000000001</v>
      </c>
      <c r="J1226" s="20">
        <f t="shared" si="113"/>
        <v>0.98</v>
      </c>
      <c r="K1226" s="75"/>
      <c r="L1226" s="780"/>
      <c r="M1226" s="20"/>
      <c r="N1226" s="20"/>
      <c r="O1226" s="20"/>
      <c r="P1226" s="20"/>
      <c r="Q1226" s="21"/>
      <c r="R1226" s="22" t="s">
        <v>16</v>
      </c>
      <c r="S1226" s="22" t="s">
        <v>16</v>
      </c>
      <c r="T1226" s="20"/>
      <c r="U1226" s="22" t="e">
        <f>#REF!</f>
        <v>#REF!</v>
      </c>
      <c r="V1226" s="20"/>
    </row>
    <row r="1227" spans="1:22" s="306" customFormat="1" ht="14.4">
      <c r="A1227" s="567">
        <v>111</v>
      </c>
      <c r="B1227" s="2" t="s">
        <v>77</v>
      </c>
      <c r="C1227" s="568">
        <v>114</v>
      </c>
      <c r="D1227" s="569">
        <v>198</v>
      </c>
      <c r="E1227" s="568">
        <v>103</v>
      </c>
      <c r="F1227" s="568">
        <v>79.5</v>
      </c>
      <c r="G1227" s="21">
        <f t="shared" si="110"/>
        <v>2.0596950000000001</v>
      </c>
      <c r="H1227" s="20">
        <f t="shared" si="111"/>
        <v>2.3250000000000002</v>
      </c>
      <c r="I1227" s="20">
        <f t="shared" si="112"/>
        <v>2.06</v>
      </c>
      <c r="J1227" s="20">
        <f t="shared" si="113"/>
        <v>1.3640000000000001</v>
      </c>
      <c r="K1227" s="75"/>
      <c r="L1227" s="780"/>
      <c r="M1227" s="20"/>
      <c r="N1227" s="20"/>
      <c r="O1227" s="20"/>
      <c r="P1227" s="20"/>
      <c r="Q1227" s="21"/>
      <c r="R1227" s="22" t="s">
        <v>16</v>
      </c>
      <c r="S1227" s="22" t="s">
        <v>16</v>
      </c>
      <c r="T1227" s="20"/>
      <c r="U1227" s="22" t="e">
        <f>#REF!</f>
        <v>#REF!</v>
      </c>
      <c r="V1227" s="20"/>
    </row>
    <row r="1228" spans="1:22" s="306" customFormat="1" ht="14.4">
      <c r="A1228" s="567">
        <v>1511</v>
      </c>
      <c r="B1228" s="2" t="s">
        <v>77</v>
      </c>
      <c r="C1228" s="568">
        <v>114</v>
      </c>
      <c r="D1228" s="569">
        <v>198</v>
      </c>
      <c r="E1228" s="568">
        <v>103</v>
      </c>
      <c r="F1228" s="568">
        <v>87</v>
      </c>
      <c r="G1228" s="21">
        <f t="shared" si="110"/>
        <v>2.1443400000000001</v>
      </c>
      <c r="H1228" s="20">
        <f t="shared" si="111"/>
        <v>2.3250000000000002</v>
      </c>
      <c r="I1228" s="20">
        <f t="shared" si="112"/>
        <v>2.1440000000000001</v>
      </c>
      <c r="J1228" s="20">
        <f t="shared" si="113"/>
        <v>1.4930000000000001</v>
      </c>
      <c r="K1228" s="75"/>
      <c r="L1228" s="780"/>
      <c r="M1228" s="20"/>
      <c r="N1228" s="20"/>
      <c r="O1228" s="20"/>
      <c r="P1228" s="20"/>
      <c r="Q1228" s="21"/>
      <c r="R1228" s="22" t="s">
        <v>16</v>
      </c>
      <c r="S1228" s="22" t="s">
        <v>16</v>
      </c>
      <c r="T1228" s="20"/>
      <c r="U1228" s="22" t="e">
        <f>#REF!</f>
        <v>#REF!</v>
      </c>
      <c r="V1228" s="20"/>
    </row>
    <row r="1229" spans="1:22" s="306" customFormat="1" ht="14.4">
      <c r="A1229" s="567">
        <v>211</v>
      </c>
      <c r="B1229" s="2" t="s">
        <v>77</v>
      </c>
      <c r="C1229" s="568">
        <v>114</v>
      </c>
      <c r="D1229" s="569">
        <v>198</v>
      </c>
      <c r="E1229" s="568">
        <v>103</v>
      </c>
      <c r="F1229" s="568">
        <v>91</v>
      </c>
      <c r="G1229" s="21">
        <f t="shared" si="110"/>
        <v>2.1894840000000002</v>
      </c>
      <c r="H1229" s="20">
        <f t="shared" si="111"/>
        <v>2.3250000000000002</v>
      </c>
      <c r="I1229" s="20">
        <f t="shared" si="112"/>
        <v>2.1890000000000001</v>
      </c>
      <c r="J1229" s="20">
        <f t="shared" si="113"/>
        <v>1.5609999999999999</v>
      </c>
      <c r="K1229" s="75"/>
      <c r="L1229" s="780"/>
      <c r="M1229" s="20"/>
      <c r="N1229" s="20"/>
      <c r="O1229" s="20"/>
      <c r="P1229" s="20"/>
      <c r="Q1229" s="21"/>
      <c r="R1229" s="22" t="s">
        <v>16</v>
      </c>
      <c r="S1229" s="22" t="s">
        <v>16</v>
      </c>
      <c r="T1229" s="20"/>
      <c r="U1229" s="22" t="e">
        <f>#REF!</f>
        <v>#REF!</v>
      </c>
      <c r="V1229" s="20"/>
    </row>
    <row r="1230" spans="1:22" s="306" customFormat="1" ht="14.4">
      <c r="A1230" s="570">
        <v>311</v>
      </c>
      <c r="B1230" s="2" t="s">
        <v>77</v>
      </c>
      <c r="C1230" s="571">
        <v>114</v>
      </c>
      <c r="D1230" s="572">
        <v>198</v>
      </c>
      <c r="E1230" s="571">
        <v>103</v>
      </c>
      <c r="F1230" s="571">
        <v>95</v>
      </c>
      <c r="G1230" s="21">
        <f t="shared" si="110"/>
        <v>2.2346279999999998</v>
      </c>
      <c r="H1230" s="20">
        <f t="shared" si="111"/>
        <v>2.3250000000000002</v>
      </c>
      <c r="I1230" s="20">
        <f t="shared" si="112"/>
        <v>2.2349999999999999</v>
      </c>
      <c r="J1230" s="20">
        <f t="shared" si="113"/>
        <v>1.63</v>
      </c>
      <c r="K1230" s="75"/>
      <c r="L1230" s="780"/>
      <c r="M1230" s="20"/>
      <c r="N1230" s="20"/>
      <c r="O1230" s="20"/>
      <c r="P1230" s="20"/>
      <c r="Q1230" s="21"/>
      <c r="R1230" s="22" t="s">
        <v>16</v>
      </c>
      <c r="S1230" s="22" t="s">
        <v>16</v>
      </c>
      <c r="T1230" s="20"/>
      <c r="U1230" s="22" t="e">
        <f t="shared" ref="U1230:U1237" si="114">U1229</f>
        <v>#REF!</v>
      </c>
      <c r="V1230" s="20"/>
    </row>
    <row r="1231" spans="1:22" s="306" customFormat="1" ht="14.4">
      <c r="A1231" s="570">
        <v>411</v>
      </c>
      <c r="B1231" s="2" t="s">
        <v>77</v>
      </c>
      <c r="C1231" s="571">
        <v>114</v>
      </c>
      <c r="D1231" s="572">
        <v>198</v>
      </c>
      <c r="E1231" s="571">
        <v>103</v>
      </c>
      <c r="F1231" s="571">
        <v>97</v>
      </c>
      <c r="G1231" s="21">
        <f t="shared" si="110"/>
        <v>2.2572000000000001</v>
      </c>
      <c r="H1231" s="20">
        <f t="shared" si="111"/>
        <v>2.3250000000000002</v>
      </c>
      <c r="I1231" s="20">
        <f t="shared" si="112"/>
        <v>2.2570000000000001</v>
      </c>
      <c r="J1231" s="20">
        <f t="shared" si="113"/>
        <v>1.6639999999999999</v>
      </c>
      <c r="K1231" s="75"/>
      <c r="L1231" s="780"/>
      <c r="M1231" s="20"/>
      <c r="N1231" s="20"/>
      <c r="O1231" s="20"/>
      <c r="P1231" s="20"/>
      <c r="Q1231" s="21"/>
      <c r="R1231" s="22" t="s">
        <v>16</v>
      </c>
      <c r="S1231" s="22" t="s">
        <v>16</v>
      </c>
      <c r="T1231" s="20"/>
      <c r="U1231" s="22" t="e">
        <f t="shared" si="114"/>
        <v>#REF!</v>
      </c>
      <c r="V1231" s="20"/>
    </row>
    <row r="1232" spans="1:22" s="306" customFormat="1" ht="14.4">
      <c r="A1232" s="570">
        <v>511</v>
      </c>
      <c r="B1232" s="2" t="s">
        <v>77</v>
      </c>
      <c r="C1232" s="571">
        <v>114</v>
      </c>
      <c r="D1232" s="572">
        <v>198</v>
      </c>
      <c r="E1232" s="571">
        <v>103</v>
      </c>
      <c r="F1232" s="571">
        <v>98</v>
      </c>
      <c r="G1232" s="21">
        <f t="shared" si="110"/>
        <v>2.2684859999999998</v>
      </c>
      <c r="H1232" s="20">
        <f t="shared" si="111"/>
        <v>2.3250000000000002</v>
      </c>
      <c r="I1232" s="20">
        <f t="shared" si="112"/>
        <v>2.2679999999999998</v>
      </c>
      <c r="J1232" s="20">
        <f t="shared" si="113"/>
        <v>1.681</v>
      </c>
      <c r="K1232" s="75"/>
      <c r="L1232" s="780"/>
      <c r="M1232" s="20"/>
      <c r="N1232" s="20"/>
      <c r="O1232" s="20"/>
      <c r="P1232" s="20"/>
      <c r="Q1232" s="21"/>
      <c r="R1232" s="22" t="s">
        <v>16</v>
      </c>
      <c r="S1232" s="22" t="s">
        <v>16</v>
      </c>
      <c r="T1232" s="20"/>
      <c r="U1232" s="22" t="e">
        <f t="shared" si="114"/>
        <v>#REF!</v>
      </c>
      <c r="V1232" s="20"/>
    </row>
    <row r="1233" spans="1:22" s="306" customFormat="1" ht="14.4">
      <c r="A1233" s="570">
        <v>611</v>
      </c>
      <c r="B1233" s="2" t="s">
        <v>77</v>
      </c>
      <c r="C1233" s="571">
        <v>114</v>
      </c>
      <c r="D1233" s="572">
        <v>198</v>
      </c>
      <c r="E1233" s="571">
        <v>103</v>
      </c>
      <c r="F1233" s="571">
        <v>99</v>
      </c>
      <c r="G1233" s="21">
        <f t="shared" si="110"/>
        <v>2.2797719999999999</v>
      </c>
      <c r="H1233" s="20">
        <f t="shared" si="111"/>
        <v>2.3250000000000002</v>
      </c>
      <c r="I1233" s="20">
        <f t="shared" si="112"/>
        <v>2.2799999999999998</v>
      </c>
      <c r="J1233" s="20">
        <f t="shared" si="113"/>
        <v>1.6990000000000001</v>
      </c>
      <c r="K1233" s="75"/>
      <c r="L1233" s="780"/>
      <c r="M1233" s="20"/>
      <c r="N1233" s="20"/>
      <c r="O1233" s="20"/>
      <c r="P1233" s="20"/>
      <c r="Q1233" s="21"/>
      <c r="R1233" s="22" t="s">
        <v>16</v>
      </c>
      <c r="S1233" s="22" t="s">
        <v>16</v>
      </c>
      <c r="T1233" s="20"/>
      <c r="U1233" s="22" t="e">
        <f t="shared" si="114"/>
        <v>#REF!</v>
      </c>
      <c r="V1233" s="20"/>
    </row>
    <row r="1234" spans="1:22" s="306" customFormat="1" ht="14.4">
      <c r="A1234" s="570">
        <v>811</v>
      </c>
      <c r="B1234" s="2" t="s">
        <v>77</v>
      </c>
      <c r="C1234" s="571">
        <v>114</v>
      </c>
      <c r="D1234" s="572">
        <v>198</v>
      </c>
      <c r="E1234" s="571">
        <v>103</v>
      </c>
      <c r="F1234" s="571">
        <v>100</v>
      </c>
      <c r="G1234" s="21">
        <f t="shared" si="110"/>
        <v>2.291058</v>
      </c>
      <c r="H1234" s="20">
        <f t="shared" si="111"/>
        <v>2.3250000000000002</v>
      </c>
      <c r="I1234" s="20">
        <f t="shared" si="112"/>
        <v>2.2909999999999999</v>
      </c>
      <c r="J1234" s="20">
        <f t="shared" si="113"/>
        <v>1.716</v>
      </c>
      <c r="K1234" s="75"/>
      <c r="L1234" s="780"/>
      <c r="M1234" s="20"/>
      <c r="N1234" s="20"/>
      <c r="O1234" s="20"/>
      <c r="P1234" s="20"/>
      <c r="Q1234" s="21"/>
      <c r="R1234" s="22" t="s">
        <v>16</v>
      </c>
      <c r="S1234" s="22" t="s">
        <v>16</v>
      </c>
      <c r="T1234" s="20"/>
      <c r="U1234" s="22" t="e">
        <f t="shared" si="114"/>
        <v>#REF!</v>
      </c>
      <c r="V1234" s="20"/>
    </row>
    <row r="1235" spans="1:22" s="306" customFormat="1" ht="14.4">
      <c r="A1235" s="573">
        <v>1512</v>
      </c>
      <c r="B1235" s="2" t="s">
        <v>77</v>
      </c>
      <c r="C1235" s="574">
        <v>120</v>
      </c>
      <c r="D1235" s="575">
        <v>198</v>
      </c>
      <c r="E1235" s="574">
        <v>103</v>
      </c>
      <c r="F1235" s="574">
        <v>86.5</v>
      </c>
      <c r="G1235" s="21">
        <f t="shared" si="110"/>
        <v>2.2512599999999998</v>
      </c>
      <c r="H1235" s="20">
        <f t="shared" si="111"/>
        <v>2.4470000000000001</v>
      </c>
      <c r="I1235" s="20">
        <f t="shared" si="112"/>
        <v>2.2509999999999999</v>
      </c>
      <c r="J1235" s="20">
        <f t="shared" si="113"/>
        <v>1.5620000000000001</v>
      </c>
      <c r="K1235" s="75"/>
      <c r="L1235" s="780"/>
      <c r="M1235" s="20"/>
      <c r="N1235" s="20"/>
      <c r="O1235" s="20"/>
      <c r="P1235" s="20"/>
      <c r="Q1235" s="21"/>
      <c r="R1235" s="22" t="s">
        <v>16</v>
      </c>
      <c r="S1235" s="22" t="s">
        <v>16</v>
      </c>
      <c r="T1235" s="20"/>
      <c r="U1235" s="22" t="e">
        <f>#REF!</f>
        <v>#REF!</v>
      </c>
      <c r="V1235" s="20"/>
    </row>
    <row r="1236" spans="1:22" s="306" customFormat="1" ht="14.4">
      <c r="A1236" s="573">
        <v>212</v>
      </c>
      <c r="B1236" s="2" t="s">
        <v>77</v>
      </c>
      <c r="C1236" s="574">
        <v>120</v>
      </c>
      <c r="D1236" s="575">
        <v>198</v>
      </c>
      <c r="E1236" s="574">
        <v>103</v>
      </c>
      <c r="F1236" s="574">
        <v>90.3</v>
      </c>
      <c r="G1236" s="21">
        <f t="shared" si="110"/>
        <v>2.2964039999999999</v>
      </c>
      <c r="H1236" s="20">
        <f t="shared" si="111"/>
        <v>2.4470000000000001</v>
      </c>
      <c r="I1236" s="20">
        <f t="shared" si="112"/>
        <v>2.2959999999999998</v>
      </c>
      <c r="J1236" s="20">
        <f t="shared" si="113"/>
        <v>1.631</v>
      </c>
      <c r="K1236" s="75"/>
      <c r="L1236" s="780"/>
      <c r="M1236" s="20"/>
      <c r="N1236" s="20"/>
      <c r="O1236" s="20"/>
      <c r="P1236" s="20"/>
      <c r="Q1236" s="21"/>
      <c r="R1236" s="22" t="s">
        <v>16</v>
      </c>
      <c r="S1236" s="22" t="s">
        <v>16</v>
      </c>
      <c r="T1236" s="20"/>
      <c r="U1236" s="22" t="e">
        <f>#REF!</f>
        <v>#REF!</v>
      </c>
      <c r="V1236" s="20"/>
    </row>
    <row r="1237" spans="1:22" s="306" customFormat="1" ht="14.4">
      <c r="A1237" s="576">
        <v>312</v>
      </c>
      <c r="B1237" s="2" t="s">
        <v>77</v>
      </c>
      <c r="C1237" s="577">
        <v>120</v>
      </c>
      <c r="D1237" s="578">
        <v>198</v>
      </c>
      <c r="E1237" s="577">
        <v>103</v>
      </c>
      <c r="F1237" s="577">
        <v>94.7</v>
      </c>
      <c r="G1237" s="21">
        <f t="shared" si="110"/>
        <v>2.3486760000000002</v>
      </c>
      <c r="H1237" s="20">
        <f t="shared" si="111"/>
        <v>2.4470000000000001</v>
      </c>
      <c r="I1237" s="20">
        <f t="shared" si="112"/>
        <v>2.3490000000000002</v>
      </c>
      <c r="J1237" s="20">
        <f t="shared" si="113"/>
        <v>1.71</v>
      </c>
      <c r="K1237" s="75"/>
      <c r="L1237" s="780"/>
      <c r="M1237" s="20"/>
      <c r="N1237" s="20"/>
      <c r="O1237" s="20"/>
      <c r="P1237" s="20"/>
      <c r="Q1237" s="21"/>
      <c r="R1237" s="22" t="s">
        <v>16</v>
      </c>
      <c r="S1237" s="22" t="s">
        <v>16</v>
      </c>
      <c r="T1237" s="20"/>
      <c r="U1237" s="22" t="e">
        <f t="shared" si="114"/>
        <v>#REF!</v>
      </c>
      <c r="V1237" s="20"/>
    </row>
    <row r="1238" spans="1:22" s="306" customFormat="1" ht="14.4">
      <c r="A1238" s="579" t="s">
        <v>2142</v>
      </c>
      <c r="B1238" s="2" t="s">
        <v>77</v>
      </c>
      <c r="C1238" s="577">
        <v>120</v>
      </c>
      <c r="D1238" s="578">
        <v>198</v>
      </c>
      <c r="E1238" s="577">
        <v>71</v>
      </c>
      <c r="F1238" s="577">
        <v>63</v>
      </c>
      <c r="G1238" s="21">
        <f t="shared" si="110"/>
        <v>1.59192</v>
      </c>
      <c r="H1238" s="20">
        <f t="shared" si="111"/>
        <v>1.6870000000000001</v>
      </c>
      <c r="I1238" s="20">
        <f t="shared" si="112"/>
        <v>1.5920000000000001</v>
      </c>
      <c r="J1238" s="20">
        <f t="shared" si="113"/>
        <v>1.0169999999999999</v>
      </c>
      <c r="K1238" s="75"/>
      <c r="L1238" s="780"/>
      <c r="M1238" s="20"/>
      <c r="N1238" s="20"/>
      <c r="O1238" s="20"/>
      <c r="P1238" s="20"/>
      <c r="Q1238" s="21"/>
      <c r="R1238" s="22" t="s">
        <v>16</v>
      </c>
      <c r="S1238" s="22" t="s">
        <v>16</v>
      </c>
      <c r="T1238" s="20"/>
      <c r="U1238" s="22" t="e">
        <f>#REF!</f>
        <v>#REF!</v>
      </c>
      <c r="V1238" s="20"/>
    </row>
    <row r="1239" spans="1:22" s="306" customFormat="1" ht="14.4">
      <c r="A1239" s="579" t="s">
        <v>2143</v>
      </c>
      <c r="B1239" s="2" t="s">
        <v>77</v>
      </c>
      <c r="C1239" s="577">
        <v>120</v>
      </c>
      <c r="D1239" s="578">
        <v>198</v>
      </c>
      <c r="E1239" s="577">
        <v>78</v>
      </c>
      <c r="F1239" s="577">
        <v>70</v>
      </c>
      <c r="G1239" s="21">
        <f t="shared" si="110"/>
        <v>1.75824</v>
      </c>
      <c r="H1239" s="20">
        <f t="shared" si="111"/>
        <v>1.853</v>
      </c>
      <c r="I1239" s="20">
        <f t="shared" si="112"/>
        <v>1.758</v>
      </c>
      <c r="J1239" s="20">
        <f t="shared" si="113"/>
        <v>1.159</v>
      </c>
      <c r="K1239" s="75"/>
      <c r="L1239" s="780"/>
      <c r="M1239" s="20"/>
      <c r="N1239" s="20"/>
      <c r="O1239" s="20"/>
      <c r="P1239" s="20"/>
      <c r="Q1239" s="21"/>
      <c r="R1239" s="22" t="s">
        <v>16</v>
      </c>
      <c r="S1239" s="22" t="s">
        <v>16</v>
      </c>
      <c r="T1239" s="20"/>
      <c r="U1239" s="22" t="e">
        <f>#REF!</f>
        <v>#REF!</v>
      </c>
      <c r="V1239" s="20"/>
    </row>
    <row r="1240" spans="1:22" s="306" customFormat="1" ht="14.4">
      <c r="A1240" s="401">
        <v>1516</v>
      </c>
      <c r="B1240" s="2" t="s">
        <v>77</v>
      </c>
      <c r="C1240" s="412">
        <v>160</v>
      </c>
      <c r="D1240" s="418">
        <v>198</v>
      </c>
      <c r="E1240" s="412">
        <v>103</v>
      </c>
      <c r="F1240" s="412">
        <v>81</v>
      </c>
      <c r="G1240" s="21">
        <f t="shared" si="110"/>
        <v>2.9145599999999998</v>
      </c>
      <c r="H1240" s="20">
        <f t="shared" si="111"/>
        <v>3.2629999999999999</v>
      </c>
      <c r="I1240" s="20">
        <f t="shared" si="112"/>
        <v>2.915</v>
      </c>
      <c r="J1240" s="20">
        <f t="shared" si="113"/>
        <v>1.95</v>
      </c>
      <c r="K1240" s="75"/>
      <c r="L1240" s="780"/>
      <c r="M1240" s="20"/>
      <c r="N1240" s="20"/>
      <c r="O1240" s="20"/>
      <c r="P1240" s="20"/>
      <c r="Q1240" s="21"/>
      <c r="R1240" s="22" t="s">
        <v>16</v>
      </c>
      <c r="S1240" s="22" t="s">
        <v>16</v>
      </c>
      <c r="T1240" s="20"/>
      <c r="U1240" s="22" t="e">
        <f>U1233</f>
        <v>#REF!</v>
      </c>
      <c r="V1240" s="20"/>
    </row>
    <row r="1241" spans="1:22" s="306" customFormat="1" ht="14.4">
      <c r="A1241" s="401">
        <v>216</v>
      </c>
      <c r="B1241" s="2" t="s">
        <v>77</v>
      </c>
      <c r="C1241" s="412">
        <v>160</v>
      </c>
      <c r="D1241" s="418">
        <v>198</v>
      </c>
      <c r="E1241" s="412">
        <v>103</v>
      </c>
      <c r="F1241" s="412">
        <v>86</v>
      </c>
      <c r="G1241" s="21">
        <f t="shared" si="110"/>
        <v>2.99376</v>
      </c>
      <c r="H1241" s="20">
        <f t="shared" si="111"/>
        <v>3.2629999999999999</v>
      </c>
      <c r="I1241" s="20">
        <f t="shared" si="112"/>
        <v>2.9940000000000002</v>
      </c>
      <c r="J1241" s="20">
        <f t="shared" si="113"/>
        <v>2.0710000000000002</v>
      </c>
      <c r="K1241" s="75"/>
      <c r="L1241" s="780"/>
      <c r="M1241" s="20"/>
      <c r="N1241" s="20"/>
      <c r="O1241" s="20"/>
      <c r="P1241" s="20"/>
      <c r="Q1241" s="21"/>
      <c r="R1241" s="22" t="s">
        <v>16</v>
      </c>
      <c r="S1241" s="22" t="s">
        <v>16</v>
      </c>
      <c r="T1241" s="20"/>
      <c r="U1241" s="22" t="e">
        <f>U1234</f>
        <v>#REF!</v>
      </c>
      <c r="V1241" s="20"/>
    </row>
    <row r="1242" spans="1:22" s="306" customFormat="1" ht="14.4">
      <c r="A1242" s="401">
        <v>316</v>
      </c>
      <c r="B1242" s="2" t="s">
        <v>77</v>
      </c>
      <c r="C1242" s="412">
        <v>160</v>
      </c>
      <c r="D1242" s="418">
        <v>198</v>
      </c>
      <c r="E1242" s="412">
        <v>103</v>
      </c>
      <c r="F1242" s="412">
        <v>92</v>
      </c>
      <c r="G1242" s="21">
        <f t="shared" si="110"/>
        <v>3.0888</v>
      </c>
      <c r="H1242" s="20">
        <f t="shared" si="111"/>
        <v>3.2629999999999999</v>
      </c>
      <c r="I1242" s="20">
        <f t="shared" si="112"/>
        <v>3.089</v>
      </c>
      <c r="J1242" s="20">
        <f t="shared" si="113"/>
        <v>2.2149999999999999</v>
      </c>
      <c r="K1242" s="75"/>
      <c r="L1242" s="780"/>
      <c r="M1242" s="20"/>
      <c r="N1242" s="20"/>
      <c r="O1242" s="20"/>
      <c r="P1242" s="20"/>
      <c r="Q1242" s="21"/>
      <c r="R1242" s="22"/>
      <c r="S1242" s="22"/>
      <c r="T1242" s="20"/>
      <c r="U1242" s="22"/>
      <c r="V1242" s="20"/>
    </row>
    <row r="1243" spans="1:22" s="306" customFormat="1" ht="14.4">
      <c r="A1243" s="401">
        <v>416</v>
      </c>
      <c r="B1243" s="2" t="s">
        <v>77</v>
      </c>
      <c r="C1243" s="412">
        <v>160</v>
      </c>
      <c r="D1243" s="418">
        <v>198</v>
      </c>
      <c r="E1243" s="412">
        <v>103</v>
      </c>
      <c r="F1243" s="412">
        <v>94.5</v>
      </c>
      <c r="G1243" s="21">
        <f t="shared" si="110"/>
        <v>3.1284000000000001</v>
      </c>
      <c r="H1243" s="20">
        <f t="shared" si="111"/>
        <v>3.2629999999999999</v>
      </c>
      <c r="I1243" s="20">
        <f t="shared" si="112"/>
        <v>3.1280000000000001</v>
      </c>
      <c r="J1243" s="20">
        <f t="shared" si="113"/>
        <v>2.2759999999999998</v>
      </c>
      <c r="K1243" s="75"/>
      <c r="L1243" s="780"/>
      <c r="M1243" s="20"/>
      <c r="N1243" s="20"/>
      <c r="O1243" s="20"/>
      <c r="P1243" s="20"/>
      <c r="Q1243" s="21"/>
      <c r="R1243" s="22"/>
      <c r="S1243" s="22"/>
      <c r="T1243" s="20"/>
      <c r="U1243" s="22"/>
      <c r="V1243" s="20"/>
    </row>
    <row r="1244" spans="1:22" s="306" customFormat="1" ht="14.4">
      <c r="A1244" s="401">
        <v>516</v>
      </c>
      <c r="B1244" s="2" t="s">
        <v>77</v>
      </c>
      <c r="C1244" s="412">
        <v>160</v>
      </c>
      <c r="D1244" s="418">
        <v>198</v>
      </c>
      <c r="E1244" s="412">
        <v>103</v>
      </c>
      <c r="F1244" s="412">
        <v>96.5</v>
      </c>
      <c r="G1244" s="21">
        <f t="shared" si="110"/>
        <v>3.1600799999999998</v>
      </c>
      <c r="H1244" s="20">
        <f t="shared" si="111"/>
        <v>3.2629999999999999</v>
      </c>
      <c r="I1244" s="20">
        <f t="shared" si="112"/>
        <v>3.16</v>
      </c>
      <c r="J1244" s="20">
        <f t="shared" si="113"/>
        <v>2.3239999999999998</v>
      </c>
      <c r="K1244" s="75"/>
      <c r="L1244" s="780"/>
      <c r="M1244" s="20"/>
      <c r="N1244" s="20"/>
      <c r="O1244" s="20"/>
      <c r="P1244" s="20"/>
      <c r="Q1244" s="21"/>
      <c r="R1244" s="22"/>
      <c r="S1244" s="22"/>
      <c r="T1244" s="20"/>
      <c r="U1244" s="22"/>
      <c r="V1244" s="20"/>
    </row>
    <row r="1245" spans="1:22" s="306" customFormat="1" ht="14.4">
      <c r="A1245" s="401">
        <v>616</v>
      </c>
      <c r="B1245" s="2" t="s">
        <v>77</v>
      </c>
      <c r="C1245" s="412">
        <v>160</v>
      </c>
      <c r="D1245" s="418">
        <v>198</v>
      </c>
      <c r="E1245" s="412">
        <v>103</v>
      </c>
      <c r="F1245" s="412">
        <v>97.5</v>
      </c>
      <c r="G1245" s="21">
        <f t="shared" si="110"/>
        <v>3.1759200000000001</v>
      </c>
      <c r="H1245" s="20">
        <f t="shared" si="111"/>
        <v>3.2629999999999999</v>
      </c>
      <c r="I1245" s="20">
        <f t="shared" si="112"/>
        <v>3.1760000000000002</v>
      </c>
      <c r="J1245" s="20">
        <f t="shared" si="113"/>
        <v>2.3479999999999999</v>
      </c>
      <c r="K1245" s="75"/>
      <c r="L1245" s="780"/>
      <c r="M1245" s="20"/>
      <c r="N1245" s="20"/>
      <c r="O1245" s="20"/>
      <c r="P1245" s="20"/>
      <c r="Q1245" s="21"/>
      <c r="R1245" s="22"/>
      <c r="S1245" s="22"/>
      <c r="T1245" s="20"/>
      <c r="U1245" s="22"/>
      <c r="V1245" s="20"/>
    </row>
    <row r="1246" spans="1:22" s="306" customFormat="1" ht="14.4">
      <c r="A1246" s="401">
        <v>716</v>
      </c>
      <c r="B1246" s="2" t="s">
        <v>77</v>
      </c>
      <c r="C1246" s="412">
        <v>160</v>
      </c>
      <c r="D1246" s="418">
        <v>198</v>
      </c>
      <c r="E1246" s="412">
        <v>103</v>
      </c>
      <c r="F1246" s="412">
        <v>98.2</v>
      </c>
      <c r="G1246" s="21">
        <f t="shared" si="110"/>
        <v>3.1870080000000001</v>
      </c>
      <c r="H1246" s="20">
        <f t="shared" si="111"/>
        <v>3.2629999999999999</v>
      </c>
      <c r="I1246" s="20">
        <f t="shared" si="112"/>
        <v>3.1869999999999998</v>
      </c>
      <c r="J1246" s="20">
        <f t="shared" si="113"/>
        <v>2.3650000000000002</v>
      </c>
      <c r="K1246" s="75"/>
      <c r="L1246" s="780"/>
      <c r="M1246" s="20"/>
      <c r="N1246" s="20"/>
      <c r="O1246" s="20"/>
      <c r="P1246" s="20"/>
      <c r="Q1246" s="21"/>
      <c r="R1246" s="22"/>
      <c r="S1246" s="22"/>
      <c r="T1246" s="20"/>
      <c r="U1246" s="22"/>
      <c r="V1246" s="20"/>
    </row>
    <row r="1247" spans="1:22" s="306" customFormat="1" ht="14.4">
      <c r="A1247" s="401">
        <v>816</v>
      </c>
      <c r="B1247" s="2" t="s">
        <v>77</v>
      </c>
      <c r="C1247" s="412">
        <v>160</v>
      </c>
      <c r="D1247" s="418">
        <v>198</v>
      </c>
      <c r="E1247" s="412">
        <v>103</v>
      </c>
      <c r="F1247" s="412">
        <v>98.5</v>
      </c>
      <c r="G1247" s="21">
        <f t="shared" si="110"/>
        <v>3.1917599999999999</v>
      </c>
      <c r="H1247" s="20">
        <f t="shared" si="111"/>
        <v>3.2629999999999999</v>
      </c>
      <c r="I1247" s="20">
        <f t="shared" si="112"/>
        <v>3.1920000000000002</v>
      </c>
      <c r="J1247" s="20">
        <f t="shared" si="113"/>
        <v>2.3719999999999999</v>
      </c>
      <c r="K1247" s="75"/>
      <c r="L1247" s="780"/>
      <c r="M1247" s="20"/>
      <c r="N1247" s="20"/>
      <c r="O1247" s="20"/>
      <c r="P1247" s="20"/>
      <c r="Q1247" s="21"/>
      <c r="R1247" s="22"/>
      <c r="S1247" s="22"/>
      <c r="T1247" s="20"/>
      <c r="U1247" s="22"/>
      <c r="V1247" s="20"/>
    </row>
    <row r="1248" spans="1:22" s="306" customFormat="1" ht="14.4">
      <c r="A1248" s="401">
        <v>916</v>
      </c>
      <c r="B1248" s="2" t="s">
        <v>77</v>
      </c>
      <c r="C1248" s="412">
        <v>160</v>
      </c>
      <c r="D1248" s="418">
        <v>198</v>
      </c>
      <c r="E1248" s="412">
        <v>103</v>
      </c>
      <c r="F1248" s="412">
        <v>100</v>
      </c>
      <c r="G1248" s="21">
        <f t="shared" si="110"/>
        <v>3.2155200000000002</v>
      </c>
      <c r="H1248" s="20">
        <f t="shared" si="111"/>
        <v>3.2629999999999999</v>
      </c>
      <c r="I1248" s="20">
        <f t="shared" si="112"/>
        <v>3.2160000000000002</v>
      </c>
      <c r="J1248" s="20">
        <f t="shared" si="113"/>
        <v>2.4079999999999999</v>
      </c>
      <c r="K1248" s="75"/>
      <c r="L1248" s="780"/>
      <c r="M1248" s="20"/>
      <c r="N1248" s="20"/>
      <c r="O1248" s="20"/>
      <c r="P1248" s="20"/>
      <c r="Q1248" s="21"/>
      <c r="R1248" s="22"/>
      <c r="S1248" s="22"/>
      <c r="T1248" s="20"/>
      <c r="U1248" s="22"/>
      <c r="V1248" s="20"/>
    </row>
    <row r="1249" spans="1:22" s="306" customFormat="1" ht="14.4">
      <c r="A1249" s="580" t="s">
        <v>2144</v>
      </c>
      <c r="B1249" s="2" t="s">
        <v>77</v>
      </c>
      <c r="C1249" s="412">
        <v>160</v>
      </c>
      <c r="D1249" s="418">
        <v>198</v>
      </c>
      <c r="E1249" s="412">
        <v>71</v>
      </c>
      <c r="F1249" s="412">
        <v>63</v>
      </c>
      <c r="G1249" s="21">
        <f t="shared" si="110"/>
        <v>2.12256</v>
      </c>
      <c r="H1249" s="20">
        <f t="shared" si="111"/>
        <v>2.2490000000000001</v>
      </c>
      <c r="I1249" s="20">
        <f t="shared" si="112"/>
        <v>2.1230000000000002</v>
      </c>
      <c r="J1249" s="20">
        <f t="shared" si="113"/>
        <v>1.3560000000000001</v>
      </c>
      <c r="K1249" s="75"/>
      <c r="L1249" s="780"/>
      <c r="M1249" s="20"/>
      <c r="N1249" s="20"/>
      <c r="O1249" s="20"/>
      <c r="P1249" s="20"/>
      <c r="Q1249" s="21"/>
      <c r="R1249" s="22" t="s">
        <v>16</v>
      </c>
      <c r="S1249" s="22" t="s">
        <v>16</v>
      </c>
      <c r="T1249" s="20"/>
      <c r="U1249" s="22" t="e">
        <f>#REF!</f>
        <v>#REF!</v>
      </c>
      <c r="V1249" s="20"/>
    </row>
    <row r="1250" spans="1:22" s="306" customFormat="1" ht="14.4">
      <c r="A1250" s="580" t="s">
        <v>2145</v>
      </c>
      <c r="B1250" s="2" t="s">
        <v>77</v>
      </c>
      <c r="C1250" s="412">
        <v>160</v>
      </c>
      <c r="D1250" s="418">
        <v>198</v>
      </c>
      <c r="E1250" s="412">
        <v>78</v>
      </c>
      <c r="F1250" s="412">
        <v>70</v>
      </c>
      <c r="G1250" s="21">
        <f t="shared" si="110"/>
        <v>2.3443200000000002</v>
      </c>
      <c r="H1250" s="20">
        <f t="shared" si="111"/>
        <v>2.4710000000000001</v>
      </c>
      <c r="I1250" s="20">
        <f t="shared" si="112"/>
        <v>2.3439999999999999</v>
      </c>
      <c r="J1250" s="20">
        <f t="shared" si="113"/>
        <v>1.546</v>
      </c>
      <c r="K1250" s="75"/>
      <c r="L1250" s="780"/>
      <c r="M1250" s="20"/>
      <c r="N1250" s="20"/>
      <c r="O1250" s="20"/>
      <c r="P1250" s="20"/>
      <c r="Q1250" s="21"/>
      <c r="R1250" s="22" t="s">
        <v>16</v>
      </c>
      <c r="S1250" s="22" t="s">
        <v>16</v>
      </c>
      <c r="T1250" s="20"/>
      <c r="U1250" s="22" t="e">
        <f>#REF!</f>
        <v>#REF!</v>
      </c>
      <c r="V1250" s="20"/>
    </row>
    <row r="1251" spans="1:22" s="306" customFormat="1" ht="14.4">
      <c r="A1251" s="399">
        <v>1518</v>
      </c>
      <c r="B1251" s="2" t="s">
        <v>77</v>
      </c>
      <c r="C1251" s="408">
        <v>180</v>
      </c>
      <c r="D1251" s="417">
        <v>198</v>
      </c>
      <c r="E1251" s="408">
        <v>103</v>
      </c>
      <c r="F1251" s="408">
        <v>78</v>
      </c>
      <c r="G1251" s="21">
        <f t="shared" si="110"/>
        <v>3.2254200000000002</v>
      </c>
      <c r="H1251" s="20">
        <f t="shared" si="111"/>
        <v>3.6709999999999998</v>
      </c>
      <c r="I1251" s="20">
        <f t="shared" si="112"/>
        <v>3.2250000000000001</v>
      </c>
      <c r="J1251" s="20">
        <f t="shared" si="113"/>
        <v>2.113</v>
      </c>
      <c r="K1251" s="75"/>
      <c r="L1251" s="780"/>
      <c r="M1251" s="20"/>
      <c r="N1251" s="20"/>
      <c r="O1251" s="20"/>
      <c r="P1251" s="20"/>
      <c r="Q1251" s="21"/>
      <c r="R1251" s="22"/>
      <c r="S1251" s="22"/>
      <c r="T1251" s="20"/>
      <c r="U1251" s="22"/>
      <c r="V1251" s="20"/>
    </row>
    <row r="1252" spans="1:22" s="306" customFormat="1" ht="14.4">
      <c r="A1252" s="399">
        <v>218</v>
      </c>
      <c r="B1252" s="2" t="s">
        <v>77</v>
      </c>
      <c r="C1252" s="408">
        <v>180</v>
      </c>
      <c r="D1252" s="417">
        <v>198</v>
      </c>
      <c r="E1252" s="408">
        <v>103</v>
      </c>
      <c r="F1252" s="408">
        <v>84</v>
      </c>
      <c r="G1252" s="21">
        <f t="shared" si="110"/>
        <v>3.3323399999999999</v>
      </c>
      <c r="H1252" s="20">
        <f t="shared" si="111"/>
        <v>3.6709999999999998</v>
      </c>
      <c r="I1252" s="20">
        <f t="shared" si="112"/>
        <v>3.3319999999999999</v>
      </c>
      <c r="J1252" s="20">
        <f t="shared" si="113"/>
        <v>2.2759999999999998</v>
      </c>
      <c r="K1252" s="75"/>
      <c r="L1252" s="780"/>
      <c r="M1252" s="20"/>
      <c r="N1252" s="20"/>
      <c r="O1252" s="20"/>
      <c r="P1252" s="20"/>
      <c r="Q1252" s="21"/>
      <c r="R1252" s="22"/>
      <c r="S1252" s="22"/>
      <c r="T1252" s="20"/>
      <c r="U1252" s="22"/>
      <c r="V1252" s="20"/>
    </row>
    <row r="1253" spans="1:22" s="306" customFormat="1" ht="14.4">
      <c r="A1253" s="399">
        <v>318</v>
      </c>
      <c r="B1253" s="2" t="s">
        <v>77</v>
      </c>
      <c r="C1253" s="408">
        <v>180</v>
      </c>
      <c r="D1253" s="417">
        <v>198</v>
      </c>
      <c r="E1253" s="408">
        <v>103</v>
      </c>
      <c r="F1253" s="408">
        <v>90.5</v>
      </c>
      <c r="G1253" s="21">
        <f t="shared" si="110"/>
        <v>3.4481700000000002</v>
      </c>
      <c r="H1253" s="20">
        <f t="shared" si="111"/>
        <v>3.6709999999999998</v>
      </c>
      <c r="I1253" s="20">
        <f t="shared" si="112"/>
        <v>3.448</v>
      </c>
      <c r="J1253" s="20">
        <f t="shared" si="113"/>
        <v>2.452</v>
      </c>
      <c r="K1253" s="75"/>
      <c r="L1253" s="780"/>
      <c r="M1253" s="20"/>
      <c r="N1253" s="20"/>
      <c r="O1253" s="20"/>
      <c r="P1253" s="20"/>
      <c r="Q1253" s="21"/>
      <c r="R1253" s="22"/>
      <c r="S1253" s="22"/>
      <c r="T1253" s="20"/>
      <c r="U1253" s="22"/>
      <c r="V1253" s="20"/>
    </row>
    <row r="1254" spans="1:22" s="306" customFormat="1" ht="14.4">
      <c r="A1254" s="399">
        <v>418</v>
      </c>
      <c r="B1254" s="2" t="s">
        <v>77</v>
      </c>
      <c r="C1254" s="408">
        <v>180</v>
      </c>
      <c r="D1254" s="417">
        <v>198</v>
      </c>
      <c r="E1254" s="408">
        <v>103</v>
      </c>
      <c r="F1254" s="408">
        <v>93.5</v>
      </c>
      <c r="G1254" s="21">
        <f t="shared" si="110"/>
        <v>3.50163</v>
      </c>
      <c r="H1254" s="20">
        <f t="shared" si="111"/>
        <v>3.6709999999999998</v>
      </c>
      <c r="I1254" s="20">
        <f t="shared" si="112"/>
        <v>3.5019999999999998</v>
      </c>
      <c r="J1254" s="20">
        <f t="shared" si="113"/>
        <v>2.5329999999999999</v>
      </c>
      <c r="K1254" s="75"/>
      <c r="L1254" s="780"/>
      <c r="M1254" s="20"/>
      <c r="N1254" s="20"/>
      <c r="O1254" s="20"/>
      <c r="P1254" s="20"/>
      <c r="Q1254" s="21"/>
      <c r="R1254" s="22"/>
      <c r="S1254" s="22"/>
      <c r="T1254" s="20"/>
      <c r="U1254" s="22"/>
      <c r="V1254" s="20"/>
    </row>
    <row r="1255" spans="1:22" s="306" customFormat="1" ht="14.4">
      <c r="A1255" s="399">
        <v>518</v>
      </c>
      <c r="B1255" s="2" t="s">
        <v>77</v>
      </c>
      <c r="C1255" s="408">
        <v>180</v>
      </c>
      <c r="D1255" s="417">
        <v>198</v>
      </c>
      <c r="E1255" s="408">
        <v>103</v>
      </c>
      <c r="F1255" s="408">
        <v>95.5</v>
      </c>
      <c r="G1255" s="21">
        <f t="shared" si="110"/>
        <v>3.5372699999999999</v>
      </c>
      <c r="H1255" s="20">
        <f t="shared" si="111"/>
        <v>3.6709999999999998</v>
      </c>
      <c r="I1255" s="20">
        <f t="shared" si="112"/>
        <v>3.5369999999999999</v>
      </c>
      <c r="J1255" s="20">
        <f t="shared" si="113"/>
        <v>2.5870000000000002</v>
      </c>
      <c r="K1255" s="75"/>
      <c r="L1255" s="780"/>
      <c r="M1255" s="20"/>
      <c r="N1255" s="20"/>
      <c r="O1255" s="20"/>
      <c r="P1255" s="20"/>
      <c r="Q1255" s="21"/>
      <c r="R1255" s="22"/>
      <c r="S1255" s="22"/>
      <c r="T1255" s="20"/>
      <c r="U1255" s="22"/>
      <c r="V1255" s="20"/>
    </row>
    <row r="1256" spans="1:22" s="306" customFormat="1" ht="14.4">
      <c r="A1256" s="399">
        <v>618</v>
      </c>
      <c r="B1256" s="2" t="s">
        <v>77</v>
      </c>
      <c r="C1256" s="408">
        <v>180</v>
      </c>
      <c r="D1256" s="417">
        <v>198</v>
      </c>
      <c r="E1256" s="408">
        <v>103</v>
      </c>
      <c r="F1256" s="408">
        <v>97</v>
      </c>
      <c r="G1256" s="21">
        <f t="shared" si="110"/>
        <v>3.5640000000000001</v>
      </c>
      <c r="H1256" s="20">
        <f t="shared" si="111"/>
        <v>3.6709999999999998</v>
      </c>
      <c r="I1256" s="20">
        <f t="shared" si="112"/>
        <v>3.5640000000000001</v>
      </c>
      <c r="J1256" s="20">
        <f t="shared" si="113"/>
        <v>2.6280000000000001</v>
      </c>
      <c r="K1256" s="75"/>
      <c r="L1256" s="780"/>
      <c r="M1256" s="20"/>
      <c r="N1256" s="20"/>
      <c r="O1256" s="20"/>
      <c r="P1256" s="20"/>
      <c r="Q1256" s="21"/>
      <c r="R1256" s="22"/>
      <c r="S1256" s="22"/>
      <c r="T1256" s="20"/>
      <c r="U1256" s="22"/>
      <c r="V1256" s="20"/>
    </row>
    <row r="1257" spans="1:22" s="306" customFormat="1" ht="14.4">
      <c r="A1257" s="399">
        <v>718</v>
      </c>
      <c r="B1257" s="2" t="s">
        <v>77</v>
      </c>
      <c r="C1257" s="408">
        <v>180</v>
      </c>
      <c r="D1257" s="417">
        <v>198</v>
      </c>
      <c r="E1257" s="408">
        <v>103</v>
      </c>
      <c r="F1257" s="408">
        <v>97.7</v>
      </c>
      <c r="G1257" s="21">
        <f t="shared" si="110"/>
        <v>3.5764740000000002</v>
      </c>
      <c r="H1257" s="20">
        <f t="shared" si="111"/>
        <v>3.6709999999999998</v>
      </c>
      <c r="I1257" s="20">
        <f t="shared" si="112"/>
        <v>3.5760000000000001</v>
      </c>
      <c r="J1257" s="20">
        <f t="shared" si="113"/>
        <v>2.6469999999999998</v>
      </c>
      <c r="K1257" s="75"/>
      <c r="L1257" s="780"/>
      <c r="M1257" s="20"/>
      <c r="N1257" s="20"/>
      <c r="O1257" s="20"/>
      <c r="P1257" s="20"/>
      <c r="Q1257" s="21"/>
      <c r="R1257" s="22"/>
      <c r="S1257" s="22"/>
      <c r="T1257" s="20"/>
      <c r="U1257" s="22"/>
      <c r="V1257" s="20"/>
    </row>
    <row r="1258" spans="1:22" s="306" customFormat="1" ht="14.4">
      <c r="A1258" s="399">
        <v>818</v>
      </c>
      <c r="B1258" s="2" t="s">
        <v>77</v>
      </c>
      <c r="C1258" s="408">
        <v>180</v>
      </c>
      <c r="D1258" s="417">
        <v>198</v>
      </c>
      <c r="E1258" s="408">
        <v>103</v>
      </c>
      <c r="F1258" s="408">
        <v>98.5</v>
      </c>
      <c r="G1258" s="21">
        <f t="shared" si="110"/>
        <v>3.5907300000000002</v>
      </c>
      <c r="H1258" s="20">
        <f t="shared" si="111"/>
        <v>3.6709999999999998</v>
      </c>
      <c r="I1258" s="20">
        <f t="shared" si="112"/>
        <v>3.5910000000000002</v>
      </c>
      <c r="J1258" s="20">
        <f t="shared" si="113"/>
        <v>2.6680000000000001</v>
      </c>
      <c r="K1258" s="75"/>
      <c r="L1258" s="780"/>
      <c r="M1258" s="20"/>
      <c r="N1258" s="20"/>
      <c r="O1258" s="20"/>
      <c r="P1258" s="20"/>
      <c r="Q1258" s="21"/>
      <c r="R1258" s="22"/>
      <c r="S1258" s="22"/>
      <c r="T1258" s="20"/>
      <c r="U1258" s="22"/>
      <c r="V1258" s="20"/>
    </row>
    <row r="1259" spans="1:22" s="306" customFormat="1" ht="14.4">
      <c r="A1259" s="581" t="s">
        <v>2146</v>
      </c>
      <c r="B1259" s="2" t="s">
        <v>77</v>
      </c>
      <c r="C1259" s="408">
        <v>180</v>
      </c>
      <c r="D1259" s="417">
        <v>198</v>
      </c>
      <c r="E1259" s="408">
        <v>71</v>
      </c>
      <c r="F1259" s="408">
        <v>65</v>
      </c>
      <c r="G1259" s="21">
        <f t="shared" si="110"/>
        <v>2.4235199999999999</v>
      </c>
      <c r="H1259" s="20">
        <f t="shared" si="111"/>
        <v>2.5299999999999998</v>
      </c>
      <c r="I1259" s="20">
        <f t="shared" si="112"/>
        <v>2.4239999999999999</v>
      </c>
      <c r="J1259" s="20">
        <f t="shared" si="113"/>
        <v>1.5740000000000001</v>
      </c>
      <c r="K1259" s="75"/>
      <c r="L1259" s="780"/>
      <c r="M1259" s="20"/>
      <c r="N1259" s="20"/>
      <c r="O1259" s="20"/>
      <c r="P1259" s="20"/>
      <c r="Q1259" s="21"/>
      <c r="R1259" s="22" t="s">
        <v>16</v>
      </c>
      <c r="S1259" s="22" t="s">
        <v>16</v>
      </c>
      <c r="T1259" s="20"/>
      <c r="U1259" s="22" t="e">
        <f>#REF!</f>
        <v>#REF!</v>
      </c>
      <c r="V1259" s="20"/>
    </row>
    <row r="1260" spans="1:22" s="306" customFormat="1" ht="14.4">
      <c r="A1260" s="581" t="s">
        <v>2147</v>
      </c>
      <c r="B1260" s="2" t="s">
        <v>77</v>
      </c>
      <c r="C1260" s="408">
        <v>180</v>
      </c>
      <c r="D1260" s="417">
        <v>198</v>
      </c>
      <c r="E1260" s="408">
        <v>78</v>
      </c>
      <c r="F1260" s="408">
        <v>71</v>
      </c>
      <c r="G1260" s="21">
        <f t="shared" si="110"/>
        <v>2.6551800000000001</v>
      </c>
      <c r="H1260" s="20">
        <f t="shared" si="111"/>
        <v>2.78</v>
      </c>
      <c r="I1260" s="20">
        <f t="shared" si="112"/>
        <v>2.6549999999999998</v>
      </c>
      <c r="J1260" s="20">
        <f t="shared" si="113"/>
        <v>1.764</v>
      </c>
      <c r="K1260" s="75"/>
      <c r="L1260" s="780"/>
      <c r="M1260" s="20"/>
      <c r="N1260" s="20"/>
      <c r="O1260" s="20"/>
      <c r="P1260" s="20"/>
      <c r="Q1260" s="21"/>
      <c r="R1260" s="22" t="s">
        <v>16</v>
      </c>
      <c r="S1260" s="22" t="s">
        <v>16</v>
      </c>
      <c r="T1260" s="20"/>
      <c r="U1260" s="22" t="e">
        <f>#REF!</f>
        <v>#REF!</v>
      </c>
      <c r="V1260" s="20"/>
    </row>
    <row r="1261" spans="1:22" s="306" customFormat="1" ht="14.4">
      <c r="A1261" s="403">
        <v>1520</v>
      </c>
      <c r="B1261" s="2" t="s">
        <v>77</v>
      </c>
      <c r="C1261" s="409">
        <v>200</v>
      </c>
      <c r="D1261" s="419">
        <v>198</v>
      </c>
      <c r="E1261" s="409">
        <v>103</v>
      </c>
      <c r="F1261" s="409">
        <v>75.5</v>
      </c>
      <c r="G1261" s="21">
        <f t="shared" si="110"/>
        <v>3.5343</v>
      </c>
      <c r="H1261" s="20">
        <f t="shared" si="111"/>
        <v>4.0789999999999997</v>
      </c>
      <c r="I1261" s="20">
        <f t="shared" si="112"/>
        <v>3.5339999999999998</v>
      </c>
      <c r="J1261" s="20">
        <f t="shared" si="113"/>
        <v>2.2730000000000001</v>
      </c>
      <c r="K1261" s="75"/>
      <c r="L1261" s="780"/>
      <c r="M1261" s="20"/>
      <c r="N1261" s="20"/>
      <c r="O1261" s="20"/>
      <c r="P1261" s="20"/>
      <c r="Q1261" s="21"/>
      <c r="R1261" s="22"/>
      <c r="S1261" s="22"/>
      <c r="T1261" s="20"/>
      <c r="U1261" s="22"/>
      <c r="V1261" s="20"/>
    </row>
    <row r="1262" spans="1:22" s="306" customFormat="1" ht="14.4">
      <c r="A1262" s="403">
        <v>220</v>
      </c>
      <c r="B1262" s="2" t="s">
        <v>77</v>
      </c>
      <c r="C1262" s="409">
        <v>200</v>
      </c>
      <c r="D1262" s="419">
        <v>198</v>
      </c>
      <c r="E1262" s="409">
        <v>103</v>
      </c>
      <c r="F1262" s="409">
        <v>82</v>
      </c>
      <c r="G1262" s="21">
        <f t="shared" si="110"/>
        <v>3.6629999999999998</v>
      </c>
      <c r="H1262" s="20">
        <f t="shared" si="111"/>
        <v>4.0789999999999997</v>
      </c>
      <c r="I1262" s="20">
        <f t="shared" si="112"/>
        <v>3.6629999999999998</v>
      </c>
      <c r="J1262" s="20">
        <f t="shared" si="113"/>
        <v>2.468</v>
      </c>
      <c r="K1262" s="75"/>
      <c r="L1262" s="780"/>
      <c r="M1262" s="20"/>
      <c r="N1262" s="20"/>
      <c r="O1262" s="20"/>
      <c r="P1262" s="20"/>
      <c r="Q1262" s="21"/>
      <c r="R1262" s="22"/>
      <c r="S1262" s="22"/>
      <c r="T1262" s="20"/>
      <c r="U1262" s="22"/>
      <c r="V1262" s="20"/>
    </row>
    <row r="1263" spans="1:22" s="306" customFormat="1" ht="14.4">
      <c r="A1263" s="403">
        <v>320</v>
      </c>
      <c r="B1263" s="2" t="s">
        <v>77</v>
      </c>
      <c r="C1263" s="409">
        <v>200</v>
      </c>
      <c r="D1263" s="419">
        <v>198</v>
      </c>
      <c r="E1263" s="409">
        <v>103</v>
      </c>
      <c r="F1263" s="409">
        <v>89</v>
      </c>
      <c r="G1263" s="21">
        <f t="shared" si="110"/>
        <v>3.8016000000000001</v>
      </c>
      <c r="H1263" s="20">
        <f t="shared" si="111"/>
        <v>4.0789999999999997</v>
      </c>
      <c r="I1263" s="20">
        <f t="shared" si="112"/>
        <v>3.802</v>
      </c>
      <c r="J1263" s="20">
        <f t="shared" si="113"/>
        <v>2.6789999999999998</v>
      </c>
      <c r="K1263" s="75"/>
      <c r="L1263" s="780"/>
      <c r="M1263" s="20"/>
      <c r="N1263" s="20"/>
      <c r="O1263" s="20"/>
      <c r="P1263" s="20"/>
      <c r="Q1263" s="21"/>
      <c r="R1263" s="22"/>
      <c r="S1263" s="22"/>
      <c r="T1263" s="20"/>
      <c r="U1263" s="22"/>
      <c r="V1263" s="20"/>
    </row>
    <row r="1264" spans="1:22" s="306" customFormat="1" ht="14.4">
      <c r="A1264" s="403">
        <v>420</v>
      </c>
      <c r="B1264" s="2" t="s">
        <v>77</v>
      </c>
      <c r="C1264" s="409">
        <v>200</v>
      </c>
      <c r="D1264" s="419">
        <v>198</v>
      </c>
      <c r="E1264" s="409">
        <v>103</v>
      </c>
      <c r="F1264" s="409">
        <v>92.5</v>
      </c>
      <c r="G1264" s="21">
        <f t="shared" si="110"/>
        <v>3.8708999999999998</v>
      </c>
      <c r="H1264" s="20">
        <f t="shared" si="111"/>
        <v>4.0789999999999997</v>
      </c>
      <c r="I1264" s="20">
        <f t="shared" si="112"/>
        <v>3.871</v>
      </c>
      <c r="J1264" s="20">
        <f t="shared" si="113"/>
        <v>2.7839999999999998</v>
      </c>
      <c r="K1264" s="75"/>
      <c r="L1264" s="780"/>
      <c r="M1264" s="20"/>
      <c r="N1264" s="20"/>
      <c r="O1264" s="20"/>
      <c r="P1264" s="20"/>
      <c r="Q1264" s="21"/>
      <c r="R1264" s="22"/>
      <c r="S1264" s="22"/>
      <c r="T1264" s="20"/>
      <c r="U1264" s="22"/>
      <c r="V1264" s="20"/>
    </row>
    <row r="1265" spans="1:22" s="306" customFormat="1" ht="14.4">
      <c r="A1265" s="403">
        <v>520</v>
      </c>
      <c r="B1265" s="2" t="s">
        <v>77</v>
      </c>
      <c r="C1265" s="409">
        <v>200</v>
      </c>
      <c r="D1265" s="419">
        <v>198</v>
      </c>
      <c r="E1265" s="409">
        <v>103</v>
      </c>
      <c r="F1265" s="409">
        <v>94.7</v>
      </c>
      <c r="G1265" s="21">
        <f t="shared" si="110"/>
        <v>3.9144600000000001</v>
      </c>
      <c r="H1265" s="20">
        <f t="shared" si="111"/>
        <v>4.0789999999999997</v>
      </c>
      <c r="I1265" s="20">
        <f t="shared" si="112"/>
        <v>3.9140000000000001</v>
      </c>
      <c r="J1265" s="20">
        <f t="shared" si="113"/>
        <v>2.85</v>
      </c>
      <c r="K1265" s="75"/>
      <c r="L1265" s="780"/>
      <c r="M1265" s="20"/>
      <c r="N1265" s="20"/>
      <c r="O1265" s="20"/>
      <c r="P1265" s="20"/>
      <c r="Q1265" s="21"/>
      <c r="R1265" s="22"/>
      <c r="S1265" s="22"/>
      <c r="T1265" s="20"/>
      <c r="U1265" s="22"/>
      <c r="V1265" s="20"/>
    </row>
    <row r="1266" spans="1:22" s="306" customFormat="1" ht="14.4">
      <c r="A1266" s="403">
        <v>620</v>
      </c>
      <c r="B1266" s="2" t="s">
        <v>77</v>
      </c>
      <c r="C1266" s="409">
        <v>200</v>
      </c>
      <c r="D1266" s="419">
        <v>198</v>
      </c>
      <c r="E1266" s="409">
        <v>103</v>
      </c>
      <c r="F1266" s="409">
        <v>96.2</v>
      </c>
      <c r="G1266" s="21">
        <f t="shared" si="110"/>
        <v>3.9441600000000001</v>
      </c>
      <c r="H1266" s="20">
        <f t="shared" si="111"/>
        <v>4.0789999999999997</v>
      </c>
      <c r="I1266" s="20">
        <f t="shared" si="112"/>
        <v>3.944</v>
      </c>
      <c r="J1266" s="20">
        <f t="shared" si="113"/>
        <v>2.8959999999999999</v>
      </c>
      <c r="K1266" s="75"/>
      <c r="L1266" s="780"/>
      <c r="M1266" s="20"/>
      <c r="N1266" s="20"/>
      <c r="O1266" s="20"/>
      <c r="P1266" s="20"/>
      <c r="Q1266" s="21"/>
      <c r="R1266" s="22"/>
      <c r="S1266" s="22"/>
      <c r="T1266" s="20"/>
      <c r="U1266" s="22"/>
      <c r="V1266" s="20"/>
    </row>
    <row r="1267" spans="1:22" s="306" customFormat="1" ht="14.4">
      <c r="A1267" s="403">
        <v>720</v>
      </c>
      <c r="B1267" s="2" t="s">
        <v>77</v>
      </c>
      <c r="C1267" s="409">
        <v>200</v>
      </c>
      <c r="D1267" s="419">
        <v>198</v>
      </c>
      <c r="E1267" s="409">
        <v>103</v>
      </c>
      <c r="F1267" s="409">
        <v>97</v>
      </c>
      <c r="G1267" s="21">
        <f t="shared" si="110"/>
        <v>3.96</v>
      </c>
      <c r="H1267" s="20">
        <f t="shared" si="111"/>
        <v>4.0789999999999997</v>
      </c>
      <c r="I1267" s="20">
        <f t="shared" si="112"/>
        <v>3.96</v>
      </c>
      <c r="J1267" s="20">
        <f t="shared" si="113"/>
        <v>2.92</v>
      </c>
      <c r="K1267" s="75"/>
      <c r="L1267" s="780"/>
      <c r="M1267" s="20"/>
      <c r="N1267" s="20"/>
      <c r="O1267" s="20"/>
      <c r="P1267" s="20"/>
      <c r="Q1267" s="21"/>
      <c r="R1267" s="22"/>
      <c r="S1267" s="22"/>
      <c r="T1267" s="20"/>
      <c r="U1267" s="22"/>
      <c r="V1267" s="20"/>
    </row>
    <row r="1268" spans="1:22" s="306" customFormat="1" ht="14.4">
      <c r="A1268" s="403">
        <v>820</v>
      </c>
      <c r="B1268" s="2" t="s">
        <v>77</v>
      </c>
      <c r="C1268" s="409">
        <v>200</v>
      </c>
      <c r="D1268" s="419">
        <v>198</v>
      </c>
      <c r="E1268" s="409">
        <v>103</v>
      </c>
      <c r="F1268" s="409">
        <v>97.8</v>
      </c>
      <c r="G1268" s="21">
        <f t="shared" si="110"/>
        <v>3.9758399999999998</v>
      </c>
      <c r="H1268" s="20">
        <f t="shared" si="111"/>
        <v>4.0789999999999997</v>
      </c>
      <c r="I1268" s="20">
        <f t="shared" si="112"/>
        <v>3.976</v>
      </c>
      <c r="J1268" s="20">
        <f t="shared" si="113"/>
        <v>2.944</v>
      </c>
      <c r="K1268" s="75"/>
      <c r="L1268" s="780"/>
      <c r="M1268" s="20"/>
      <c r="N1268" s="20"/>
      <c r="O1268" s="20"/>
      <c r="P1268" s="20"/>
      <c r="Q1268" s="21"/>
      <c r="R1268" s="22"/>
      <c r="S1268" s="22"/>
      <c r="T1268" s="20"/>
      <c r="U1268" s="22"/>
      <c r="V1268" s="20"/>
    </row>
    <row r="1269" spans="1:22" s="306" customFormat="1" ht="14.4">
      <c r="A1269" s="582" t="s">
        <v>2148</v>
      </c>
      <c r="B1269" s="2" t="s">
        <v>77</v>
      </c>
      <c r="C1269" s="409">
        <v>200</v>
      </c>
      <c r="D1269" s="419">
        <v>198</v>
      </c>
      <c r="E1269" s="409">
        <v>71</v>
      </c>
      <c r="F1269" s="409">
        <v>65</v>
      </c>
      <c r="G1269" s="21">
        <f t="shared" si="110"/>
        <v>2.6928000000000001</v>
      </c>
      <c r="H1269" s="20">
        <f t="shared" si="111"/>
        <v>2.8119999999999998</v>
      </c>
      <c r="I1269" s="20">
        <f t="shared" si="112"/>
        <v>2.6930000000000001</v>
      </c>
      <c r="J1269" s="20">
        <f t="shared" si="113"/>
        <v>1.7490000000000001</v>
      </c>
      <c r="K1269" s="75"/>
      <c r="L1269" s="780"/>
      <c r="M1269" s="20"/>
      <c r="N1269" s="20"/>
      <c r="O1269" s="20"/>
      <c r="P1269" s="20"/>
      <c r="Q1269" s="21"/>
      <c r="R1269" s="22" t="s">
        <v>16</v>
      </c>
      <c r="S1269" s="22" t="s">
        <v>16</v>
      </c>
      <c r="T1269" s="20"/>
      <c r="U1269" s="22" t="e">
        <f>#REF!</f>
        <v>#REF!</v>
      </c>
      <c r="V1269" s="20"/>
    </row>
    <row r="1270" spans="1:22" s="306" customFormat="1" ht="14.4">
      <c r="A1270" s="582" t="s">
        <v>2149</v>
      </c>
      <c r="B1270" s="2" t="s">
        <v>77</v>
      </c>
      <c r="C1270" s="409">
        <v>200</v>
      </c>
      <c r="D1270" s="419">
        <v>198</v>
      </c>
      <c r="E1270" s="409">
        <v>78</v>
      </c>
      <c r="F1270" s="409">
        <v>71</v>
      </c>
      <c r="G1270" s="21">
        <f t="shared" si="110"/>
        <v>2.9502000000000002</v>
      </c>
      <c r="H1270" s="20">
        <f t="shared" si="111"/>
        <v>3.089</v>
      </c>
      <c r="I1270" s="20">
        <f t="shared" si="112"/>
        <v>2.95</v>
      </c>
      <c r="J1270" s="20">
        <f t="shared" si="113"/>
        <v>1.96</v>
      </c>
      <c r="K1270" s="75"/>
      <c r="L1270" s="780"/>
      <c r="M1270" s="20"/>
      <c r="N1270" s="20"/>
      <c r="O1270" s="20"/>
      <c r="P1270" s="20"/>
      <c r="Q1270" s="21"/>
      <c r="R1270" s="22" t="s">
        <v>16</v>
      </c>
      <c r="S1270" s="22" t="s">
        <v>16</v>
      </c>
      <c r="T1270" s="20"/>
      <c r="U1270" s="22" t="e">
        <f>#REF!</f>
        <v>#REF!</v>
      </c>
      <c r="V1270" s="20"/>
    </row>
    <row r="1271" spans="1:22" s="306" customFormat="1" ht="14.4">
      <c r="A1271" s="402">
        <v>1522</v>
      </c>
      <c r="B1271" s="2" t="s">
        <v>77</v>
      </c>
      <c r="C1271" s="413">
        <v>220</v>
      </c>
      <c r="D1271" s="420">
        <v>198</v>
      </c>
      <c r="E1271" s="413">
        <v>103</v>
      </c>
      <c r="F1271" s="413">
        <v>72.5</v>
      </c>
      <c r="G1271" s="21">
        <f t="shared" si="110"/>
        <v>3.82239</v>
      </c>
      <c r="H1271" s="20">
        <f t="shared" si="111"/>
        <v>4.4870000000000001</v>
      </c>
      <c r="I1271" s="20">
        <f t="shared" si="112"/>
        <v>3.8220000000000001</v>
      </c>
      <c r="J1271" s="20">
        <f t="shared" si="113"/>
        <v>2.4</v>
      </c>
      <c r="K1271" s="75"/>
      <c r="L1271" s="780"/>
      <c r="M1271" s="20"/>
      <c r="N1271" s="20"/>
      <c r="O1271" s="20"/>
      <c r="P1271" s="20"/>
      <c r="Q1271" s="21"/>
      <c r="R1271" s="22"/>
      <c r="S1271" s="22"/>
      <c r="T1271" s="20"/>
      <c r="U1271" s="22"/>
      <c r="V1271" s="20"/>
    </row>
    <row r="1272" spans="1:22" s="306" customFormat="1" ht="14.4">
      <c r="A1272" s="402">
        <v>222</v>
      </c>
      <c r="B1272" s="2" t="s">
        <v>77</v>
      </c>
      <c r="C1272" s="413">
        <v>220</v>
      </c>
      <c r="D1272" s="420">
        <v>198</v>
      </c>
      <c r="E1272" s="413">
        <v>103</v>
      </c>
      <c r="F1272" s="413">
        <v>80</v>
      </c>
      <c r="G1272" s="21">
        <f t="shared" si="110"/>
        <v>3.9857399999999998</v>
      </c>
      <c r="H1272" s="20">
        <f t="shared" si="111"/>
        <v>4.4870000000000001</v>
      </c>
      <c r="I1272" s="20">
        <f t="shared" si="112"/>
        <v>3.9860000000000002</v>
      </c>
      <c r="J1272" s="20">
        <f t="shared" si="113"/>
        <v>2.649</v>
      </c>
      <c r="K1272" s="75"/>
      <c r="L1272" s="780"/>
      <c r="M1272" s="20"/>
      <c r="N1272" s="20"/>
      <c r="O1272" s="20"/>
      <c r="P1272" s="20"/>
      <c r="Q1272" s="21"/>
      <c r="R1272" s="22"/>
      <c r="S1272" s="22"/>
      <c r="T1272" s="20"/>
      <c r="U1272" s="22"/>
      <c r="V1272" s="20"/>
    </row>
    <row r="1273" spans="1:22" s="306" customFormat="1" ht="14.4">
      <c r="A1273" s="402">
        <v>322</v>
      </c>
      <c r="B1273" s="2" t="s">
        <v>77</v>
      </c>
      <c r="C1273" s="413">
        <v>220</v>
      </c>
      <c r="D1273" s="420">
        <v>198</v>
      </c>
      <c r="E1273" s="413">
        <v>103</v>
      </c>
      <c r="F1273" s="413">
        <v>88</v>
      </c>
      <c r="G1273" s="21">
        <f t="shared" si="110"/>
        <v>4.15998</v>
      </c>
      <c r="H1273" s="20">
        <f t="shared" si="111"/>
        <v>4.4870000000000001</v>
      </c>
      <c r="I1273" s="20">
        <f t="shared" si="112"/>
        <v>4.16</v>
      </c>
      <c r="J1273" s="20">
        <f t="shared" si="113"/>
        <v>2.9140000000000001</v>
      </c>
      <c r="K1273" s="75"/>
      <c r="L1273" s="780"/>
      <c r="M1273" s="20"/>
      <c r="N1273" s="20"/>
      <c r="O1273" s="20"/>
      <c r="P1273" s="20"/>
      <c r="Q1273" s="21"/>
      <c r="R1273" s="22"/>
      <c r="S1273" s="22"/>
      <c r="T1273" s="20"/>
      <c r="U1273" s="22"/>
      <c r="V1273" s="20"/>
    </row>
    <row r="1274" spans="1:22" s="306" customFormat="1" ht="14.4">
      <c r="A1274" s="402">
        <v>422</v>
      </c>
      <c r="B1274" s="2" t="s">
        <v>77</v>
      </c>
      <c r="C1274" s="413">
        <v>220</v>
      </c>
      <c r="D1274" s="420">
        <v>198</v>
      </c>
      <c r="E1274" s="413">
        <v>103</v>
      </c>
      <c r="F1274" s="413">
        <v>91.5</v>
      </c>
      <c r="G1274" s="21">
        <f t="shared" si="110"/>
        <v>4.2362099999999998</v>
      </c>
      <c r="H1274" s="20">
        <f t="shared" si="111"/>
        <v>4.4870000000000001</v>
      </c>
      <c r="I1274" s="20">
        <f t="shared" si="112"/>
        <v>4.2359999999999998</v>
      </c>
      <c r="J1274" s="20">
        <f t="shared" si="113"/>
        <v>3.03</v>
      </c>
      <c r="K1274" s="75"/>
      <c r="L1274" s="780"/>
      <c r="M1274" s="20"/>
      <c r="N1274" s="20"/>
      <c r="O1274" s="20"/>
      <c r="P1274" s="20"/>
      <c r="Q1274" s="21"/>
      <c r="R1274" s="22"/>
      <c r="S1274" s="22"/>
      <c r="T1274" s="20"/>
      <c r="U1274" s="22"/>
      <c r="V1274" s="20"/>
    </row>
    <row r="1275" spans="1:22" s="306" customFormat="1" ht="14.4">
      <c r="A1275" s="402">
        <v>522</v>
      </c>
      <c r="B1275" s="2" t="s">
        <v>77</v>
      </c>
      <c r="C1275" s="413">
        <v>220</v>
      </c>
      <c r="D1275" s="420">
        <v>198</v>
      </c>
      <c r="E1275" s="413">
        <v>103</v>
      </c>
      <c r="F1275" s="413">
        <v>94</v>
      </c>
      <c r="G1275" s="21">
        <f t="shared" si="110"/>
        <v>4.2906599999999999</v>
      </c>
      <c r="H1275" s="20">
        <f t="shared" si="111"/>
        <v>4.4870000000000001</v>
      </c>
      <c r="I1275" s="20">
        <f t="shared" si="112"/>
        <v>4.2910000000000004</v>
      </c>
      <c r="J1275" s="20">
        <f t="shared" si="113"/>
        <v>3.1120000000000001</v>
      </c>
      <c r="K1275" s="75"/>
      <c r="L1275" s="780"/>
      <c r="M1275" s="20"/>
      <c r="N1275" s="20"/>
      <c r="O1275" s="20"/>
      <c r="P1275" s="20"/>
      <c r="Q1275" s="21"/>
      <c r="R1275" s="22"/>
      <c r="S1275" s="22"/>
      <c r="T1275" s="20"/>
      <c r="U1275" s="22"/>
      <c r="V1275" s="20"/>
    </row>
    <row r="1276" spans="1:22" s="306" customFormat="1" ht="14.4">
      <c r="A1276" s="402">
        <v>622</v>
      </c>
      <c r="B1276" s="2" t="s">
        <v>77</v>
      </c>
      <c r="C1276" s="413">
        <v>220</v>
      </c>
      <c r="D1276" s="420">
        <v>198</v>
      </c>
      <c r="E1276" s="413">
        <v>103</v>
      </c>
      <c r="F1276" s="413">
        <v>95.5</v>
      </c>
      <c r="G1276" s="21">
        <f t="shared" si="110"/>
        <v>4.3233300000000003</v>
      </c>
      <c r="H1276" s="20">
        <f t="shared" si="111"/>
        <v>4.4870000000000001</v>
      </c>
      <c r="I1276" s="20">
        <f t="shared" si="112"/>
        <v>4.3230000000000004</v>
      </c>
      <c r="J1276" s="20">
        <f t="shared" si="113"/>
        <v>3.1619999999999999</v>
      </c>
      <c r="K1276" s="75"/>
      <c r="L1276" s="780"/>
      <c r="M1276" s="20"/>
      <c r="N1276" s="20"/>
      <c r="O1276" s="20"/>
      <c r="P1276" s="20"/>
      <c r="Q1276" s="21"/>
      <c r="R1276" s="22"/>
      <c r="S1276" s="22"/>
      <c r="T1276" s="20"/>
      <c r="U1276" s="22"/>
      <c r="V1276" s="20"/>
    </row>
    <row r="1277" spans="1:22" s="306" customFormat="1" ht="14.4">
      <c r="A1277" s="438">
        <v>722</v>
      </c>
      <c r="B1277" s="2" t="s">
        <v>77</v>
      </c>
      <c r="C1277" s="430">
        <v>220</v>
      </c>
      <c r="D1277" s="431">
        <v>198</v>
      </c>
      <c r="E1277" s="430">
        <v>103</v>
      </c>
      <c r="F1277" s="430">
        <v>96.5</v>
      </c>
      <c r="G1277" s="21">
        <f t="shared" si="110"/>
        <v>4.34511</v>
      </c>
      <c r="H1277" s="20">
        <f t="shared" si="111"/>
        <v>4.4870000000000001</v>
      </c>
      <c r="I1277" s="20">
        <f t="shared" si="112"/>
        <v>4.3449999999999998</v>
      </c>
      <c r="J1277" s="20">
        <f t="shared" si="113"/>
        <v>3.1949999999999998</v>
      </c>
      <c r="K1277" s="75"/>
      <c r="L1277" s="780"/>
      <c r="M1277" s="20"/>
      <c r="N1277" s="20"/>
      <c r="O1277" s="20"/>
      <c r="P1277" s="20"/>
      <c r="Q1277" s="21"/>
      <c r="R1277" s="22"/>
      <c r="S1277" s="22"/>
      <c r="T1277" s="20"/>
      <c r="U1277" s="22"/>
      <c r="V1277" s="20"/>
    </row>
    <row r="1278" spans="1:22" s="306" customFormat="1" ht="14.4">
      <c r="A1278" s="402">
        <v>822</v>
      </c>
      <c r="B1278" s="2" t="s">
        <v>77</v>
      </c>
      <c r="C1278" s="413">
        <v>220</v>
      </c>
      <c r="D1278" s="420">
        <v>198</v>
      </c>
      <c r="E1278" s="413">
        <v>103</v>
      </c>
      <c r="F1278" s="413">
        <v>97.3</v>
      </c>
      <c r="G1278" s="21">
        <f t="shared" si="110"/>
        <v>4.3625340000000001</v>
      </c>
      <c r="H1278" s="20">
        <f>ROUND(C1278*D1278*E1278/10^6,3)</f>
        <v>4.4870000000000001</v>
      </c>
      <c r="I1278" s="20">
        <f>IF(F1278="","-",ROUND((E1278+F1278)*C1278/2*D1278/10^6,3))</f>
        <v>4.3630000000000004</v>
      </c>
      <c r="J1278" s="20">
        <f>IF(F1278="","-",ROUND((D1278+E1278)*C1278/2*F1278/10^6,3))</f>
        <v>3.222</v>
      </c>
      <c r="K1278" s="75"/>
      <c r="L1278" s="780"/>
      <c r="M1278" s="20"/>
      <c r="N1278" s="20"/>
      <c r="O1278" s="20"/>
      <c r="P1278" s="20"/>
      <c r="Q1278" s="21"/>
      <c r="R1278" s="22"/>
      <c r="S1278" s="22"/>
      <c r="T1278" s="20"/>
      <c r="U1278" s="22"/>
      <c r="V1278" s="20"/>
    </row>
    <row r="1279" spans="1:22" s="306" customFormat="1" ht="14.4">
      <c r="A1279" s="583" t="s">
        <v>2150</v>
      </c>
      <c r="B1279" s="2" t="s">
        <v>77</v>
      </c>
      <c r="C1279" s="413">
        <v>220</v>
      </c>
      <c r="D1279" s="420">
        <v>198</v>
      </c>
      <c r="E1279" s="413">
        <v>71</v>
      </c>
      <c r="F1279" s="413">
        <v>65</v>
      </c>
      <c r="G1279" s="21">
        <f t="shared" si="110"/>
        <v>2.9620799999999998</v>
      </c>
      <c r="H1279" s="20">
        <f t="shared" si="111"/>
        <v>3.093</v>
      </c>
      <c r="I1279" s="20">
        <f t="shared" si="112"/>
        <v>2.9620000000000002</v>
      </c>
      <c r="J1279" s="20">
        <f t="shared" si="113"/>
        <v>1.923</v>
      </c>
      <c r="K1279" s="75"/>
      <c r="L1279" s="780"/>
      <c r="M1279" s="20"/>
      <c r="N1279" s="20"/>
      <c r="O1279" s="20"/>
      <c r="P1279" s="20"/>
      <c r="Q1279" s="21"/>
      <c r="R1279" s="22" t="s">
        <v>16</v>
      </c>
      <c r="S1279" s="22" t="s">
        <v>16</v>
      </c>
      <c r="T1279" s="20"/>
      <c r="U1279" s="22" t="e">
        <f>#REF!</f>
        <v>#REF!</v>
      </c>
      <c r="V1279" s="20"/>
    </row>
    <row r="1280" spans="1:22" s="306" customFormat="1" ht="14.4">
      <c r="A1280" s="583" t="s">
        <v>2151</v>
      </c>
      <c r="B1280" s="2" t="s">
        <v>77</v>
      </c>
      <c r="C1280" s="413">
        <v>220</v>
      </c>
      <c r="D1280" s="420">
        <v>198</v>
      </c>
      <c r="E1280" s="413">
        <v>78</v>
      </c>
      <c r="F1280" s="413">
        <v>71</v>
      </c>
      <c r="G1280" s="21">
        <f t="shared" si="110"/>
        <v>3.2452200000000002</v>
      </c>
      <c r="H1280" s="20">
        <f t="shared" si="111"/>
        <v>3.3980000000000001</v>
      </c>
      <c r="I1280" s="20">
        <f t="shared" si="112"/>
        <v>3.2450000000000001</v>
      </c>
      <c r="J1280" s="20">
        <f t="shared" si="113"/>
        <v>2.1560000000000001</v>
      </c>
      <c r="K1280" s="75"/>
      <c r="L1280" s="780"/>
      <c r="M1280" s="20"/>
      <c r="N1280" s="20"/>
      <c r="O1280" s="20"/>
      <c r="P1280" s="20"/>
      <c r="Q1280" s="21"/>
      <c r="R1280" s="22" t="s">
        <v>16</v>
      </c>
      <c r="S1280" s="22" t="s">
        <v>16</v>
      </c>
      <c r="T1280" s="20"/>
      <c r="U1280" s="22" t="e">
        <f>#REF!</f>
        <v>#REF!</v>
      </c>
      <c r="V1280" s="20"/>
    </row>
    <row r="1281" spans="1:22" s="306" customFormat="1" ht="14.4">
      <c r="A1281" s="439">
        <v>1523</v>
      </c>
      <c r="B1281" s="2" t="s">
        <v>77</v>
      </c>
      <c r="C1281" s="440">
        <v>230</v>
      </c>
      <c r="D1281" s="433">
        <v>198</v>
      </c>
      <c r="E1281" s="440">
        <v>103</v>
      </c>
      <c r="F1281" s="440">
        <v>71.5</v>
      </c>
      <c r="G1281" s="21">
        <f t="shared" si="110"/>
        <v>3.9733649999999998</v>
      </c>
      <c r="H1281" s="20">
        <f t="shared" si="111"/>
        <v>4.6909999999999998</v>
      </c>
      <c r="I1281" s="20">
        <f t="shared" si="112"/>
        <v>3.9729999999999999</v>
      </c>
      <c r="J1281" s="20">
        <f t="shared" si="113"/>
        <v>2.4750000000000001</v>
      </c>
      <c r="K1281" s="75"/>
      <c r="L1281" s="780"/>
      <c r="M1281" s="20"/>
      <c r="N1281" s="20"/>
      <c r="O1281" s="20"/>
      <c r="P1281" s="20"/>
      <c r="Q1281" s="21"/>
      <c r="R1281" s="22"/>
      <c r="S1281" s="22"/>
      <c r="T1281" s="20"/>
      <c r="U1281" s="22"/>
      <c r="V1281" s="20"/>
    </row>
    <row r="1282" spans="1:22" s="306" customFormat="1" ht="14.4">
      <c r="A1282" s="439">
        <v>223</v>
      </c>
      <c r="B1282" s="2" t="s">
        <v>77</v>
      </c>
      <c r="C1282" s="440">
        <v>230</v>
      </c>
      <c r="D1282" s="433">
        <v>198</v>
      </c>
      <c r="E1282" s="440">
        <v>103</v>
      </c>
      <c r="F1282" s="440">
        <v>79.5</v>
      </c>
      <c r="G1282" s="21">
        <f t="shared" si="110"/>
        <v>4.1555249999999999</v>
      </c>
      <c r="H1282" s="20">
        <f t="shared" si="111"/>
        <v>4.6909999999999998</v>
      </c>
      <c r="I1282" s="20">
        <f t="shared" si="112"/>
        <v>4.1559999999999997</v>
      </c>
      <c r="J1282" s="20">
        <f t="shared" si="113"/>
        <v>2.7519999999999998</v>
      </c>
      <c r="K1282" s="75"/>
      <c r="L1282" s="780"/>
      <c r="M1282" s="20"/>
      <c r="N1282" s="20"/>
      <c r="O1282" s="20"/>
      <c r="P1282" s="20"/>
      <c r="Q1282" s="21"/>
      <c r="R1282" s="22"/>
      <c r="S1282" s="22"/>
      <c r="T1282" s="20"/>
      <c r="U1282" s="22"/>
      <c r="V1282" s="20"/>
    </row>
    <row r="1283" spans="1:22" s="306" customFormat="1" ht="14.4">
      <c r="A1283" s="439">
        <v>323</v>
      </c>
      <c r="B1283" s="2" t="s">
        <v>77</v>
      </c>
      <c r="C1283" s="440">
        <v>230</v>
      </c>
      <c r="D1283" s="433">
        <v>198</v>
      </c>
      <c r="E1283" s="440">
        <v>103</v>
      </c>
      <c r="F1283" s="440">
        <v>87</v>
      </c>
      <c r="G1283" s="21">
        <f t="shared" si="110"/>
        <v>4.3262999999999998</v>
      </c>
      <c r="H1283" s="20">
        <f t="shared" si="111"/>
        <v>4.6909999999999998</v>
      </c>
      <c r="I1283" s="20">
        <f t="shared" si="112"/>
        <v>4.3259999999999996</v>
      </c>
      <c r="J1283" s="20">
        <f t="shared" si="113"/>
        <v>3.012</v>
      </c>
      <c r="K1283" s="75"/>
      <c r="L1283" s="780"/>
      <c r="M1283" s="20"/>
      <c r="N1283" s="20"/>
      <c r="O1283" s="20"/>
      <c r="P1283" s="20"/>
      <c r="Q1283" s="21"/>
      <c r="R1283" s="22"/>
      <c r="S1283" s="22"/>
      <c r="T1283" s="20"/>
      <c r="U1283" s="22"/>
      <c r="V1283" s="20"/>
    </row>
    <row r="1284" spans="1:22" s="306" customFormat="1" ht="14.4">
      <c r="A1284" s="439">
        <v>423</v>
      </c>
      <c r="B1284" s="2" t="s">
        <v>77</v>
      </c>
      <c r="C1284" s="440">
        <v>230</v>
      </c>
      <c r="D1284" s="433">
        <v>198</v>
      </c>
      <c r="E1284" s="440">
        <v>103</v>
      </c>
      <c r="F1284" s="440">
        <v>91</v>
      </c>
      <c r="G1284" s="21">
        <f t="shared" si="110"/>
        <v>4.4173799999999996</v>
      </c>
      <c r="H1284" s="20">
        <f t="shared" si="111"/>
        <v>4.6909999999999998</v>
      </c>
      <c r="I1284" s="20">
        <f t="shared" si="112"/>
        <v>4.4169999999999998</v>
      </c>
      <c r="J1284" s="20">
        <f t="shared" si="113"/>
        <v>3.15</v>
      </c>
      <c r="K1284" s="75"/>
      <c r="L1284" s="780"/>
      <c r="M1284" s="20"/>
      <c r="N1284" s="20"/>
      <c r="O1284" s="20"/>
      <c r="P1284" s="20"/>
      <c r="Q1284" s="21"/>
      <c r="R1284" s="22"/>
      <c r="S1284" s="22"/>
      <c r="T1284" s="20"/>
      <c r="U1284" s="22"/>
      <c r="V1284" s="20"/>
    </row>
    <row r="1285" spans="1:22" s="306" customFormat="1" ht="14.4">
      <c r="A1285" s="439">
        <v>623</v>
      </c>
      <c r="B1285" s="2" t="s">
        <v>77</v>
      </c>
      <c r="C1285" s="440">
        <v>230</v>
      </c>
      <c r="D1285" s="433">
        <v>198</v>
      </c>
      <c r="E1285" s="440">
        <v>103</v>
      </c>
      <c r="F1285" s="440">
        <v>95</v>
      </c>
      <c r="G1285" s="21">
        <f t="shared" si="110"/>
        <v>4.5084600000000004</v>
      </c>
      <c r="H1285" s="20">
        <f t="shared" si="111"/>
        <v>4.6909999999999998</v>
      </c>
      <c r="I1285" s="20">
        <f t="shared" si="112"/>
        <v>4.508</v>
      </c>
      <c r="J1285" s="20">
        <f t="shared" si="113"/>
        <v>3.2879999999999998</v>
      </c>
      <c r="K1285" s="75"/>
      <c r="L1285" s="780"/>
      <c r="M1285" s="20"/>
      <c r="N1285" s="20"/>
      <c r="O1285" s="20"/>
      <c r="P1285" s="20"/>
      <c r="Q1285" s="21"/>
      <c r="R1285" s="22"/>
      <c r="S1285" s="22"/>
      <c r="T1285" s="20"/>
      <c r="U1285" s="22"/>
      <c r="V1285" s="20"/>
    </row>
    <row r="1286" spans="1:22" s="306" customFormat="1" ht="14.4">
      <c r="A1286" s="439">
        <v>823</v>
      </c>
      <c r="B1286" s="2" t="s">
        <v>77</v>
      </c>
      <c r="C1286" s="440">
        <v>230</v>
      </c>
      <c r="D1286" s="433">
        <v>198</v>
      </c>
      <c r="E1286" s="440">
        <v>103</v>
      </c>
      <c r="F1286" s="440">
        <v>97</v>
      </c>
      <c r="G1286" s="21">
        <f t="shared" ref="G1286:G1349" si="115">IF(B1286="","",AVERAGE(E1286:F1286)*D1286*C1286/10^6)</f>
        <v>4.5540000000000003</v>
      </c>
      <c r="H1286" s="20">
        <f t="shared" ref="H1286:H1288" si="116">ROUND(C1286*D1286*E1286/10^6,3)</f>
        <v>4.6909999999999998</v>
      </c>
      <c r="I1286" s="20">
        <f t="shared" ref="I1286:I1288" si="117">IF(F1286="","-",ROUND((E1286+F1286)*C1286/2*D1286/10^6,3))</f>
        <v>4.5540000000000003</v>
      </c>
      <c r="J1286" s="20">
        <f t="shared" ref="J1286:J1288" si="118">IF(F1286="","-",ROUND((D1286+E1286)*C1286/2*F1286/10^6,3))</f>
        <v>3.3580000000000001</v>
      </c>
      <c r="K1286" s="75"/>
      <c r="L1286" s="780"/>
      <c r="M1286" s="20"/>
      <c r="N1286" s="20"/>
      <c r="O1286" s="20"/>
      <c r="P1286" s="20"/>
      <c r="Q1286" s="21"/>
      <c r="R1286" s="22"/>
      <c r="S1286" s="22"/>
      <c r="T1286" s="20"/>
      <c r="U1286" s="22"/>
      <c r="V1286" s="20"/>
    </row>
    <row r="1287" spans="1:22" s="306" customFormat="1" ht="14.4">
      <c r="A1287" s="584" t="s">
        <v>2152</v>
      </c>
      <c r="B1287" s="2" t="s">
        <v>77</v>
      </c>
      <c r="C1287" s="440">
        <v>230</v>
      </c>
      <c r="D1287" s="433">
        <v>198</v>
      </c>
      <c r="E1287" s="440">
        <v>71</v>
      </c>
      <c r="F1287" s="440">
        <v>65</v>
      </c>
      <c r="G1287" s="21">
        <f t="shared" si="115"/>
        <v>3.0967199999999999</v>
      </c>
      <c r="H1287" s="20">
        <f t="shared" si="116"/>
        <v>3.2330000000000001</v>
      </c>
      <c r="I1287" s="20">
        <f t="shared" si="117"/>
        <v>3.097</v>
      </c>
      <c r="J1287" s="20">
        <f t="shared" si="118"/>
        <v>2.0110000000000001</v>
      </c>
      <c r="K1287" s="75"/>
      <c r="L1287" s="780"/>
      <c r="M1287" s="20"/>
      <c r="N1287" s="20"/>
      <c r="O1287" s="20"/>
      <c r="P1287" s="20"/>
      <c r="Q1287" s="21"/>
      <c r="R1287" s="22"/>
      <c r="S1287" s="22"/>
      <c r="T1287" s="20"/>
      <c r="U1287" s="22"/>
      <c r="V1287" s="20"/>
    </row>
    <row r="1288" spans="1:22" s="306" customFormat="1" ht="14.4">
      <c r="A1288" s="584" t="s">
        <v>2153</v>
      </c>
      <c r="B1288" s="2" t="s">
        <v>77</v>
      </c>
      <c r="C1288" s="440">
        <v>230</v>
      </c>
      <c r="D1288" s="433">
        <v>198</v>
      </c>
      <c r="E1288" s="440">
        <v>78</v>
      </c>
      <c r="F1288" s="440">
        <v>71</v>
      </c>
      <c r="G1288" s="21">
        <f t="shared" si="115"/>
        <v>3.3927299999999998</v>
      </c>
      <c r="H1288" s="20">
        <f t="shared" si="116"/>
        <v>3.552</v>
      </c>
      <c r="I1288" s="20">
        <f t="shared" si="117"/>
        <v>3.3929999999999998</v>
      </c>
      <c r="J1288" s="20">
        <f t="shared" si="118"/>
        <v>2.254</v>
      </c>
      <c r="K1288" s="75"/>
      <c r="L1288" s="780"/>
      <c r="M1288" s="20"/>
      <c r="N1288" s="20"/>
      <c r="O1288" s="20"/>
      <c r="P1288" s="20"/>
      <c r="Q1288" s="21"/>
      <c r="R1288" s="22"/>
      <c r="S1288" s="22"/>
      <c r="T1288" s="20"/>
      <c r="U1288" s="22"/>
      <c r="V1288" s="20"/>
    </row>
    <row r="1289" spans="1:22" s="306" customFormat="1" ht="14.4">
      <c r="A1289" s="443">
        <v>1525</v>
      </c>
      <c r="B1289" s="2" t="s">
        <v>77</v>
      </c>
      <c r="C1289" s="444">
        <v>250</v>
      </c>
      <c r="D1289" s="432">
        <v>198</v>
      </c>
      <c r="E1289" s="444">
        <v>103</v>
      </c>
      <c r="F1289" s="444">
        <v>68.5</v>
      </c>
      <c r="G1289" s="21">
        <f t="shared" si="115"/>
        <v>4.2446250000000001</v>
      </c>
      <c r="H1289" s="20">
        <f>ROUND(C1289*D1289*E1289/10^6,3)</f>
        <v>5.0990000000000002</v>
      </c>
      <c r="I1289" s="20">
        <f>IF(F1289="","-",ROUND((E1289+F1289)*C1289/2*D1289/10^6,3))</f>
        <v>4.2450000000000001</v>
      </c>
      <c r="J1289" s="20">
        <f>IF(F1289="","-",ROUND((D1289+E1289)*C1289/2*F1289/10^6,3))</f>
        <v>2.577</v>
      </c>
      <c r="K1289" s="75"/>
      <c r="L1289" s="780"/>
      <c r="M1289" s="20"/>
      <c r="N1289" s="20"/>
      <c r="O1289" s="20"/>
      <c r="P1289" s="20"/>
      <c r="Q1289" s="21"/>
      <c r="R1289" s="22"/>
      <c r="S1289" s="22"/>
      <c r="T1289" s="20"/>
      <c r="U1289" s="22"/>
      <c r="V1289" s="20"/>
    </row>
    <row r="1290" spans="1:22" s="306" customFormat="1" ht="14.4">
      <c r="A1290" s="443">
        <v>225</v>
      </c>
      <c r="B1290" s="2" t="s">
        <v>77</v>
      </c>
      <c r="C1290" s="444">
        <v>250</v>
      </c>
      <c r="D1290" s="432">
        <v>198</v>
      </c>
      <c r="E1290" s="444">
        <v>103</v>
      </c>
      <c r="F1290" s="444">
        <v>77</v>
      </c>
      <c r="G1290" s="21">
        <f t="shared" si="115"/>
        <v>4.4550000000000001</v>
      </c>
      <c r="H1290" s="20">
        <f t="shared" ref="H1290:H1351" si="119">ROUND(C1290*D1290*E1290/10^6,3)</f>
        <v>5.0990000000000002</v>
      </c>
      <c r="I1290" s="20">
        <f t="shared" ref="I1290:I1351" si="120">IF(F1290="","-",ROUND((E1290+F1290)*C1290/2*D1290/10^6,3))</f>
        <v>4.4550000000000001</v>
      </c>
      <c r="J1290" s="20">
        <f t="shared" ref="J1290:J1351" si="121">IF(F1290="","-",ROUND((D1290+E1290)*C1290/2*F1290/10^6,3))</f>
        <v>2.8969999999999998</v>
      </c>
      <c r="K1290" s="75"/>
      <c r="L1290" s="780"/>
      <c r="M1290" s="20"/>
      <c r="N1290" s="20"/>
      <c r="O1290" s="20"/>
      <c r="P1290" s="20"/>
      <c r="Q1290" s="21"/>
      <c r="R1290" s="22"/>
      <c r="S1290" s="22"/>
      <c r="T1290" s="20"/>
      <c r="U1290" s="22"/>
      <c r="V1290" s="20"/>
    </row>
    <row r="1291" spans="1:22" s="306" customFormat="1" ht="14.4">
      <c r="A1291" s="443">
        <v>325</v>
      </c>
      <c r="B1291" s="2" t="s">
        <v>77</v>
      </c>
      <c r="C1291" s="444">
        <v>250</v>
      </c>
      <c r="D1291" s="432">
        <v>198</v>
      </c>
      <c r="E1291" s="444">
        <v>103</v>
      </c>
      <c r="F1291" s="444">
        <v>85.5</v>
      </c>
      <c r="G1291" s="21">
        <f t="shared" si="115"/>
        <v>4.665375</v>
      </c>
      <c r="H1291" s="20">
        <f t="shared" si="119"/>
        <v>5.0990000000000002</v>
      </c>
      <c r="I1291" s="20">
        <f t="shared" si="120"/>
        <v>4.665</v>
      </c>
      <c r="J1291" s="20">
        <f t="shared" si="121"/>
        <v>3.2170000000000001</v>
      </c>
      <c r="K1291" s="75"/>
      <c r="L1291" s="780"/>
      <c r="M1291" s="20"/>
      <c r="N1291" s="20"/>
      <c r="O1291" s="20"/>
      <c r="P1291" s="20"/>
      <c r="Q1291" s="21"/>
      <c r="R1291" s="22"/>
      <c r="S1291" s="22"/>
      <c r="T1291" s="20"/>
      <c r="U1291" s="22"/>
      <c r="V1291" s="20"/>
    </row>
    <row r="1292" spans="1:22" s="306" customFormat="1" ht="14.4">
      <c r="A1292" s="443">
        <v>425</v>
      </c>
      <c r="B1292" s="2" t="s">
        <v>77</v>
      </c>
      <c r="C1292" s="444">
        <v>250</v>
      </c>
      <c r="D1292" s="432">
        <v>198</v>
      </c>
      <c r="E1292" s="444">
        <v>103</v>
      </c>
      <c r="F1292" s="444">
        <v>90</v>
      </c>
      <c r="G1292" s="21">
        <f t="shared" si="115"/>
        <v>4.7767499999999998</v>
      </c>
      <c r="H1292" s="20">
        <f t="shared" si="119"/>
        <v>5.0990000000000002</v>
      </c>
      <c r="I1292" s="20">
        <f t="shared" si="120"/>
        <v>4.7770000000000001</v>
      </c>
      <c r="J1292" s="20">
        <f t="shared" si="121"/>
        <v>3.3860000000000001</v>
      </c>
      <c r="K1292" s="75"/>
      <c r="L1292" s="780"/>
      <c r="M1292" s="20"/>
      <c r="N1292" s="20"/>
      <c r="O1292" s="20"/>
      <c r="P1292" s="20"/>
      <c r="Q1292" s="21"/>
      <c r="R1292" s="22"/>
      <c r="S1292" s="22"/>
      <c r="T1292" s="20"/>
      <c r="U1292" s="22"/>
      <c r="V1292" s="20"/>
    </row>
    <row r="1293" spans="1:22" s="306" customFormat="1" ht="14.4">
      <c r="A1293" s="443">
        <v>525</v>
      </c>
      <c r="B1293" s="2" t="s">
        <v>77</v>
      </c>
      <c r="C1293" s="444">
        <v>250</v>
      </c>
      <c r="D1293" s="432">
        <v>198</v>
      </c>
      <c r="E1293" s="444">
        <v>103</v>
      </c>
      <c r="F1293" s="444">
        <v>92.7</v>
      </c>
      <c r="G1293" s="21">
        <f t="shared" si="115"/>
        <v>4.8435750000000004</v>
      </c>
      <c r="H1293" s="20">
        <f t="shared" si="119"/>
        <v>5.0990000000000002</v>
      </c>
      <c r="I1293" s="20">
        <f t="shared" si="120"/>
        <v>4.8440000000000003</v>
      </c>
      <c r="J1293" s="20">
        <f t="shared" si="121"/>
        <v>3.488</v>
      </c>
      <c r="K1293" s="75"/>
      <c r="L1293" s="780"/>
      <c r="M1293" s="20"/>
      <c r="N1293" s="20"/>
      <c r="O1293" s="20"/>
      <c r="P1293" s="20"/>
      <c r="Q1293" s="21"/>
      <c r="R1293" s="22"/>
      <c r="S1293" s="22"/>
      <c r="T1293" s="20"/>
      <c r="U1293" s="22"/>
      <c r="V1293" s="20"/>
    </row>
    <row r="1294" spans="1:22" s="306" customFormat="1" ht="14.4">
      <c r="A1294" s="443">
        <v>625</v>
      </c>
      <c r="B1294" s="2" t="s">
        <v>77</v>
      </c>
      <c r="C1294" s="444">
        <v>250</v>
      </c>
      <c r="D1294" s="432">
        <v>198</v>
      </c>
      <c r="E1294" s="444">
        <v>103</v>
      </c>
      <c r="F1294" s="444">
        <v>94.5</v>
      </c>
      <c r="G1294" s="21">
        <f t="shared" si="115"/>
        <v>4.8881249999999996</v>
      </c>
      <c r="H1294" s="20">
        <f t="shared" si="119"/>
        <v>5.0990000000000002</v>
      </c>
      <c r="I1294" s="20">
        <f t="shared" si="120"/>
        <v>4.8879999999999999</v>
      </c>
      <c r="J1294" s="20">
        <f t="shared" si="121"/>
        <v>3.556</v>
      </c>
      <c r="K1294" s="75"/>
      <c r="L1294" s="780"/>
      <c r="M1294" s="20"/>
      <c r="N1294" s="20"/>
      <c r="O1294" s="20"/>
      <c r="P1294" s="20"/>
      <c r="Q1294" s="21"/>
      <c r="R1294" s="22"/>
      <c r="S1294" s="22"/>
      <c r="T1294" s="20"/>
      <c r="U1294" s="22"/>
      <c r="V1294" s="20"/>
    </row>
    <row r="1295" spans="1:22" s="306" customFormat="1" ht="14.4">
      <c r="A1295" s="443">
        <v>725</v>
      </c>
      <c r="B1295" s="2" t="s">
        <v>77</v>
      </c>
      <c r="C1295" s="444">
        <v>250</v>
      </c>
      <c r="D1295" s="432">
        <v>198</v>
      </c>
      <c r="E1295" s="444">
        <v>103</v>
      </c>
      <c r="F1295" s="444">
        <v>95.5</v>
      </c>
      <c r="G1295" s="21">
        <f t="shared" si="115"/>
        <v>4.9128749999999997</v>
      </c>
      <c r="H1295" s="20">
        <f t="shared" si="119"/>
        <v>5.0990000000000002</v>
      </c>
      <c r="I1295" s="20">
        <f t="shared" si="120"/>
        <v>4.9130000000000003</v>
      </c>
      <c r="J1295" s="20">
        <f t="shared" si="121"/>
        <v>3.593</v>
      </c>
      <c r="K1295" s="75"/>
      <c r="L1295" s="780"/>
      <c r="M1295" s="20"/>
      <c r="N1295" s="20"/>
      <c r="O1295" s="20"/>
      <c r="P1295" s="20"/>
      <c r="Q1295" s="21"/>
      <c r="R1295" s="22"/>
      <c r="S1295" s="22"/>
      <c r="T1295" s="20"/>
      <c r="U1295" s="22"/>
      <c r="V1295" s="20"/>
    </row>
    <row r="1296" spans="1:22" s="306" customFormat="1" ht="14.4">
      <c r="A1296" s="443">
        <v>825</v>
      </c>
      <c r="B1296" s="2" t="s">
        <v>77</v>
      </c>
      <c r="C1296" s="585">
        <v>250</v>
      </c>
      <c r="D1296" s="586">
        <v>198</v>
      </c>
      <c r="E1296" s="585">
        <v>103</v>
      </c>
      <c r="F1296" s="585">
        <v>96.5</v>
      </c>
      <c r="G1296" s="21">
        <f t="shared" si="115"/>
        <v>4.9376249999999997</v>
      </c>
      <c r="H1296" s="20">
        <f t="shared" si="119"/>
        <v>5.0990000000000002</v>
      </c>
      <c r="I1296" s="20">
        <f t="shared" si="120"/>
        <v>4.9379999999999997</v>
      </c>
      <c r="J1296" s="20">
        <f t="shared" si="121"/>
        <v>3.6309999999999998</v>
      </c>
      <c r="K1296" s="75"/>
      <c r="L1296" s="780"/>
      <c r="M1296" s="20"/>
      <c r="N1296" s="20"/>
      <c r="O1296" s="20"/>
      <c r="P1296" s="20"/>
      <c r="Q1296" s="21"/>
      <c r="R1296" s="22"/>
      <c r="S1296" s="22"/>
      <c r="T1296" s="20"/>
      <c r="U1296" s="22"/>
      <c r="V1296" s="20"/>
    </row>
    <row r="1297" spans="1:22" s="306" customFormat="1" ht="14.4">
      <c r="A1297" s="587" t="s">
        <v>2154</v>
      </c>
      <c r="B1297" s="2" t="s">
        <v>77</v>
      </c>
      <c r="C1297" s="585">
        <v>250</v>
      </c>
      <c r="D1297" s="586">
        <v>198</v>
      </c>
      <c r="E1297" s="585">
        <v>71</v>
      </c>
      <c r="F1297" s="585">
        <v>65</v>
      </c>
      <c r="G1297" s="21">
        <f t="shared" si="115"/>
        <v>3.3660000000000001</v>
      </c>
      <c r="H1297" s="20">
        <f t="shared" si="119"/>
        <v>3.5150000000000001</v>
      </c>
      <c r="I1297" s="20">
        <f t="shared" si="120"/>
        <v>3.3660000000000001</v>
      </c>
      <c r="J1297" s="20">
        <f t="shared" si="121"/>
        <v>2.1859999999999999</v>
      </c>
      <c r="K1297" s="75"/>
      <c r="L1297" s="780"/>
      <c r="M1297" s="20"/>
      <c r="N1297" s="20"/>
      <c r="O1297" s="20"/>
      <c r="P1297" s="20"/>
      <c r="Q1297" s="21"/>
      <c r="R1297" s="22" t="s">
        <v>16</v>
      </c>
      <c r="S1297" s="22" t="s">
        <v>16</v>
      </c>
      <c r="T1297" s="20"/>
      <c r="U1297" s="22" t="e">
        <f>#REF!</f>
        <v>#REF!</v>
      </c>
      <c r="V1297" s="20"/>
    </row>
    <row r="1298" spans="1:22" s="306" customFormat="1" ht="14.4">
      <c r="A1298" s="587" t="s">
        <v>2155</v>
      </c>
      <c r="B1298" s="2" t="s">
        <v>77</v>
      </c>
      <c r="C1298" s="585">
        <v>250</v>
      </c>
      <c r="D1298" s="586">
        <v>198</v>
      </c>
      <c r="E1298" s="585">
        <v>78</v>
      </c>
      <c r="F1298" s="585">
        <v>71</v>
      </c>
      <c r="G1298" s="21">
        <f t="shared" si="115"/>
        <v>3.6877499999999999</v>
      </c>
      <c r="H1298" s="20">
        <f t="shared" si="119"/>
        <v>3.8610000000000002</v>
      </c>
      <c r="I1298" s="20">
        <f t="shared" si="120"/>
        <v>3.6880000000000002</v>
      </c>
      <c r="J1298" s="20">
        <f t="shared" si="121"/>
        <v>2.4500000000000002</v>
      </c>
      <c r="K1298" s="75"/>
      <c r="L1298" s="780"/>
      <c r="M1298" s="20"/>
      <c r="N1298" s="20"/>
      <c r="O1298" s="20"/>
      <c r="P1298" s="20"/>
      <c r="Q1298" s="21"/>
      <c r="R1298" s="22" t="s">
        <v>16</v>
      </c>
      <c r="S1298" s="22" t="s">
        <v>16</v>
      </c>
      <c r="T1298" s="20"/>
      <c r="U1298" s="22" t="e">
        <f>#REF!</f>
        <v>#REF!</v>
      </c>
      <c r="V1298" s="20"/>
    </row>
    <row r="1299" spans="1:22" s="306" customFormat="1" ht="14.4">
      <c r="A1299" s="439">
        <v>230</v>
      </c>
      <c r="B1299" s="2" t="s">
        <v>77</v>
      </c>
      <c r="C1299" s="440">
        <v>300</v>
      </c>
      <c r="D1299" s="433">
        <v>198</v>
      </c>
      <c r="E1299" s="440">
        <v>103</v>
      </c>
      <c r="F1299" s="440">
        <v>71.599999999999994</v>
      </c>
      <c r="G1299" s="21">
        <f t="shared" si="115"/>
        <v>5.1856199999999992</v>
      </c>
      <c r="H1299" s="20">
        <f t="shared" si="119"/>
        <v>6.1180000000000003</v>
      </c>
      <c r="I1299" s="20">
        <f t="shared" si="120"/>
        <v>5.1859999999999999</v>
      </c>
      <c r="J1299" s="20">
        <f t="shared" si="121"/>
        <v>3.2330000000000001</v>
      </c>
      <c r="K1299" s="75"/>
      <c r="L1299" s="780"/>
      <c r="M1299" s="20"/>
      <c r="N1299" s="20"/>
      <c r="O1299" s="20"/>
      <c r="P1299" s="20"/>
      <c r="Q1299" s="21"/>
      <c r="R1299" s="22"/>
      <c r="S1299" s="22"/>
      <c r="T1299" s="20"/>
      <c r="U1299" s="22"/>
      <c r="V1299" s="20"/>
    </row>
    <row r="1300" spans="1:22" s="306" customFormat="1" ht="14.4">
      <c r="A1300" s="439">
        <v>330</v>
      </c>
      <c r="B1300" s="2" t="s">
        <v>77</v>
      </c>
      <c r="C1300" s="440">
        <v>300</v>
      </c>
      <c r="D1300" s="433">
        <v>198</v>
      </c>
      <c r="E1300" s="440">
        <v>103</v>
      </c>
      <c r="F1300" s="440">
        <v>82</v>
      </c>
      <c r="G1300" s="21">
        <f t="shared" si="115"/>
        <v>5.4945000000000004</v>
      </c>
      <c r="H1300" s="20">
        <f t="shared" si="119"/>
        <v>6.1180000000000003</v>
      </c>
      <c r="I1300" s="20">
        <f t="shared" si="120"/>
        <v>5.4950000000000001</v>
      </c>
      <c r="J1300" s="20">
        <f t="shared" si="121"/>
        <v>3.702</v>
      </c>
      <c r="K1300" s="75"/>
      <c r="L1300" s="780"/>
      <c r="M1300" s="20"/>
      <c r="N1300" s="20"/>
      <c r="O1300" s="20"/>
      <c r="P1300" s="20"/>
      <c r="Q1300" s="21"/>
      <c r="R1300" s="22"/>
      <c r="S1300" s="22"/>
      <c r="T1300" s="20"/>
      <c r="U1300" s="22"/>
      <c r="V1300" s="20"/>
    </row>
    <row r="1301" spans="1:22" s="306" customFormat="1" ht="14.4">
      <c r="A1301" s="439">
        <v>430</v>
      </c>
      <c r="B1301" s="2" t="s">
        <v>77</v>
      </c>
      <c r="C1301" s="440">
        <v>300</v>
      </c>
      <c r="D1301" s="433">
        <v>198</v>
      </c>
      <c r="E1301" s="440">
        <v>103</v>
      </c>
      <c r="F1301" s="440">
        <v>87.3</v>
      </c>
      <c r="G1301" s="21">
        <f t="shared" si="115"/>
        <v>5.65191</v>
      </c>
      <c r="H1301" s="20">
        <f t="shared" si="119"/>
        <v>6.1180000000000003</v>
      </c>
      <c r="I1301" s="20">
        <f t="shared" si="120"/>
        <v>5.6520000000000001</v>
      </c>
      <c r="J1301" s="20">
        <f t="shared" si="121"/>
        <v>3.9420000000000002</v>
      </c>
      <c r="K1301" s="75"/>
      <c r="L1301" s="780"/>
      <c r="M1301" s="20"/>
      <c r="N1301" s="20"/>
      <c r="O1301" s="20"/>
      <c r="P1301" s="20"/>
      <c r="Q1301" s="21"/>
      <c r="R1301" s="22"/>
      <c r="S1301" s="22"/>
      <c r="T1301" s="20"/>
      <c r="U1301" s="22"/>
      <c r="V1301" s="20"/>
    </row>
    <row r="1302" spans="1:22" s="306" customFormat="1" ht="14.4">
      <c r="A1302" s="439">
        <v>630</v>
      </c>
      <c r="B1302" s="2" t="s">
        <v>77</v>
      </c>
      <c r="C1302" s="440">
        <v>300</v>
      </c>
      <c r="D1302" s="433">
        <v>198</v>
      </c>
      <c r="E1302" s="440">
        <v>103</v>
      </c>
      <c r="F1302" s="440">
        <v>92.5</v>
      </c>
      <c r="G1302" s="21">
        <f t="shared" si="115"/>
        <v>5.8063500000000001</v>
      </c>
      <c r="H1302" s="20">
        <f t="shared" si="119"/>
        <v>6.1180000000000003</v>
      </c>
      <c r="I1302" s="20">
        <f t="shared" si="120"/>
        <v>5.806</v>
      </c>
      <c r="J1302" s="20">
        <f t="shared" si="121"/>
        <v>4.1760000000000002</v>
      </c>
      <c r="K1302" s="75"/>
      <c r="L1302" s="780"/>
      <c r="M1302" s="20"/>
      <c r="N1302" s="20"/>
      <c r="O1302" s="20"/>
      <c r="P1302" s="20"/>
      <c r="Q1302" s="21"/>
      <c r="R1302" s="22"/>
      <c r="S1302" s="22"/>
      <c r="T1302" s="20"/>
      <c r="U1302" s="22"/>
      <c r="V1302" s="20"/>
    </row>
    <row r="1303" spans="1:22" s="306" customFormat="1" ht="14.4">
      <c r="A1303" s="439">
        <v>830</v>
      </c>
      <c r="B1303" s="2" t="s">
        <v>77</v>
      </c>
      <c r="C1303" s="440">
        <v>300</v>
      </c>
      <c r="D1303" s="433">
        <v>198</v>
      </c>
      <c r="E1303" s="440">
        <v>103</v>
      </c>
      <c r="F1303" s="440">
        <v>95</v>
      </c>
      <c r="G1303" s="21">
        <f t="shared" si="115"/>
        <v>5.8806000000000003</v>
      </c>
      <c r="H1303" s="20">
        <f t="shared" si="119"/>
        <v>6.1180000000000003</v>
      </c>
      <c r="I1303" s="20">
        <f t="shared" si="120"/>
        <v>5.8810000000000002</v>
      </c>
      <c r="J1303" s="20">
        <f t="shared" si="121"/>
        <v>4.2889999999999997</v>
      </c>
      <c r="K1303" s="75"/>
      <c r="L1303" s="780"/>
      <c r="M1303" s="20"/>
      <c r="N1303" s="20"/>
      <c r="O1303" s="20"/>
      <c r="P1303" s="20"/>
      <c r="Q1303" s="21"/>
      <c r="R1303" s="22"/>
      <c r="S1303" s="22"/>
      <c r="T1303" s="20"/>
      <c r="U1303" s="22"/>
      <c r="V1303" s="20"/>
    </row>
    <row r="1304" spans="1:22" s="306" customFormat="1" ht="14.4">
      <c r="A1304" s="584" t="s">
        <v>2156</v>
      </c>
      <c r="B1304" s="2" t="s">
        <v>77</v>
      </c>
      <c r="C1304" s="440">
        <v>300</v>
      </c>
      <c r="D1304" s="433">
        <v>198</v>
      </c>
      <c r="E1304" s="440">
        <v>71</v>
      </c>
      <c r="F1304" s="440">
        <v>62</v>
      </c>
      <c r="G1304" s="21">
        <f t="shared" si="115"/>
        <v>3.9500999999999999</v>
      </c>
      <c r="H1304" s="20">
        <f t="shared" si="119"/>
        <v>4.2169999999999996</v>
      </c>
      <c r="I1304" s="20">
        <f t="shared" si="120"/>
        <v>3.95</v>
      </c>
      <c r="J1304" s="20">
        <f t="shared" si="121"/>
        <v>2.5019999999999998</v>
      </c>
      <c r="K1304" s="75"/>
      <c r="L1304" s="780"/>
      <c r="M1304" s="20"/>
      <c r="N1304" s="20"/>
      <c r="O1304" s="20"/>
      <c r="P1304" s="20"/>
      <c r="Q1304" s="21"/>
      <c r="R1304" s="22"/>
      <c r="S1304" s="22"/>
      <c r="T1304" s="20"/>
      <c r="U1304" s="22"/>
      <c r="V1304" s="20"/>
    </row>
    <row r="1305" spans="1:22" s="306" customFormat="1" ht="14.4">
      <c r="A1305" s="584" t="s">
        <v>2157</v>
      </c>
      <c r="B1305" s="2" t="s">
        <v>77</v>
      </c>
      <c r="C1305" s="440">
        <v>300</v>
      </c>
      <c r="D1305" s="433">
        <v>198</v>
      </c>
      <c r="E1305" s="440">
        <v>78</v>
      </c>
      <c r="F1305" s="440">
        <v>70</v>
      </c>
      <c r="G1305" s="21">
        <f t="shared" si="115"/>
        <v>4.3956</v>
      </c>
      <c r="H1305" s="20">
        <f t="shared" si="119"/>
        <v>4.633</v>
      </c>
      <c r="I1305" s="20">
        <f t="shared" si="120"/>
        <v>4.3959999999999999</v>
      </c>
      <c r="J1305" s="20">
        <f t="shared" si="121"/>
        <v>2.8980000000000001</v>
      </c>
      <c r="K1305" s="75"/>
      <c r="L1305" s="780"/>
      <c r="M1305" s="20"/>
      <c r="N1305" s="20"/>
      <c r="O1305" s="20"/>
      <c r="P1305" s="20"/>
      <c r="Q1305" s="21"/>
      <c r="R1305" s="22"/>
      <c r="S1305" s="22"/>
      <c r="T1305" s="20"/>
      <c r="U1305" s="22"/>
      <c r="V1305" s="20"/>
    </row>
    <row r="1306" spans="1:22" s="306" customFormat="1" ht="14.4">
      <c r="A1306" s="588">
        <v>235</v>
      </c>
      <c r="B1306" s="2" t="s">
        <v>77</v>
      </c>
      <c r="C1306" s="589">
        <v>350</v>
      </c>
      <c r="D1306" s="590">
        <v>198</v>
      </c>
      <c r="E1306" s="589">
        <v>103</v>
      </c>
      <c r="F1306" s="589">
        <v>66</v>
      </c>
      <c r="G1306" s="21">
        <f t="shared" si="115"/>
        <v>5.8558500000000002</v>
      </c>
      <c r="H1306" s="20">
        <f t="shared" si="119"/>
        <v>7.1379999999999999</v>
      </c>
      <c r="I1306" s="20">
        <f t="shared" si="120"/>
        <v>5.8559999999999999</v>
      </c>
      <c r="J1306" s="20">
        <f t="shared" si="121"/>
        <v>3.4769999999999999</v>
      </c>
      <c r="K1306" s="75"/>
      <c r="L1306" s="780"/>
      <c r="M1306" s="20"/>
      <c r="N1306" s="20"/>
      <c r="O1306" s="20"/>
      <c r="P1306" s="20"/>
      <c r="Q1306" s="21"/>
      <c r="R1306" s="22"/>
      <c r="S1306" s="22"/>
      <c r="T1306" s="20"/>
      <c r="U1306" s="22"/>
      <c r="V1306" s="20"/>
    </row>
    <row r="1307" spans="1:22" s="306" customFormat="1" ht="14.4">
      <c r="A1307" s="588">
        <v>335</v>
      </c>
      <c r="B1307" s="2" t="s">
        <v>77</v>
      </c>
      <c r="C1307" s="589">
        <v>350</v>
      </c>
      <c r="D1307" s="590">
        <v>198</v>
      </c>
      <c r="E1307" s="589">
        <v>103</v>
      </c>
      <c r="F1307" s="589">
        <v>78.8</v>
      </c>
      <c r="G1307" s="21">
        <f t="shared" si="115"/>
        <v>6.2993699999999997</v>
      </c>
      <c r="H1307" s="20">
        <f t="shared" si="119"/>
        <v>7.1379999999999999</v>
      </c>
      <c r="I1307" s="20">
        <f t="shared" si="120"/>
        <v>6.2990000000000004</v>
      </c>
      <c r="J1307" s="20">
        <f t="shared" si="121"/>
        <v>4.1509999999999998</v>
      </c>
      <c r="K1307" s="75"/>
      <c r="L1307" s="780"/>
      <c r="M1307" s="20"/>
      <c r="N1307" s="20"/>
      <c r="O1307" s="20"/>
      <c r="P1307" s="20"/>
      <c r="Q1307" s="21"/>
      <c r="R1307" s="22"/>
      <c r="S1307" s="22"/>
      <c r="T1307" s="20"/>
      <c r="U1307" s="22"/>
      <c r="V1307" s="20"/>
    </row>
    <row r="1308" spans="1:22" s="306" customFormat="1" ht="14.4">
      <c r="A1308" s="588">
        <v>435</v>
      </c>
      <c r="B1308" s="2" t="s">
        <v>77</v>
      </c>
      <c r="C1308" s="589">
        <v>350</v>
      </c>
      <c r="D1308" s="590">
        <v>198</v>
      </c>
      <c r="E1308" s="589">
        <v>103</v>
      </c>
      <c r="F1308" s="589">
        <v>84.5</v>
      </c>
      <c r="G1308" s="21">
        <f t="shared" si="115"/>
        <v>6.4968750000000002</v>
      </c>
      <c r="H1308" s="20">
        <f t="shared" si="119"/>
        <v>7.1379999999999999</v>
      </c>
      <c r="I1308" s="20">
        <f t="shared" si="120"/>
        <v>6.4969999999999999</v>
      </c>
      <c r="J1308" s="20">
        <f t="shared" si="121"/>
        <v>4.4509999999999996</v>
      </c>
      <c r="K1308" s="75"/>
      <c r="L1308" s="780"/>
      <c r="M1308" s="20"/>
      <c r="N1308" s="20"/>
      <c r="O1308" s="20"/>
      <c r="P1308" s="20"/>
      <c r="Q1308" s="21"/>
      <c r="R1308" s="22"/>
      <c r="S1308" s="22"/>
      <c r="T1308" s="20"/>
      <c r="U1308" s="22"/>
      <c r="V1308" s="20"/>
    </row>
    <row r="1309" spans="1:22" s="306" customFormat="1" ht="14.4">
      <c r="A1309" s="588">
        <v>635</v>
      </c>
      <c r="B1309" s="2" t="s">
        <v>77</v>
      </c>
      <c r="C1309" s="589">
        <v>350</v>
      </c>
      <c r="D1309" s="590">
        <v>198</v>
      </c>
      <c r="E1309" s="589">
        <v>103</v>
      </c>
      <c r="F1309" s="589">
        <v>91</v>
      </c>
      <c r="G1309" s="21">
        <f t="shared" si="115"/>
        <v>6.7221000000000002</v>
      </c>
      <c r="H1309" s="20">
        <f t="shared" si="119"/>
        <v>7.1379999999999999</v>
      </c>
      <c r="I1309" s="20">
        <f t="shared" si="120"/>
        <v>6.7220000000000004</v>
      </c>
      <c r="J1309" s="20">
        <f t="shared" si="121"/>
        <v>4.7930000000000001</v>
      </c>
      <c r="K1309" s="75"/>
      <c r="L1309" s="780"/>
      <c r="M1309" s="20"/>
      <c r="N1309" s="20"/>
      <c r="O1309" s="20"/>
      <c r="P1309" s="20"/>
      <c r="Q1309" s="21"/>
      <c r="R1309" s="22"/>
      <c r="S1309" s="22"/>
      <c r="T1309" s="20"/>
      <c r="U1309" s="22"/>
      <c r="V1309" s="20"/>
    </row>
    <row r="1310" spans="1:22" s="306" customFormat="1" ht="14.4">
      <c r="A1310" s="588">
        <v>835</v>
      </c>
      <c r="B1310" s="2" t="s">
        <v>77</v>
      </c>
      <c r="C1310" s="589">
        <v>350</v>
      </c>
      <c r="D1310" s="590">
        <v>198</v>
      </c>
      <c r="E1310" s="589">
        <v>103</v>
      </c>
      <c r="F1310" s="589">
        <v>94</v>
      </c>
      <c r="G1310" s="21">
        <f t="shared" si="115"/>
        <v>6.8260500000000004</v>
      </c>
      <c r="H1310" s="20">
        <f t="shared" si="119"/>
        <v>7.1379999999999999</v>
      </c>
      <c r="I1310" s="20">
        <f t="shared" si="120"/>
        <v>6.8259999999999996</v>
      </c>
      <c r="J1310" s="20">
        <f t="shared" si="121"/>
        <v>4.9509999999999996</v>
      </c>
      <c r="K1310" s="75"/>
      <c r="L1310" s="780"/>
      <c r="M1310" s="20"/>
      <c r="N1310" s="20"/>
      <c r="O1310" s="20"/>
      <c r="P1310" s="20"/>
      <c r="Q1310" s="21"/>
      <c r="R1310" s="22"/>
      <c r="S1310" s="22"/>
      <c r="T1310" s="20"/>
      <c r="U1310" s="22"/>
      <c r="V1310" s="20"/>
    </row>
    <row r="1311" spans="1:22" s="306" customFormat="1" ht="14.4">
      <c r="A1311" s="588" t="s">
        <v>2158</v>
      </c>
      <c r="B1311" s="2" t="s">
        <v>77</v>
      </c>
      <c r="C1311" s="589">
        <v>350</v>
      </c>
      <c r="D1311" s="590">
        <v>198</v>
      </c>
      <c r="E1311" s="589">
        <v>71</v>
      </c>
      <c r="F1311" s="589">
        <v>61</v>
      </c>
      <c r="G1311" s="21">
        <f t="shared" si="115"/>
        <v>4.5738000000000003</v>
      </c>
      <c r="H1311" s="20">
        <f t="shared" si="119"/>
        <v>4.92</v>
      </c>
      <c r="I1311" s="20">
        <f t="shared" si="120"/>
        <v>4.5739999999999998</v>
      </c>
      <c r="J1311" s="20">
        <f t="shared" si="121"/>
        <v>2.8719999999999999</v>
      </c>
      <c r="K1311" s="75"/>
      <c r="L1311" s="780"/>
      <c r="M1311" s="20"/>
      <c r="N1311" s="20"/>
      <c r="O1311" s="20"/>
      <c r="P1311" s="20"/>
      <c r="Q1311" s="21"/>
      <c r="R1311" s="22"/>
      <c r="S1311" s="22"/>
      <c r="T1311" s="20"/>
      <c r="U1311" s="22"/>
      <c r="V1311" s="20"/>
    </row>
    <row r="1312" spans="1:22" s="306" customFormat="1" ht="14.4">
      <c r="A1312" s="588" t="s">
        <v>2159</v>
      </c>
      <c r="B1312" s="2" t="s">
        <v>77</v>
      </c>
      <c r="C1312" s="589">
        <v>350</v>
      </c>
      <c r="D1312" s="590">
        <v>198</v>
      </c>
      <c r="E1312" s="589">
        <v>78</v>
      </c>
      <c r="F1312" s="589">
        <v>69</v>
      </c>
      <c r="G1312" s="21">
        <f t="shared" si="115"/>
        <v>5.0935499999999996</v>
      </c>
      <c r="H1312" s="20">
        <f t="shared" si="119"/>
        <v>5.4050000000000002</v>
      </c>
      <c r="I1312" s="20">
        <f t="shared" si="120"/>
        <v>5.0940000000000003</v>
      </c>
      <c r="J1312" s="20">
        <f t="shared" si="121"/>
        <v>3.3330000000000002</v>
      </c>
      <c r="K1312" s="75"/>
      <c r="L1312" s="780"/>
      <c r="M1312" s="20"/>
      <c r="N1312" s="20"/>
      <c r="O1312" s="20"/>
      <c r="P1312" s="20"/>
      <c r="Q1312" s="21"/>
      <c r="R1312" s="22"/>
      <c r="S1312" s="22"/>
      <c r="T1312" s="20"/>
      <c r="U1312" s="22"/>
      <c r="V1312" s="20"/>
    </row>
    <row r="1313" spans="1:22" s="306" customFormat="1">
      <c r="A1313" s="305"/>
      <c r="B1313" s="2"/>
      <c r="C1313" s="2"/>
      <c r="D1313" s="2"/>
      <c r="E1313" s="2"/>
      <c r="F1313" s="2"/>
      <c r="G1313" s="21" t="str">
        <f t="shared" ref="G1313:G1342" si="122">IF(B1313="","",IF(OR(B1313="PA",B1313="PL"),H1313,IF(OR(B1313="VDZ",B1313="ISO",B1313="A1",B1313="A2",B1313="A3",B1313="AE",B1313="A2/3",B1313="A3/4",B1313="C1",B1313="C2",B1313="C3",B1313="CE",B1313="C2/3",B1313="C3/4"),I1313,J1313)))</f>
        <v/>
      </c>
      <c r="H1313" s="20">
        <f t="shared" si="119"/>
        <v>0</v>
      </c>
      <c r="I1313" s="20" t="str">
        <f t="shared" si="120"/>
        <v>-</v>
      </c>
      <c r="J1313" s="20" t="str">
        <f t="shared" si="121"/>
        <v>-</v>
      </c>
      <c r="K1313" s="75"/>
      <c r="L1313" s="780"/>
      <c r="M1313" s="20"/>
      <c r="N1313" s="20"/>
      <c r="O1313" s="20"/>
      <c r="P1313" s="20"/>
      <c r="Q1313" s="21"/>
      <c r="R1313" s="22" t="s">
        <v>16</v>
      </c>
      <c r="S1313" s="22" t="s">
        <v>16</v>
      </c>
      <c r="T1313" s="20"/>
      <c r="U1313" s="22" t="e">
        <f>U1241</f>
        <v>#REF!</v>
      </c>
      <c r="V1313" s="20"/>
    </row>
    <row r="1314" spans="1:22" s="306" customFormat="1" ht="14.4">
      <c r="A1314" s="399" t="s">
        <v>1679</v>
      </c>
      <c r="B1314" s="2" t="s">
        <v>77</v>
      </c>
      <c r="C1314" s="408">
        <v>180</v>
      </c>
      <c r="D1314" s="417">
        <v>300</v>
      </c>
      <c r="E1314" s="408">
        <v>103</v>
      </c>
      <c r="F1314" s="408">
        <v>84</v>
      </c>
      <c r="G1314" s="21">
        <f t="shared" si="115"/>
        <v>5.0490000000000004</v>
      </c>
      <c r="H1314" s="20">
        <f t="shared" si="119"/>
        <v>5.5620000000000003</v>
      </c>
      <c r="I1314" s="20">
        <f t="shared" si="120"/>
        <v>5.0490000000000004</v>
      </c>
      <c r="J1314" s="20">
        <f t="shared" si="121"/>
        <v>3.0470000000000002</v>
      </c>
      <c r="K1314" s="75"/>
      <c r="L1314" s="780"/>
      <c r="M1314" s="20"/>
      <c r="N1314" s="20"/>
      <c r="O1314" s="20"/>
      <c r="P1314" s="20"/>
      <c r="Q1314" s="21"/>
      <c r="R1314" s="22" t="s">
        <v>16</v>
      </c>
      <c r="S1314" s="22" t="s">
        <v>16</v>
      </c>
      <c r="T1314" s="20"/>
      <c r="U1314" s="22" t="e">
        <f t="shared" ref="U1314:U1315" si="123">U1313</f>
        <v>#REF!</v>
      </c>
      <c r="V1314" s="20"/>
    </row>
    <row r="1315" spans="1:22" s="306" customFormat="1" ht="14.4">
      <c r="A1315" s="399" t="s">
        <v>1680</v>
      </c>
      <c r="B1315" s="2" t="s">
        <v>77</v>
      </c>
      <c r="C1315" s="408">
        <v>180</v>
      </c>
      <c r="D1315" s="417">
        <v>300</v>
      </c>
      <c r="E1315" s="408">
        <v>103</v>
      </c>
      <c r="F1315" s="408">
        <v>90.5</v>
      </c>
      <c r="G1315" s="21">
        <f t="shared" si="115"/>
        <v>5.2244999999999999</v>
      </c>
      <c r="H1315" s="20">
        <f t="shared" si="119"/>
        <v>5.5620000000000003</v>
      </c>
      <c r="I1315" s="20">
        <f t="shared" si="120"/>
        <v>5.2249999999999996</v>
      </c>
      <c r="J1315" s="20">
        <f t="shared" si="121"/>
        <v>3.282</v>
      </c>
      <c r="K1315" s="75"/>
      <c r="L1315" s="780"/>
      <c r="M1315" s="20"/>
      <c r="N1315" s="20"/>
      <c r="O1315" s="20"/>
      <c r="P1315" s="20"/>
      <c r="Q1315" s="21"/>
      <c r="R1315" s="22" t="s">
        <v>16</v>
      </c>
      <c r="S1315" s="22" t="s">
        <v>16</v>
      </c>
      <c r="T1315" s="20"/>
      <c r="U1315" s="22" t="e">
        <f t="shared" si="123"/>
        <v>#REF!</v>
      </c>
      <c r="V1315" s="20"/>
    </row>
    <row r="1316" spans="1:22" s="306" customFormat="1" ht="14.4">
      <c r="A1316" s="399" t="s">
        <v>1681</v>
      </c>
      <c r="B1316" s="2" t="s">
        <v>77</v>
      </c>
      <c r="C1316" s="408">
        <v>180</v>
      </c>
      <c r="D1316" s="417">
        <v>300</v>
      </c>
      <c r="E1316" s="408">
        <v>103</v>
      </c>
      <c r="F1316" s="408">
        <v>93.5</v>
      </c>
      <c r="G1316" s="21">
        <f t="shared" si="115"/>
        <v>5.3055000000000003</v>
      </c>
      <c r="H1316" s="20">
        <f t="shared" si="119"/>
        <v>5.5620000000000003</v>
      </c>
      <c r="I1316" s="20">
        <f t="shared" si="120"/>
        <v>5.306</v>
      </c>
      <c r="J1316" s="20">
        <f t="shared" si="121"/>
        <v>3.391</v>
      </c>
      <c r="K1316" s="75"/>
      <c r="L1316" s="780"/>
      <c r="M1316" s="20"/>
      <c r="N1316" s="20"/>
      <c r="O1316" s="20"/>
      <c r="P1316" s="20"/>
      <c r="Q1316" s="21"/>
      <c r="R1316" s="22"/>
      <c r="S1316" s="22"/>
      <c r="T1316" s="20"/>
      <c r="U1316" s="22"/>
      <c r="V1316" s="20"/>
    </row>
    <row r="1317" spans="1:22" s="306" customFormat="1" ht="14.4">
      <c r="A1317" s="399" t="s">
        <v>1682</v>
      </c>
      <c r="B1317" s="2" t="s">
        <v>77</v>
      </c>
      <c r="C1317" s="408">
        <v>180</v>
      </c>
      <c r="D1317" s="417">
        <v>300</v>
      </c>
      <c r="E1317" s="408">
        <v>103</v>
      </c>
      <c r="F1317" s="408">
        <v>97</v>
      </c>
      <c r="G1317" s="21">
        <f t="shared" si="115"/>
        <v>5.4</v>
      </c>
      <c r="H1317" s="20">
        <f t="shared" si="119"/>
        <v>5.5620000000000003</v>
      </c>
      <c r="I1317" s="20">
        <f t="shared" si="120"/>
        <v>5.4</v>
      </c>
      <c r="J1317" s="20">
        <f t="shared" si="121"/>
        <v>3.5179999999999998</v>
      </c>
      <c r="K1317" s="75"/>
      <c r="L1317" s="780"/>
      <c r="M1317" s="20"/>
      <c r="N1317" s="20"/>
      <c r="O1317" s="20"/>
      <c r="P1317" s="20"/>
      <c r="Q1317" s="21"/>
      <c r="R1317" s="22"/>
      <c r="S1317" s="22"/>
      <c r="T1317" s="20"/>
      <c r="U1317" s="22"/>
      <c r="V1317" s="20"/>
    </row>
    <row r="1318" spans="1:22" s="306" customFormat="1" ht="14.4">
      <c r="A1318" s="403" t="s">
        <v>1683</v>
      </c>
      <c r="B1318" s="2" t="s">
        <v>77</v>
      </c>
      <c r="C1318" s="409">
        <v>200</v>
      </c>
      <c r="D1318" s="419">
        <v>300</v>
      </c>
      <c r="E1318" s="409">
        <v>103</v>
      </c>
      <c r="F1318" s="409">
        <v>82</v>
      </c>
      <c r="G1318" s="21">
        <f t="shared" si="115"/>
        <v>5.55</v>
      </c>
      <c r="H1318" s="20">
        <f t="shared" si="119"/>
        <v>6.18</v>
      </c>
      <c r="I1318" s="20">
        <f t="shared" si="120"/>
        <v>5.55</v>
      </c>
      <c r="J1318" s="20">
        <f t="shared" si="121"/>
        <v>3.3050000000000002</v>
      </c>
      <c r="K1318" s="75"/>
      <c r="L1318" s="780"/>
      <c r="M1318" s="20"/>
      <c r="N1318" s="20"/>
      <c r="O1318" s="20"/>
      <c r="P1318" s="20"/>
      <c r="Q1318" s="21"/>
      <c r="R1318" s="22"/>
      <c r="S1318" s="22"/>
      <c r="T1318" s="20"/>
      <c r="U1318" s="22"/>
      <c r="V1318" s="20"/>
    </row>
    <row r="1319" spans="1:22" s="306" customFormat="1" ht="14.4">
      <c r="A1319" s="403" t="s">
        <v>1684</v>
      </c>
      <c r="B1319" s="2" t="s">
        <v>77</v>
      </c>
      <c r="C1319" s="409">
        <v>200</v>
      </c>
      <c r="D1319" s="419">
        <v>300</v>
      </c>
      <c r="E1319" s="409">
        <v>103</v>
      </c>
      <c r="F1319" s="409">
        <v>89</v>
      </c>
      <c r="G1319" s="21">
        <f t="shared" si="115"/>
        <v>5.76</v>
      </c>
      <c r="H1319" s="20">
        <f t="shared" si="119"/>
        <v>6.18</v>
      </c>
      <c r="I1319" s="20">
        <f t="shared" si="120"/>
        <v>5.76</v>
      </c>
      <c r="J1319" s="20">
        <f t="shared" si="121"/>
        <v>3.5870000000000002</v>
      </c>
      <c r="K1319" s="75"/>
      <c r="L1319" s="780"/>
      <c r="M1319" s="20"/>
      <c r="N1319" s="20"/>
      <c r="O1319" s="20"/>
      <c r="P1319" s="20"/>
      <c r="Q1319" s="21"/>
      <c r="R1319" s="22"/>
      <c r="S1319" s="22"/>
      <c r="T1319" s="20"/>
      <c r="U1319" s="22"/>
      <c r="V1319" s="20"/>
    </row>
    <row r="1320" spans="1:22" s="306" customFormat="1" ht="14.4">
      <c r="A1320" s="403" t="s">
        <v>1685</v>
      </c>
      <c r="B1320" s="2" t="s">
        <v>77</v>
      </c>
      <c r="C1320" s="409">
        <v>200</v>
      </c>
      <c r="D1320" s="419">
        <v>300</v>
      </c>
      <c r="E1320" s="409">
        <v>103</v>
      </c>
      <c r="F1320" s="409">
        <v>92.5</v>
      </c>
      <c r="G1320" s="21">
        <f t="shared" si="115"/>
        <v>5.8650000000000002</v>
      </c>
      <c r="H1320" s="20">
        <f t="shared" si="119"/>
        <v>6.18</v>
      </c>
      <c r="I1320" s="20">
        <f t="shared" si="120"/>
        <v>5.8650000000000002</v>
      </c>
      <c r="J1320" s="20">
        <f t="shared" si="121"/>
        <v>3.7280000000000002</v>
      </c>
      <c r="K1320" s="75"/>
      <c r="L1320" s="780"/>
      <c r="M1320" s="20"/>
      <c r="N1320" s="20"/>
      <c r="O1320" s="20"/>
      <c r="P1320" s="20"/>
      <c r="Q1320" s="21"/>
      <c r="R1320" s="22"/>
      <c r="S1320" s="22"/>
      <c r="T1320" s="20"/>
      <c r="U1320" s="22"/>
      <c r="V1320" s="20"/>
    </row>
    <row r="1321" spans="1:22" s="306" customFormat="1" ht="14.4">
      <c r="A1321" s="403" t="s">
        <v>1686</v>
      </c>
      <c r="B1321" s="2" t="s">
        <v>77</v>
      </c>
      <c r="C1321" s="409">
        <v>200</v>
      </c>
      <c r="D1321" s="419">
        <v>300</v>
      </c>
      <c r="E1321" s="409">
        <v>103</v>
      </c>
      <c r="F1321" s="409">
        <v>94.7</v>
      </c>
      <c r="G1321" s="21">
        <f t="shared" si="115"/>
        <v>5.931</v>
      </c>
      <c r="H1321" s="20">
        <f t="shared" si="119"/>
        <v>6.18</v>
      </c>
      <c r="I1321" s="20">
        <f t="shared" si="120"/>
        <v>5.931</v>
      </c>
      <c r="J1321" s="20">
        <f t="shared" si="121"/>
        <v>3.8159999999999998</v>
      </c>
      <c r="K1321" s="75"/>
      <c r="L1321" s="780"/>
      <c r="M1321" s="20"/>
      <c r="N1321" s="20"/>
      <c r="O1321" s="20"/>
      <c r="P1321" s="20"/>
      <c r="Q1321" s="21"/>
      <c r="R1321" s="22"/>
      <c r="S1321" s="22"/>
      <c r="T1321" s="20"/>
      <c r="U1321" s="22"/>
      <c r="V1321" s="20"/>
    </row>
    <row r="1322" spans="1:22" s="306" customFormat="1" ht="14.4">
      <c r="A1322" s="403" t="s">
        <v>1687</v>
      </c>
      <c r="B1322" s="2" t="s">
        <v>77</v>
      </c>
      <c r="C1322" s="409">
        <v>200</v>
      </c>
      <c r="D1322" s="419">
        <v>300</v>
      </c>
      <c r="E1322" s="409">
        <v>103</v>
      </c>
      <c r="F1322" s="409">
        <v>96.2</v>
      </c>
      <c r="G1322" s="21">
        <f t="shared" si="115"/>
        <v>5.976</v>
      </c>
      <c r="H1322" s="20">
        <f t="shared" si="119"/>
        <v>6.18</v>
      </c>
      <c r="I1322" s="20">
        <f t="shared" si="120"/>
        <v>5.976</v>
      </c>
      <c r="J1322" s="20">
        <f t="shared" si="121"/>
        <v>3.8769999999999998</v>
      </c>
      <c r="K1322" s="75"/>
      <c r="L1322" s="780"/>
      <c r="M1322" s="20"/>
      <c r="N1322" s="20"/>
      <c r="O1322" s="20"/>
      <c r="P1322" s="20"/>
      <c r="Q1322" s="21"/>
      <c r="R1322" s="22"/>
      <c r="S1322" s="22"/>
      <c r="T1322" s="20"/>
      <c r="U1322" s="22"/>
      <c r="V1322" s="20"/>
    </row>
    <row r="1323" spans="1:22" s="306" customFormat="1" ht="14.4">
      <c r="A1323" s="403" t="s">
        <v>1688</v>
      </c>
      <c r="B1323" s="2" t="s">
        <v>77</v>
      </c>
      <c r="C1323" s="409">
        <v>200</v>
      </c>
      <c r="D1323" s="419">
        <v>300</v>
      </c>
      <c r="E1323" s="409">
        <v>103</v>
      </c>
      <c r="F1323" s="409">
        <v>97.8</v>
      </c>
      <c r="G1323" s="21">
        <f t="shared" si="115"/>
        <v>6.024</v>
      </c>
      <c r="H1323" s="20">
        <f t="shared" si="119"/>
        <v>6.18</v>
      </c>
      <c r="I1323" s="20">
        <f t="shared" si="120"/>
        <v>6.024</v>
      </c>
      <c r="J1323" s="20">
        <f t="shared" si="121"/>
        <v>3.9409999999999998</v>
      </c>
      <c r="K1323" s="75"/>
      <c r="L1323" s="780"/>
      <c r="M1323" s="20"/>
      <c r="N1323" s="20"/>
      <c r="O1323" s="20"/>
      <c r="P1323" s="20"/>
      <c r="Q1323" s="21"/>
      <c r="R1323" s="22"/>
      <c r="S1323" s="22"/>
      <c r="T1323" s="20"/>
      <c r="U1323" s="22"/>
      <c r="V1323" s="20"/>
    </row>
    <row r="1324" spans="1:22" s="306" customFormat="1" ht="14.4">
      <c r="A1324" s="402" t="s">
        <v>1689</v>
      </c>
      <c r="B1324" s="2" t="s">
        <v>77</v>
      </c>
      <c r="C1324" s="413">
        <v>220</v>
      </c>
      <c r="D1324" s="420">
        <v>300</v>
      </c>
      <c r="E1324" s="413">
        <v>103</v>
      </c>
      <c r="F1324" s="413">
        <v>80</v>
      </c>
      <c r="G1324" s="21">
        <f t="shared" si="115"/>
        <v>6.0389999999999997</v>
      </c>
      <c r="H1324" s="20">
        <f t="shared" si="119"/>
        <v>6.798</v>
      </c>
      <c r="I1324" s="20">
        <f t="shared" si="120"/>
        <v>6.0389999999999997</v>
      </c>
      <c r="J1324" s="20">
        <f t="shared" si="121"/>
        <v>3.5459999999999998</v>
      </c>
      <c r="K1324" s="75"/>
      <c r="L1324" s="780"/>
      <c r="M1324" s="20"/>
      <c r="N1324" s="20"/>
      <c r="O1324" s="20"/>
      <c r="P1324" s="20"/>
      <c r="Q1324" s="21"/>
      <c r="R1324" s="22"/>
      <c r="S1324" s="22"/>
      <c r="T1324" s="20"/>
      <c r="U1324" s="22"/>
      <c r="V1324" s="20"/>
    </row>
    <row r="1325" spans="1:22" s="306" customFormat="1" ht="14.4">
      <c r="A1325" s="402" t="s">
        <v>1690</v>
      </c>
      <c r="B1325" s="2" t="s">
        <v>77</v>
      </c>
      <c r="C1325" s="413">
        <v>220</v>
      </c>
      <c r="D1325" s="420">
        <v>300</v>
      </c>
      <c r="E1325" s="413">
        <v>103</v>
      </c>
      <c r="F1325" s="413">
        <v>88</v>
      </c>
      <c r="G1325" s="21">
        <f t="shared" si="115"/>
        <v>6.3029999999999999</v>
      </c>
      <c r="H1325" s="20">
        <f t="shared" si="119"/>
        <v>6.798</v>
      </c>
      <c r="I1325" s="20">
        <f t="shared" si="120"/>
        <v>6.3029999999999999</v>
      </c>
      <c r="J1325" s="20">
        <f t="shared" si="121"/>
        <v>3.9009999999999998</v>
      </c>
      <c r="K1325" s="75"/>
      <c r="L1325" s="780"/>
      <c r="M1325" s="20"/>
      <c r="N1325" s="20"/>
      <c r="O1325" s="20"/>
      <c r="P1325" s="20"/>
      <c r="Q1325" s="21"/>
      <c r="R1325" s="22"/>
      <c r="S1325" s="22"/>
      <c r="T1325" s="20"/>
      <c r="U1325" s="22"/>
      <c r="V1325" s="20"/>
    </row>
    <row r="1326" spans="1:22" s="306" customFormat="1" ht="14.4">
      <c r="A1326" s="402" t="s">
        <v>1691</v>
      </c>
      <c r="B1326" s="2" t="s">
        <v>77</v>
      </c>
      <c r="C1326" s="413">
        <v>220</v>
      </c>
      <c r="D1326" s="420">
        <v>300</v>
      </c>
      <c r="E1326" s="413">
        <v>103</v>
      </c>
      <c r="F1326" s="413">
        <v>91.5</v>
      </c>
      <c r="G1326" s="21">
        <f t="shared" si="115"/>
        <v>6.4184999999999999</v>
      </c>
      <c r="H1326" s="20">
        <f t="shared" si="119"/>
        <v>6.798</v>
      </c>
      <c r="I1326" s="20">
        <f t="shared" si="120"/>
        <v>6.4189999999999996</v>
      </c>
      <c r="J1326" s="20">
        <f t="shared" si="121"/>
        <v>4.056</v>
      </c>
      <c r="K1326" s="75"/>
      <c r="L1326" s="780"/>
      <c r="M1326" s="20"/>
      <c r="N1326" s="20"/>
      <c r="O1326" s="20"/>
      <c r="P1326" s="20"/>
      <c r="Q1326" s="21"/>
      <c r="R1326" s="22"/>
      <c r="S1326" s="22"/>
      <c r="T1326" s="20"/>
      <c r="U1326" s="22"/>
      <c r="V1326" s="20"/>
    </row>
    <row r="1327" spans="1:22" s="306" customFormat="1" ht="14.4">
      <c r="A1327" s="402" t="s">
        <v>1692</v>
      </c>
      <c r="B1327" s="2" t="s">
        <v>77</v>
      </c>
      <c r="C1327" s="413">
        <v>220</v>
      </c>
      <c r="D1327" s="420">
        <v>300</v>
      </c>
      <c r="E1327" s="413">
        <v>103</v>
      </c>
      <c r="F1327" s="413">
        <v>94</v>
      </c>
      <c r="G1327" s="21">
        <f t="shared" si="115"/>
        <v>6.5010000000000003</v>
      </c>
      <c r="H1327" s="20">
        <f t="shared" si="119"/>
        <v>6.798</v>
      </c>
      <c r="I1327" s="20">
        <f t="shared" si="120"/>
        <v>6.5010000000000003</v>
      </c>
      <c r="J1327" s="20">
        <f t="shared" si="121"/>
        <v>4.1669999999999998</v>
      </c>
      <c r="K1327" s="75"/>
      <c r="L1327" s="780"/>
      <c r="M1327" s="20"/>
      <c r="N1327" s="20"/>
      <c r="O1327" s="20"/>
      <c r="P1327" s="20"/>
      <c r="Q1327" s="21"/>
      <c r="R1327" s="22"/>
      <c r="S1327" s="22"/>
      <c r="T1327" s="20"/>
      <c r="U1327" s="22"/>
      <c r="V1327" s="20"/>
    </row>
    <row r="1328" spans="1:22" s="306" customFormat="1" ht="14.4">
      <c r="A1328" s="402" t="s">
        <v>1693</v>
      </c>
      <c r="B1328" s="2" t="s">
        <v>77</v>
      </c>
      <c r="C1328" s="413">
        <v>220</v>
      </c>
      <c r="D1328" s="420">
        <v>300</v>
      </c>
      <c r="E1328" s="413">
        <v>103</v>
      </c>
      <c r="F1328" s="413">
        <v>95.5</v>
      </c>
      <c r="G1328" s="21">
        <f t="shared" si="115"/>
        <v>6.5505000000000004</v>
      </c>
      <c r="H1328" s="20">
        <f t="shared" si="119"/>
        <v>6.798</v>
      </c>
      <c r="I1328" s="20">
        <f t="shared" si="120"/>
        <v>6.5510000000000002</v>
      </c>
      <c r="J1328" s="20">
        <f t="shared" si="121"/>
        <v>4.234</v>
      </c>
      <c r="K1328" s="75"/>
      <c r="L1328" s="780"/>
      <c r="M1328" s="20"/>
      <c r="N1328" s="20"/>
      <c r="O1328" s="20"/>
      <c r="P1328" s="20"/>
      <c r="Q1328" s="21"/>
      <c r="R1328" s="22"/>
      <c r="S1328" s="22"/>
      <c r="T1328" s="20"/>
      <c r="U1328" s="22"/>
      <c r="V1328" s="20"/>
    </row>
    <row r="1329" spans="1:22" s="306" customFormat="1" ht="14.4">
      <c r="A1329" s="402" t="s">
        <v>1694</v>
      </c>
      <c r="B1329" s="2" t="s">
        <v>77</v>
      </c>
      <c r="C1329" s="413">
        <v>220</v>
      </c>
      <c r="D1329" s="420">
        <v>300</v>
      </c>
      <c r="E1329" s="413">
        <v>103</v>
      </c>
      <c r="F1329" s="413">
        <v>97.3</v>
      </c>
      <c r="G1329" s="21">
        <f t="shared" si="115"/>
        <v>6.6098999999999997</v>
      </c>
      <c r="H1329" s="20">
        <f t="shared" si="119"/>
        <v>6.798</v>
      </c>
      <c r="I1329" s="20">
        <f t="shared" si="120"/>
        <v>6.61</v>
      </c>
      <c r="J1329" s="20">
        <f t="shared" si="121"/>
        <v>4.3129999999999997</v>
      </c>
      <c r="K1329" s="75"/>
      <c r="L1329" s="780"/>
      <c r="M1329" s="20"/>
      <c r="N1329" s="20"/>
      <c r="O1329" s="20"/>
      <c r="P1329" s="20"/>
      <c r="Q1329" s="21"/>
      <c r="R1329" s="22"/>
      <c r="S1329" s="22"/>
      <c r="T1329" s="20"/>
      <c r="U1329" s="22"/>
      <c r="V1329" s="20"/>
    </row>
    <row r="1330" spans="1:22" s="306" customFormat="1" ht="14.4">
      <c r="A1330" s="441" t="s">
        <v>1695</v>
      </c>
      <c r="B1330" s="2" t="s">
        <v>77</v>
      </c>
      <c r="C1330" s="442">
        <v>250</v>
      </c>
      <c r="D1330" s="435">
        <v>300</v>
      </c>
      <c r="E1330" s="442">
        <v>103</v>
      </c>
      <c r="F1330" s="442">
        <v>77</v>
      </c>
      <c r="G1330" s="21">
        <f t="shared" si="115"/>
        <v>6.75</v>
      </c>
      <c r="H1330" s="20">
        <f t="shared" si="119"/>
        <v>7.7249999999999996</v>
      </c>
      <c r="I1330" s="20">
        <f t="shared" si="120"/>
        <v>6.75</v>
      </c>
      <c r="J1330" s="20">
        <f t="shared" si="121"/>
        <v>3.879</v>
      </c>
      <c r="K1330" s="75"/>
      <c r="L1330" s="780"/>
      <c r="M1330" s="20"/>
      <c r="N1330" s="20"/>
      <c r="O1330" s="20"/>
      <c r="P1330" s="20"/>
      <c r="Q1330" s="21"/>
      <c r="R1330" s="22"/>
      <c r="S1330" s="22"/>
      <c r="T1330" s="20"/>
      <c r="U1330" s="22"/>
      <c r="V1330" s="20"/>
    </row>
    <row r="1331" spans="1:22" s="306" customFormat="1" ht="14.4">
      <c r="A1331" s="441" t="s">
        <v>1696</v>
      </c>
      <c r="B1331" s="2" t="s">
        <v>77</v>
      </c>
      <c r="C1331" s="442">
        <v>250</v>
      </c>
      <c r="D1331" s="435">
        <v>300</v>
      </c>
      <c r="E1331" s="442">
        <v>103</v>
      </c>
      <c r="F1331" s="442">
        <v>85.5</v>
      </c>
      <c r="G1331" s="21">
        <f t="shared" si="115"/>
        <v>7.0687499999999996</v>
      </c>
      <c r="H1331" s="20">
        <f t="shared" si="119"/>
        <v>7.7249999999999996</v>
      </c>
      <c r="I1331" s="20">
        <f t="shared" si="120"/>
        <v>7.069</v>
      </c>
      <c r="J1331" s="20">
        <f t="shared" si="121"/>
        <v>4.3070000000000004</v>
      </c>
      <c r="K1331" s="75"/>
      <c r="L1331" s="780"/>
      <c r="M1331" s="20"/>
      <c r="N1331" s="20"/>
      <c r="O1331" s="20"/>
      <c r="P1331" s="20"/>
      <c r="Q1331" s="21"/>
      <c r="R1331" s="22"/>
      <c r="S1331" s="22"/>
      <c r="T1331" s="20"/>
      <c r="U1331" s="22"/>
      <c r="V1331" s="20"/>
    </row>
    <row r="1332" spans="1:22" s="306" customFormat="1" ht="14.4">
      <c r="A1332" s="441" t="s">
        <v>1697</v>
      </c>
      <c r="B1332" s="2" t="s">
        <v>77</v>
      </c>
      <c r="C1332" s="442">
        <v>250</v>
      </c>
      <c r="D1332" s="435">
        <v>300</v>
      </c>
      <c r="E1332" s="442">
        <v>103</v>
      </c>
      <c r="F1332" s="442">
        <v>90</v>
      </c>
      <c r="G1332" s="21">
        <f t="shared" si="115"/>
        <v>7.2374999999999998</v>
      </c>
      <c r="H1332" s="20">
        <f t="shared" si="119"/>
        <v>7.7249999999999996</v>
      </c>
      <c r="I1332" s="20">
        <f t="shared" si="120"/>
        <v>7.2380000000000004</v>
      </c>
      <c r="J1332" s="20">
        <f t="shared" si="121"/>
        <v>4.5339999999999998</v>
      </c>
      <c r="K1332" s="75"/>
      <c r="L1332" s="780"/>
      <c r="M1332" s="20"/>
      <c r="N1332" s="20"/>
      <c r="O1332" s="20"/>
      <c r="P1332" s="20"/>
      <c r="Q1332" s="21"/>
      <c r="R1332" s="22"/>
      <c r="S1332" s="22"/>
      <c r="T1332" s="20"/>
      <c r="U1332" s="22"/>
      <c r="V1332" s="20"/>
    </row>
    <row r="1333" spans="1:22" s="306" customFormat="1" ht="14.4">
      <c r="A1333" s="441" t="s">
        <v>1698</v>
      </c>
      <c r="B1333" s="2" t="s">
        <v>77</v>
      </c>
      <c r="C1333" s="442">
        <v>250</v>
      </c>
      <c r="D1333" s="435">
        <v>300</v>
      </c>
      <c r="E1333" s="442">
        <v>103</v>
      </c>
      <c r="F1333" s="442">
        <v>92.7</v>
      </c>
      <c r="G1333" s="21">
        <f t="shared" si="115"/>
        <v>7.3387500000000001</v>
      </c>
      <c r="H1333" s="20">
        <f t="shared" si="119"/>
        <v>7.7249999999999996</v>
      </c>
      <c r="I1333" s="20">
        <f t="shared" si="120"/>
        <v>7.3390000000000004</v>
      </c>
      <c r="J1333" s="20">
        <f t="shared" si="121"/>
        <v>4.67</v>
      </c>
      <c r="K1333" s="75"/>
      <c r="L1333" s="780"/>
      <c r="M1333" s="20"/>
      <c r="N1333" s="20"/>
      <c r="O1333" s="20"/>
      <c r="P1333" s="20"/>
      <c r="Q1333" s="21"/>
      <c r="R1333" s="22"/>
      <c r="S1333" s="22"/>
      <c r="T1333" s="20"/>
      <c r="U1333" s="22"/>
      <c r="V1333" s="20"/>
    </row>
    <row r="1334" spans="1:22" s="306" customFormat="1" ht="14.4">
      <c r="A1334" s="441" t="s">
        <v>1699</v>
      </c>
      <c r="B1334" s="2" t="s">
        <v>77</v>
      </c>
      <c r="C1334" s="442">
        <v>250</v>
      </c>
      <c r="D1334" s="435">
        <v>300</v>
      </c>
      <c r="E1334" s="442">
        <v>103</v>
      </c>
      <c r="F1334" s="442">
        <v>94.5</v>
      </c>
      <c r="G1334" s="21">
        <f t="shared" si="115"/>
        <v>7.40625</v>
      </c>
      <c r="H1334" s="20">
        <f t="shared" si="119"/>
        <v>7.7249999999999996</v>
      </c>
      <c r="I1334" s="20">
        <f t="shared" si="120"/>
        <v>7.4059999999999997</v>
      </c>
      <c r="J1334" s="20">
        <f t="shared" si="121"/>
        <v>4.76</v>
      </c>
      <c r="K1334" s="75"/>
      <c r="L1334" s="780"/>
      <c r="M1334" s="20"/>
      <c r="N1334" s="20"/>
      <c r="O1334" s="20"/>
      <c r="P1334" s="20"/>
      <c r="Q1334" s="21"/>
      <c r="R1334" s="22"/>
      <c r="S1334" s="22"/>
      <c r="T1334" s="20"/>
      <c r="U1334" s="22"/>
      <c r="V1334" s="20"/>
    </row>
    <row r="1335" spans="1:22" s="306" customFormat="1" ht="14.4">
      <c r="A1335" s="441" t="s">
        <v>1700</v>
      </c>
      <c r="B1335" s="2" t="s">
        <v>77</v>
      </c>
      <c r="C1335" s="414">
        <v>250</v>
      </c>
      <c r="D1335" s="435">
        <v>300</v>
      </c>
      <c r="E1335" s="414">
        <v>103</v>
      </c>
      <c r="F1335" s="414">
        <v>96.5</v>
      </c>
      <c r="G1335" s="21">
        <f t="shared" si="115"/>
        <v>7.4812500000000002</v>
      </c>
      <c r="H1335" s="20">
        <f t="shared" si="119"/>
        <v>7.7249999999999996</v>
      </c>
      <c r="I1335" s="20">
        <f t="shared" si="120"/>
        <v>7.4809999999999999</v>
      </c>
      <c r="J1335" s="20">
        <f t="shared" si="121"/>
        <v>4.8609999999999998</v>
      </c>
      <c r="K1335" s="75"/>
      <c r="L1335" s="780"/>
      <c r="M1335" s="20"/>
      <c r="N1335" s="20"/>
      <c r="O1335" s="20"/>
      <c r="P1335" s="20"/>
      <c r="Q1335" s="21"/>
      <c r="R1335" s="22"/>
      <c r="S1335" s="22"/>
      <c r="T1335" s="20"/>
      <c r="U1335" s="22"/>
      <c r="V1335" s="20"/>
    </row>
    <row r="1336" spans="1:22" s="306" customFormat="1" ht="14.4">
      <c r="A1336" s="439" t="s">
        <v>1701</v>
      </c>
      <c r="B1336" s="2" t="s">
        <v>77</v>
      </c>
      <c r="C1336" s="440">
        <v>300</v>
      </c>
      <c r="D1336" s="433">
        <v>300</v>
      </c>
      <c r="E1336" s="440">
        <v>103</v>
      </c>
      <c r="F1336" s="440">
        <v>71.599999999999994</v>
      </c>
      <c r="G1336" s="21">
        <f t="shared" si="115"/>
        <v>7.8570000000000002</v>
      </c>
      <c r="H1336" s="20">
        <f t="shared" si="119"/>
        <v>9.27</v>
      </c>
      <c r="I1336" s="20">
        <f t="shared" si="120"/>
        <v>7.8570000000000002</v>
      </c>
      <c r="J1336" s="20">
        <f t="shared" si="121"/>
        <v>4.3280000000000003</v>
      </c>
      <c r="K1336" s="75"/>
      <c r="L1336" s="780"/>
      <c r="M1336" s="20"/>
      <c r="N1336" s="20"/>
      <c r="O1336" s="20"/>
      <c r="P1336" s="20"/>
      <c r="Q1336" s="21"/>
      <c r="R1336" s="22"/>
      <c r="S1336" s="22"/>
      <c r="T1336" s="20"/>
      <c r="U1336" s="22"/>
      <c r="V1336" s="20"/>
    </row>
    <row r="1337" spans="1:22" s="306" customFormat="1" ht="14.4">
      <c r="A1337" s="439" t="s">
        <v>1702</v>
      </c>
      <c r="B1337" s="2" t="s">
        <v>77</v>
      </c>
      <c r="C1337" s="440">
        <v>300</v>
      </c>
      <c r="D1337" s="433">
        <v>300</v>
      </c>
      <c r="E1337" s="440">
        <v>103</v>
      </c>
      <c r="F1337" s="440">
        <v>82</v>
      </c>
      <c r="G1337" s="21">
        <f t="shared" si="115"/>
        <v>8.3249999999999993</v>
      </c>
      <c r="H1337" s="20">
        <f t="shared" si="119"/>
        <v>9.27</v>
      </c>
      <c r="I1337" s="20">
        <f t="shared" si="120"/>
        <v>8.3249999999999993</v>
      </c>
      <c r="J1337" s="20">
        <f t="shared" si="121"/>
        <v>4.9569999999999999</v>
      </c>
      <c r="K1337" s="75"/>
      <c r="L1337" s="780"/>
      <c r="M1337" s="20"/>
      <c r="N1337" s="20"/>
      <c r="O1337" s="20"/>
      <c r="P1337" s="20"/>
      <c r="Q1337" s="21"/>
      <c r="R1337" s="22"/>
      <c r="S1337" s="22"/>
      <c r="T1337" s="20"/>
      <c r="U1337" s="22"/>
      <c r="V1337" s="20"/>
    </row>
    <row r="1338" spans="1:22" s="306" customFormat="1" ht="14.4">
      <c r="A1338" s="439" t="s">
        <v>1703</v>
      </c>
      <c r="B1338" s="2" t="s">
        <v>77</v>
      </c>
      <c r="C1338" s="440">
        <v>300</v>
      </c>
      <c r="D1338" s="433">
        <v>300</v>
      </c>
      <c r="E1338" s="440">
        <v>103</v>
      </c>
      <c r="F1338" s="440">
        <v>87.3</v>
      </c>
      <c r="G1338" s="21">
        <f t="shared" si="115"/>
        <v>8.5634999999999994</v>
      </c>
      <c r="H1338" s="20">
        <f t="shared" si="119"/>
        <v>9.27</v>
      </c>
      <c r="I1338" s="20">
        <f t="shared" si="120"/>
        <v>8.5640000000000001</v>
      </c>
      <c r="J1338" s="20">
        <f t="shared" si="121"/>
        <v>5.2770000000000001</v>
      </c>
      <c r="K1338" s="75"/>
      <c r="L1338" s="780"/>
      <c r="M1338" s="20"/>
      <c r="N1338" s="20"/>
      <c r="O1338" s="20"/>
      <c r="P1338" s="20"/>
      <c r="Q1338" s="21"/>
      <c r="R1338" s="22"/>
      <c r="S1338" s="22"/>
      <c r="T1338" s="20"/>
      <c r="U1338" s="22"/>
      <c r="V1338" s="20"/>
    </row>
    <row r="1339" spans="1:22" s="306" customFormat="1" ht="14.4">
      <c r="A1339" s="439" t="s">
        <v>1704</v>
      </c>
      <c r="B1339" s="2" t="s">
        <v>77</v>
      </c>
      <c r="C1339" s="440">
        <v>300</v>
      </c>
      <c r="D1339" s="433">
        <v>300</v>
      </c>
      <c r="E1339" s="440">
        <v>103</v>
      </c>
      <c r="F1339" s="440">
        <v>95</v>
      </c>
      <c r="G1339" s="21">
        <f t="shared" si="115"/>
        <v>8.91</v>
      </c>
      <c r="H1339" s="20">
        <f t="shared" si="119"/>
        <v>9.27</v>
      </c>
      <c r="I1339" s="20">
        <f t="shared" si="120"/>
        <v>8.91</v>
      </c>
      <c r="J1339" s="20">
        <f t="shared" si="121"/>
        <v>5.7430000000000003</v>
      </c>
      <c r="K1339" s="75"/>
      <c r="L1339" s="780"/>
      <c r="M1339" s="20"/>
      <c r="N1339" s="20"/>
      <c r="O1339" s="20"/>
      <c r="P1339" s="20"/>
      <c r="Q1339" s="21"/>
      <c r="R1339" s="22"/>
      <c r="S1339" s="22"/>
      <c r="T1339" s="20"/>
      <c r="U1339" s="22"/>
      <c r="V1339" s="20"/>
    </row>
    <row r="1340" spans="1:22" s="306" customFormat="1" ht="14.4">
      <c r="A1340" s="443" t="s">
        <v>1705</v>
      </c>
      <c r="B1340" s="2" t="s">
        <v>77</v>
      </c>
      <c r="C1340" s="444">
        <v>350</v>
      </c>
      <c r="D1340" s="432">
        <v>300</v>
      </c>
      <c r="E1340" s="444">
        <v>103</v>
      </c>
      <c r="F1340" s="444">
        <v>84.5</v>
      </c>
      <c r="G1340" s="21">
        <f t="shared" si="115"/>
        <v>9.84375</v>
      </c>
      <c r="H1340" s="20">
        <f t="shared" si="119"/>
        <v>10.815</v>
      </c>
      <c r="I1340" s="20">
        <f t="shared" si="120"/>
        <v>9.8439999999999994</v>
      </c>
      <c r="J1340" s="20">
        <f t="shared" si="121"/>
        <v>5.9589999999999996</v>
      </c>
      <c r="K1340" s="75"/>
      <c r="L1340" s="780"/>
      <c r="M1340" s="20"/>
      <c r="N1340" s="20"/>
      <c r="O1340" s="20"/>
      <c r="P1340" s="20"/>
      <c r="Q1340" s="21"/>
      <c r="R1340" s="22"/>
      <c r="S1340" s="22"/>
      <c r="T1340" s="20"/>
      <c r="U1340" s="22"/>
      <c r="V1340" s="20"/>
    </row>
    <row r="1341" spans="1:22" s="306" customFormat="1" ht="15" thickBot="1">
      <c r="A1341" s="446" t="s">
        <v>1706</v>
      </c>
      <c r="B1341" s="2" t="s">
        <v>77</v>
      </c>
      <c r="C1341" s="447">
        <v>350</v>
      </c>
      <c r="D1341" s="434">
        <v>300</v>
      </c>
      <c r="E1341" s="447">
        <v>103</v>
      </c>
      <c r="F1341" s="447">
        <v>94</v>
      </c>
      <c r="G1341" s="21">
        <f t="shared" si="115"/>
        <v>10.342499999999999</v>
      </c>
      <c r="H1341" s="20">
        <f t="shared" si="119"/>
        <v>10.815</v>
      </c>
      <c r="I1341" s="20">
        <f t="shared" si="120"/>
        <v>10.343</v>
      </c>
      <c r="J1341" s="20">
        <f t="shared" si="121"/>
        <v>6.6289999999999996</v>
      </c>
      <c r="K1341" s="75"/>
      <c r="L1341" s="780"/>
      <c r="M1341" s="20"/>
      <c r="N1341" s="20"/>
      <c r="O1341" s="20"/>
      <c r="P1341" s="20"/>
      <c r="Q1341" s="21"/>
      <c r="R1341" s="22"/>
      <c r="S1341" s="22"/>
      <c r="T1341" s="20"/>
      <c r="U1341" s="22"/>
      <c r="V1341" s="20"/>
    </row>
    <row r="1342" spans="1:22" s="306" customFormat="1">
      <c r="A1342" s="305"/>
      <c r="B1342" s="2"/>
      <c r="C1342" s="2"/>
      <c r="D1342" s="2"/>
      <c r="E1342" s="2"/>
      <c r="F1342" s="2"/>
      <c r="G1342" s="21" t="str">
        <f t="shared" si="122"/>
        <v/>
      </c>
      <c r="H1342" s="20">
        <f t="shared" si="119"/>
        <v>0</v>
      </c>
      <c r="I1342" s="20" t="str">
        <f t="shared" si="120"/>
        <v>-</v>
      </c>
      <c r="J1342" s="20" t="str">
        <f t="shared" si="121"/>
        <v>-</v>
      </c>
      <c r="K1342" s="75"/>
      <c r="L1342" s="780"/>
      <c r="M1342" s="20"/>
      <c r="N1342" s="20"/>
      <c r="O1342" s="20"/>
      <c r="P1342" s="20"/>
      <c r="Q1342" s="21"/>
      <c r="R1342" s="22"/>
      <c r="S1342" s="22"/>
      <c r="T1342" s="20"/>
      <c r="U1342" s="22"/>
      <c r="V1342" s="20"/>
    </row>
    <row r="1343" spans="1:22" s="306" customFormat="1" ht="14.4">
      <c r="A1343" s="403" t="s">
        <v>1707</v>
      </c>
      <c r="B1343" s="2" t="s">
        <v>77</v>
      </c>
      <c r="C1343" s="409">
        <v>200</v>
      </c>
      <c r="D1343" s="419">
        <v>250</v>
      </c>
      <c r="E1343" s="409">
        <v>103</v>
      </c>
      <c r="F1343" s="409">
        <v>82</v>
      </c>
      <c r="G1343" s="21">
        <f t="shared" si="115"/>
        <v>4.625</v>
      </c>
      <c r="H1343" s="20">
        <f t="shared" si="119"/>
        <v>5.15</v>
      </c>
      <c r="I1343" s="20">
        <f t="shared" si="120"/>
        <v>4.625</v>
      </c>
      <c r="J1343" s="20">
        <f t="shared" si="121"/>
        <v>2.895</v>
      </c>
      <c r="K1343" s="75"/>
      <c r="L1343" s="780"/>
      <c r="M1343" s="20"/>
      <c r="N1343" s="20"/>
      <c r="O1343" s="20"/>
      <c r="P1343" s="20"/>
      <c r="Q1343" s="21"/>
      <c r="R1343" s="22"/>
      <c r="S1343" s="22"/>
      <c r="T1343" s="20"/>
      <c r="U1343" s="22"/>
      <c r="V1343" s="20"/>
    </row>
    <row r="1344" spans="1:22" s="306" customFormat="1" ht="14.4">
      <c r="A1344" s="403" t="s">
        <v>1708</v>
      </c>
      <c r="B1344" s="2" t="s">
        <v>77</v>
      </c>
      <c r="C1344" s="409">
        <v>200</v>
      </c>
      <c r="D1344" s="419">
        <v>250</v>
      </c>
      <c r="E1344" s="409">
        <v>103</v>
      </c>
      <c r="F1344" s="409">
        <v>89</v>
      </c>
      <c r="G1344" s="21">
        <f t="shared" si="115"/>
        <v>4.8</v>
      </c>
      <c r="H1344" s="20">
        <f t="shared" si="119"/>
        <v>5.15</v>
      </c>
      <c r="I1344" s="20">
        <f t="shared" si="120"/>
        <v>4.8</v>
      </c>
      <c r="J1344" s="20">
        <f t="shared" si="121"/>
        <v>3.1419999999999999</v>
      </c>
      <c r="K1344" s="75"/>
      <c r="L1344" s="780"/>
      <c r="M1344" s="20"/>
      <c r="N1344" s="20"/>
      <c r="O1344" s="20"/>
      <c r="P1344" s="20"/>
      <c r="Q1344" s="21"/>
      <c r="R1344" s="22"/>
      <c r="S1344" s="22"/>
      <c r="T1344" s="20"/>
      <c r="U1344" s="22"/>
      <c r="V1344" s="20"/>
    </row>
    <row r="1345" spans="1:22" s="306" customFormat="1" ht="14.4">
      <c r="A1345" s="403" t="s">
        <v>1709</v>
      </c>
      <c r="B1345" s="2" t="s">
        <v>77</v>
      </c>
      <c r="C1345" s="409">
        <v>200</v>
      </c>
      <c r="D1345" s="419">
        <v>250</v>
      </c>
      <c r="E1345" s="409">
        <v>103</v>
      </c>
      <c r="F1345" s="409">
        <v>96.2</v>
      </c>
      <c r="G1345" s="21">
        <f t="shared" si="115"/>
        <v>4.9800000000000004</v>
      </c>
      <c r="H1345" s="20">
        <f t="shared" si="119"/>
        <v>5.15</v>
      </c>
      <c r="I1345" s="20">
        <f t="shared" si="120"/>
        <v>4.9800000000000004</v>
      </c>
      <c r="J1345" s="20">
        <f t="shared" si="121"/>
        <v>3.3959999999999999</v>
      </c>
      <c r="K1345" s="75"/>
      <c r="L1345" s="780"/>
      <c r="M1345" s="20"/>
      <c r="N1345" s="20"/>
      <c r="O1345" s="20"/>
      <c r="P1345" s="20"/>
      <c r="Q1345" s="21"/>
      <c r="R1345" s="22"/>
      <c r="S1345" s="22"/>
      <c r="T1345" s="20"/>
      <c r="U1345" s="22"/>
      <c r="V1345" s="20"/>
    </row>
    <row r="1346" spans="1:22" s="306" customFormat="1" ht="14.4">
      <c r="A1346" s="402" t="s">
        <v>1710</v>
      </c>
      <c r="B1346" s="2" t="s">
        <v>77</v>
      </c>
      <c r="C1346" s="413">
        <v>220</v>
      </c>
      <c r="D1346" s="420">
        <v>250</v>
      </c>
      <c r="E1346" s="413">
        <v>103</v>
      </c>
      <c r="F1346" s="413">
        <v>88</v>
      </c>
      <c r="G1346" s="21">
        <f t="shared" si="115"/>
        <v>5.2525000000000004</v>
      </c>
      <c r="H1346" s="20">
        <f t="shared" si="119"/>
        <v>5.665</v>
      </c>
      <c r="I1346" s="20">
        <f t="shared" si="120"/>
        <v>5.2530000000000001</v>
      </c>
      <c r="J1346" s="20">
        <f t="shared" si="121"/>
        <v>3.4169999999999998</v>
      </c>
      <c r="K1346" s="75"/>
      <c r="L1346" s="780"/>
      <c r="M1346" s="20"/>
      <c r="N1346" s="20"/>
      <c r="O1346" s="20"/>
      <c r="P1346" s="20"/>
      <c r="Q1346" s="21"/>
      <c r="R1346" s="22"/>
      <c r="S1346" s="22"/>
      <c r="T1346" s="20"/>
      <c r="U1346" s="22"/>
      <c r="V1346" s="20"/>
    </row>
    <row r="1347" spans="1:22" s="306" customFormat="1" ht="14.4">
      <c r="A1347" s="402" t="s">
        <v>1711</v>
      </c>
      <c r="B1347" s="2" t="s">
        <v>77</v>
      </c>
      <c r="C1347" s="413">
        <v>220</v>
      </c>
      <c r="D1347" s="420">
        <v>250</v>
      </c>
      <c r="E1347" s="413">
        <v>103</v>
      </c>
      <c r="F1347" s="413">
        <v>91.5</v>
      </c>
      <c r="G1347" s="21">
        <f t="shared" si="115"/>
        <v>5.3487499999999999</v>
      </c>
      <c r="H1347" s="20">
        <f t="shared" si="119"/>
        <v>5.665</v>
      </c>
      <c r="I1347" s="20">
        <f t="shared" si="120"/>
        <v>5.3490000000000002</v>
      </c>
      <c r="J1347" s="20">
        <f t="shared" si="121"/>
        <v>3.5529999999999999</v>
      </c>
      <c r="K1347" s="75"/>
      <c r="L1347" s="780"/>
      <c r="M1347" s="20"/>
      <c r="N1347" s="20"/>
      <c r="O1347" s="20"/>
      <c r="P1347" s="20"/>
      <c r="Q1347" s="21"/>
      <c r="R1347" s="22"/>
      <c r="S1347" s="22"/>
      <c r="T1347" s="20"/>
      <c r="U1347" s="22"/>
      <c r="V1347" s="20"/>
    </row>
    <row r="1348" spans="1:22" s="306" customFormat="1" ht="14.4">
      <c r="A1348" s="402" t="s">
        <v>1712</v>
      </c>
      <c r="B1348" s="2" t="s">
        <v>77</v>
      </c>
      <c r="C1348" s="413">
        <v>220</v>
      </c>
      <c r="D1348" s="420">
        <v>250</v>
      </c>
      <c r="E1348" s="413">
        <v>103</v>
      </c>
      <c r="F1348" s="413">
        <v>95.5</v>
      </c>
      <c r="G1348" s="21">
        <f t="shared" si="115"/>
        <v>5.4587500000000002</v>
      </c>
      <c r="H1348" s="20">
        <f t="shared" si="119"/>
        <v>5.665</v>
      </c>
      <c r="I1348" s="20">
        <f t="shared" si="120"/>
        <v>5.4589999999999996</v>
      </c>
      <c r="J1348" s="20">
        <f t="shared" si="121"/>
        <v>3.7080000000000002</v>
      </c>
      <c r="K1348" s="75"/>
      <c r="L1348" s="780"/>
      <c r="M1348" s="20"/>
      <c r="N1348" s="20"/>
      <c r="O1348" s="20"/>
      <c r="P1348" s="20"/>
      <c r="Q1348" s="21"/>
      <c r="R1348" s="22"/>
      <c r="S1348" s="22"/>
      <c r="T1348" s="20"/>
      <c r="U1348" s="22"/>
      <c r="V1348" s="20"/>
    </row>
    <row r="1349" spans="1:22" s="306" customFormat="1" ht="14.4">
      <c r="A1349" s="402" t="s">
        <v>1713</v>
      </c>
      <c r="B1349" s="2" t="s">
        <v>77</v>
      </c>
      <c r="C1349" s="413">
        <v>220</v>
      </c>
      <c r="D1349" s="420">
        <v>250</v>
      </c>
      <c r="E1349" s="413">
        <v>103</v>
      </c>
      <c r="F1349" s="413">
        <v>97.3</v>
      </c>
      <c r="G1349" s="21">
        <f t="shared" si="115"/>
        <v>5.5082500000000003</v>
      </c>
      <c r="H1349" s="20">
        <f t="shared" si="119"/>
        <v>5.665</v>
      </c>
      <c r="I1349" s="20">
        <f t="shared" si="120"/>
        <v>5.508</v>
      </c>
      <c r="J1349" s="20">
        <f t="shared" si="121"/>
        <v>3.778</v>
      </c>
      <c r="K1349" s="75"/>
      <c r="L1349" s="780"/>
      <c r="M1349" s="20"/>
      <c r="N1349" s="20"/>
      <c r="O1349" s="20"/>
      <c r="P1349" s="20"/>
      <c r="Q1349" s="21"/>
      <c r="R1349" s="22"/>
      <c r="S1349" s="22"/>
      <c r="T1349" s="20"/>
      <c r="U1349" s="22"/>
      <c r="V1349" s="20"/>
    </row>
    <row r="1350" spans="1:22" s="306" customFormat="1" ht="14.4">
      <c r="A1350" s="441" t="s">
        <v>1714</v>
      </c>
      <c r="B1350" s="2" t="s">
        <v>77</v>
      </c>
      <c r="C1350" s="442">
        <v>250</v>
      </c>
      <c r="D1350" s="435">
        <v>250</v>
      </c>
      <c r="E1350" s="442">
        <v>103</v>
      </c>
      <c r="F1350" s="442">
        <v>90</v>
      </c>
      <c r="G1350" s="21">
        <f t="shared" ref="G1350:G1351" si="124">IF(B1350="","",AVERAGE(E1350:F1350)*D1350*C1350/10^6)</f>
        <v>6.03125</v>
      </c>
      <c r="H1350" s="20">
        <f t="shared" si="119"/>
        <v>6.4379999999999997</v>
      </c>
      <c r="I1350" s="20">
        <f t="shared" si="120"/>
        <v>6.0309999999999997</v>
      </c>
      <c r="J1350" s="20">
        <f t="shared" si="121"/>
        <v>3.9710000000000001</v>
      </c>
      <c r="K1350" s="75"/>
      <c r="L1350" s="780"/>
      <c r="M1350" s="20"/>
      <c r="N1350" s="20"/>
      <c r="O1350" s="20"/>
      <c r="P1350" s="20"/>
      <c r="Q1350" s="21"/>
      <c r="R1350" s="22"/>
      <c r="S1350" s="22"/>
      <c r="T1350" s="20"/>
      <c r="U1350" s="22"/>
      <c r="V1350" s="20"/>
    </row>
    <row r="1351" spans="1:22" s="306" customFormat="1" ht="14.4">
      <c r="A1351" s="441" t="s">
        <v>1715</v>
      </c>
      <c r="B1351" s="2" t="s">
        <v>77</v>
      </c>
      <c r="C1351" s="414">
        <v>250</v>
      </c>
      <c r="D1351" s="435">
        <v>250</v>
      </c>
      <c r="E1351" s="414">
        <v>103</v>
      </c>
      <c r="F1351" s="414">
        <v>96.5</v>
      </c>
      <c r="G1351" s="21">
        <f t="shared" si="124"/>
        <v>6.234375</v>
      </c>
      <c r="H1351" s="20">
        <f t="shared" si="119"/>
        <v>6.4379999999999997</v>
      </c>
      <c r="I1351" s="20">
        <f t="shared" si="120"/>
        <v>6.234</v>
      </c>
      <c r="J1351" s="20">
        <f t="shared" si="121"/>
        <v>4.258</v>
      </c>
      <c r="K1351" s="75"/>
      <c r="L1351" s="780"/>
      <c r="M1351" s="20"/>
      <c r="N1351" s="20"/>
      <c r="O1351" s="20"/>
      <c r="P1351" s="20"/>
      <c r="Q1351" s="21"/>
      <c r="R1351" s="22"/>
      <c r="S1351" s="22"/>
      <c r="T1351" s="20"/>
      <c r="U1351" s="22"/>
      <c r="V1351" s="20"/>
    </row>
    <row r="1352" spans="1:22" s="306" customFormat="1" ht="13.8" thickBot="1">
      <c r="A1352" s="562"/>
      <c r="B1352" s="81"/>
      <c r="C1352" s="81"/>
      <c r="D1352" s="81"/>
      <c r="E1352" s="81"/>
      <c r="F1352" s="81"/>
      <c r="G1352" s="103"/>
      <c r="H1352" s="82"/>
      <c r="I1352" s="82"/>
      <c r="J1352" s="82"/>
      <c r="K1352" s="83"/>
      <c r="L1352" s="780"/>
      <c r="M1352" s="20"/>
      <c r="N1352" s="20"/>
      <c r="O1352" s="20"/>
      <c r="P1352" s="20"/>
      <c r="Q1352" s="21"/>
      <c r="R1352" s="22" t="s">
        <v>16</v>
      </c>
      <c r="S1352" s="22" t="s">
        <v>16</v>
      </c>
      <c r="T1352" s="20"/>
      <c r="U1352" s="22" t="e">
        <f>#REF!</f>
        <v>#REF!</v>
      </c>
      <c r="V1352" s="20"/>
    </row>
    <row r="1353" spans="1:22" s="306" customFormat="1" ht="13.8" thickBot="1">
      <c r="B1353" s="2"/>
      <c r="C1353" s="2"/>
      <c r="D1353" s="2"/>
      <c r="E1353" s="2"/>
      <c r="F1353" s="2"/>
      <c r="G1353" s="359"/>
      <c r="L1353" s="780"/>
      <c r="Q1353" s="557"/>
      <c r="R1353" s="2"/>
    </row>
    <row r="1354" spans="1:22" ht="25.2" thickBot="1">
      <c r="A1354" s="64" t="s">
        <v>121</v>
      </c>
      <c r="B1354" s="72"/>
      <c r="C1354" s="73"/>
      <c r="D1354" s="73"/>
      <c r="E1354" s="73"/>
      <c r="F1354" s="73"/>
      <c r="G1354" s="104"/>
      <c r="H1354" s="73"/>
      <c r="I1354" s="73"/>
      <c r="J1354" s="73"/>
      <c r="K1354" s="73"/>
      <c r="L1354" s="93"/>
      <c r="M1354" s="20"/>
      <c r="N1354" s="20"/>
      <c r="O1354" s="20"/>
      <c r="P1354" s="20"/>
      <c r="Q1354" s="21"/>
      <c r="R1354" s="22"/>
      <c r="S1354" s="22"/>
      <c r="T1354" s="20"/>
      <c r="U1354" s="22"/>
      <c r="V1354" s="20"/>
    </row>
    <row r="1355" spans="1:22" ht="12.75" customHeight="1">
      <c r="A1355" s="470" t="str">
        <f>IF(OR(B1355="PA",B1355="H"),B1355&amp;""&amp;C1355&amp;"x"&amp;D1355&amp;"x"&amp;E1355,IF(OR(B1355="A1",B1355="A2",B1355="A3",B1355="AE",B1355="A2/3",B1355="A3/4",B1355="C1",B1355="C2",B1355="C3",B1355="CE",B1355="C2/3",B1355="C3/4"),B1355&amp;"-"&amp;C1355&amp;"x"&amp;D1355&amp;"x"&amp;E1355&amp;"-"&amp;F1355,B1355&amp;"-"&amp;C1355&amp;"x"&amp;D1355&amp;"-"&amp;E1355&amp;"x"&amp;F1355))</f>
        <v>H416x101x8</v>
      </c>
      <c r="B1355" s="471" t="s">
        <v>2012</v>
      </c>
      <c r="C1355" s="471">
        <v>416</v>
      </c>
      <c r="D1355" s="471">
        <v>101</v>
      </c>
      <c r="E1355" s="471">
        <v>8</v>
      </c>
      <c r="F1355" s="471">
        <v>8</v>
      </c>
      <c r="G1355" s="489">
        <f t="shared" ref="G1355:G1386" si="125">(C1355*D1355*E1355)*10^-6</f>
        <v>0.33612799999999998</v>
      </c>
      <c r="H1355" s="753" t="s">
        <v>1721</v>
      </c>
      <c r="I1355" s="754"/>
      <c r="J1355" s="754"/>
      <c r="K1355" s="755"/>
      <c r="L1355" s="752"/>
      <c r="M1355" s="20"/>
      <c r="N1355" s="20"/>
      <c r="O1355" s="20"/>
      <c r="P1355" s="20"/>
      <c r="Q1355" s="21"/>
      <c r="R1355" s="22" t="s">
        <v>16</v>
      </c>
      <c r="S1355" s="22" t="s">
        <v>16</v>
      </c>
      <c r="T1355" s="20"/>
      <c r="U1355" s="20"/>
      <c r="V1355" s="20"/>
    </row>
    <row r="1356" spans="1:22" ht="12.75" customHeight="1">
      <c r="A1356" s="470" t="str">
        <f t="shared" ref="A1356:A1419" si="126">IF(OR(B1356="PA",B1356="H"),B1356&amp;""&amp;C1356&amp;"x"&amp;D1356&amp;"x"&amp;E1356,IF(OR(B1356="A1",B1356="A2",B1356="A3",B1356="AE",B1356="A2/3",B1356="A3/4",B1356="C1",B1356="C2",B1356="C3",B1356="CE",B1356="C2/3",B1356="C3/4"),B1356&amp;"-"&amp;C1356&amp;"x"&amp;D1356&amp;"x"&amp;E1356&amp;"-"&amp;F1356,B1356&amp;"-"&amp;C1356&amp;"x"&amp;D1356&amp;"-"&amp;E1356&amp;"x"&amp;F1356))</f>
        <v>H416x101x10</v>
      </c>
      <c r="B1356" s="471" t="s">
        <v>2012</v>
      </c>
      <c r="C1356" s="471">
        <v>416</v>
      </c>
      <c r="D1356" s="471">
        <v>101</v>
      </c>
      <c r="E1356" s="471">
        <v>10</v>
      </c>
      <c r="F1356" s="471">
        <v>10</v>
      </c>
      <c r="G1356" s="490">
        <f t="shared" si="125"/>
        <v>0.42015999999999998</v>
      </c>
      <c r="H1356" s="756"/>
      <c r="I1356" s="757"/>
      <c r="J1356" s="757"/>
      <c r="K1356" s="758"/>
      <c r="L1356" s="752"/>
      <c r="M1356" s="20"/>
      <c r="N1356" s="20"/>
      <c r="O1356" s="20"/>
      <c r="P1356" s="20"/>
      <c r="Q1356" s="21"/>
      <c r="R1356" s="22" t="s">
        <v>16</v>
      </c>
      <c r="S1356" s="22" t="s">
        <v>16</v>
      </c>
      <c r="T1356" s="20"/>
      <c r="U1356" s="20"/>
      <c r="V1356" s="20"/>
    </row>
    <row r="1357" spans="1:22" ht="12.75" customHeight="1">
      <c r="A1357" s="470" t="str">
        <f t="shared" si="126"/>
        <v>H416x101x12</v>
      </c>
      <c r="B1357" s="471" t="s">
        <v>2012</v>
      </c>
      <c r="C1357" s="471">
        <v>416</v>
      </c>
      <c r="D1357" s="471">
        <v>101</v>
      </c>
      <c r="E1357" s="471">
        <v>12</v>
      </c>
      <c r="F1357" s="471">
        <v>12</v>
      </c>
      <c r="G1357" s="490">
        <f t="shared" si="125"/>
        <v>0.50419199999999997</v>
      </c>
      <c r="H1357" s="756"/>
      <c r="I1357" s="757"/>
      <c r="J1357" s="757"/>
      <c r="K1357" s="758"/>
      <c r="L1357" s="752"/>
      <c r="M1357" s="20"/>
      <c r="N1357" s="20"/>
      <c r="O1357" s="20"/>
      <c r="P1357" s="20"/>
      <c r="Q1357" s="21"/>
      <c r="R1357" s="22" t="s">
        <v>16</v>
      </c>
      <c r="S1357" s="22" t="s">
        <v>16</v>
      </c>
      <c r="T1357" s="20"/>
      <c r="U1357" s="20"/>
      <c r="V1357" s="20"/>
    </row>
    <row r="1358" spans="1:22" ht="12.75" customHeight="1">
      <c r="A1358" s="470" t="str">
        <f t="shared" si="126"/>
        <v>H416x101x13</v>
      </c>
      <c r="B1358" s="471" t="s">
        <v>2012</v>
      </c>
      <c r="C1358" s="471">
        <v>416</v>
      </c>
      <c r="D1358" s="471">
        <v>101</v>
      </c>
      <c r="E1358" s="471">
        <v>13</v>
      </c>
      <c r="F1358" s="471">
        <f>E1358</f>
        <v>13</v>
      </c>
      <c r="G1358" s="490">
        <f t="shared" si="125"/>
        <v>0.54620800000000003</v>
      </c>
      <c r="H1358" s="756"/>
      <c r="I1358" s="757"/>
      <c r="J1358" s="757"/>
      <c r="K1358" s="758"/>
      <c r="L1358" s="752"/>
      <c r="M1358" s="20"/>
      <c r="N1358" s="20"/>
      <c r="O1358" s="20"/>
      <c r="P1358" s="20"/>
      <c r="Q1358" s="21"/>
      <c r="R1358" s="22" t="s">
        <v>16</v>
      </c>
      <c r="S1358" s="22" t="s">
        <v>16</v>
      </c>
      <c r="T1358" s="20"/>
      <c r="U1358" s="20"/>
      <c r="V1358" s="20"/>
    </row>
    <row r="1359" spans="1:22" ht="12.75" customHeight="1">
      <c r="A1359" s="470" t="str">
        <f t="shared" si="126"/>
        <v>H416x101x16</v>
      </c>
      <c r="B1359" s="471" t="s">
        <v>2012</v>
      </c>
      <c r="C1359" s="471">
        <v>416</v>
      </c>
      <c r="D1359" s="471">
        <v>101</v>
      </c>
      <c r="E1359" s="471">
        <v>16</v>
      </c>
      <c r="F1359" s="471">
        <f>E1359</f>
        <v>16</v>
      </c>
      <c r="G1359" s="490">
        <f t="shared" si="125"/>
        <v>0.67225599999999996</v>
      </c>
      <c r="H1359" s="756"/>
      <c r="I1359" s="757"/>
      <c r="J1359" s="757"/>
      <c r="K1359" s="758"/>
      <c r="L1359" s="752"/>
      <c r="M1359" s="20"/>
      <c r="N1359" s="20"/>
      <c r="O1359" s="20"/>
      <c r="P1359" s="20"/>
      <c r="Q1359" s="21"/>
      <c r="R1359" s="22" t="s">
        <v>16</v>
      </c>
      <c r="S1359" s="22" t="s">
        <v>16</v>
      </c>
      <c r="T1359" s="20"/>
      <c r="U1359" s="20"/>
      <c r="V1359" s="20"/>
    </row>
    <row r="1360" spans="1:22" ht="12.75" customHeight="1">
      <c r="A1360" s="470" t="str">
        <f t="shared" si="126"/>
        <v>H416x101x19</v>
      </c>
      <c r="B1360" s="471" t="s">
        <v>2012</v>
      </c>
      <c r="C1360" s="471">
        <v>416</v>
      </c>
      <c r="D1360" s="471">
        <v>101</v>
      </c>
      <c r="E1360" s="471">
        <v>19</v>
      </c>
      <c r="F1360" s="471">
        <f>E1360</f>
        <v>19</v>
      </c>
      <c r="G1360" s="490">
        <f t="shared" si="125"/>
        <v>0.79830400000000001</v>
      </c>
      <c r="H1360" s="756"/>
      <c r="I1360" s="757"/>
      <c r="J1360" s="757"/>
      <c r="K1360" s="758"/>
      <c r="L1360" s="752"/>
      <c r="M1360" s="20"/>
      <c r="N1360" s="20"/>
      <c r="O1360" s="20"/>
      <c r="P1360" s="20"/>
      <c r="Q1360" s="21"/>
      <c r="R1360" s="22" t="s">
        <v>16</v>
      </c>
      <c r="S1360" s="22" t="s">
        <v>16</v>
      </c>
      <c r="T1360" s="20"/>
      <c r="U1360" s="20"/>
      <c r="V1360" s="20"/>
    </row>
    <row r="1361" spans="1:22" ht="12.75" customHeight="1" thickBot="1">
      <c r="A1361" s="470" t="str">
        <f t="shared" si="126"/>
        <v>H416x101x25</v>
      </c>
      <c r="B1361" s="471" t="s">
        <v>2012</v>
      </c>
      <c r="C1361" s="471">
        <v>416</v>
      </c>
      <c r="D1361" s="471">
        <v>101</v>
      </c>
      <c r="E1361" s="471">
        <v>25</v>
      </c>
      <c r="F1361" s="471">
        <f>E1361</f>
        <v>25</v>
      </c>
      <c r="G1361" s="490">
        <f t="shared" si="125"/>
        <v>1.0504</v>
      </c>
      <c r="H1361" s="774"/>
      <c r="I1361" s="775"/>
      <c r="J1361" s="775"/>
      <c r="K1361" s="776"/>
      <c r="L1361" s="752"/>
      <c r="M1361" s="20"/>
      <c r="N1361" s="20"/>
      <c r="O1361" s="20"/>
      <c r="P1361" s="20"/>
      <c r="Q1361" s="21"/>
      <c r="R1361" s="22" t="s">
        <v>16</v>
      </c>
      <c r="S1361" s="22" t="s">
        <v>16</v>
      </c>
      <c r="T1361" s="20"/>
      <c r="U1361" s="20"/>
      <c r="V1361" s="20"/>
    </row>
    <row r="1362" spans="1:22" ht="12.75" customHeight="1">
      <c r="A1362" s="468" t="str">
        <f t="shared" si="126"/>
        <v>H914x152x25</v>
      </c>
      <c r="B1362" s="469" t="s">
        <v>2012</v>
      </c>
      <c r="C1362" s="469">
        <v>914</v>
      </c>
      <c r="D1362" s="469">
        <v>152</v>
      </c>
      <c r="E1362" s="469">
        <v>25</v>
      </c>
      <c r="F1362" s="469">
        <f t="shared" ref="F1362:F1373" si="127">E1362</f>
        <v>25</v>
      </c>
      <c r="G1362" s="490">
        <f t="shared" si="125"/>
        <v>3.4731999999999998</v>
      </c>
      <c r="H1362" s="753" t="s">
        <v>1716</v>
      </c>
      <c r="I1362" s="754"/>
      <c r="J1362" s="754"/>
      <c r="K1362" s="755"/>
      <c r="L1362" s="752"/>
      <c r="M1362" s="20"/>
      <c r="N1362" s="20"/>
      <c r="O1362" s="20"/>
      <c r="P1362" s="20"/>
      <c r="Q1362" s="21"/>
      <c r="R1362" s="22" t="s">
        <v>16</v>
      </c>
      <c r="S1362" s="22" t="s">
        <v>16</v>
      </c>
      <c r="T1362" s="20"/>
      <c r="U1362" s="20"/>
      <c r="V1362" s="20"/>
    </row>
    <row r="1363" spans="1:22" ht="12.75" customHeight="1">
      <c r="A1363" s="468" t="str">
        <f t="shared" si="126"/>
        <v>H914x152x38</v>
      </c>
      <c r="B1363" s="469" t="s">
        <v>2012</v>
      </c>
      <c r="C1363" s="469">
        <v>914</v>
      </c>
      <c r="D1363" s="469">
        <v>152</v>
      </c>
      <c r="E1363" s="469">
        <v>38</v>
      </c>
      <c r="F1363" s="469">
        <f t="shared" si="127"/>
        <v>38</v>
      </c>
      <c r="G1363" s="490">
        <f t="shared" si="125"/>
        <v>5.2792639999999995</v>
      </c>
      <c r="H1363" s="756"/>
      <c r="I1363" s="757"/>
      <c r="J1363" s="757"/>
      <c r="K1363" s="758"/>
      <c r="L1363" s="752"/>
      <c r="M1363" s="20"/>
      <c r="N1363" s="20"/>
      <c r="O1363" s="20"/>
      <c r="P1363" s="20"/>
      <c r="Q1363" s="21"/>
      <c r="R1363" s="22" t="s">
        <v>16</v>
      </c>
      <c r="S1363" s="22" t="s">
        <v>16</v>
      </c>
      <c r="T1363" s="20"/>
      <c r="U1363" s="20"/>
      <c r="V1363" s="20"/>
    </row>
    <row r="1364" spans="1:22" ht="12.75" customHeight="1">
      <c r="A1364" s="468" t="str">
        <f t="shared" si="126"/>
        <v>H914x152x50</v>
      </c>
      <c r="B1364" s="469" t="s">
        <v>2012</v>
      </c>
      <c r="C1364" s="469">
        <v>914</v>
      </c>
      <c r="D1364" s="469">
        <v>152</v>
      </c>
      <c r="E1364" s="469">
        <v>50</v>
      </c>
      <c r="F1364" s="469">
        <f t="shared" si="127"/>
        <v>50</v>
      </c>
      <c r="G1364" s="490">
        <f t="shared" si="125"/>
        <v>6.9463999999999997</v>
      </c>
      <c r="H1364" s="756"/>
      <c r="I1364" s="757"/>
      <c r="J1364" s="757"/>
      <c r="K1364" s="758"/>
      <c r="L1364" s="752"/>
      <c r="M1364" s="20"/>
      <c r="N1364" s="20"/>
      <c r="O1364" s="20"/>
      <c r="P1364" s="20"/>
      <c r="Q1364" s="21"/>
      <c r="R1364" s="22" t="s">
        <v>16</v>
      </c>
      <c r="S1364" s="22" t="s">
        <v>16</v>
      </c>
      <c r="T1364" s="20"/>
      <c r="U1364" s="20"/>
      <c r="V1364" s="20"/>
    </row>
    <row r="1365" spans="1:22" ht="12.75" customHeight="1">
      <c r="A1365" s="468" t="str">
        <f t="shared" si="126"/>
        <v>H914x152x63</v>
      </c>
      <c r="B1365" s="469" t="s">
        <v>2012</v>
      </c>
      <c r="C1365" s="469">
        <v>914</v>
      </c>
      <c r="D1365" s="469">
        <v>152</v>
      </c>
      <c r="E1365" s="469">
        <v>63</v>
      </c>
      <c r="F1365" s="469">
        <f t="shared" si="127"/>
        <v>63</v>
      </c>
      <c r="G1365" s="490">
        <f t="shared" si="125"/>
        <v>8.7524639999999998</v>
      </c>
      <c r="H1365" s="756"/>
      <c r="I1365" s="757"/>
      <c r="J1365" s="757"/>
      <c r="K1365" s="758"/>
      <c r="L1365" s="752"/>
      <c r="M1365" s="20"/>
      <c r="N1365" s="20"/>
      <c r="O1365" s="20"/>
      <c r="P1365" s="20"/>
      <c r="Q1365" s="21"/>
      <c r="R1365" s="22" t="s">
        <v>16</v>
      </c>
      <c r="S1365" s="22" t="s">
        <v>16</v>
      </c>
      <c r="T1365" s="20"/>
      <c r="U1365" s="20"/>
      <c r="V1365" s="20"/>
    </row>
    <row r="1366" spans="1:22" ht="12.75" customHeight="1">
      <c r="A1366" s="468" t="str">
        <f t="shared" si="126"/>
        <v>H914x152x75</v>
      </c>
      <c r="B1366" s="469" t="s">
        <v>2012</v>
      </c>
      <c r="C1366" s="469">
        <v>914</v>
      </c>
      <c r="D1366" s="469">
        <v>152</v>
      </c>
      <c r="E1366" s="469">
        <v>75</v>
      </c>
      <c r="F1366" s="469">
        <f t="shared" si="127"/>
        <v>75</v>
      </c>
      <c r="G1366" s="490">
        <f t="shared" si="125"/>
        <v>10.419599999999999</v>
      </c>
      <c r="H1366" s="756"/>
      <c r="I1366" s="757"/>
      <c r="J1366" s="757"/>
      <c r="K1366" s="758"/>
      <c r="L1366" s="752"/>
      <c r="M1366" s="20"/>
      <c r="N1366" s="20"/>
      <c r="O1366" s="20"/>
      <c r="P1366" s="20"/>
      <c r="Q1366" s="21"/>
      <c r="R1366" s="22" t="s">
        <v>16</v>
      </c>
      <c r="S1366" s="22" t="s">
        <v>16</v>
      </c>
      <c r="T1366" s="20"/>
      <c r="U1366" s="20"/>
      <c r="V1366" s="20"/>
    </row>
    <row r="1367" spans="1:22" ht="12.75" customHeight="1" thickBot="1">
      <c r="A1367" s="468" t="str">
        <f t="shared" si="126"/>
        <v>H914x152x100</v>
      </c>
      <c r="B1367" s="469" t="s">
        <v>2012</v>
      </c>
      <c r="C1367" s="469">
        <v>914</v>
      </c>
      <c r="D1367" s="469">
        <v>152</v>
      </c>
      <c r="E1367" s="469">
        <v>100</v>
      </c>
      <c r="F1367" s="469">
        <f t="shared" si="127"/>
        <v>100</v>
      </c>
      <c r="G1367" s="490">
        <f t="shared" si="125"/>
        <v>13.892799999999999</v>
      </c>
      <c r="H1367" s="756"/>
      <c r="I1367" s="757"/>
      <c r="J1367" s="757"/>
      <c r="K1367" s="758"/>
      <c r="L1367" s="752"/>
      <c r="M1367" s="20"/>
      <c r="N1367" s="20"/>
      <c r="O1367" s="20"/>
      <c r="P1367" s="20"/>
      <c r="Q1367" s="21"/>
      <c r="R1367" s="22" t="s">
        <v>16</v>
      </c>
      <c r="S1367" s="22" t="s">
        <v>16</v>
      </c>
      <c r="T1367" s="20"/>
      <c r="U1367" s="20"/>
      <c r="V1367" s="20"/>
    </row>
    <row r="1368" spans="1:22" ht="13.5" customHeight="1">
      <c r="A1368" s="472" t="str">
        <f t="shared" si="126"/>
        <v>H914x305x25</v>
      </c>
      <c r="B1368" s="473" t="s">
        <v>2012</v>
      </c>
      <c r="C1368" s="473">
        <v>914</v>
      </c>
      <c r="D1368" s="473">
        <v>305</v>
      </c>
      <c r="E1368" s="473">
        <v>25</v>
      </c>
      <c r="F1368" s="473">
        <f t="shared" si="127"/>
        <v>25</v>
      </c>
      <c r="G1368" s="490">
        <f t="shared" si="125"/>
        <v>6.9692499999999997</v>
      </c>
      <c r="H1368" s="753" t="s">
        <v>1716</v>
      </c>
      <c r="I1368" s="754"/>
      <c r="J1368" s="754"/>
      <c r="K1368" s="755"/>
      <c r="L1368" s="752"/>
      <c r="M1368" s="20"/>
      <c r="N1368" s="20"/>
      <c r="O1368" s="20"/>
      <c r="P1368" s="20"/>
      <c r="Q1368" s="21"/>
      <c r="R1368" s="22" t="s">
        <v>16</v>
      </c>
      <c r="S1368" s="22" t="s">
        <v>16</v>
      </c>
      <c r="T1368" s="20"/>
      <c r="U1368" s="20"/>
      <c r="V1368" s="20"/>
    </row>
    <row r="1369" spans="1:22" ht="12.75" customHeight="1">
      <c r="A1369" s="472" t="str">
        <f t="shared" si="126"/>
        <v>H914x305x38</v>
      </c>
      <c r="B1369" s="473" t="s">
        <v>2012</v>
      </c>
      <c r="C1369" s="473">
        <v>914</v>
      </c>
      <c r="D1369" s="473">
        <v>305</v>
      </c>
      <c r="E1369" s="473">
        <v>38</v>
      </c>
      <c r="F1369" s="473">
        <f t="shared" si="127"/>
        <v>38</v>
      </c>
      <c r="G1369" s="490">
        <f t="shared" si="125"/>
        <v>10.593259999999999</v>
      </c>
      <c r="H1369" s="756"/>
      <c r="I1369" s="757"/>
      <c r="J1369" s="757"/>
      <c r="K1369" s="758"/>
      <c r="L1369" s="752"/>
      <c r="M1369" s="20"/>
      <c r="N1369" s="20"/>
      <c r="O1369" s="20"/>
      <c r="P1369" s="20"/>
      <c r="Q1369" s="21"/>
      <c r="R1369" s="22" t="s">
        <v>16</v>
      </c>
      <c r="S1369" s="22" t="s">
        <v>16</v>
      </c>
      <c r="T1369" s="20"/>
      <c r="U1369" s="20"/>
      <c r="V1369" s="20"/>
    </row>
    <row r="1370" spans="1:22" ht="12.75" customHeight="1">
      <c r="A1370" s="472" t="str">
        <f t="shared" si="126"/>
        <v>H914x305x50</v>
      </c>
      <c r="B1370" s="473" t="s">
        <v>2012</v>
      </c>
      <c r="C1370" s="473">
        <v>914</v>
      </c>
      <c r="D1370" s="473">
        <v>305</v>
      </c>
      <c r="E1370" s="473">
        <v>50</v>
      </c>
      <c r="F1370" s="473">
        <f t="shared" si="127"/>
        <v>50</v>
      </c>
      <c r="G1370" s="490">
        <f t="shared" si="125"/>
        <v>13.938499999999999</v>
      </c>
      <c r="H1370" s="756"/>
      <c r="I1370" s="757"/>
      <c r="J1370" s="757"/>
      <c r="K1370" s="758"/>
      <c r="L1370" s="752"/>
      <c r="M1370" s="20"/>
      <c r="N1370" s="20"/>
      <c r="O1370" s="20"/>
      <c r="P1370" s="20"/>
      <c r="Q1370" s="21"/>
      <c r="R1370" s="22" t="s">
        <v>16</v>
      </c>
      <c r="S1370" s="22" t="s">
        <v>16</v>
      </c>
      <c r="T1370" s="20"/>
      <c r="U1370" s="20"/>
      <c r="V1370" s="20"/>
    </row>
    <row r="1371" spans="1:22" ht="12.75" customHeight="1">
      <c r="A1371" s="472" t="str">
        <f t="shared" si="126"/>
        <v>H914x305x63</v>
      </c>
      <c r="B1371" s="473" t="s">
        <v>2012</v>
      </c>
      <c r="C1371" s="473">
        <v>914</v>
      </c>
      <c r="D1371" s="473">
        <v>305</v>
      </c>
      <c r="E1371" s="473">
        <v>63</v>
      </c>
      <c r="F1371" s="473">
        <f t="shared" si="127"/>
        <v>63</v>
      </c>
      <c r="G1371" s="490">
        <f t="shared" si="125"/>
        <v>17.56251</v>
      </c>
      <c r="H1371" s="756"/>
      <c r="I1371" s="757"/>
      <c r="J1371" s="757"/>
      <c r="K1371" s="758"/>
      <c r="L1371" s="752"/>
      <c r="M1371" s="20"/>
      <c r="N1371" s="20"/>
      <c r="O1371" s="20"/>
      <c r="P1371" s="20"/>
      <c r="Q1371" s="21"/>
      <c r="R1371" s="22" t="s">
        <v>16</v>
      </c>
      <c r="S1371" s="22" t="s">
        <v>16</v>
      </c>
      <c r="T1371" s="20"/>
      <c r="U1371" s="20"/>
      <c r="V1371" s="20"/>
    </row>
    <row r="1372" spans="1:22" ht="12.75" customHeight="1">
      <c r="A1372" s="472" t="str">
        <f t="shared" si="126"/>
        <v>H914x305x75</v>
      </c>
      <c r="B1372" s="473" t="s">
        <v>2012</v>
      </c>
      <c r="C1372" s="473">
        <v>914</v>
      </c>
      <c r="D1372" s="473">
        <v>305</v>
      </c>
      <c r="E1372" s="473">
        <v>75</v>
      </c>
      <c r="F1372" s="473">
        <f t="shared" si="127"/>
        <v>75</v>
      </c>
      <c r="G1372" s="490">
        <f t="shared" si="125"/>
        <v>20.90775</v>
      </c>
      <c r="H1372" s="756"/>
      <c r="I1372" s="757"/>
      <c r="J1372" s="757"/>
      <c r="K1372" s="758"/>
      <c r="L1372" s="752"/>
      <c r="M1372" s="20"/>
      <c r="N1372" s="20"/>
      <c r="O1372" s="20"/>
      <c r="P1372" s="20"/>
      <c r="Q1372" s="21"/>
      <c r="R1372" s="22" t="s">
        <v>16</v>
      </c>
      <c r="S1372" s="22" t="s">
        <v>16</v>
      </c>
      <c r="T1372" s="20"/>
      <c r="U1372" s="20"/>
      <c r="V1372" s="20"/>
    </row>
    <row r="1373" spans="1:22" ht="12.75" customHeight="1" thickBot="1">
      <c r="A1373" s="472" t="str">
        <f t="shared" si="126"/>
        <v>H914x305x100</v>
      </c>
      <c r="B1373" s="473" t="s">
        <v>2012</v>
      </c>
      <c r="C1373" s="473">
        <v>914</v>
      </c>
      <c r="D1373" s="473">
        <v>305</v>
      </c>
      <c r="E1373" s="473">
        <v>100</v>
      </c>
      <c r="F1373" s="473">
        <f t="shared" si="127"/>
        <v>100</v>
      </c>
      <c r="G1373" s="490">
        <f t="shared" si="125"/>
        <v>27.876999999999999</v>
      </c>
      <c r="H1373" s="756"/>
      <c r="I1373" s="757"/>
      <c r="J1373" s="757"/>
      <c r="K1373" s="758"/>
      <c r="L1373" s="752"/>
      <c r="M1373" s="20"/>
      <c r="N1373" s="20"/>
      <c r="O1373" s="20"/>
      <c r="P1373" s="20"/>
      <c r="Q1373" s="21"/>
      <c r="R1373" s="22" t="s">
        <v>16</v>
      </c>
      <c r="S1373" s="22" t="s">
        <v>16</v>
      </c>
      <c r="T1373" s="20"/>
      <c r="U1373" s="20"/>
      <c r="V1373" s="20"/>
    </row>
    <row r="1374" spans="1:22" ht="12.75" customHeight="1">
      <c r="A1374" s="474" t="str">
        <f t="shared" si="126"/>
        <v>H1000x500x20</v>
      </c>
      <c r="B1374" s="475" t="s">
        <v>2012</v>
      </c>
      <c r="C1374" s="475">
        <v>1000</v>
      </c>
      <c r="D1374" s="475">
        <v>500</v>
      </c>
      <c r="E1374" s="475">
        <v>20</v>
      </c>
      <c r="F1374" s="475">
        <f t="shared" ref="F1374" si="128">E1374</f>
        <v>20</v>
      </c>
      <c r="G1374" s="490">
        <f t="shared" si="125"/>
        <v>10</v>
      </c>
      <c r="H1374" s="759" t="s">
        <v>1718</v>
      </c>
      <c r="I1374" s="760"/>
      <c r="J1374" s="760"/>
      <c r="K1374" s="761"/>
      <c r="L1374" s="752"/>
      <c r="M1374" s="20"/>
      <c r="N1374" s="20"/>
      <c r="O1374" s="20"/>
      <c r="P1374" s="20"/>
      <c r="Q1374" s="21"/>
      <c r="R1374" s="22"/>
      <c r="S1374" s="22"/>
      <c r="T1374" s="20"/>
      <c r="U1374" s="20"/>
      <c r="V1374" s="20"/>
    </row>
    <row r="1375" spans="1:22" ht="12.75" customHeight="1">
      <c r="A1375" s="474" t="str">
        <f t="shared" si="126"/>
        <v>H1000x500x25</v>
      </c>
      <c r="B1375" s="475" t="s">
        <v>2012</v>
      </c>
      <c r="C1375" s="475">
        <v>1000</v>
      </c>
      <c r="D1375" s="475">
        <v>500</v>
      </c>
      <c r="E1375" s="475">
        <v>25</v>
      </c>
      <c r="F1375" s="475">
        <f t="shared" ref="F1375:F1384" si="129">E1375</f>
        <v>25</v>
      </c>
      <c r="G1375" s="490">
        <f t="shared" si="125"/>
        <v>12.5</v>
      </c>
      <c r="H1375" s="762"/>
      <c r="I1375" s="763"/>
      <c r="J1375" s="763"/>
      <c r="K1375" s="764"/>
      <c r="L1375" s="752"/>
      <c r="M1375" s="20"/>
      <c r="N1375" s="20"/>
      <c r="O1375" s="20"/>
      <c r="P1375" s="20"/>
      <c r="Q1375" s="21"/>
      <c r="R1375" s="22"/>
      <c r="S1375" s="22"/>
      <c r="T1375" s="20"/>
      <c r="U1375" s="20"/>
      <c r="V1375" s="20"/>
    </row>
    <row r="1376" spans="1:22" ht="12.75" customHeight="1">
      <c r="A1376" s="474" t="str">
        <f t="shared" si="126"/>
        <v>H1000x500x30</v>
      </c>
      <c r="B1376" s="475" t="s">
        <v>2012</v>
      </c>
      <c r="C1376" s="475">
        <v>1000</v>
      </c>
      <c r="D1376" s="475">
        <v>500</v>
      </c>
      <c r="E1376" s="475">
        <v>30</v>
      </c>
      <c r="F1376" s="475">
        <f t="shared" si="129"/>
        <v>30</v>
      </c>
      <c r="G1376" s="490">
        <f t="shared" si="125"/>
        <v>15</v>
      </c>
      <c r="H1376" s="762"/>
      <c r="I1376" s="763"/>
      <c r="J1376" s="763"/>
      <c r="K1376" s="764"/>
      <c r="L1376" s="752"/>
      <c r="M1376" s="20"/>
      <c r="N1376" s="20"/>
      <c r="O1376" s="20"/>
      <c r="P1376" s="20"/>
      <c r="Q1376" s="21"/>
      <c r="R1376" s="22"/>
      <c r="S1376" s="22"/>
      <c r="T1376" s="20"/>
      <c r="U1376" s="20"/>
      <c r="V1376" s="20"/>
    </row>
    <row r="1377" spans="1:22" ht="12.75" customHeight="1">
      <c r="A1377" s="474" t="str">
        <f t="shared" si="126"/>
        <v>H1000x500x40</v>
      </c>
      <c r="B1377" s="475" t="s">
        <v>2012</v>
      </c>
      <c r="C1377" s="475">
        <v>1000</v>
      </c>
      <c r="D1377" s="475">
        <v>500</v>
      </c>
      <c r="E1377" s="475">
        <v>40</v>
      </c>
      <c r="F1377" s="475">
        <f t="shared" si="129"/>
        <v>40</v>
      </c>
      <c r="G1377" s="490">
        <f t="shared" si="125"/>
        <v>20</v>
      </c>
      <c r="H1377" s="762"/>
      <c r="I1377" s="763"/>
      <c r="J1377" s="763"/>
      <c r="K1377" s="764"/>
      <c r="L1377" s="752"/>
      <c r="M1377" s="20"/>
      <c r="N1377" s="20"/>
      <c r="O1377" s="20"/>
      <c r="P1377" s="20"/>
      <c r="Q1377" s="21"/>
      <c r="R1377" s="22"/>
      <c r="S1377" s="22"/>
      <c r="T1377" s="20"/>
      <c r="U1377" s="20"/>
      <c r="V1377" s="20"/>
    </row>
    <row r="1378" spans="1:22" ht="12.75" customHeight="1">
      <c r="A1378" s="474" t="str">
        <f t="shared" si="126"/>
        <v>H1000x500x50</v>
      </c>
      <c r="B1378" s="475" t="s">
        <v>2012</v>
      </c>
      <c r="C1378" s="475">
        <v>1000</v>
      </c>
      <c r="D1378" s="475">
        <v>500</v>
      </c>
      <c r="E1378" s="475">
        <v>50</v>
      </c>
      <c r="F1378" s="475">
        <f t="shared" si="129"/>
        <v>50</v>
      </c>
      <c r="G1378" s="490">
        <f t="shared" si="125"/>
        <v>25</v>
      </c>
      <c r="H1378" s="762"/>
      <c r="I1378" s="763"/>
      <c r="J1378" s="763"/>
      <c r="K1378" s="764"/>
      <c r="L1378" s="752"/>
      <c r="M1378" s="20"/>
      <c r="N1378" s="20"/>
      <c r="O1378" s="20"/>
      <c r="P1378" s="20"/>
      <c r="Q1378" s="21"/>
      <c r="R1378" s="22"/>
      <c r="S1378" s="22"/>
      <c r="T1378" s="20"/>
      <c r="U1378" s="20"/>
      <c r="V1378" s="20"/>
    </row>
    <row r="1379" spans="1:22" ht="12.75" customHeight="1">
      <c r="A1379" s="474" t="str">
        <f t="shared" si="126"/>
        <v>H1000x500x60</v>
      </c>
      <c r="B1379" s="475" t="s">
        <v>2012</v>
      </c>
      <c r="C1379" s="475">
        <v>1000</v>
      </c>
      <c r="D1379" s="475">
        <v>500</v>
      </c>
      <c r="E1379" s="475">
        <v>60</v>
      </c>
      <c r="F1379" s="475">
        <f t="shared" si="129"/>
        <v>60</v>
      </c>
      <c r="G1379" s="490">
        <f t="shared" si="125"/>
        <v>30</v>
      </c>
      <c r="H1379" s="762"/>
      <c r="I1379" s="763"/>
      <c r="J1379" s="763"/>
      <c r="K1379" s="764"/>
      <c r="L1379" s="752"/>
      <c r="M1379" s="20"/>
      <c r="N1379" s="20"/>
      <c r="O1379" s="20"/>
      <c r="P1379" s="20"/>
      <c r="Q1379" s="21"/>
      <c r="R1379" s="22"/>
      <c r="S1379" s="22"/>
      <c r="T1379" s="20"/>
      <c r="U1379" s="20"/>
      <c r="V1379" s="20"/>
    </row>
    <row r="1380" spans="1:22" ht="12.75" customHeight="1">
      <c r="A1380" s="474" t="str">
        <f t="shared" si="126"/>
        <v>H1000x500x65</v>
      </c>
      <c r="B1380" s="475" t="s">
        <v>2012</v>
      </c>
      <c r="C1380" s="475">
        <v>1000</v>
      </c>
      <c r="D1380" s="475">
        <v>500</v>
      </c>
      <c r="E1380" s="475">
        <v>65</v>
      </c>
      <c r="F1380" s="475">
        <f t="shared" si="129"/>
        <v>65</v>
      </c>
      <c r="G1380" s="490">
        <f t="shared" si="125"/>
        <v>32.5</v>
      </c>
      <c r="H1380" s="762"/>
      <c r="I1380" s="763"/>
      <c r="J1380" s="763"/>
      <c r="K1380" s="764"/>
      <c r="L1380" s="752"/>
      <c r="M1380" s="20"/>
      <c r="N1380" s="20"/>
      <c r="O1380" s="20"/>
      <c r="P1380" s="20"/>
      <c r="Q1380" s="21"/>
      <c r="R1380" s="22"/>
      <c r="S1380" s="22"/>
      <c r="T1380" s="20"/>
      <c r="U1380" s="20"/>
      <c r="V1380" s="20"/>
    </row>
    <row r="1381" spans="1:22" ht="12.75" customHeight="1">
      <c r="A1381" s="474" t="str">
        <f t="shared" si="126"/>
        <v>H1000x500x70</v>
      </c>
      <c r="B1381" s="475" t="s">
        <v>2012</v>
      </c>
      <c r="C1381" s="475">
        <v>1000</v>
      </c>
      <c r="D1381" s="475">
        <v>500</v>
      </c>
      <c r="E1381" s="475">
        <v>70</v>
      </c>
      <c r="F1381" s="475">
        <f t="shared" si="129"/>
        <v>70</v>
      </c>
      <c r="G1381" s="490">
        <f t="shared" si="125"/>
        <v>35</v>
      </c>
      <c r="H1381" s="762"/>
      <c r="I1381" s="763"/>
      <c r="J1381" s="763"/>
      <c r="K1381" s="764"/>
      <c r="L1381" s="752"/>
      <c r="M1381" s="20"/>
      <c r="N1381" s="20"/>
      <c r="O1381" s="20"/>
      <c r="P1381" s="20"/>
      <c r="Q1381" s="21"/>
      <c r="R1381" s="22"/>
      <c r="S1381" s="22"/>
      <c r="T1381" s="20"/>
      <c r="U1381" s="20"/>
      <c r="V1381" s="20"/>
    </row>
    <row r="1382" spans="1:22" ht="12.75" customHeight="1">
      <c r="A1382" s="474" t="str">
        <f t="shared" si="126"/>
        <v>H1000x500x75</v>
      </c>
      <c r="B1382" s="475" t="s">
        <v>2012</v>
      </c>
      <c r="C1382" s="475">
        <v>1000</v>
      </c>
      <c r="D1382" s="475">
        <v>500</v>
      </c>
      <c r="E1382" s="475">
        <v>75</v>
      </c>
      <c r="F1382" s="475">
        <f t="shared" si="129"/>
        <v>75</v>
      </c>
      <c r="G1382" s="490">
        <f t="shared" si="125"/>
        <v>37.5</v>
      </c>
      <c r="H1382" s="762"/>
      <c r="I1382" s="763"/>
      <c r="J1382" s="763"/>
      <c r="K1382" s="764"/>
      <c r="L1382" s="752"/>
      <c r="M1382" s="20"/>
      <c r="N1382" s="20"/>
      <c r="O1382" s="20"/>
      <c r="P1382" s="20"/>
      <c r="Q1382" s="21"/>
      <c r="R1382" s="22"/>
      <c r="S1382" s="22"/>
      <c r="T1382" s="20"/>
      <c r="U1382" s="20"/>
      <c r="V1382" s="20"/>
    </row>
    <row r="1383" spans="1:22" ht="12.75" customHeight="1">
      <c r="A1383" s="474" t="str">
        <f t="shared" si="126"/>
        <v>H1000x500x80</v>
      </c>
      <c r="B1383" s="475" t="s">
        <v>2012</v>
      </c>
      <c r="C1383" s="475">
        <v>1000</v>
      </c>
      <c r="D1383" s="475">
        <v>500</v>
      </c>
      <c r="E1383" s="475">
        <v>80</v>
      </c>
      <c r="F1383" s="475">
        <f t="shared" si="129"/>
        <v>80</v>
      </c>
      <c r="G1383" s="490">
        <f t="shared" si="125"/>
        <v>40</v>
      </c>
      <c r="H1383" s="762"/>
      <c r="I1383" s="763"/>
      <c r="J1383" s="763"/>
      <c r="K1383" s="764"/>
      <c r="L1383" s="752"/>
      <c r="M1383" s="20"/>
      <c r="N1383" s="20"/>
      <c r="O1383" s="20"/>
      <c r="P1383" s="20"/>
      <c r="Q1383" s="21"/>
      <c r="R1383" s="22"/>
      <c r="S1383" s="22"/>
      <c r="T1383" s="20"/>
      <c r="U1383" s="20"/>
      <c r="V1383" s="20"/>
    </row>
    <row r="1384" spans="1:22" ht="12.75" customHeight="1" thickBot="1">
      <c r="A1384" s="474" t="str">
        <f t="shared" si="126"/>
        <v>H1000x500x100</v>
      </c>
      <c r="B1384" s="475" t="s">
        <v>2012</v>
      </c>
      <c r="C1384" s="475">
        <v>1000</v>
      </c>
      <c r="D1384" s="475">
        <v>500</v>
      </c>
      <c r="E1384" s="475">
        <v>100</v>
      </c>
      <c r="F1384" s="475">
        <f t="shared" si="129"/>
        <v>100</v>
      </c>
      <c r="G1384" s="490">
        <f t="shared" si="125"/>
        <v>50</v>
      </c>
      <c r="H1384" s="765"/>
      <c r="I1384" s="766"/>
      <c r="J1384" s="766"/>
      <c r="K1384" s="767"/>
      <c r="L1384" s="752"/>
      <c r="M1384" s="20"/>
      <c r="N1384" s="20"/>
      <c r="O1384" s="20"/>
      <c r="P1384" s="20"/>
      <c r="Q1384" s="21"/>
      <c r="R1384" s="22"/>
      <c r="S1384" s="22"/>
      <c r="T1384" s="20"/>
      <c r="U1384" s="20"/>
      <c r="V1384" s="20"/>
    </row>
    <row r="1385" spans="1:22" ht="12.75" customHeight="1">
      <c r="A1385" s="477" t="str">
        <f t="shared" si="126"/>
        <v>H1000x600x25</v>
      </c>
      <c r="B1385" s="478" t="s">
        <v>2012</v>
      </c>
      <c r="C1385" s="478">
        <v>1000</v>
      </c>
      <c r="D1385" s="478">
        <v>600</v>
      </c>
      <c r="E1385" s="478">
        <v>25</v>
      </c>
      <c r="F1385" s="478">
        <f t="shared" ref="F1385:F1387" si="130">E1385</f>
        <v>25</v>
      </c>
      <c r="G1385" s="490">
        <f t="shared" si="125"/>
        <v>15</v>
      </c>
      <c r="H1385" s="759" t="s">
        <v>1719</v>
      </c>
      <c r="I1385" s="760"/>
      <c r="J1385" s="760"/>
      <c r="K1385" s="761"/>
      <c r="L1385" s="752"/>
      <c r="M1385" s="20"/>
      <c r="N1385" s="20"/>
      <c r="O1385" s="20"/>
      <c r="P1385" s="20"/>
      <c r="Q1385" s="21"/>
      <c r="R1385" s="22"/>
      <c r="S1385" s="22"/>
      <c r="T1385" s="20"/>
      <c r="U1385" s="20"/>
      <c r="V1385" s="20"/>
    </row>
    <row r="1386" spans="1:22" ht="12.75" customHeight="1">
      <c r="A1386" s="477" t="str">
        <f t="shared" si="126"/>
        <v>H1000x600x30</v>
      </c>
      <c r="B1386" s="478" t="s">
        <v>2012</v>
      </c>
      <c r="C1386" s="478">
        <v>1000</v>
      </c>
      <c r="D1386" s="478">
        <v>600</v>
      </c>
      <c r="E1386" s="478">
        <v>30</v>
      </c>
      <c r="F1386" s="478">
        <f t="shared" si="130"/>
        <v>30</v>
      </c>
      <c r="G1386" s="490">
        <f t="shared" si="125"/>
        <v>18</v>
      </c>
      <c r="H1386" s="762"/>
      <c r="I1386" s="763"/>
      <c r="J1386" s="763"/>
      <c r="K1386" s="764"/>
      <c r="L1386" s="752"/>
      <c r="M1386" s="20"/>
      <c r="N1386" s="20"/>
      <c r="O1386" s="20"/>
      <c r="P1386" s="20"/>
      <c r="Q1386" s="21"/>
      <c r="R1386" s="22"/>
      <c r="S1386" s="22"/>
      <c r="T1386" s="20"/>
      <c r="U1386" s="20"/>
      <c r="V1386" s="20"/>
    </row>
    <row r="1387" spans="1:22" ht="12.75" customHeight="1">
      <c r="A1387" s="477" t="str">
        <f t="shared" si="126"/>
        <v>H1000x600x40</v>
      </c>
      <c r="B1387" s="478" t="s">
        <v>2012</v>
      </c>
      <c r="C1387" s="478">
        <v>1000</v>
      </c>
      <c r="D1387" s="478">
        <v>600</v>
      </c>
      <c r="E1387" s="478">
        <v>40</v>
      </c>
      <c r="F1387" s="478">
        <f t="shared" si="130"/>
        <v>40</v>
      </c>
      <c r="G1387" s="490">
        <f t="shared" ref="G1387:G1418" si="131">(C1387*D1387*E1387)*10^-6</f>
        <v>24</v>
      </c>
      <c r="H1387" s="762"/>
      <c r="I1387" s="763"/>
      <c r="J1387" s="763"/>
      <c r="K1387" s="764"/>
      <c r="L1387" s="752"/>
      <c r="M1387" s="20"/>
      <c r="N1387" s="20"/>
      <c r="O1387" s="20"/>
      <c r="P1387" s="20"/>
      <c r="Q1387" s="21"/>
      <c r="R1387" s="22"/>
      <c r="S1387" s="22"/>
      <c r="T1387" s="20"/>
      <c r="U1387" s="20"/>
      <c r="V1387" s="20"/>
    </row>
    <row r="1388" spans="1:22" ht="12.75" customHeight="1">
      <c r="A1388" s="477" t="str">
        <f t="shared" si="126"/>
        <v>H1000x600x50</v>
      </c>
      <c r="B1388" s="478" t="s">
        <v>2012</v>
      </c>
      <c r="C1388" s="478">
        <v>1000</v>
      </c>
      <c r="D1388" s="478">
        <v>600</v>
      </c>
      <c r="E1388" s="478">
        <v>50</v>
      </c>
      <c r="F1388" s="478">
        <f t="shared" ref="F1388:F1394" si="132">E1388</f>
        <v>50</v>
      </c>
      <c r="G1388" s="490">
        <f t="shared" si="131"/>
        <v>30</v>
      </c>
      <c r="H1388" s="762"/>
      <c r="I1388" s="763"/>
      <c r="J1388" s="763"/>
      <c r="K1388" s="764"/>
      <c r="L1388" s="752"/>
      <c r="M1388" s="20"/>
      <c r="N1388" s="20"/>
      <c r="O1388" s="20"/>
      <c r="P1388" s="20"/>
      <c r="Q1388" s="21"/>
      <c r="R1388" s="22"/>
      <c r="S1388" s="22"/>
      <c r="T1388" s="20"/>
      <c r="U1388" s="20"/>
      <c r="V1388" s="20"/>
    </row>
    <row r="1389" spans="1:22" ht="12.75" customHeight="1">
      <c r="A1389" s="477" t="str">
        <f t="shared" si="126"/>
        <v>H1000x600x60</v>
      </c>
      <c r="B1389" s="478" t="s">
        <v>2012</v>
      </c>
      <c r="C1389" s="478">
        <v>1000</v>
      </c>
      <c r="D1389" s="478">
        <v>600</v>
      </c>
      <c r="E1389" s="478">
        <v>60</v>
      </c>
      <c r="F1389" s="478">
        <f t="shared" si="132"/>
        <v>60</v>
      </c>
      <c r="G1389" s="490">
        <f t="shared" si="131"/>
        <v>36</v>
      </c>
      <c r="H1389" s="762"/>
      <c r="I1389" s="763"/>
      <c r="J1389" s="763"/>
      <c r="K1389" s="764"/>
      <c r="L1389" s="752"/>
      <c r="M1389" s="20"/>
      <c r="N1389" s="20"/>
      <c r="O1389" s="20"/>
      <c r="P1389" s="20"/>
      <c r="Q1389" s="21"/>
      <c r="R1389" s="22"/>
      <c r="S1389" s="22"/>
      <c r="T1389" s="20"/>
      <c r="U1389" s="20"/>
      <c r="V1389" s="20"/>
    </row>
    <row r="1390" spans="1:22" ht="12.75" customHeight="1">
      <c r="A1390" s="477" t="str">
        <f t="shared" si="126"/>
        <v>H1000x600x70</v>
      </c>
      <c r="B1390" s="478" t="s">
        <v>2012</v>
      </c>
      <c r="C1390" s="478">
        <v>1000</v>
      </c>
      <c r="D1390" s="478">
        <v>600</v>
      </c>
      <c r="E1390" s="478">
        <v>70</v>
      </c>
      <c r="F1390" s="478">
        <f t="shared" si="132"/>
        <v>70</v>
      </c>
      <c r="G1390" s="490">
        <f t="shared" si="131"/>
        <v>42</v>
      </c>
      <c r="H1390" s="762"/>
      <c r="I1390" s="763"/>
      <c r="J1390" s="763"/>
      <c r="K1390" s="764"/>
      <c r="L1390" s="752"/>
      <c r="M1390" s="20"/>
      <c r="N1390" s="20"/>
      <c r="O1390" s="20"/>
      <c r="P1390" s="20"/>
      <c r="Q1390" s="21"/>
      <c r="R1390" s="22"/>
      <c r="S1390" s="22"/>
      <c r="T1390" s="20"/>
      <c r="U1390" s="20"/>
      <c r="V1390" s="20"/>
    </row>
    <row r="1391" spans="1:22" ht="12.75" customHeight="1">
      <c r="A1391" s="477" t="str">
        <f t="shared" si="126"/>
        <v>H1000x600x80</v>
      </c>
      <c r="B1391" s="478" t="s">
        <v>2012</v>
      </c>
      <c r="C1391" s="478">
        <v>1000</v>
      </c>
      <c r="D1391" s="478">
        <v>600</v>
      </c>
      <c r="E1391" s="478">
        <v>80</v>
      </c>
      <c r="F1391" s="478">
        <f t="shared" si="132"/>
        <v>80</v>
      </c>
      <c r="G1391" s="490">
        <f t="shared" si="131"/>
        <v>48</v>
      </c>
      <c r="H1391" s="762"/>
      <c r="I1391" s="763"/>
      <c r="J1391" s="763"/>
      <c r="K1391" s="764"/>
      <c r="L1391" s="752"/>
      <c r="M1391" s="20"/>
      <c r="N1391" s="20"/>
      <c r="O1391" s="20"/>
      <c r="P1391" s="20"/>
      <c r="Q1391" s="21"/>
      <c r="R1391" s="22"/>
      <c r="S1391" s="22"/>
      <c r="T1391" s="20"/>
      <c r="U1391" s="20"/>
      <c r="V1391" s="20"/>
    </row>
    <row r="1392" spans="1:22" ht="12.75" customHeight="1">
      <c r="A1392" s="477" t="str">
        <f t="shared" si="126"/>
        <v>H1000x600x90</v>
      </c>
      <c r="B1392" s="478" t="s">
        <v>2012</v>
      </c>
      <c r="C1392" s="478">
        <v>1000</v>
      </c>
      <c r="D1392" s="478">
        <v>600</v>
      </c>
      <c r="E1392" s="478">
        <v>90</v>
      </c>
      <c r="F1392" s="478">
        <f t="shared" si="132"/>
        <v>90</v>
      </c>
      <c r="G1392" s="490">
        <f t="shared" si="131"/>
        <v>54</v>
      </c>
      <c r="H1392" s="762"/>
      <c r="I1392" s="763"/>
      <c r="J1392" s="763"/>
      <c r="K1392" s="764"/>
      <c r="L1392" s="752"/>
      <c r="M1392" s="20"/>
      <c r="N1392" s="20"/>
      <c r="O1392" s="20"/>
      <c r="P1392" s="20"/>
      <c r="Q1392" s="21"/>
      <c r="R1392" s="22"/>
      <c r="S1392" s="22"/>
      <c r="T1392" s="20"/>
      <c r="U1392" s="20"/>
      <c r="V1392" s="20"/>
    </row>
    <row r="1393" spans="1:22" ht="12.75" customHeight="1" thickBot="1">
      <c r="A1393" s="477" t="str">
        <f t="shared" si="126"/>
        <v>H1000x600x100</v>
      </c>
      <c r="B1393" s="478" t="s">
        <v>2012</v>
      </c>
      <c r="C1393" s="478">
        <v>1000</v>
      </c>
      <c r="D1393" s="478">
        <v>600</v>
      </c>
      <c r="E1393" s="478">
        <v>100</v>
      </c>
      <c r="F1393" s="478">
        <f t="shared" si="132"/>
        <v>100</v>
      </c>
      <c r="G1393" s="490">
        <f t="shared" si="131"/>
        <v>60</v>
      </c>
      <c r="H1393" s="765"/>
      <c r="I1393" s="766"/>
      <c r="J1393" s="766"/>
      <c r="K1393" s="767"/>
      <c r="L1393" s="752"/>
      <c r="M1393" s="20"/>
      <c r="N1393" s="20"/>
      <c r="O1393" s="20"/>
      <c r="P1393" s="20"/>
      <c r="Q1393" s="21"/>
      <c r="R1393" s="22"/>
      <c r="S1393" s="22"/>
      <c r="T1393" s="20"/>
      <c r="U1393" s="20"/>
      <c r="V1393" s="20"/>
    </row>
    <row r="1394" spans="1:22" ht="12.75" customHeight="1">
      <c r="A1394" s="479" t="str">
        <f t="shared" si="126"/>
        <v>H1000x610x6</v>
      </c>
      <c r="B1394" s="480" t="s">
        <v>2012</v>
      </c>
      <c r="C1394" s="480">
        <v>1000</v>
      </c>
      <c r="D1394" s="480">
        <v>610</v>
      </c>
      <c r="E1394" s="480">
        <v>6</v>
      </c>
      <c r="F1394" s="480">
        <f t="shared" si="132"/>
        <v>6</v>
      </c>
      <c r="G1394" s="490">
        <f t="shared" si="131"/>
        <v>3.6599999999999997</v>
      </c>
      <c r="H1394" s="759" t="s">
        <v>1723</v>
      </c>
      <c r="I1394" s="760"/>
      <c r="J1394" s="760"/>
      <c r="K1394" s="761"/>
      <c r="L1394" s="752"/>
      <c r="M1394" s="20"/>
      <c r="N1394" s="20"/>
      <c r="O1394" s="20"/>
      <c r="P1394" s="20"/>
      <c r="Q1394" s="21"/>
      <c r="R1394" s="22"/>
      <c r="S1394" s="22"/>
      <c r="T1394" s="20"/>
      <c r="U1394" s="20"/>
      <c r="V1394" s="20"/>
    </row>
    <row r="1395" spans="1:22" ht="12.75" customHeight="1">
      <c r="A1395" s="479" t="str">
        <f t="shared" si="126"/>
        <v>H1000x610x10</v>
      </c>
      <c r="B1395" s="480" t="s">
        <v>2012</v>
      </c>
      <c r="C1395" s="480">
        <v>1000</v>
      </c>
      <c r="D1395" s="480">
        <v>610</v>
      </c>
      <c r="E1395" s="480">
        <v>10</v>
      </c>
      <c r="F1395" s="480">
        <f t="shared" ref="F1395:F1401" si="133">E1395</f>
        <v>10</v>
      </c>
      <c r="G1395" s="490">
        <f t="shared" si="131"/>
        <v>6.1</v>
      </c>
      <c r="H1395" s="762"/>
      <c r="I1395" s="763"/>
      <c r="J1395" s="763"/>
      <c r="K1395" s="764"/>
      <c r="L1395" s="752"/>
      <c r="M1395" s="20"/>
      <c r="N1395" s="20"/>
      <c r="O1395" s="20"/>
      <c r="P1395" s="20"/>
      <c r="Q1395" s="21"/>
      <c r="R1395" s="22"/>
      <c r="S1395" s="22"/>
      <c r="T1395" s="20"/>
      <c r="U1395" s="20"/>
      <c r="V1395" s="20"/>
    </row>
    <row r="1396" spans="1:22" ht="12.75" customHeight="1">
      <c r="A1396" s="479" t="str">
        <f t="shared" si="126"/>
        <v>H1000x610x13</v>
      </c>
      <c r="B1396" s="480" t="s">
        <v>2012</v>
      </c>
      <c r="C1396" s="480">
        <v>1000</v>
      </c>
      <c r="D1396" s="480">
        <v>610</v>
      </c>
      <c r="E1396" s="480">
        <v>13</v>
      </c>
      <c r="F1396" s="480">
        <f t="shared" si="133"/>
        <v>13</v>
      </c>
      <c r="G1396" s="490">
        <f t="shared" si="131"/>
        <v>7.93</v>
      </c>
      <c r="H1396" s="762"/>
      <c r="I1396" s="763"/>
      <c r="J1396" s="763"/>
      <c r="K1396" s="764"/>
      <c r="L1396" s="752"/>
      <c r="M1396" s="20"/>
      <c r="N1396" s="20"/>
      <c r="O1396" s="20"/>
      <c r="P1396" s="20"/>
      <c r="Q1396" s="21"/>
      <c r="R1396" s="22"/>
      <c r="S1396" s="22"/>
      <c r="T1396" s="20"/>
      <c r="U1396" s="20"/>
      <c r="V1396" s="20"/>
    </row>
    <row r="1397" spans="1:22" ht="12.75" customHeight="1">
      <c r="A1397" s="479" t="str">
        <f t="shared" si="126"/>
        <v>H1000x610x20</v>
      </c>
      <c r="B1397" s="480" t="s">
        <v>2012</v>
      </c>
      <c r="C1397" s="480">
        <v>1000</v>
      </c>
      <c r="D1397" s="480">
        <v>610</v>
      </c>
      <c r="E1397" s="480">
        <v>20</v>
      </c>
      <c r="F1397" s="480">
        <f t="shared" si="133"/>
        <v>20</v>
      </c>
      <c r="G1397" s="490">
        <f t="shared" si="131"/>
        <v>12.2</v>
      </c>
      <c r="H1397" s="762"/>
      <c r="I1397" s="763"/>
      <c r="J1397" s="763"/>
      <c r="K1397" s="764"/>
      <c r="L1397" s="752"/>
      <c r="M1397" s="20"/>
      <c r="N1397" s="20"/>
      <c r="O1397" s="20"/>
      <c r="P1397" s="20"/>
      <c r="Q1397" s="21"/>
      <c r="R1397" s="22"/>
      <c r="S1397" s="22"/>
      <c r="T1397" s="20"/>
      <c r="U1397" s="20"/>
      <c r="V1397" s="20"/>
    </row>
    <row r="1398" spans="1:22" ht="12.75" customHeight="1">
      <c r="A1398" s="479" t="str">
        <f t="shared" si="126"/>
        <v>H1000x610x25</v>
      </c>
      <c r="B1398" s="480" t="s">
        <v>2012</v>
      </c>
      <c r="C1398" s="480">
        <v>1000</v>
      </c>
      <c r="D1398" s="480">
        <v>610</v>
      </c>
      <c r="E1398" s="480">
        <v>25</v>
      </c>
      <c r="F1398" s="480">
        <f t="shared" si="133"/>
        <v>25</v>
      </c>
      <c r="G1398" s="490">
        <f t="shared" si="131"/>
        <v>15.25</v>
      </c>
      <c r="H1398" s="762"/>
      <c r="I1398" s="763"/>
      <c r="J1398" s="763"/>
      <c r="K1398" s="764"/>
      <c r="L1398" s="752"/>
      <c r="M1398" s="20"/>
      <c r="N1398" s="20"/>
      <c r="O1398" s="20"/>
      <c r="P1398" s="20"/>
      <c r="Q1398" s="21"/>
      <c r="R1398" s="22"/>
      <c r="S1398" s="22"/>
      <c r="T1398" s="20"/>
      <c r="U1398" s="20"/>
      <c r="V1398" s="20"/>
    </row>
    <row r="1399" spans="1:22" ht="12.75" customHeight="1">
      <c r="A1399" s="479" t="str">
        <f t="shared" si="126"/>
        <v>H1000x610x30</v>
      </c>
      <c r="B1399" s="480" t="s">
        <v>2012</v>
      </c>
      <c r="C1399" s="480">
        <v>1000</v>
      </c>
      <c r="D1399" s="480">
        <v>610</v>
      </c>
      <c r="E1399" s="480">
        <v>30</v>
      </c>
      <c r="F1399" s="480">
        <f t="shared" si="133"/>
        <v>30</v>
      </c>
      <c r="G1399" s="490">
        <f t="shared" si="131"/>
        <v>18.3</v>
      </c>
      <c r="H1399" s="762"/>
      <c r="I1399" s="763"/>
      <c r="J1399" s="763"/>
      <c r="K1399" s="764"/>
      <c r="L1399" s="752"/>
      <c r="M1399" s="20"/>
      <c r="N1399" s="20"/>
      <c r="O1399" s="20"/>
      <c r="P1399" s="20"/>
      <c r="Q1399" s="21"/>
      <c r="R1399" s="22"/>
      <c r="S1399" s="22"/>
      <c r="T1399" s="20"/>
      <c r="U1399" s="20"/>
      <c r="V1399" s="20"/>
    </row>
    <row r="1400" spans="1:22" ht="12.75" customHeight="1">
      <c r="A1400" s="479" t="str">
        <f t="shared" si="126"/>
        <v>H1000x610x40</v>
      </c>
      <c r="B1400" s="480" t="s">
        <v>2012</v>
      </c>
      <c r="C1400" s="480">
        <v>1000</v>
      </c>
      <c r="D1400" s="480">
        <v>610</v>
      </c>
      <c r="E1400" s="480">
        <v>40</v>
      </c>
      <c r="F1400" s="480">
        <f t="shared" si="133"/>
        <v>40</v>
      </c>
      <c r="G1400" s="490">
        <f t="shared" si="131"/>
        <v>24.4</v>
      </c>
      <c r="H1400" s="762"/>
      <c r="I1400" s="763"/>
      <c r="J1400" s="763"/>
      <c r="K1400" s="764"/>
      <c r="L1400" s="752"/>
      <c r="M1400" s="20"/>
      <c r="N1400" s="20"/>
      <c r="O1400" s="20"/>
      <c r="P1400" s="20"/>
      <c r="Q1400" s="21"/>
      <c r="R1400" s="22"/>
      <c r="S1400" s="22"/>
      <c r="T1400" s="20"/>
      <c r="U1400" s="20"/>
      <c r="V1400" s="20"/>
    </row>
    <row r="1401" spans="1:22" ht="12.75" customHeight="1" thickBot="1">
      <c r="A1401" s="479" t="str">
        <f t="shared" si="126"/>
        <v>H1000x610x50</v>
      </c>
      <c r="B1401" s="480" t="s">
        <v>2012</v>
      </c>
      <c r="C1401" s="480">
        <v>1000</v>
      </c>
      <c r="D1401" s="480">
        <v>610</v>
      </c>
      <c r="E1401" s="480">
        <v>50</v>
      </c>
      <c r="F1401" s="480">
        <f t="shared" si="133"/>
        <v>50</v>
      </c>
      <c r="G1401" s="490">
        <f t="shared" si="131"/>
        <v>30.5</v>
      </c>
      <c r="H1401" s="765"/>
      <c r="I1401" s="766"/>
      <c r="J1401" s="766"/>
      <c r="K1401" s="767"/>
      <c r="L1401" s="752"/>
      <c r="M1401" s="20"/>
      <c r="N1401" s="20"/>
      <c r="O1401" s="20"/>
      <c r="P1401" s="20"/>
      <c r="Q1401" s="21"/>
      <c r="R1401" s="22"/>
      <c r="S1401" s="22"/>
      <c r="T1401" s="20"/>
      <c r="U1401" s="20"/>
      <c r="V1401" s="20"/>
    </row>
    <row r="1402" spans="1:22" ht="12.75" customHeight="1">
      <c r="A1402" s="481" t="str">
        <f t="shared" si="126"/>
        <v>H1000x1000x2</v>
      </c>
      <c r="B1402" s="482" t="s">
        <v>2012</v>
      </c>
      <c r="C1402" s="482">
        <v>1000</v>
      </c>
      <c r="D1402" s="482">
        <v>1000</v>
      </c>
      <c r="E1402" s="482">
        <v>2</v>
      </c>
      <c r="F1402" s="482">
        <f t="shared" ref="F1402" si="134">E1402</f>
        <v>2</v>
      </c>
      <c r="G1402" s="490">
        <f t="shared" si="131"/>
        <v>2</v>
      </c>
      <c r="H1402" s="759" t="s">
        <v>1720</v>
      </c>
      <c r="I1402" s="760"/>
      <c r="J1402" s="760"/>
      <c r="K1402" s="761"/>
      <c r="L1402" s="752"/>
      <c r="M1402" s="20"/>
      <c r="N1402" s="20"/>
      <c r="O1402" s="20"/>
      <c r="P1402" s="20"/>
      <c r="Q1402" s="21"/>
      <c r="R1402" s="22"/>
      <c r="S1402" s="22"/>
      <c r="T1402" s="20"/>
      <c r="U1402" s="20"/>
      <c r="V1402" s="20"/>
    </row>
    <row r="1403" spans="1:22" ht="12.75" customHeight="1">
      <c r="A1403" s="481" t="str">
        <f t="shared" si="126"/>
        <v>H1000x1000x3</v>
      </c>
      <c r="B1403" s="482" t="s">
        <v>2012</v>
      </c>
      <c r="C1403" s="482">
        <v>1000</v>
      </c>
      <c r="D1403" s="482">
        <v>1000</v>
      </c>
      <c r="E1403" s="482">
        <v>3</v>
      </c>
      <c r="F1403" s="482">
        <f t="shared" ref="F1403:F1427" si="135">E1403</f>
        <v>3</v>
      </c>
      <c r="G1403" s="490">
        <f t="shared" si="131"/>
        <v>3</v>
      </c>
      <c r="H1403" s="762"/>
      <c r="I1403" s="763"/>
      <c r="J1403" s="763"/>
      <c r="K1403" s="764"/>
      <c r="L1403" s="752"/>
      <c r="M1403" s="20"/>
      <c r="N1403" s="20"/>
      <c r="O1403" s="20"/>
      <c r="P1403" s="20"/>
      <c r="Q1403" s="21"/>
      <c r="R1403" s="22"/>
      <c r="S1403" s="22"/>
      <c r="T1403" s="20"/>
      <c r="U1403" s="20"/>
      <c r="V1403" s="20"/>
    </row>
    <row r="1404" spans="1:22" ht="12.75" customHeight="1">
      <c r="A1404" s="481" t="str">
        <f t="shared" si="126"/>
        <v>H1000x1000x4</v>
      </c>
      <c r="B1404" s="482" t="s">
        <v>2012</v>
      </c>
      <c r="C1404" s="482">
        <v>1000</v>
      </c>
      <c r="D1404" s="482">
        <v>1000</v>
      </c>
      <c r="E1404" s="482">
        <v>4</v>
      </c>
      <c r="F1404" s="482">
        <f t="shared" si="135"/>
        <v>4</v>
      </c>
      <c r="G1404" s="490">
        <f t="shared" si="131"/>
        <v>4</v>
      </c>
      <c r="H1404" s="762"/>
      <c r="I1404" s="763"/>
      <c r="J1404" s="763"/>
      <c r="K1404" s="764"/>
      <c r="L1404" s="752"/>
      <c r="M1404" s="20"/>
      <c r="N1404" s="20"/>
      <c r="O1404" s="20"/>
      <c r="P1404" s="20"/>
      <c r="Q1404" s="21"/>
      <c r="R1404" s="22"/>
      <c r="S1404" s="22"/>
      <c r="T1404" s="20"/>
      <c r="U1404" s="20"/>
      <c r="V1404" s="20"/>
    </row>
    <row r="1405" spans="1:22" ht="12.75" customHeight="1">
      <c r="A1405" s="481" t="str">
        <f t="shared" si="126"/>
        <v>H1000x1000x5</v>
      </c>
      <c r="B1405" s="482" t="s">
        <v>2012</v>
      </c>
      <c r="C1405" s="482">
        <v>1000</v>
      </c>
      <c r="D1405" s="482">
        <v>1000</v>
      </c>
      <c r="E1405" s="482">
        <v>5</v>
      </c>
      <c r="F1405" s="482">
        <f t="shared" si="135"/>
        <v>5</v>
      </c>
      <c r="G1405" s="490">
        <f t="shared" si="131"/>
        <v>5</v>
      </c>
      <c r="H1405" s="762"/>
      <c r="I1405" s="763"/>
      <c r="J1405" s="763"/>
      <c r="K1405" s="764"/>
      <c r="L1405" s="752"/>
      <c r="M1405" s="20"/>
      <c r="N1405" s="20"/>
      <c r="O1405" s="20"/>
      <c r="P1405" s="20"/>
      <c r="Q1405" s="21"/>
      <c r="R1405" s="22"/>
      <c r="S1405" s="22"/>
      <c r="T1405" s="20"/>
      <c r="U1405" s="20"/>
      <c r="V1405" s="20"/>
    </row>
    <row r="1406" spans="1:22" ht="12.75" customHeight="1">
      <c r="A1406" s="481" t="str">
        <f t="shared" si="126"/>
        <v>H1000x1000x6</v>
      </c>
      <c r="B1406" s="482" t="s">
        <v>2012</v>
      </c>
      <c r="C1406" s="482">
        <v>1000</v>
      </c>
      <c r="D1406" s="482">
        <v>1000</v>
      </c>
      <c r="E1406" s="482">
        <v>6</v>
      </c>
      <c r="F1406" s="482">
        <f t="shared" si="135"/>
        <v>6</v>
      </c>
      <c r="G1406" s="490">
        <f t="shared" si="131"/>
        <v>6</v>
      </c>
      <c r="H1406" s="762"/>
      <c r="I1406" s="763"/>
      <c r="J1406" s="763"/>
      <c r="K1406" s="764"/>
      <c r="L1406" s="752"/>
      <c r="M1406" s="20"/>
      <c r="N1406" s="20"/>
      <c r="O1406" s="20"/>
      <c r="P1406" s="20"/>
      <c r="Q1406" s="21"/>
      <c r="R1406" s="22"/>
      <c r="S1406" s="22"/>
      <c r="T1406" s="20"/>
      <c r="U1406" s="20"/>
      <c r="V1406" s="20"/>
    </row>
    <row r="1407" spans="1:22" ht="12.75" customHeight="1" thickBot="1">
      <c r="A1407" s="481" t="str">
        <f t="shared" si="126"/>
        <v>H1000x1000x10</v>
      </c>
      <c r="B1407" s="482" t="s">
        <v>2012</v>
      </c>
      <c r="C1407" s="482">
        <v>1000</v>
      </c>
      <c r="D1407" s="482">
        <v>1000</v>
      </c>
      <c r="E1407" s="482">
        <v>10</v>
      </c>
      <c r="F1407" s="482">
        <f t="shared" si="135"/>
        <v>10</v>
      </c>
      <c r="G1407" s="490">
        <f t="shared" si="131"/>
        <v>10</v>
      </c>
      <c r="H1407" s="765"/>
      <c r="I1407" s="766"/>
      <c r="J1407" s="766"/>
      <c r="K1407" s="767"/>
      <c r="L1407" s="752"/>
      <c r="M1407" s="20"/>
      <c r="N1407" s="20"/>
      <c r="O1407" s="20"/>
      <c r="P1407" s="20"/>
      <c r="Q1407" s="21"/>
      <c r="R1407" s="22"/>
      <c r="S1407" s="22"/>
      <c r="T1407" s="20"/>
      <c r="U1407" s="20"/>
      <c r="V1407" s="20"/>
    </row>
    <row r="1408" spans="1:22" ht="12.75" customHeight="1">
      <c r="A1408" s="483" t="str">
        <f t="shared" si="126"/>
        <v>H1220x1070x6</v>
      </c>
      <c r="B1408" s="484" t="s">
        <v>2012</v>
      </c>
      <c r="C1408" s="484">
        <v>1220</v>
      </c>
      <c r="D1408" s="484">
        <v>1070</v>
      </c>
      <c r="E1408" s="484">
        <v>6</v>
      </c>
      <c r="F1408" s="484">
        <f t="shared" ref="F1408" si="136">E1408</f>
        <v>6</v>
      </c>
      <c r="G1408" s="490">
        <f t="shared" si="131"/>
        <v>7.8323999999999998</v>
      </c>
      <c r="H1408" s="759" t="s">
        <v>1722</v>
      </c>
      <c r="I1408" s="760"/>
      <c r="J1408" s="760"/>
      <c r="K1408" s="761"/>
      <c r="L1408" s="752"/>
      <c r="M1408" s="20"/>
      <c r="N1408" s="20"/>
      <c r="O1408" s="20"/>
      <c r="P1408" s="20"/>
      <c r="Q1408" s="21"/>
      <c r="R1408" s="22"/>
      <c r="S1408" s="22"/>
      <c r="T1408" s="20"/>
      <c r="U1408" s="20"/>
      <c r="V1408" s="20"/>
    </row>
    <row r="1409" spans="1:22" ht="12.75" customHeight="1">
      <c r="A1409" s="483" t="str">
        <f t="shared" si="126"/>
        <v>H1220x1070x10</v>
      </c>
      <c r="B1409" s="484" t="s">
        <v>2012</v>
      </c>
      <c r="C1409" s="484">
        <v>1220</v>
      </c>
      <c r="D1409" s="484">
        <v>1070</v>
      </c>
      <c r="E1409" s="484">
        <v>10</v>
      </c>
      <c r="F1409" s="484">
        <f t="shared" ref="F1409:F1418" si="137">E1409</f>
        <v>10</v>
      </c>
      <c r="G1409" s="490">
        <f t="shared" si="131"/>
        <v>13.054</v>
      </c>
      <c r="H1409" s="762"/>
      <c r="I1409" s="763"/>
      <c r="J1409" s="763"/>
      <c r="K1409" s="764"/>
      <c r="L1409" s="752"/>
      <c r="M1409" s="20"/>
      <c r="N1409" s="20"/>
      <c r="O1409" s="20"/>
      <c r="P1409" s="20"/>
      <c r="Q1409" s="21"/>
      <c r="R1409" s="22"/>
      <c r="S1409" s="22"/>
      <c r="T1409" s="20"/>
      <c r="U1409" s="20"/>
      <c r="V1409" s="20"/>
    </row>
    <row r="1410" spans="1:22" ht="12.75" customHeight="1">
      <c r="A1410" s="483" t="str">
        <f t="shared" si="126"/>
        <v>H1220x1070x13</v>
      </c>
      <c r="B1410" s="484" t="s">
        <v>2012</v>
      </c>
      <c r="C1410" s="484">
        <v>1220</v>
      </c>
      <c r="D1410" s="484">
        <v>1070</v>
      </c>
      <c r="E1410" s="484">
        <v>13</v>
      </c>
      <c r="F1410" s="484">
        <f t="shared" si="137"/>
        <v>13</v>
      </c>
      <c r="G1410" s="490">
        <f t="shared" si="131"/>
        <v>16.970199999999998</v>
      </c>
      <c r="H1410" s="762"/>
      <c r="I1410" s="763"/>
      <c r="J1410" s="763"/>
      <c r="K1410" s="764"/>
      <c r="L1410" s="752"/>
      <c r="M1410" s="20"/>
      <c r="N1410" s="20"/>
      <c r="O1410" s="20"/>
      <c r="P1410" s="20"/>
      <c r="Q1410" s="21"/>
      <c r="R1410" s="22"/>
      <c r="S1410" s="22"/>
      <c r="T1410" s="20"/>
      <c r="U1410" s="20"/>
      <c r="V1410" s="20"/>
    </row>
    <row r="1411" spans="1:22" ht="12.75" customHeight="1">
      <c r="A1411" s="483" t="str">
        <f t="shared" si="126"/>
        <v>H1220x1070x19</v>
      </c>
      <c r="B1411" s="484" t="s">
        <v>2012</v>
      </c>
      <c r="C1411" s="484">
        <v>1220</v>
      </c>
      <c r="D1411" s="484">
        <v>1070</v>
      </c>
      <c r="E1411" s="484">
        <v>19</v>
      </c>
      <c r="F1411" s="484">
        <f t="shared" si="137"/>
        <v>19</v>
      </c>
      <c r="G1411" s="490">
        <f t="shared" si="131"/>
        <v>24.802599999999998</v>
      </c>
      <c r="H1411" s="762"/>
      <c r="I1411" s="763"/>
      <c r="J1411" s="763"/>
      <c r="K1411" s="764"/>
      <c r="L1411" s="752"/>
      <c r="M1411" s="20"/>
      <c r="N1411" s="20"/>
      <c r="O1411" s="20"/>
      <c r="P1411" s="20"/>
      <c r="Q1411" s="21"/>
      <c r="R1411" s="22"/>
      <c r="S1411" s="22"/>
      <c r="T1411" s="20"/>
      <c r="U1411" s="20"/>
      <c r="V1411" s="20"/>
    </row>
    <row r="1412" spans="1:22" ht="12.75" customHeight="1" thickBot="1">
      <c r="A1412" s="483" t="str">
        <f t="shared" si="126"/>
        <v>H1220x1070x25</v>
      </c>
      <c r="B1412" s="484" t="s">
        <v>2012</v>
      </c>
      <c r="C1412" s="484">
        <v>1220</v>
      </c>
      <c r="D1412" s="484">
        <v>1070</v>
      </c>
      <c r="E1412" s="484">
        <v>25</v>
      </c>
      <c r="F1412" s="484">
        <f t="shared" si="137"/>
        <v>25</v>
      </c>
      <c r="G1412" s="490">
        <f t="shared" si="131"/>
        <v>32.634999999999998</v>
      </c>
      <c r="H1412" s="765"/>
      <c r="I1412" s="766"/>
      <c r="J1412" s="766"/>
      <c r="K1412" s="767"/>
      <c r="L1412" s="752"/>
      <c r="M1412" s="20"/>
      <c r="N1412" s="20"/>
      <c r="O1412" s="20"/>
      <c r="P1412" s="20"/>
      <c r="Q1412" s="21"/>
      <c r="R1412" s="22"/>
      <c r="S1412" s="22"/>
      <c r="T1412" s="20"/>
      <c r="U1412" s="20"/>
      <c r="V1412" s="20"/>
    </row>
    <row r="1413" spans="1:22" ht="12.75" customHeight="1">
      <c r="A1413" s="485" t="str">
        <f t="shared" si="126"/>
        <v>H1220x610x13</v>
      </c>
      <c r="B1413" s="486" t="s">
        <v>2012</v>
      </c>
      <c r="C1413" s="486">
        <v>1220</v>
      </c>
      <c r="D1413" s="486">
        <v>610</v>
      </c>
      <c r="E1413" s="486">
        <v>13</v>
      </c>
      <c r="F1413" s="486">
        <f t="shared" si="137"/>
        <v>13</v>
      </c>
      <c r="G1413" s="490">
        <f t="shared" si="131"/>
        <v>9.6745999999999999</v>
      </c>
      <c r="H1413" s="753" t="s">
        <v>1717</v>
      </c>
      <c r="I1413" s="754"/>
      <c r="J1413" s="754"/>
      <c r="K1413" s="755"/>
      <c r="L1413" s="752"/>
      <c r="M1413" s="20"/>
      <c r="N1413" s="20"/>
      <c r="O1413" s="20"/>
      <c r="P1413" s="20"/>
      <c r="Q1413" s="21"/>
      <c r="R1413" s="22" t="s">
        <v>16</v>
      </c>
      <c r="S1413" s="22" t="s">
        <v>16</v>
      </c>
      <c r="T1413" s="20"/>
      <c r="U1413" s="20"/>
      <c r="V1413" s="20"/>
    </row>
    <row r="1414" spans="1:22" ht="12.75" customHeight="1">
      <c r="A1414" s="485" t="str">
        <f t="shared" si="126"/>
        <v>H1220x610x25</v>
      </c>
      <c r="B1414" s="486" t="s">
        <v>2012</v>
      </c>
      <c r="C1414" s="486">
        <v>1220</v>
      </c>
      <c r="D1414" s="486">
        <v>610</v>
      </c>
      <c r="E1414" s="486">
        <v>25</v>
      </c>
      <c r="F1414" s="486">
        <f t="shared" si="137"/>
        <v>25</v>
      </c>
      <c r="G1414" s="490">
        <f t="shared" si="131"/>
        <v>18.605</v>
      </c>
      <c r="H1414" s="756"/>
      <c r="I1414" s="757"/>
      <c r="J1414" s="757"/>
      <c r="K1414" s="758"/>
      <c r="L1414" s="752"/>
      <c r="M1414" s="20"/>
      <c r="N1414" s="20"/>
      <c r="O1414" s="20"/>
      <c r="P1414" s="20"/>
      <c r="Q1414" s="21"/>
      <c r="R1414" s="22" t="s">
        <v>16</v>
      </c>
      <c r="S1414" s="22" t="s">
        <v>16</v>
      </c>
      <c r="T1414" s="20"/>
      <c r="U1414" s="20"/>
      <c r="V1414" s="20"/>
    </row>
    <row r="1415" spans="1:22" ht="12.75" customHeight="1">
      <c r="A1415" s="485" t="str">
        <f t="shared" si="126"/>
        <v>H1220x610x38</v>
      </c>
      <c r="B1415" s="486" t="s">
        <v>2012</v>
      </c>
      <c r="C1415" s="486">
        <v>1220</v>
      </c>
      <c r="D1415" s="486">
        <v>610</v>
      </c>
      <c r="E1415" s="486">
        <v>38</v>
      </c>
      <c r="F1415" s="486">
        <f t="shared" si="137"/>
        <v>38</v>
      </c>
      <c r="G1415" s="490">
        <f t="shared" si="131"/>
        <v>28.279599999999999</v>
      </c>
      <c r="H1415" s="756"/>
      <c r="I1415" s="757"/>
      <c r="J1415" s="757"/>
      <c r="K1415" s="758"/>
      <c r="L1415" s="752"/>
      <c r="M1415" s="20"/>
      <c r="N1415" s="20"/>
      <c r="O1415" s="20"/>
      <c r="P1415" s="20"/>
      <c r="Q1415" s="21"/>
      <c r="R1415" s="22" t="s">
        <v>16</v>
      </c>
      <c r="S1415" s="22" t="s">
        <v>16</v>
      </c>
      <c r="T1415" s="20"/>
      <c r="U1415" s="20"/>
      <c r="V1415" s="20"/>
    </row>
    <row r="1416" spans="1:22" ht="12.75" customHeight="1">
      <c r="A1416" s="485" t="str">
        <f t="shared" si="126"/>
        <v>H1220x610x50</v>
      </c>
      <c r="B1416" s="486" t="s">
        <v>2012</v>
      </c>
      <c r="C1416" s="486">
        <v>1220</v>
      </c>
      <c r="D1416" s="486">
        <v>610</v>
      </c>
      <c r="E1416" s="486">
        <v>50</v>
      </c>
      <c r="F1416" s="486">
        <f t="shared" si="137"/>
        <v>50</v>
      </c>
      <c r="G1416" s="490">
        <f t="shared" si="131"/>
        <v>37.21</v>
      </c>
      <c r="H1416" s="756"/>
      <c r="I1416" s="757"/>
      <c r="J1416" s="757"/>
      <c r="K1416" s="758"/>
      <c r="L1416" s="752"/>
      <c r="M1416" s="20"/>
      <c r="N1416" s="20"/>
      <c r="O1416" s="20"/>
      <c r="P1416" s="20"/>
      <c r="Q1416" s="21"/>
      <c r="R1416" s="22" t="s">
        <v>16</v>
      </c>
      <c r="S1416" s="22" t="s">
        <v>16</v>
      </c>
      <c r="T1416" s="20"/>
      <c r="U1416" s="20"/>
      <c r="V1416" s="20"/>
    </row>
    <row r="1417" spans="1:22" ht="12.75" customHeight="1">
      <c r="A1417" s="485" t="str">
        <f t="shared" si="126"/>
        <v>H1220x610x51</v>
      </c>
      <c r="B1417" s="486" t="s">
        <v>2012</v>
      </c>
      <c r="C1417" s="486">
        <v>1220</v>
      </c>
      <c r="D1417" s="486">
        <v>610</v>
      </c>
      <c r="E1417" s="486">
        <v>51</v>
      </c>
      <c r="F1417" s="486">
        <f t="shared" si="137"/>
        <v>51</v>
      </c>
      <c r="G1417" s="490">
        <f t="shared" si="131"/>
        <v>37.9542</v>
      </c>
      <c r="H1417" s="756"/>
      <c r="I1417" s="757"/>
      <c r="J1417" s="757"/>
      <c r="K1417" s="758"/>
      <c r="L1417" s="752"/>
      <c r="M1417" s="20"/>
      <c r="N1417" s="20"/>
      <c r="O1417" s="20"/>
      <c r="P1417" s="20"/>
      <c r="Q1417" s="21"/>
      <c r="R1417" s="22" t="s">
        <v>16</v>
      </c>
      <c r="S1417" s="22" t="s">
        <v>16</v>
      </c>
      <c r="T1417" s="20"/>
      <c r="U1417" s="20"/>
      <c r="V1417" s="20"/>
    </row>
    <row r="1418" spans="1:22" ht="13.5" customHeight="1">
      <c r="A1418" s="485" t="str">
        <f t="shared" si="126"/>
        <v>H1220x610x76</v>
      </c>
      <c r="B1418" s="486" t="s">
        <v>2012</v>
      </c>
      <c r="C1418" s="486">
        <v>1220</v>
      </c>
      <c r="D1418" s="486">
        <v>610</v>
      </c>
      <c r="E1418" s="486">
        <v>76</v>
      </c>
      <c r="F1418" s="486">
        <f t="shared" si="137"/>
        <v>76</v>
      </c>
      <c r="G1418" s="490">
        <f t="shared" si="131"/>
        <v>56.559199999999997</v>
      </c>
      <c r="H1418" s="756"/>
      <c r="I1418" s="757"/>
      <c r="J1418" s="757"/>
      <c r="K1418" s="758"/>
      <c r="L1418" s="752"/>
      <c r="M1418" s="20"/>
      <c r="N1418" s="20"/>
      <c r="O1418" s="20"/>
      <c r="P1418" s="20"/>
      <c r="Q1418" s="21"/>
      <c r="R1418" s="22" t="s">
        <v>16</v>
      </c>
      <c r="S1418" s="22" t="s">
        <v>16</v>
      </c>
      <c r="T1418" s="20"/>
      <c r="U1418" s="20"/>
      <c r="V1418" s="20"/>
    </row>
    <row r="1419" spans="1:22" ht="13.8" thickBot="1">
      <c r="A1419" s="485" t="str">
        <f t="shared" si="126"/>
        <v>H1220x610x100</v>
      </c>
      <c r="B1419" s="486" t="s">
        <v>2012</v>
      </c>
      <c r="C1419" s="486">
        <v>1220</v>
      </c>
      <c r="D1419" s="486">
        <v>610</v>
      </c>
      <c r="E1419" s="486">
        <v>100</v>
      </c>
      <c r="F1419" s="486">
        <f>E1419</f>
        <v>100</v>
      </c>
      <c r="G1419" s="490">
        <f t="shared" ref="G1419:G1428" si="138">(C1419*D1419*E1419)*10^-6</f>
        <v>74.42</v>
      </c>
      <c r="H1419" s="774"/>
      <c r="I1419" s="775"/>
      <c r="J1419" s="775"/>
      <c r="K1419" s="776"/>
      <c r="L1419" s="752"/>
      <c r="M1419" s="20"/>
      <c r="N1419" s="20"/>
      <c r="O1419" s="20"/>
      <c r="P1419" s="20"/>
      <c r="Q1419" s="21"/>
      <c r="R1419" s="22" t="s">
        <v>16</v>
      </c>
      <c r="S1419" s="22" t="s">
        <v>16</v>
      </c>
      <c r="T1419" s="20"/>
      <c r="U1419" s="20"/>
      <c r="V1419" s="20"/>
    </row>
    <row r="1420" spans="1:22" ht="12.75" customHeight="1">
      <c r="A1420" s="487" t="str">
        <f t="shared" ref="A1420:A1428" si="139">IF(OR(B1420="PA",B1420="H"),B1420&amp;""&amp;C1420&amp;"x"&amp;D1420&amp;"x"&amp;E1420,IF(OR(B1420="A1",B1420="A2",B1420="A3",B1420="AE",B1420="A2/3",B1420="A3/4",B1420="C1",B1420="C2",B1420="C3",B1420="CE",B1420="C2/3",B1420="C3/4"),B1420&amp;"-"&amp;C1420&amp;"x"&amp;D1420&amp;"x"&amp;E1420&amp;"-"&amp;F1420,B1420&amp;"-"&amp;C1420&amp;"x"&amp;D1420&amp;"-"&amp;E1420&amp;"x"&amp;F1420))</f>
        <v>H1250x1000x5</v>
      </c>
      <c r="B1420" s="488" t="s">
        <v>2012</v>
      </c>
      <c r="C1420" s="488">
        <v>1250</v>
      </c>
      <c r="D1420" s="488">
        <v>1000</v>
      </c>
      <c r="E1420" s="488">
        <v>5</v>
      </c>
      <c r="F1420" s="488">
        <f t="shared" si="135"/>
        <v>5</v>
      </c>
      <c r="G1420" s="490">
        <f t="shared" si="138"/>
        <v>6.25</v>
      </c>
      <c r="H1420" s="768" t="s">
        <v>671</v>
      </c>
      <c r="I1420" s="769"/>
      <c r="J1420" s="769"/>
      <c r="K1420" s="770"/>
      <c r="L1420" s="752"/>
      <c r="M1420" s="20"/>
      <c r="N1420" s="20"/>
      <c r="O1420" s="20"/>
      <c r="P1420" s="20"/>
      <c r="Q1420" s="21"/>
      <c r="R1420" s="22"/>
      <c r="S1420" s="22"/>
      <c r="T1420" s="20"/>
      <c r="U1420" s="20"/>
      <c r="V1420" s="20"/>
    </row>
    <row r="1421" spans="1:22" ht="12.75" customHeight="1" thickBot="1">
      <c r="A1421" s="487" t="str">
        <f t="shared" si="139"/>
        <v>H1250x1000x10</v>
      </c>
      <c r="B1421" s="488" t="s">
        <v>2012</v>
      </c>
      <c r="C1421" s="488">
        <v>1250</v>
      </c>
      <c r="D1421" s="488">
        <v>1000</v>
      </c>
      <c r="E1421" s="488">
        <v>10</v>
      </c>
      <c r="F1421" s="488">
        <f t="shared" si="135"/>
        <v>10</v>
      </c>
      <c r="G1421" s="490">
        <f t="shared" si="138"/>
        <v>12.5</v>
      </c>
      <c r="H1421" s="771"/>
      <c r="I1421" s="772"/>
      <c r="J1421" s="772"/>
      <c r="K1421" s="773"/>
      <c r="L1421" s="752"/>
      <c r="M1421" s="20"/>
      <c r="N1421" s="20"/>
      <c r="O1421" s="20"/>
      <c r="P1421" s="20"/>
      <c r="Q1421" s="21"/>
      <c r="R1421" s="22"/>
      <c r="S1421" s="22"/>
      <c r="T1421" s="20"/>
      <c r="U1421" s="20"/>
      <c r="V1421" s="20"/>
    </row>
    <row r="1422" spans="1:22" ht="12.75" customHeight="1">
      <c r="A1422" s="474" t="str">
        <f t="shared" si="139"/>
        <v>Hxx</v>
      </c>
      <c r="B1422" s="475" t="s">
        <v>2012</v>
      </c>
      <c r="C1422" s="476"/>
      <c r="D1422" s="476"/>
      <c r="E1422" s="476"/>
      <c r="F1422" s="475">
        <f t="shared" si="135"/>
        <v>0</v>
      </c>
      <c r="G1422" s="490">
        <f t="shared" si="138"/>
        <v>0</v>
      </c>
      <c r="H1422" s="753" t="s">
        <v>1724</v>
      </c>
      <c r="I1422" s="754"/>
      <c r="J1422" s="754"/>
      <c r="K1422" s="755"/>
      <c r="L1422" s="752"/>
      <c r="M1422" s="20"/>
      <c r="N1422" s="20"/>
      <c r="O1422" s="20"/>
      <c r="P1422" s="20"/>
      <c r="Q1422" s="21"/>
      <c r="R1422" s="22" t="s">
        <v>16</v>
      </c>
      <c r="S1422" s="22" t="s">
        <v>16</v>
      </c>
      <c r="T1422" s="20"/>
      <c r="U1422" s="20"/>
      <c r="V1422" s="20"/>
    </row>
    <row r="1423" spans="1:22" ht="12.75" customHeight="1">
      <c r="A1423" s="474" t="str">
        <f t="shared" si="139"/>
        <v>Hxx</v>
      </c>
      <c r="B1423" s="475" t="s">
        <v>2012</v>
      </c>
      <c r="C1423" s="476"/>
      <c r="D1423" s="476"/>
      <c r="E1423" s="476"/>
      <c r="F1423" s="475">
        <f t="shared" si="135"/>
        <v>0</v>
      </c>
      <c r="G1423" s="490">
        <f t="shared" si="138"/>
        <v>0</v>
      </c>
      <c r="H1423" s="756"/>
      <c r="I1423" s="757"/>
      <c r="J1423" s="757"/>
      <c r="K1423" s="758"/>
      <c r="L1423" s="752"/>
      <c r="M1423" s="20"/>
      <c r="N1423" s="20"/>
      <c r="O1423" s="20"/>
      <c r="P1423" s="20"/>
      <c r="Q1423" s="21"/>
      <c r="R1423" s="22" t="s">
        <v>16</v>
      </c>
      <c r="S1423" s="22" t="s">
        <v>16</v>
      </c>
      <c r="T1423" s="20"/>
      <c r="U1423" s="20"/>
      <c r="V1423" s="20"/>
    </row>
    <row r="1424" spans="1:22" ht="12.75" customHeight="1">
      <c r="A1424" s="474" t="str">
        <f t="shared" si="139"/>
        <v>Hxx</v>
      </c>
      <c r="B1424" s="475" t="s">
        <v>2012</v>
      </c>
      <c r="C1424" s="476"/>
      <c r="D1424" s="476"/>
      <c r="E1424" s="476"/>
      <c r="F1424" s="475">
        <f t="shared" si="135"/>
        <v>0</v>
      </c>
      <c r="G1424" s="490">
        <f t="shared" si="138"/>
        <v>0</v>
      </c>
      <c r="H1424" s="756"/>
      <c r="I1424" s="757"/>
      <c r="J1424" s="757"/>
      <c r="K1424" s="758"/>
      <c r="L1424" s="752"/>
      <c r="M1424" s="20"/>
      <c r="N1424" s="20"/>
      <c r="O1424" s="20"/>
      <c r="P1424" s="20"/>
      <c r="Q1424" s="21"/>
      <c r="R1424" s="22" t="s">
        <v>16</v>
      </c>
      <c r="S1424" s="22" t="s">
        <v>16</v>
      </c>
      <c r="T1424" s="20"/>
      <c r="U1424" s="20"/>
      <c r="V1424" s="20"/>
    </row>
    <row r="1425" spans="1:22" ht="12.75" customHeight="1">
      <c r="A1425" s="474" t="str">
        <f t="shared" si="139"/>
        <v>Hxx</v>
      </c>
      <c r="B1425" s="475" t="s">
        <v>2012</v>
      </c>
      <c r="C1425" s="476"/>
      <c r="D1425" s="476"/>
      <c r="E1425" s="476"/>
      <c r="F1425" s="475">
        <f t="shared" si="135"/>
        <v>0</v>
      </c>
      <c r="G1425" s="490">
        <f t="shared" si="138"/>
        <v>0</v>
      </c>
      <c r="H1425" s="756"/>
      <c r="I1425" s="757"/>
      <c r="J1425" s="757"/>
      <c r="K1425" s="758"/>
      <c r="L1425" s="752"/>
      <c r="M1425" s="20"/>
      <c r="N1425" s="20"/>
      <c r="O1425" s="20"/>
      <c r="P1425" s="20"/>
      <c r="Q1425" s="21"/>
      <c r="R1425" s="22" t="s">
        <v>16</v>
      </c>
      <c r="S1425" s="22" t="s">
        <v>16</v>
      </c>
      <c r="T1425" s="20"/>
      <c r="U1425" s="20"/>
      <c r="V1425" s="20"/>
    </row>
    <row r="1426" spans="1:22" ht="12.75" customHeight="1">
      <c r="A1426" s="474" t="str">
        <f t="shared" si="139"/>
        <v>Hxx</v>
      </c>
      <c r="B1426" s="475" t="s">
        <v>2012</v>
      </c>
      <c r="C1426" s="476"/>
      <c r="D1426" s="476"/>
      <c r="E1426" s="476"/>
      <c r="F1426" s="475">
        <f t="shared" si="135"/>
        <v>0</v>
      </c>
      <c r="G1426" s="490">
        <f t="shared" si="138"/>
        <v>0</v>
      </c>
      <c r="H1426" s="756"/>
      <c r="I1426" s="757"/>
      <c r="J1426" s="757"/>
      <c r="K1426" s="758"/>
      <c r="L1426" s="752"/>
      <c r="M1426" s="20"/>
      <c r="N1426" s="20"/>
      <c r="O1426" s="20"/>
      <c r="P1426" s="20"/>
      <c r="Q1426" s="21"/>
      <c r="R1426" s="22" t="s">
        <v>16</v>
      </c>
      <c r="S1426" s="22" t="s">
        <v>16</v>
      </c>
      <c r="T1426" s="20"/>
      <c r="U1426" s="20"/>
      <c r="V1426" s="20"/>
    </row>
    <row r="1427" spans="1:22" ht="13.5" customHeight="1">
      <c r="A1427" s="474" t="str">
        <f t="shared" si="139"/>
        <v>Hxx</v>
      </c>
      <c r="B1427" s="475" t="s">
        <v>2012</v>
      </c>
      <c r="C1427" s="476"/>
      <c r="D1427" s="476"/>
      <c r="E1427" s="476"/>
      <c r="F1427" s="475">
        <f t="shared" si="135"/>
        <v>0</v>
      </c>
      <c r="G1427" s="490">
        <f t="shared" si="138"/>
        <v>0</v>
      </c>
      <c r="H1427" s="756"/>
      <c r="I1427" s="757"/>
      <c r="J1427" s="757"/>
      <c r="K1427" s="758"/>
      <c r="L1427" s="752"/>
      <c r="M1427" s="20"/>
      <c r="N1427" s="20"/>
      <c r="O1427" s="20"/>
      <c r="P1427" s="20"/>
      <c r="Q1427" s="21"/>
      <c r="R1427" s="22" t="s">
        <v>16</v>
      </c>
      <c r="S1427" s="22" t="s">
        <v>16</v>
      </c>
      <c r="T1427" s="20"/>
      <c r="U1427" s="20"/>
      <c r="V1427" s="20"/>
    </row>
    <row r="1428" spans="1:22" ht="13.8" thickBot="1">
      <c r="A1428" s="474" t="str">
        <f t="shared" si="139"/>
        <v>Hxx</v>
      </c>
      <c r="B1428" s="475" t="s">
        <v>2012</v>
      </c>
      <c r="C1428" s="476"/>
      <c r="D1428" s="476"/>
      <c r="E1428" s="476"/>
      <c r="F1428" s="475">
        <f>E1428</f>
        <v>0</v>
      </c>
      <c r="G1428" s="491">
        <f t="shared" si="138"/>
        <v>0</v>
      </c>
      <c r="H1428" s="774"/>
      <c r="I1428" s="775"/>
      <c r="J1428" s="775"/>
      <c r="K1428" s="776"/>
      <c r="L1428" s="752"/>
      <c r="M1428" s="20"/>
      <c r="N1428" s="20"/>
      <c r="O1428" s="20"/>
      <c r="P1428" s="20"/>
      <c r="Q1428" s="21"/>
      <c r="R1428" s="22" t="s">
        <v>16</v>
      </c>
      <c r="S1428" s="22" t="s">
        <v>16</v>
      </c>
      <c r="T1428" s="20"/>
      <c r="U1428" s="20"/>
      <c r="V1428" s="20"/>
    </row>
    <row r="1429" spans="1:22" ht="25.2" thickBot="1">
      <c r="A1429" s="64" t="s">
        <v>1746</v>
      </c>
      <c r="B1429" s="72"/>
      <c r="C1429" s="73"/>
      <c r="D1429" s="73"/>
      <c r="E1429" s="73"/>
      <c r="F1429" s="73"/>
      <c r="G1429" s="104"/>
      <c r="H1429" s="73"/>
      <c r="I1429" s="73"/>
      <c r="J1429" s="73"/>
      <c r="K1429" s="73"/>
      <c r="L1429" s="93"/>
      <c r="M1429" s="20"/>
      <c r="N1429" s="20"/>
      <c r="O1429" s="20"/>
      <c r="P1429" s="20"/>
      <c r="Q1429" s="21"/>
      <c r="R1429" s="22"/>
      <c r="S1429" s="22"/>
      <c r="T1429" s="20"/>
      <c r="U1429" s="22"/>
      <c r="V1429" s="20"/>
    </row>
    <row r="1430" spans="1:22" ht="12.75" customHeight="1">
      <c r="A1430" s="470" t="s">
        <v>1725</v>
      </c>
      <c r="B1430" s="471" t="s">
        <v>1752</v>
      </c>
      <c r="C1430" s="471">
        <v>80000</v>
      </c>
      <c r="D1430" s="471">
        <v>500</v>
      </c>
      <c r="E1430" s="471">
        <v>0.5</v>
      </c>
      <c r="F1430" s="471">
        <v>8</v>
      </c>
      <c r="G1430" s="489">
        <f t="shared" ref="G1430:G1447" si="140">(C1430*D1430*E1430)*10^-6</f>
        <v>20</v>
      </c>
      <c r="H1430" s="753" t="s">
        <v>1737</v>
      </c>
      <c r="I1430" s="754"/>
      <c r="J1430" s="754"/>
      <c r="K1430" s="755"/>
      <c r="L1430" s="752"/>
      <c r="M1430" s="20"/>
      <c r="N1430" s="20"/>
      <c r="O1430" s="20"/>
      <c r="P1430" s="20"/>
      <c r="Q1430" s="21"/>
      <c r="R1430" s="22" t="s">
        <v>16</v>
      </c>
      <c r="S1430" s="22" t="s">
        <v>16</v>
      </c>
      <c r="T1430" s="20"/>
      <c r="U1430" s="20"/>
      <c r="V1430" s="20"/>
    </row>
    <row r="1431" spans="1:22" ht="12.75" customHeight="1">
      <c r="A1431" s="470" t="s">
        <v>1726</v>
      </c>
      <c r="B1431" s="471" t="s">
        <v>1752</v>
      </c>
      <c r="C1431" s="471">
        <v>40000</v>
      </c>
      <c r="D1431" s="471">
        <v>500</v>
      </c>
      <c r="E1431" s="471">
        <v>0.5</v>
      </c>
      <c r="F1431" s="471">
        <v>10</v>
      </c>
      <c r="G1431" s="490">
        <f t="shared" si="140"/>
        <v>10</v>
      </c>
      <c r="H1431" s="756"/>
      <c r="I1431" s="757"/>
      <c r="J1431" s="757"/>
      <c r="K1431" s="758"/>
      <c r="L1431" s="752"/>
      <c r="M1431" s="20"/>
      <c r="N1431" s="20"/>
      <c r="O1431" s="20"/>
      <c r="P1431" s="20"/>
      <c r="Q1431" s="21"/>
      <c r="R1431" s="22" t="s">
        <v>16</v>
      </c>
      <c r="S1431" s="22" t="s">
        <v>16</v>
      </c>
      <c r="T1431" s="20"/>
      <c r="U1431" s="20"/>
      <c r="V1431" s="20"/>
    </row>
    <row r="1432" spans="1:22" ht="12.75" customHeight="1">
      <c r="A1432" s="470" t="s">
        <v>1727</v>
      </c>
      <c r="B1432" s="471" t="s">
        <v>1752</v>
      </c>
      <c r="C1432" s="471">
        <v>20000</v>
      </c>
      <c r="D1432" s="471">
        <v>500</v>
      </c>
      <c r="E1432" s="471">
        <v>1</v>
      </c>
      <c r="F1432" s="471">
        <v>12</v>
      </c>
      <c r="G1432" s="490">
        <f t="shared" si="140"/>
        <v>10</v>
      </c>
      <c r="H1432" s="756"/>
      <c r="I1432" s="757"/>
      <c r="J1432" s="757"/>
      <c r="K1432" s="758"/>
      <c r="L1432" s="752"/>
      <c r="M1432" s="20"/>
      <c r="N1432" s="20"/>
      <c r="O1432" s="20"/>
      <c r="P1432" s="20"/>
      <c r="Q1432" s="21"/>
      <c r="R1432" s="22" t="s">
        <v>16</v>
      </c>
      <c r="S1432" s="22" t="s">
        <v>16</v>
      </c>
      <c r="T1432" s="20"/>
      <c r="U1432" s="20"/>
      <c r="V1432" s="20"/>
    </row>
    <row r="1433" spans="1:22" ht="12.75" customHeight="1">
      <c r="A1433" s="470" t="s">
        <v>1728</v>
      </c>
      <c r="B1433" s="471" t="s">
        <v>1752</v>
      </c>
      <c r="C1433" s="471">
        <v>30000</v>
      </c>
      <c r="D1433" s="471">
        <v>500</v>
      </c>
      <c r="E1433" s="471">
        <v>1</v>
      </c>
      <c r="F1433" s="471">
        <f>E1433</f>
        <v>1</v>
      </c>
      <c r="G1433" s="490">
        <f t="shared" si="140"/>
        <v>15</v>
      </c>
      <c r="H1433" s="756"/>
      <c r="I1433" s="757"/>
      <c r="J1433" s="757"/>
      <c r="K1433" s="758"/>
      <c r="L1433" s="752"/>
      <c r="M1433" s="20"/>
      <c r="N1433" s="20"/>
      <c r="O1433" s="20"/>
      <c r="P1433" s="20"/>
      <c r="Q1433" s="21"/>
      <c r="R1433" s="22" t="s">
        <v>16</v>
      </c>
      <c r="S1433" s="22" t="s">
        <v>16</v>
      </c>
      <c r="T1433" s="20"/>
      <c r="U1433" s="20"/>
      <c r="V1433" s="20"/>
    </row>
    <row r="1434" spans="1:22" ht="12.75" customHeight="1">
      <c r="A1434" s="470" t="s">
        <v>1729</v>
      </c>
      <c r="B1434" s="471" t="s">
        <v>1752</v>
      </c>
      <c r="C1434" s="471">
        <v>10000</v>
      </c>
      <c r="D1434" s="471">
        <v>500</v>
      </c>
      <c r="E1434" s="471">
        <v>2</v>
      </c>
      <c r="F1434" s="471">
        <f>E1434</f>
        <v>2</v>
      </c>
      <c r="G1434" s="490">
        <f t="shared" si="140"/>
        <v>10</v>
      </c>
      <c r="H1434" s="756"/>
      <c r="I1434" s="757"/>
      <c r="J1434" s="757"/>
      <c r="K1434" s="758"/>
      <c r="L1434" s="752"/>
      <c r="M1434" s="20"/>
      <c r="N1434" s="20"/>
      <c r="O1434" s="20"/>
      <c r="P1434" s="20"/>
      <c r="Q1434" s="21"/>
      <c r="R1434" s="22" t="s">
        <v>16</v>
      </c>
      <c r="S1434" s="22" t="s">
        <v>16</v>
      </c>
      <c r="T1434" s="20"/>
      <c r="U1434" s="20"/>
      <c r="V1434" s="20"/>
    </row>
    <row r="1435" spans="1:22" ht="12.75" customHeight="1">
      <c r="A1435" s="470" t="s">
        <v>1730</v>
      </c>
      <c r="B1435" s="471" t="s">
        <v>1752</v>
      </c>
      <c r="C1435" s="471">
        <v>20000</v>
      </c>
      <c r="D1435" s="471">
        <v>500</v>
      </c>
      <c r="E1435" s="471">
        <v>2</v>
      </c>
      <c r="F1435" s="471">
        <f>E1435</f>
        <v>2</v>
      </c>
      <c r="G1435" s="490">
        <f t="shared" si="140"/>
        <v>20</v>
      </c>
      <c r="H1435" s="756"/>
      <c r="I1435" s="757"/>
      <c r="J1435" s="757"/>
      <c r="K1435" s="758"/>
      <c r="L1435" s="752"/>
      <c r="M1435" s="20"/>
      <c r="N1435" s="20"/>
      <c r="O1435" s="20"/>
      <c r="P1435" s="20"/>
      <c r="Q1435" s="21"/>
      <c r="R1435" s="22" t="s">
        <v>16</v>
      </c>
      <c r="S1435" s="22" t="s">
        <v>16</v>
      </c>
      <c r="T1435" s="20"/>
      <c r="U1435" s="20"/>
      <c r="V1435" s="20"/>
    </row>
    <row r="1436" spans="1:22" ht="12.75" customHeight="1">
      <c r="A1436" s="470" t="s">
        <v>1731</v>
      </c>
      <c r="B1436" s="471" t="s">
        <v>1752</v>
      </c>
      <c r="C1436" s="471">
        <v>10000</v>
      </c>
      <c r="D1436" s="471">
        <v>500</v>
      </c>
      <c r="E1436" s="471">
        <v>3</v>
      </c>
      <c r="F1436" s="471">
        <f>E1436</f>
        <v>3</v>
      </c>
      <c r="G1436" s="490">
        <f t="shared" si="140"/>
        <v>15</v>
      </c>
      <c r="H1436" s="756"/>
      <c r="I1436" s="757"/>
      <c r="J1436" s="757"/>
      <c r="K1436" s="758"/>
      <c r="L1436" s="752"/>
      <c r="M1436" s="20"/>
      <c r="N1436" s="20"/>
      <c r="O1436" s="20"/>
      <c r="P1436" s="20"/>
      <c r="Q1436" s="21"/>
      <c r="R1436" s="22" t="s">
        <v>16</v>
      </c>
      <c r="S1436" s="22" t="s">
        <v>16</v>
      </c>
      <c r="T1436" s="20"/>
      <c r="U1436" s="20"/>
      <c r="V1436" s="20"/>
    </row>
    <row r="1437" spans="1:22" ht="12.75" customHeight="1">
      <c r="A1437" s="470" t="s">
        <v>1732</v>
      </c>
      <c r="B1437" s="471" t="s">
        <v>1752</v>
      </c>
      <c r="C1437" s="471">
        <v>15000</v>
      </c>
      <c r="D1437" s="471">
        <v>500</v>
      </c>
      <c r="E1437" s="471">
        <v>3</v>
      </c>
      <c r="F1437" s="471">
        <f t="shared" ref="F1437:F1441" si="141">E1437</f>
        <v>3</v>
      </c>
      <c r="G1437" s="490">
        <f t="shared" si="140"/>
        <v>22.5</v>
      </c>
      <c r="H1437" s="756"/>
      <c r="I1437" s="757"/>
      <c r="J1437" s="757"/>
      <c r="K1437" s="758"/>
      <c r="L1437" s="752"/>
      <c r="M1437" s="20"/>
      <c r="N1437" s="20"/>
      <c r="O1437" s="20"/>
      <c r="P1437" s="20"/>
      <c r="Q1437" s="21"/>
      <c r="R1437" s="22" t="s">
        <v>16</v>
      </c>
      <c r="S1437" s="22" t="s">
        <v>16</v>
      </c>
      <c r="T1437" s="20"/>
      <c r="U1437" s="20"/>
      <c r="V1437" s="20"/>
    </row>
    <row r="1438" spans="1:22" ht="12.75" customHeight="1">
      <c r="A1438" s="470" t="s">
        <v>1733</v>
      </c>
      <c r="B1438" s="471" t="s">
        <v>1752</v>
      </c>
      <c r="C1438" s="471">
        <v>20000</v>
      </c>
      <c r="D1438" s="471">
        <v>500</v>
      </c>
      <c r="E1438" s="471">
        <v>3</v>
      </c>
      <c r="F1438" s="471">
        <f t="shared" si="141"/>
        <v>3</v>
      </c>
      <c r="G1438" s="490">
        <f t="shared" si="140"/>
        <v>30</v>
      </c>
      <c r="H1438" s="756"/>
      <c r="I1438" s="757"/>
      <c r="J1438" s="757"/>
      <c r="K1438" s="758"/>
      <c r="L1438" s="752"/>
      <c r="M1438" s="20"/>
      <c r="N1438" s="20"/>
      <c r="O1438" s="20"/>
      <c r="P1438" s="20"/>
      <c r="Q1438" s="21"/>
      <c r="R1438" s="22" t="s">
        <v>16</v>
      </c>
      <c r="S1438" s="22" t="s">
        <v>16</v>
      </c>
      <c r="T1438" s="20"/>
      <c r="U1438" s="20"/>
      <c r="V1438" s="20"/>
    </row>
    <row r="1439" spans="1:22" ht="12.75" customHeight="1">
      <c r="A1439" s="470" t="s">
        <v>1734</v>
      </c>
      <c r="B1439" s="471" t="s">
        <v>1752</v>
      </c>
      <c r="C1439" s="471">
        <v>10000</v>
      </c>
      <c r="D1439" s="471">
        <v>500</v>
      </c>
      <c r="E1439" s="471">
        <v>4</v>
      </c>
      <c r="F1439" s="471">
        <f t="shared" si="141"/>
        <v>4</v>
      </c>
      <c r="G1439" s="490">
        <f t="shared" si="140"/>
        <v>20</v>
      </c>
      <c r="H1439" s="756"/>
      <c r="I1439" s="757"/>
      <c r="J1439" s="757"/>
      <c r="K1439" s="758"/>
      <c r="L1439" s="752"/>
      <c r="M1439" s="20"/>
      <c r="N1439" s="20"/>
      <c r="O1439" s="20"/>
      <c r="P1439" s="20"/>
      <c r="Q1439" s="21"/>
      <c r="R1439" s="22" t="s">
        <v>16</v>
      </c>
      <c r="S1439" s="22" t="s">
        <v>16</v>
      </c>
      <c r="T1439" s="20"/>
      <c r="U1439" s="20"/>
      <c r="V1439" s="20"/>
    </row>
    <row r="1440" spans="1:22" ht="12.75" customHeight="1">
      <c r="A1440" s="470" t="s">
        <v>1735</v>
      </c>
      <c r="B1440" s="471" t="s">
        <v>1752</v>
      </c>
      <c r="C1440" s="471">
        <v>10000</v>
      </c>
      <c r="D1440" s="471">
        <v>500</v>
      </c>
      <c r="E1440" s="471">
        <v>5</v>
      </c>
      <c r="F1440" s="471">
        <f t="shared" si="141"/>
        <v>5</v>
      </c>
      <c r="G1440" s="490">
        <f t="shared" si="140"/>
        <v>25</v>
      </c>
      <c r="H1440" s="756"/>
      <c r="I1440" s="757"/>
      <c r="J1440" s="757"/>
      <c r="K1440" s="758"/>
      <c r="L1440" s="752"/>
      <c r="M1440" s="20"/>
      <c r="N1440" s="20"/>
      <c r="O1440" s="20"/>
      <c r="P1440" s="20"/>
      <c r="Q1440" s="21"/>
      <c r="R1440" s="22" t="s">
        <v>16</v>
      </c>
      <c r="S1440" s="22" t="s">
        <v>16</v>
      </c>
      <c r="T1440" s="20"/>
      <c r="U1440" s="20"/>
      <c r="V1440" s="20"/>
    </row>
    <row r="1441" spans="1:22" ht="12.75" customHeight="1" thickBot="1">
      <c r="A1441" s="470" t="s">
        <v>1736</v>
      </c>
      <c r="B1441" s="471" t="s">
        <v>1752</v>
      </c>
      <c r="C1441" s="471">
        <v>10000</v>
      </c>
      <c r="D1441" s="471">
        <v>500</v>
      </c>
      <c r="E1441" s="471">
        <v>6</v>
      </c>
      <c r="F1441" s="471">
        <f t="shared" si="141"/>
        <v>6</v>
      </c>
      <c r="G1441" s="490">
        <f t="shared" si="140"/>
        <v>30</v>
      </c>
      <c r="H1441" s="756"/>
      <c r="I1441" s="757"/>
      <c r="J1441" s="757"/>
      <c r="K1441" s="758"/>
      <c r="L1441" s="752"/>
      <c r="M1441" s="20"/>
      <c r="N1441" s="20"/>
      <c r="O1441" s="20"/>
      <c r="P1441" s="20"/>
      <c r="Q1441" s="21"/>
      <c r="R1441" s="22" t="s">
        <v>16</v>
      </c>
      <c r="S1441" s="22" t="s">
        <v>16</v>
      </c>
      <c r="T1441" s="20"/>
      <c r="U1441" s="20"/>
      <c r="V1441" s="20"/>
    </row>
    <row r="1442" spans="1:22" ht="12.75" customHeight="1">
      <c r="A1442" s="648" t="s">
        <v>2210</v>
      </c>
      <c r="B1442" s="473" t="s">
        <v>1752</v>
      </c>
      <c r="C1442" s="473">
        <v>5500</v>
      </c>
      <c r="D1442" s="473">
        <v>610</v>
      </c>
      <c r="E1442" s="473">
        <v>6</v>
      </c>
      <c r="F1442" s="473">
        <f t="shared" ref="F1442:F1447" si="142">E1442</f>
        <v>6</v>
      </c>
      <c r="G1442" s="490">
        <f t="shared" si="140"/>
        <v>20.13</v>
      </c>
      <c r="H1442" s="759" t="s">
        <v>1753</v>
      </c>
      <c r="I1442" s="760"/>
      <c r="J1442" s="760"/>
      <c r="K1442" s="761"/>
      <c r="L1442" s="752"/>
      <c r="M1442" s="20"/>
      <c r="N1442" s="20"/>
      <c r="O1442" s="20"/>
      <c r="P1442" s="20"/>
      <c r="Q1442" s="21"/>
      <c r="R1442" s="22"/>
      <c r="S1442" s="22"/>
      <c r="T1442" s="20"/>
      <c r="U1442" s="20"/>
      <c r="V1442" s="20"/>
    </row>
    <row r="1443" spans="1:22" ht="12.75" customHeight="1">
      <c r="A1443" s="472" t="s">
        <v>1747</v>
      </c>
      <c r="B1443" s="473" t="s">
        <v>1752</v>
      </c>
      <c r="C1443" s="473">
        <v>14640</v>
      </c>
      <c r="D1443" s="473">
        <v>610</v>
      </c>
      <c r="E1443" s="473">
        <v>13</v>
      </c>
      <c r="F1443" s="473">
        <f t="shared" si="142"/>
        <v>13</v>
      </c>
      <c r="G1443" s="490">
        <f t="shared" si="140"/>
        <v>116.09519999999999</v>
      </c>
      <c r="H1443" s="762"/>
      <c r="I1443" s="763"/>
      <c r="J1443" s="763"/>
      <c r="K1443" s="764"/>
      <c r="L1443" s="752"/>
      <c r="M1443" s="20"/>
      <c r="N1443" s="20"/>
      <c r="O1443" s="20"/>
      <c r="P1443" s="20"/>
      <c r="Q1443" s="21"/>
      <c r="R1443" s="22"/>
      <c r="S1443" s="22"/>
      <c r="T1443" s="20"/>
      <c r="U1443" s="20"/>
      <c r="V1443" s="20"/>
    </row>
    <row r="1444" spans="1:22" ht="12.75" customHeight="1">
      <c r="A1444" s="472" t="s">
        <v>1748</v>
      </c>
      <c r="B1444" s="473" t="s">
        <v>1752</v>
      </c>
      <c r="C1444" s="473">
        <v>9760</v>
      </c>
      <c r="D1444" s="473">
        <v>610</v>
      </c>
      <c r="E1444" s="473">
        <v>19</v>
      </c>
      <c r="F1444" s="473">
        <f t="shared" si="142"/>
        <v>19</v>
      </c>
      <c r="G1444" s="490">
        <f t="shared" si="140"/>
        <v>113.11839999999999</v>
      </c>
      <c r="H1444" s="762"/>
      <c r="I1444" s="763"/>
      <c r="J1444" s="763"/>
      <c r="K1444" s="764"/>
      <c r="L1444" s="752"/>
      <c r="M1444" s="20"/>
      <c r="N1444" s="20"/>
      <c r="O1444" s="20"/>
      <c r="P1444" s="20"/>
      <c r="Q1444" s="21"/>
      <c r="R1444" s="22"/>
      <c r="S1444" s="22"/>
      <c r="T1444" s="20"/>
      <c r="U1444" s="20"/>
      <c r="V1444" s="20"/>
    </row>
    <row r="1445" spans="1:22" ht="12.75" customHeight="1">
      <c r="A1445" s="472" t="s">
        <v>1749</v>
      </c>
      <c r="B1445" s="473" t="s">
        <v>1752</v>
      </c>
      <c r="C1445" s="473">
        <v>7320</v>
      </c>
      <c r="D1445" s="473">
        <v>610</v>
      </c>
      <c r="E1445" s="473">
        <v>25</v>
      </c>
      <c r="F1445" s="473">
        <f t="shared" si="142"/>
        <v>25</v>
      </c>
      <c r="G1445" s="490">
        <f t="shared" si="140"/>
        <v>111.63</v>
      </c>
      <c r="H1445" s="762"/>
      <c r="I1445" s="763"/>
      <c r="J1445" s="763"/>
      <c r="K1445" s="764"/>
      <c r="L1445" s="752"/>
      <c r="M1445" s="20"/>
      <c r="N1445" s="20"/>
      <c r="O1445" s="20"/>
      <c r="P1445" s="20"/>
      <c r="Q1445" s="21"/>
      <c r="R1445" s="22"/>
      <c r="S1445" s="22"/>
      <c r="T1445" s="20"/>
      <c r="U1445" s="20"/>
      <c r="V1445" s="20"/>
    </row>
    <row r="1446" spans="1:22" ht="12.75" customHeight="1">
      <c r="A1446" s="472" t="s">
        <v>1750</v>
      </c>
      <c r="B1446" s="473" t="s">
        <v>1752</v>
      </c>
      <c r="C1446" s="473">
        <v>4880</v>
      </c>
      <c r="D1446" s="473">
        <v>610</v>
      </c>
      <c r="E1446" s="473">
        <v>38</v>
      </c>
      <c r="F1446" s="473">
        <f t="shared" si="142"/>
        <v>38</v>
      </c>
      <c r="G1446" s="490">
        <f t="shared" si="140"/>
        <v>113.11839999999999</v>
      </c>
      <c r="H1446" s="762"/>
      <c r="I1446" s="763"/>
      <c r="J1446" s="763"/>
      <c r="K1446" s="764"/>
      <c r="L1446" s="752"/>
      <c r="M1446" s="20"/>
      <c r="N1446" s="20"/>
      <c r="O1446" s="20"/>
      <c r="P1446" s="20"/>
      <c r="Q1446" s="21"/>
      <c r="R1446" s="22"/>
      <c r="S1446" s="22"/>
      <c r="T1446" s="20"/>
      <c r="U1446" s="20"/>
      <c r="V1446" s="20"/>
    </row>
    <row r="1447" spans="1:22" ht="12.75" customHeight="1" thickBot="1">
      <c r="A1447" s="472" t="s">
        <v>1751</v>
      </c>
      <c r="B1447" s="473" t="s">
        <v>1752</v>
      </c>
      <c r="C1447" s="473">
        <v>3660</v>
      </c>
      <c r="D1447" s="473">
        <v>610</v>
      </c>
      <c r="E1447" s="473">
        <v>50</v>
      </c>
      <c r="F1447" s="473">
        <f t="shared" si="142"/>
        <v>50</v>
      </c>
      <c r="G1447" s="490">
        <f t="shared" si="140"/>
        <v>111.63</v>
      </c>
      <c r="H1447" s="765"/>
      <c r="I1447" s="766"/>
      <c r="J1447" s="766"/>
      <c r="K1447" s="767"/>
      <c r="L1447" s="752"/>
      <c r="M1447" s="20"/>
      <c r="N1447" s="20"/>
      <c r="O1447" s="20"/>
      <c r="P1447" s="20"/>
      <c r="Q1447" s="21"/>
      <c r="R1447" s="22"/>
      <c r="S1447" s="22"/>
      <c r="T1447" s="20"/>
      <c r="U1447" s="20"/>
      <c r="V1447" s="20"/>
    </row>
    <row r="1448" spans="1:22" ht="13.5" customHeight="1">
      <c r="A1448" s="3" t="s">
        <v>1738</v>
      </c>
      <c r="B1448" s="3" t="s">
        <v>16</v>
      </c>
      <c r="C1448" s="3" t="s">
        <v>16</v>
      </c>
      <c r="D1448" s="3" t="s">
        <v>16</v>
      </c>
      <c r="E1448" s="3" t="s">
        <v>16</v>
      </c>
      <c r="F1448" s="3" t="s">
        <v>16</v>
      </c>
      <c r="G1448" s="490">
        <v>1</v>
      </c>
      <c r="H1448" s="753" t="s">
        <v>1745</v>
      </c>
      <c r="I1448" s="754"/>
      <c r="J1448" s="754"/>
      <c r="K1448" s="755"/>
      <c r="L1448" s="752"/>
      <c r="M1448" s="20"/>
      <c r="N1448" s="20"/>
      <c r="O1448" s="20"/>
      <c r="P1448" s="20"/>
      <c r="Q1448" s="21"/>
      <c r="R1448" s="22" t="s">
        <v>16</v>
      </c>
      <c r="S1448" s="22" t="s">
        <v>16</v>
      </c>
      <c r="T1448" s="20"/>
      <c r="U1448" s="20"/>
      <c r="V1448" s="20"/>
    </row>
    <row r="1449" spans="1:22" ht="12.75" customHeight="1">
      <c r="A1449" s="3" t="s">
        <v>1739</v>
      </c>
      <c r="B1449" s="3" t="s">
        <v>16</v>
      </c>
      <c r="C1449" s="3" t="s">
        <v>16</v>
      </c>
      <c r="D1449" s="3" t="s">
        <v>16</v>
      </c>
      <c r="E1449" s="3" t="s">
        <v>16</v>
      </c>
      <c r="F1449" s="3" t="s">
        <v>16</v>
      </c>
      <c r="G1449" s="490">
        <v>2</v>
      </c>
      <c r="H1449" s="756"/>
      <c r="I1449" s="757"/>
      <c r="J1449" s="757"/>
      <c r="K1449" s="758"/>
      <c r="L1449" s="752"/>
      <c r="M1449" s="20"/>
      <c r="N1449" s="20"/>
      <c r="O1449" s="20"/>
      <c r="P1449" s="20"/>
      <c r="Q1449" s="21"/>
      <c r="R1449" s="22" t="s">
        <v>16</v>
      </c>
      <c r="S1449" s="22" t="s">
        <v>16</v>
      </c>
      <c r="T1449" s="20"/>
      <c r="U1449" s="20"/>
      <c r="V1449" s="20"/>
    </row>
    <row r="1450" spans="1:22" ht="12.75" customHeight="1">
      <c r="A1450" s="3" t="s">
        <v>1740</v>
      </c>
      <c r="B1450" s="3" t="s">
        <v>16</v>
      </c>
      <c r="C1450" s="3" t="s">
        <v>16</v>
      </c>
      <c r="D1450" s="3" t="s">
        <v>16</v>
      </c>
      <c r="E1450" s="3" t="s">
        <v>16</v>
      </c>
      <c r="F1450" s="3" t="s">
        <v>16</v>
      </c>
      <c r="G1450" s="490">
        <v>3</v>
      </c>
      <c r="H1450" s="756"/>
      <c r="I1450" s="757"/>
      <c r="J1450" s="757"/>
      <c r="K1450" s="758"/>
      <c r="L1450" s="752"/>
      <c r="M1450" s="20"/>
      <c r="N1450" s="20"/>
      <c r="O1450" s="20"/>
      <c r="P1450" s="20"/>
      <c r="Q1450" s="21"/>
      <c r="R1450" s="22" t="s">
        <v>16</v>
      </c>
      <c r="S1450" s="22" t="s">
        <v>16</v>
      </c>
      <c r="T1450" s="20"/>
      <c r="U1450" s="20"/>
      <c r="V1450" s="20"/>
    </row>
    <row r="1451" spans="1:22" ht="12.75" customHeight="1">
      <c r="A1451" s="3" t="s">
        <v>1741</v>
      </c>
      <c r="B1451" s="3" t="s">
        <v>16</v>
      </c>
      <c r="C1451" s="3" t="s">
        <v>16</v>
      </c>
      <c r="D1451" s="3" t="s">
        <v>16</v>
      </c>
      <c r="E1451" s="3" t="s">
        <v>16</v>
      </c>
      <c r="F1451" s="3" t="s">
        <v>16</v>
      </c>
      <c r="G1451" s="490">
        <v>6</v>
      </c>
      <c r="H1451" s="756"/>
      <c r="I1451" s="757"/>
      <c r="J1451" s="757"/>
      <c r="K1451" s="758"/>
      <c r="L1451" s="752"/>
      <c r="M1451" s="20"/>
      <c r="N1451" s="20"/>
      <c r="O1451" s="20"/>
      <c r="P1451" s="20"/>
      <c r="Q1451" s="21"/>
      <c r="R1451" s="22" t="s">
        <v>16</v>
      </c>
      <c r="S1451" s="22" t="s">
        <v>16</v>
      </c>
      <c r="T1451" s="20"/>
      <c r="U1451" s="20"/>
      <c r="V1451" s="20"/>
    </row>
    <row r="1452" spans="1:22" ht="12.75" customHeight="1">
      <c r="A1452" s="306" t="s">
        <v>1742</v>
      </c>
      <c r="B1452" s="3" t="s">
        <v>16</v>
      </c>
      <c r="C1452" s="3" t="s">
        <v>16</v>
      </c>
      <c r="D1452" s="3" t="s">
        <v>16</v>
      </c>
      <c r="E1452" s="3" t="s">
        <v>16</v>
      </c>
      <c r="F1452" s="3" t="s">
        <v>16</v>
      </c>
      <c r="G1452" s="490">
        <v>13</v>
      </c>
      <c r="H1452" s="756"/>
      <c r="I1452" s="757"/>
      <c r="J1452" s="757"/>
      <c r="K1452" s="758"/>
      <c r="L1452" s="752"/>
      <c r="M1452" s="20"/>
      <c r="N1452" s="20"/>
      <c r="O1452" s="20"/>
      <c r="P1452" s="20"/>
      <c r="Q1452" s="21"/>
      <c r="R1452" s="22" t="s">
        <v>16</v>
      </c>
      <c r="S1452" s="22" t="s">
        <v>16</v>
      </c>
      <c r="T1452" s="20"/>
      <c r="U1452" s="20"/>
      <c r="V1452" s="20"/>
    </row>
    <row r="1453" spans="1:22" ht="12.75" customHeight="1">
      <c r="A1453" s="306" t="s">
        <v>1743</v>
      </c>
      <c r="B1453" s="3" t="s">
        <v>16</v>
      </c>
      <c r="C1453" s="3" t="s">
        <v>16</v>
      </c>
      <c r="D1453" s="3" t="s">
        <v>16</v>
      </c>
      <c r="E1453" s="3" t="s">
        <v>16</v>
      </c>
      <c r="F1453" s="3" t="s">
        <v>16</v>
      </c>
      <c r="G1453" s="490">
        <v>19</v>
      </c>
      <c r="H1453" s="756"/>
      <c r="I1453" s="757"/>
      <c r="J1453" s="757"/>
      <c r="K1453" s="758"/>
      <c r="L1453" s="752"/>
      <c r="M1453" s="20"/>
      <c r="N1453" s="20"/>
      <c r="O1453" s="20"/>
      <c r="P1453" s="20"/>
      <c r="Q1453" s="21"/>
      <c r="R1453" s="22" t="s">
        <v>16</v>
      </c>
      <c r="S1453" s="22" t="s">
        <v>16</v>
      </c>
      <c r="T1453" s="20"/>
      <c r="U1453" s="20"/>
      <c r="V1453" s="20"/>
    </row>
    <row r="1454" spans="1:22" ht="12.75" customHeight="1">
      <c r="A1454" s="306" t="s">
        <v>1744</v>
      </c>
      <c r="B1454" s="3" t="s">
        <v>16</v>
      </c>
      <c r="C1454" s="3" t="s">
        <v>16</v>
      </c>
      <c r="D1454" s="3" t="s">
        <v>16</v>
      </c>
      <c r="E1454" s="3" t="s">
        <v>16</v>
      </c>
      <c r="F1454" s="3" t="s">
        <v>16</v>
      </c>
      <c r="G1454" s="490">
        <v>25</v>
      </c>
      <c r="H1454" s="756"/>
      <c r="I1454" s="757"/>
      <c r="J1454" s="757"/>
      <c r="K1454" s="758"/>
      <c r="L1454" s="752"/>
      <c r="M1454" s="20"/>
      <c r="N1454" s="20"/>
      <c r="O1454" s="20"/>
      <c r="P1454" s="20"/>
      <c r="Q1454" s="21"/>
      <c r="R1454" s="22" t="s">
        <v>16</v>
      </c>
      <c r="S1454" s="22" t="s">
        <v>16</v>
      </c>
      <c r="T1454" s="20"/>
      <c r="U1454" s="20"/>
      <c r="V1454" s="20"/>
    </row>
    <row r="1455" spans="1:22" ht="12.75" customHeight="1">
      <c r="A1455" s="306" t="s">
        <v>1754</v>
      </c>
      <c r="B1455" s="3" t="s">
        <v>16</v>
      </c>
      <c r="C1455" s="3" t="s">
        <v>16</v>
      </c>
      <c r="D1455" s="3" t="s">
        <v>16</v>
      </c>
      <c r="E1455" s="3" t="s">
        <v>16</v>
      </c>
      <c r="F1455" s="3" t="s">
        <v>16</v>
      </c>
      <c r="G1455" s="490">
        <v>38</v>
      </c>
      <c r="H1455" s="756"/>
      <c r="I1455" s="757"/>
      <c r="J1455" s="757"/>
      <c r="K1455" s="758"/>
      <c r="L1455" s="752"/>
      <c r="M1455" s="20"/>
      <c r="N1455" s="20"/>
      <c r="O1455" s="20"/>
      <c r="P1455" s="20"/>
      <c r="Q1455" s="21"/>
      <c r="R1455" s="22" t="s">
        <v>16</v>
      </c>
      <c r="S1455" s="22" t="s">
        <v>16</v>
      </c>
      <c r="T1455" s="20"/>
      <c r="U1455" s="20"/>
      <c r="V1455" s="20"/>
    </row>
    <row r="1456" spans="1:22" ht="12.75" customHeight="1" thickBot="1">
      <c r="A1456" s="306" t="s">
        <v>1755</v>
      </c>
      <c r="B1456" s="3" t="s">
        <v>16</v>
      </c>
      <c r="C1456" s="3" t="s">
        <v>16</v>
      </c>
      <c r="D1456" s="3" t="s">
        <v>16</v>
      </c>
      <c r="E1456" s="3" t="s">
        <v>16</v>
      </c>
      <c r="F1456" s="3" t="s">
        <v>16</v>
      </c>
      <c r="G1456" s="490">
        <v>50</v>
      </c>
      <c r="H1456" s="756"/>
      <c r="I1456" s="757"/>
      <c r="J1456" s="757"/>
      <c r="K1456" s="758"/>
      <c r="L1456" s="752"/>
      <c r="M1456" s="20"/>
      <c r="N1456" s="20"/>
      <c r="O1456" s="20"/>
      <c r="P1456" s="20"/>
      <c r="Q1456" s="21"/>
      <c r="R1456" s="22" t="s">
        <v>16</v>
      </c>
      <c r="S1456" s="22" t="s">
        <v>16</v>
      </c>
      <c r="T1456" s="20"/>
      <c r="U1456" s="20"/>
      <c r="V1456" s="20"/>
    </row>
    <row r="1457" spans="1:22" ht="25.2" thickBot="1">
      <c r="A1457" s="64" t="s">
        <v>654</v>
      </c>
      <c r="B1457" s="94"/>
      <c r="C1457" s="94"/>
      <c r="D1457" s="94"/>
      <c r="E1457" s="94"/>
      <c r="F1457" s="94"/>
      <c r="G1457" s="106"/>
      <c r="H1457" s="95"/>
      <c r="I1457" s="95"/>
      <c r="J1457" s="95"/>
      <c r="K1457" s="95"/>
      <c r="L1457" s="95"/>
      <c r="M1457" s="95"/>
      <c r="N1457" s="95"/>
      <c r="O1457" s="95"/>
      <c r="P1457" s="95"/>
      <c r="Q1457" s="96"/>
      <c r="R1457" s="22"/>
      <c r="S1457" s="22"/>
      <c r="T1457" s="20"/>
      <c r="U1457" s="20"/>
      <c r="V1457" s="20"/>
    </row>
    <row r="1458" spans="1:22">
      <c r="B1458" s="3"/>
      <c r="C1458" s="3"/>
      <c r="D1458" s="3"/>
      <c r="E1458" s="3"/>
      <c r="F1458" s="3"/>
      <c r="G1458" s="21"/>
      <c r="H1458" s="20"/>
      <c r="I1458" s="20"/>
      <c r="J1458" s="20"/>
      <c r="K1458" s="20"/>
      <c r="L1458" s="20"/>
      <c r="M1458" s="20"/>
      <c r="N1458" s="20"/>
      <c r="O1458" s="20"/>
      <c r="P1458" s="20"/>
      <c r="Q1458" s="21"/>
      <c r="R1458" s="22"/>
      <c r="S1458" s="22"/>
      <c r="T1458" s="20"/>
      <c r="U1458" s="20"/>
      <c r="V1458" s="20"/>
    </row>
    <row r="1459" spans="1:22">
      <c r="A1459" s="306" t="s">
        <v>1841</v>
      </c>
      <c r="B1459" s="3" t="s">
        <v>16</v>
      </c>
      <c r="C1459" s="3" t="s">
        <v>16</v>
      </c>
      <c r="D1459" s="3" t="s">
        <v>16</v>
      </c>
      <c r="E1459" s="3" t="s">
        <v>16</v>
      </c>
      <c r="F1459" s="3" t="s">
        <v>16</v>
      </c>
      <c r="G1459" s="21">
        <v>1</v>
      </c>
      <c r="H1459" s="20" t="s">
        <v>16</v>
      </c>
      <c r="I1459" s="20" t="s">
        <v>16</v>
      </c>
      <c r="J1459" s="20" t="s">
        <v>16</v>
      </c>
      <c r="K1459" s="20"/>
      <c r="L1459" s="20"/>
      <c r="M1459" s="20"/>
      <c r="N1459" s="20"/>
      <c r="O1459" s="20"/>
      <c r="P1459" s="20"/>
      <c r="Q1459" s="24"/>
      <c r="R1459" s="22" t="s">
        <v>16</v>
      </c>
      <c r="S1459" s="22" t="s">
        <v>16</v>
      </c>
      <c r="T1459" s="20"/>
      <c r="U1459" s="20"/>
      <c r="V1459" s="20"/>
    </row>
    <row r="1460" spans="1:22" ht="13.8" thickBot="1">
      <c r="B1460" s="3"/>
      <c r="C1460" s="3"/>
      <c r="D1460" s="3"/>
      <c r="E1460" s="3"/>
      <c r="F1460" s="3"/>
      <c r="G1460" s="21"/>
      <c r="H1460" s="20"/>
      <c r="I1460" s="20"/>
      <c r="J1460" s="20"/>
      <c r="K1460" s="20"/>
      <c r="L1460" s="20"/>
      <c r="M1460" s="20"/>
      <c r="N1460" s="20"/>
      <c r="O1460" s="20"/>
      <c r="P1460" s="20"/>
      <c r="Q1460" s="21"/>
      <c r="R1460" s="22"/>
      <c r="S1460" s="22"/>
      <c r="T1460" s="20"/>
      <c r="U1460" s="20"/>
      <c r="V1460" s="20"/>
    </row>
    <row r="1461" spans="1:22" ht="25.2" thickBot="1">
      <c r="A1461" s="64" t="s">
        <v>655</v>
      </c>
      <c r="B1461" s="94"/>
      <c r="C1461" s="94"/>
      <c r="D1461" s="94"/>
      <c r="E1461" s="94"/>
      <c r="F1461" s="94"/>
      <c r="G1461" s="106"/>
      <c r="H1461" s="95"/>
      <c r="I1461" s="95"/>
      <c r="J1461" s="95"/>
      <c r="K1461" s="95"/>
      <c r="L1461" s="99"/>
      <c r="M1461" s="20"/>
      <c r="N1461" s="20"/>
      <c r="O1461" s="20"/>
      <c r="P1461" s="20"/>
      <c r="Q1461" s="24"/>
      <c r="R1461" s="22"/>
      <c r="S1461" s="22"/>
      <c r="T1461" s="20"/>
      <c r="U1461" s="20"/>
      <c r="V1461" s="20"/>
    </row>
    <row r="1462" spans="1:22">
      <c r="A1462" s="3" t="s">
        <v>117</v>
      </c>
      <c r="B1462" s="3" t="s">
        <v>16</v>
      </c>
      <c r="C1462" s="3" t="s">
        <v>16</v>
      </c>
      <c r="D1462" s="3" t="s">
        <v>16</v>
      </c>
      <c r="E1462" s="3" t="s">
        <v>16</v>
      </c>
      <c r="F1462" s="3" t="s">
        <v>16</v>
      </c>
      <c r="G1462" s="21">
        <v>1</v>
      </c>
      <c r="H1462" s="20" t="s">
        <v>16</v>
      </c>
      <c r="I1462" s="20" t="s">
        <v>16</v>
      </c>
      <c r="J1462" s="20" t="s">
        <v>16</v>
      </c>
      <c r="M1462" s="20"/>
      <c r="N1462" s="20"/>
      <c r="O1462" s="20"/>
      <c r="P1462" s="20"/>
      <c r="Q1462" s="24"/>
    </row>
    <row r="1463" spans="1:22" ht="13.8" thickBot="1">
      <c r="A1463" s="3" t="s">
        <v>118</v>
      </c>
      <c r="B1463" s="3" t="s">
        <v>16</v>
      </c>
      <c r="C1463" s="3" t="s">
        <v>16</v>
      </c>
      <c r="D1463" s="3" t="s">
        <v>16</v>
      </c>
      <c r="E1463" s="3" t="s">
        <v>16</v>
      </c>
      <c r="F1463" s="3" t="s">
        <v>16</v>
      </c>
      <c r="G1463" s="21">
        <v>1</v>
      </c>
      <c r="H1463" s="20" t="s">
        <v>16</v>
      </c>
      <c r="I1463" s="20" t="s">
        <v>16</v>
      </c>
      <c r="J1463" s="20" t="s">
        <v>16</v>
      </c>
      <c r="M1463" s="20"/>
      <c r="N1463" s="20"/>
      <c r="O1463" s="20"/>
      <c r="P1463" s="20"/>
      <c r="Q1463" s="24"/>
    </row>
    <row r="1464" spans="1:22" ht="25.2" thickBot="1">
      <c r="A1464" s="64" t="s">
        <v>788</v>
      </c>
      <c r="B1464" s="94"/>
      <c r="C1464" s="94"/>
      <c r="D1464" s="94"/>
      <c r="E1464" s="94"/>
      <c r="F1464" s="94"/>
      <c r="G1464" s="106"/>
      <c r="H1464" s="95"/>
      <c r="I1464" s="95"/>
      <c r="J1464" s="95"/>
      <c r="K1464" s="95"/>
      <c r="L1464" s="99"/>
      <c r="M1464" s="20"/>
      <c r="N1464" s="20"/>
      <c r="O1464" s="20"/>
      <c r="P1464" s="20"/>
      <c r="Q1464" s="24"/>
      <c r="R1464" s="22"/>
      <c r="S1464" s="22"/>
      <c r="T1464" s="20"/>
      <c r="U1464" s="20"/>
      <c r="V1464" s="20"/>
    </row>
    <row r="1465" spans="1:22">
      <c r="A1465" s="35" t="s">
        <v>300</v>
      </c>
      <c r="B1465" s="36">
        <v>81673</v>
      </c>
      <c r="C1465" s="36"/>
      <c r="D1465" s="36" t="s">
        <v>318</v>
      </c>
      <c r="E1465" s="36"/>
      <c r="F1465" s="36"/>
      <c r="G1465" s="107">
        <v>9.2170000000000005</v>
      </c>
      <c r="H1465" s="37"/>
      <c r="I1465" s="37"/>
      <c r="J1465" s="37"/>
      <c r="K1465" s="38"/>
      <c r="L1465" s="787" t="s">
        <v>380</v>
      </c>
    </row>
    <row r="1466" spans="1:22">
      <c r="A1466" s="39" t="s">
        <v>301</v>
      </c>
      <c r="B1466" s="32">
        <v>81674</v>
      </c>
      <c r="C1466" s="32"/>
      <c r="D1466" s="32" t="s">
        <v>319</v>
      </c>
      <c r="E1466" s="32"/>
      <c r="F1466" s="32"/>
      <c r="G1466" s="108">
        <v>8.9440000000000008</v>
      </c>
      <c r="H1466" s="40"/>
      <c r="I1466" s="40"/>
      <c r="J1466" s="40"/>
      <c r="K1466" s="41"/>
      <c r="L1466" s="788"/>
    </row>
    <row r="1467" spans="1:22">
      <c r="A1467" s="39" t="s">
        <v>302</v>
      </c>
      <c r="B1467" s="32">
        <v>81675</v>
      </c>
      <c r="C1467" s="32"/>
      <c r="D1467" s="32" t="s">
        <v>320</v>
      </c>
      <c r="E1467" s="32"/>
      <c r="F1467" s="32"/>
      <c r="G1467" s="108">
        <v>8.6479999999999997</v>
      </c>
      <c r="H1467" s="40"/>
      <c r="I1467" s="40"/>
      <c r="J1467" s="40"/>
      <c r="K1467" s="41"/>
      <c r="L1467" s="788"/>
    </row>
    <row r="1468" spans="1:22">
      <c r="A1468" s="39" t="s">
        <v>303</v>
      </c>
      <c r="B1468" s="32">
        <v>81676</v>
      </c>
      <c r="C1468" s="32"/>
      <c r="D1468" s="32" t="s">
        <v>321</v>
      </c>
      <c r="E1468" s="32"/>
      <c r="F1468" s="32"/>
      <c r="G1468" s="108">
        <v>8.3279999999999994</v>
      </c>
      <c r="H1468" s="40"/>
      <c r="I1468" s="40"/>
      <c r="J1468" s="40"/>
      <c r="K1468" s="41"/>
      <c r="L1468" s="788"/>
    </row>
    <row r="1469" spans="1:22">
      <c r="A1469" s="39" t="s">
        <v>309</v>
      </c>
      <c r="B1469" s="32">
        <v>81677</v>
      </c>
      <c r="C1469" s="32"/>
      <c r="D1469" s="32" t="s">
        <v>327</v>
      </c>
      <c r="E1469" s="32"/>
      <c r="F1469" s="32"/>
      <c r="G1469" s="108">
        <v>11.834</v>
      </c>
      <c r="H1469" s="40"/>
      <c r="I1469" s="40"/>
      <c r="J1469" s="40"/>
      <c r="K1469" s="41"/>
      <c r="L1469" s="788"/>
    </row>
    <row r="1470" spans="1:22">
      <c r="A1470" s="39" t="s">
        <v>312</v>
      </c>
      <c r="B1470" s="32">
        <v>81678</v>
      </c>
      <c r="C1470" s="32"/>
      <c r="D1470" s="32" t="s">
        <v>330</v>
      </c>
      <c r="E1470" s="32"/>
      <c r="F1470" s="32"/>
      <c r="G1470" s="108">
        <v>10.645</v>
      </c>
      <c r="H1470" s="40"/>
      <c r="I1470" s="40"/>
      <c r="J1470" s="40"/>
      <c r="K1470" s="41"/>
      <c r="L1470" s="788"/>
    </row>
    <row r="1471" spans="1:22">
      <c r="A1471" s="39" t="s">
        <v>314</v>
      </c>
      <c r="B1471" s="32">
        <v>81679</v>
      </c>
      <c r="C1471" s="32"/>
      <c r="D1471" s="32" t="s">
        <v>332</v>
      </c>
      <c r="E1471" s="32"/>
      <c r="F1471" s="32"/>
      <c r="G1471" s="108">
        <v>9.7479999999999993</v>
      </c>
      <c r="H1471" s="40"/>
      <c r="I1471" s="40"/>
      <c r="J1471" s="40"/>
      <c r="K1471" s="41"/>
      <c r="L1471" s="788"/>
    </row>
    <row r="1472" spans="1:22">
      <c r="A1472" s="39" t="s">
        <v>353</v>
      </c>
      <c r="B1472" s="32">
        <v>81680</v>
      </c>
      <c r="C1472" s="32"/>
      <c r="D1472" s="32" t="s">
        <v>336</v>
      </c>
      <c r="E1472" s="32"/>
      <c r="F1472" s="32"/>
      <c r="G1472" s="108">
        <v>19.28</v>
      </c>
      <c r="H1472" s="40"/>
      <c r="I1472" s="40"/>
      <c r="J1472" s="40"/>
      <c r="K1472" s="41"/>
      <c r="L1472" s="788"/>
    </row>
    <row r="1473" spans="1:12">
      <c r="A1473" s="39" t="s">
        <v>354</v>
      </c>
      <c r="B1473" s="32">
        <v>81681</v>
      </c>
      <c r="C1473" s="32"/>
      <c r="D1473" s="32" t="s">
        <v>337</v>
      </c>
      <c r="E1473" s="32"/>
      <c r="F1473" s="32"/>
      <c r="G1473" s="108">
        <v>18.991</v>
      </c>
      <c r="H1473" s="40"/>
      <c r="I1473" s="40"/>
      <c r="J1473" s="40"/>
      <c r="K1473" s="41"/>
      <c r="L1473" s="788"/>
    </row>
    <row r="1474" spans="1:12">
      <c r="A1474" s="39" t="s">
        <v>355</v>
      </c>
      <c r="B1474" s="32">
        <v>81682</v>
      </c>
      <c r="C1474" s="32"/>
      <c r="D1474" s="32" t="s">
        <v>338</v>
      </c>
      <c r="E1474" s="32"/>
      <c r="F1474" s="32"/>
      <c r="G1474" s="108">
        <v>18.677</v>
      </c>
      <c r="H1474" s="40"/>
      <c r="I1474" s="40"/>
      <c r="J1474" s="40"/>
      <c r="K1474" s="41"/>
      <c r="L1474" s="788"/>
    </row>
    <row r="1475" spans="1:12">
      <c r="A1475" s="39" t="s">
        <v>356</v>
      </c>
      <c r="B1475" s="32">
        <v>81683</v>
      </c>
      <c r="C1475" s="32"/>
      <c r="D1475" s="32" t="s">
        <v>339</v>
      </c>
      <c r="E1475" s="32"/>
      <c r="F1475" s="32"/>
      <c r="G1475" s="108">
        <v>18.338000000000001</v>
      </c>
      <c r="H1475" s="40"/>
      <c r="I1475" s="40"/>
      <c r="J1475" s="40"/>
      <c r="K1475" s="41"/>
      <c r="L1475" s="788"/>
    </row>
    <row r="1476" spans="1:12">
      <c r="A1476" s="39" t="s">
        <v>362</v>
      </c>
      <c r="B1476" s="32">
        <v>81684</v>
      </c>
      <c r="C1476" s="32"/>
      <c r="D1476" s="32" t="s">
        <v>345</v>
      </c>
      <c r="E1476" s="32"/>
      <c r="F1476" s="32"/>
      <c r="G1476" s="108">
        <v>23.437999999999999</v>
      </c>
      <c r="H1476" s="40"/>
      <c r="I1476" s="40"/>
      <c r="J1476" s="40"/>
      <c r="K1476" s="41"/>
      <c r="L1476" s="788"/>
    </row>
    <row r="1477" spans="1:12">
      <c r="A1477" s="39" t="s">
        <v>365</v>
      </c>
      <c r="B1477" s="32">
        <v>81685</v>
      </c>
      <c r="C1477" s="32"/>
      <c r="D1477" s="32" t="s">
        <v>348</v>
      </c>
      <c r="E1477" s="32"/>
      <c r="F1477" s="32"/>
      <c r="G1477" s="108">
        <v>22.193999999999999</v>
      </c>
      <c r="H1477" s="40"/>
      <c r="I1477" s="40"/>
      <c r="J1477" s="40"/>
      <c r="K1477" s="41"/>
      <c r="L1477" s="788"/>
    </row>
    <row r="1478" spans="1:12">
      <c r="A1478" s="39" t="s">
        <v>367</v>
      </c>
      <c r="B1478" s="32">
        <v>81686</v>
      </c>
      <c r="C1478" s="32"/>
      <c r="D1478" s="32" t="s">
        <v>350</v>
      </c>
      <c r="E1478" s="32"/>
      <c r="F1478" s="32"/>
      <c r="G1478" s="108">
        <v>21.239000000000001</v>
      </c>
      <c r="H1478" s="40"/>
      <c r="I1478" s="40"/>
      <c r="J1478" s="40"/>
      <c r="K1478" s="41"/>
      <c r="L1478" s="788"/>
    </row>
    <row r="1479" spans="1:12">
      <c r="A1479" s="39" t="s">
        <v>361</v>
      </c>
      <c r="B1479" s="32">
        <v>2995</v>
      </c>
      <c r="C1479" s="32"/>
      <c r="D1479" s="32" t="s">
        <v>344</v>
      </c>
      <c r="E1479" s="32"/>
      <c r="F1479" s="32"/>
      <c r="G1479" s="108">
        <v>23.803000000000001</v>
      </c>
      <c r="H1479" s="40"/>
      <c r="I1479" s="40"/>
      <c r="J1479" s="40"/>
      <c r="K1479" s="41"/>
      <c r="L1479" s="788"/>
    </row>
    <row r="1480" spans="1:12">
      <c r="A1480" s="39" t="s">
        <v>363</v>
      </c>
      <c r="B1480" s="32">
        <v>3003</v>
      </c>
      <c r="C1480" s="32"/>
      <c r="D1480" s="32" t="s">
        <v>346</v>
      </c>
      <c r="E1480" s="32"/>
      <c r="F1480" s="32"/>
      <c r="G1480" s="108">
        <v>23.048999999999999</v>
      </c>
      <c r="H1480" s="40"/>
      <c r="I1480" s="40"/>
      <c r="J1480" s="40"/>
      <c r="K1480" s="41"/>
      <c r="L1480" s="788"/>
    </row>
    <row r="1481" spans="1:12">
      <c r="A1481" s="39" t="s">
        <v>369</v>
      </c>
      <c r="B1481" s="32">
        <v>3149</v>
      </c>
      <c r="C1481" s="32"/>
      <c r="D1481" s="32" t="s">
        <v>352</v>
      </c>
      <c r="E1481" s="32"/>
      <c r="F1481" s="32"/>
      <c r="G1481" s="108">
        <v>20.183</v>
      </c>
      <c r="H1481" s="40"/>
      <c r="I1481" s="40"/>
      <c r="J1481" s="40"/>
      <c r="K1481" s="41"/>
      <c r="L1481" s="788"/>
    </row>
    <row r="1482" spans="1:12">
      <c r="A1482" s="39" t="s">
        <v>308</v>
      </c>
      <c r="B1482" s="32">
        <v>3005</v>
      </c>
      <c r="C1482" s="32"/>
      <c r="D1482" s="32" t="s">
        <v>326</v>
      </c>
      <c r="E1482" s="32"/>
      <c r="F1482" s="32"/>
      <c r="G1482" s="108">
        <v>12.178000000000001</v>
      </c>
      <c r="H1482" s="40"/>
      <c r="I1482" s="40"/>
      <c r="J1482" s="40"/>
      <c r="K1482" s="41"/>
      <c r="L1482" s="788"/>
    </row>
    <row r="1483" spans="1:12">
      <c r="A1483" s="39" t="s">
        <v>310</v>
      </c>
      <c r="B1483" s="32">
        <v>3006</v>
      </c>
      <c r="C1483" s="32"/>
      <c r="D1483" s="32" t="s">
        <v>328</v>
      </c>
      <c r="E1483" s="32"/>
      <c r="F1483" s="32"/>
      <c r="G1483" s="108">
        <v>11.465999999999999</v>
      </c>
      <c r="H1483" s="40"/>
      <c r="I1483" s="40"/>
      <c r="J1483" s="40"/>
      <c r="K1483" s="41"/>
      <c r="L1483" s="788"/>
    </row>
    <row r="1484" spans="1:12">
      <c r="A1484" s="39" t="s">
        <v>375</v>
      </c>
      <c r="B1484" s="32">
        <v>36782</v>
      </c>
      <c r="C1484" s="32"/>
      <c r="D1484" s="32" t="s">
        <v>370</v>
      </c>
      <c r="E1484" s="32"/>
      <c r="F1484" s="32"/>
      <c r="G1484" s="108">
        <v>17.236000000000001</v>
      </c>
      <c r="H1484" s="40"/>
      <c r="I1484" s="40"/>
      <c r="J1484" s="40"/>
      <c r="K1484" s="41"/>
      <c r="L1484" s="788"/>
    </row>
    <row r="1485" spans="1:12">
      <c r="A1485" s="39" t="s">
        <v>316</v>
      </c>
      <c r="B1485" s="32">
        <v>3153</v>
      </c>
      <c r="C1485" s="32"/>
      <c r="D1485" s="32" t="s">
        <v>334</v>
      </c>
      <c r="E1485" s="32"/>
      <c r="F1485" s="32"/>
      <c r="G1485" s="108">
        <v>8.7520000000000007</v>
      </c>
      <c r="H1485" s="40"/>
      <c r="I1485" s="40"/>
      <c r="J1485" s="40"/>
      <c r="K1485" s="41"/>
      <c r="L1485" s="788"/>
    </row>
    <row r="1486" spans="1:12">
      <c r="A1486" s="39" t="s">
        <v>376</v>
      </c>
      <c r="B1486" s="32">
        <v>13185</v>
      </c>
      <c r="C1486" s="32"/>
      <c r="D1486" s="32" t="s">
        <v>371</v>
      </c>
      <c r="E1486" s="32"/>
      <c r="F1486" s="32"/>
      <c r="G1486" s="108">
        <v>31.382999999999999</v>
      </c>
      <c r="H1486" s="40"/>
      <c r="I1486" s="40"/>
      <c r="J1486" s="40"/>
      <c r="K1486" s="41"/>
      <c r="L1486" s="788"/>
    </row>
    <row r="1487" spans="1:12">
      <c r="A1487" s="39" t="s">
        <v>306</v>
      </c>
      <c r="B1487" s="32">
        <v>14487</v>
      </c>
      <c r="C1487" s="32"/>
      <c r="D1487" s="32" t="s">
        <v>324</v>
      </c>
      <c r="E1487" s="32"/>
      <c r="F1487" s="32"/>
      <c r="G1487" s="108">
        <v>12.795999999999999</v>
      </c>
      <c r="H1487" s="40"/>
      <c r="I1487" s="40"/>
      <c r="J1487" s="40"/>
      <c r="K1487" s="41"/>
      <c r="L1487" s="788"/>
    </row>
    <row r="1488" spans="1:12">
      <c r="A1488" s="39" t="s">
        <v>359</v>
      </c>
      <c r="B1488" s="32">
        <v>14488</v>
      </c>
      <c r="C1488" s="32"/>
      <c r="D1488" s="32" t="s">
        <v>342</v>
      </c>
      <c r="E1488" s="32"/>
      <c r="F1488" s="32"/>
      <c r="G1488" s="108">
        <v>25.265000000000001</v>
      </c>
      <c r="H1488" s="40"/>
      <c r="I1488" s="40"/>
      <c r="J1488" s="40"/>
      <c r="K1488" s="41"/>
      <c r="L1488" s="788"/>
    </row>
    <row r="1489" spans="1:12">
      <c r="A1489" s="39" t="s">
        <v>307</v>
      </c>
      <c r="B1489" s="32">
        <v>14493</v>
      </c>
      <c r="C1489" s="32"/>
      <c r="D1489" s="32" t="s">
        <v>325</v>
      </c>
      <c r="E1489" s="32"/>
      <c r="F1489" s="32"/>
      <c r="G1489" s="108">
        <v>12.513</v>
      </c>
      <c r="H1489" s="40"/>
      <c r="I1489" s="40"/>
      <c r="J1489" s="40"/>
      <c r="K1489" s="41"/>
      <c r="L1489" s="788"/>
    </row>
    <row r="1490" spans="1:12">
      <c r="A1490" s="39" t="s">
        <v>360</v>
      </c>
      <c r="B1490" s="32">
        <v>14494</v>
      </c>
      <c r="C1490" s="32"/>
      <c r="D1490" s="32" t="s">
        <v>343</v>
      </c>
      <c r="E1490" s="32"/>
      <c r="F1490" s="32"/>
      <c r="G1490" s="108">
        <v>24.143000000000001</v>
      </c>
      <c r="H1490" s="40"/>
      <c r="I1490" s="40"/>
      <c r="J1490" s="40"/>
      <c r="K1490" s="41"/>
      <c r="L1490" s="788"/>
    </row>
    <row r="1491" spans="1:12">
      <c r="A1491" s="39" t="s">
        <v>311</v>
      </c>
      <c r="B1491" s="32">
        <v>14495</v>
      </c>
      <c r="C1491" s="32"/>
      <c r="D1491" s="32" t="s">
        <v>329</v>
      </c>
      <c r="E1491" s="32"/>
      <c r="F1491" s="32"/>
      <c r="G1491" s="108">
        <v>11.074999999999999</v>
      </c>
      <c r="H1491" s="40"/>
      <c r="I1491" s="40"/>
      <c r="J1491" s="40"/>
      <c r="K1491" s="41"/>
      <c r="L1491" s="788"/>
    </row>
    <row r="1492" spans="1:12">
      <c r="A1492" s="39" t="s">
        <v>364</v>
      </c>
      <c r="B1492" s="32">
        <v>14496</v>
      </c>
      <c r="C1492" s="32"/>
      <c r="D1492" s="32" t="s">
        <v>347</v>
      </c>
      <c r="E1492" s="32"/>
      <c r="F1492" s="32"/>
      <c r="G1492" s="108">
        <v>22.634</v>
      </c>
      <c r="H1492" s="40"/>
      <c r="I1492" s="40"/>
      <c r="J1492" s="40"/>
      <c r="K1492" s="41"/>
      <c r="L1492" s="788"/>
    </row>
    <row r="1493" spans="1:12">
      <c r="A1493" s="39" t="s">
        <v>379</v>
      </c>
      <c r="B1493" s="32">
        <v>19028</v>
      </c>
      <c r="C1493" s="32"/>
      <c r="D1493" s="32" t="s">
        <v>374</v>
      </c>
      <c r="E1493" s="32"/>
      <c r="F1493" s="32"/>
      <c r="G1493" s="108">
        <v>13.885</v>
      </c>
      <c r="H1493" s="40"/>
      <c r="I1493" s="40"/>
      <c r="J1493" s="40"/>
      <c r="K1493" s="41"/>
      <c r="L1493" s="788"/>
    </row>
    <row r="1494" spans="1:12">
      <c r="A1494" s="39" t="s">
        <v>313</v>
      </c>
      <c r="B1494" s="32">
        <v>19426</v>
      </c>
      <c r="C1494" s="32"/>
      <c r="D1494" s="32" t="s">
        <v>331</v>
      </c>
      <c r="E1494" s="32"/>
      <c r="F1494" s="32"/>
      <c r="G1494" s="108">
        <v>10.221</v>
      </c>
      <c r="H1494" s="40"/>
      <c r="I1494" s="40"/>
      <c r="J1494" s="40"/>
      <c r="K1494" s="41"/>
      <c r="L1494" s="788"/>
    </row>
    <row r="1495" spans="1:12">
      <c r="A1495" s="39" t="s">
        <v>366</v>
      </c>
      <c r="B1495" s="32">
        <v>21463</v>
      </c>
      <c r="C1495" s="32"/>
      <c r="D1495" s="32" t="s">
        <v>349</v>
      </c>
      <c r="E1495" s="32"/>
      <c r="F1495" s="32"/>
      <c r="G1495" s="108">
        <v>21.728999999999999</v>
      </c>
      <c r="H1495" s="40"/>
      <c r="I1495" s="40"/>
      <c r="J1495" s="40"/>
      <c r="K1495" s="41"/>
      <c r="L1495" s="788"/>
    </row>
    <row r="1496" spans="1:12">
      <c r="A1496" s="39" t="s">
        <v>378</v>
      </c>
      <c r="B1496" s="32">
        <v>23359</v>
      </c>
      <c r="C1496" s="32"/>
      <c r="D1496" s="32" t="s">
        <v>373</v>
      </c>
      <c r="E1496" s="32"/>
      <c r="F1496" s="32"/>
      <c r="G1496" s="108">
        <v>20.082000000000001</v>
      </c>
      <c r="H1496" s="40"/>
      <c r="I1496" s="40"/>
      <c r="J1496" s="40"/>
      <c r="K1496" s="41"/>
      <c r="L1496" s="788"/>
    </row>
    <row r="1497" spans="1:12">
      <c r="A1497" s="39" t="s">
        <v>317</v>
      </c>
      <c r="B1497" s="32">
        <v>23766</v>
      </c>
      <c r="C1497" s="32"/>
      <c r="D1497" s="32" t="s">
        <v>335</v>
      </c>
      <c r="E1497" s="32"/>
      <c r="F1497" s="32"/>
      <c r="G1497" s="108">
        <v>6.47</v>
      </c>
      <c r="H1497" s="40"/>
      <c r="I1497" s="40"/>
      <c r="J1497" s="40"/>
      <c r="K1497" s="41"/>
      <c r="L1497" s="788"/>
    </row>
    <row r="1498" spans="1:12">
      <c r="A1498" s="39" t="s">
        <v>304</v>
      </c>
      <c r="B1498" s="32">
        <v>30277</v>
      </c>
      <c r="C1498" s="32"/>
      <c r="D1498" s="32" t="s">
        <v>322</v>
      </c>
      <c r="E1498" s="32"/>
      <c r="F1498" s="32"/>
      <c r="G1498" s="108">
        <v>13.305999999999999</v>
      </c>
      <c r="H1498" s="40"/>
      <c r="I1498" s="40"/>
      <c r="J1498" s="40"/>
      <c r="K1498" s="41"/>
      <c r="L1498" s="788"/>
    </row>
    <row r="1499" spans="1:12">
      <c r="A1499" s="39" t="s">
        <v>357</v>
      </c>
      <c r="B1499" s="32">
        <v>35616</v>
      </c>
      <c r="C1499" s="32"/>
      <c r="D1499" s="32" t="s">
        <v>340</v>
      </c>
      <c r="E1499" s="32"/>
      <c r="F1499" s="32"/>
      <c r="G1499" s="108">
        <v>25.009</v>
      </c>
      <c r="H1499" s="40"/>
      <c r="I1499" s="40"/>
      <c r="J1499" s="40"/>
      <c r="K1499" s="41"/>
      <c r="L1499" s="788"/>
    </row>
    <row r="1500" spans="1:12">
      <c r="A1500" s="39" t="s">
        <v>358</v>
      </c>
      <c r="B1500" s="32">
        <v>35617</v>
      </c>
      <c r="C1500" s="32"/>
      <c r="D1500" s="32" t="s">
        <v>341</v>
      </c>
      <c r="E1500" s="32"/>
      <c r="F1500" s="32"/>
      <c r="G1500" s="108">
        <v>24.745000000000001</v>
      </c>
      <c r="H1500" s="40"/>
      <c r="I1500" s="40"/>
      <c r="J1500" s="40"/>
      <c r="K1500" s="41"/>
      <c r="L1500" s="788"/>
    </row>
    <row r="1501" spans="1:12">
      <c r="A1501" s="39" t="s">
        <v>305</v>
      </c>
      <c r="B1501" s="32">
        <v>35618</v>
      </c>
      <c r="C1501" s="32"/>
      <c r="D1501" s="32" t="s">
        <v>323</v>
      </c>
      <c r="E1501" s="32"/>
      <c r="F1501" s="32"/>
      <c r="G1501" s="108">
        <v>13.058</v>
      </c>
      <c r="H1501" s="40"/>
      <c r="I1501" s="40"/>
      <c r="J1501" s="40"/>
      <c r="K1501" s="41"/>
      <c r="L1501" s="788"/>
    </row>
    <row r="1502" spans="1:12">
      <c r="A1502" s="39" t="s">
        <v>368</v>
      </c>
      <c r="B1502" s="32">
        <v>35619</v>
      </c>
      <c r="C1502" s="32"/>
      <c r="D1502" s="32" t="s">
        <v>351</v>
      </c>
      <c r="E1502" s="32"/>
      <c r="F1502" s="32"/>
      <c r="G1502" s="108">
        <v>20.724</v>
      </c>
      <c r="H1502" s="40"/>
      <c r="I1502" s="40"/>
      <c r="J1502" s="40"/>
      <c r="K1502" s="41"/>
      <c r="L1502" s="788"/>
    </row>
    <row r="1503" spans="1:12">
      <c r="A1503" s="39" t="s">
        <v>315</v>
      </c>
      <c r="B1503" s="32">
        <v>35620</v>
      </c>
      <c r="C1503" s="32"/>
      <c r="D1503" s="32" t="s">
        <v>333</v>
      </c>
      <c r="E1503" s="32"/>
      <c r="F1503" s="32"/>
      <c r="G1503" s="108">
        <v>9.2620000000000005</v>
      </c>
      <c r="H1503" s="40"/>
      <c r="I1503" s="40"/>
      <c r="J1503" s="40"/>
      <c r="K1503" s="41"/>
      <c r="L1503" s="788"/>
    </row>
    <row r="1504" spans="1:12" ht="13.8" thickBot="1">
      <c r="A1504" s="42" t="s">
        <v>377</v>
      </c>
      <c r="B1504" s="43">
        <v>36782</v>
      </c>
      <c r="C1504" s="43"/>
      <c r="D1504" s="43" t="s">
        <v>372</v>
      </c>
      <c r="E1504" s="43"/>
      <c r="F1504" s="43"/>
      <c r="G1504" s="109">
        <v>10.939</v>
      </c>
      <c r="H1504" s="44"/>
      <c r="I1504" s="44"/>
      <c r="J1504" s="44"/>
      <c r="K1504" s="45"/>
      <c r="L1504" s="789"/>
    </row>
    <row r="1505" spans="1:22" ht="25.2" thickBot="1">
      <c r="A1505" s="64" t="s">
        <v>789</v>
      </c>
      <c r="B1505" s="94"/>
      <c r="C1505" s="94"/>
      <c r="D1505" s="94"/>
      <c r="E1505" s="94"/>
      <c r="F1505" s="94"/>
      <c r="G1505" s="106"/>
      <c r="H1505" s="95"/>
      <c r="I1505" s="95"/>
      <c r="J1505" s="95"/>
      <c r="K1505" s="95"/>
      <c r="L1505" s="99"/>
      <c r="M1505" s="20"/>
      <c r="N1505" s="20"/>
      <c r="O1505" s="20"/>
      <c r="P1505" s="20"/>
      <c r="Q1505" s="24"/>
      <c r="R1505" s="22"/>
      <c r="S1505" s="22"/>
      <c r="T1505" s="20"/>
      <c r="U1505" s="20"/>
      <c r="V1505" s="20"/>
    </row>
    <row r="1506" spans="1:22">
      <c r="A1506" s="39" t="s">
        <v>816</v>
      </c>
      <c r="B1506" s="32" t="s">
        <v>855</v>
      </c>
      <c r="C1506" s="32"/>
      <c r="D1506" s="32"/>
      <c r="E1506" s="32"/>
      <c r="F1506" s="32"/>
      <c r="G1506" s="304">
        <v>18.829999999999998</v>
      </c>
      <c r="H1506" s="37"/>
      <c r="I1506" s="37"/>
      <c r="J1506" s="37"/>
      <c r="K1506" s="38"/>
      <c r="L1506" s="787" t="s">
        <v>380</v>
      </c>
    </row>
    <row r="1507" spans="1:22">
      <c r="A1507" s="39" t="s">
        <v>817</v>
      </c>
      <c r="B1507" s="32" t="s">
        <v>856</v>
      </c>
      <c r="C1507" s="32"/>
      <c r="D1507" s="32"/>
      <c r="E1507" s="32"/>
      <c r="F1507" s="32"/>
      <c r="G1507" s="304">
        <v>22.07</v>
      </c>
      <c r="H1507" s="40"/>
      <c r="I1507" s="40"/>
      <c r="J1507" s="40"/>
      <c r="K1507" s="41"/>
      <c r="L1507" s="788"/>
    </row>
    <row r="1508" spans="1:22">
      <c r="A1508" s="39" t="s">
        <v>818</v>
      </c>
      <c r="B1508" s="32" t="s">
        <v>857</v>
      </c>
      <c r="C1508" s="32"/>
      <c r="D1508" s="32"/>
      <c r="E1508" s="32"/>
      <c r="F1508" s="32"/>
      <c r="G1508" s="304">
        <v>17.649999999999999</v>
      </c>
      <c r="H1508" s="40"/>
      <c r="I1508" s="40"/>
      <c r="J1508" s="40"/>
      <c r="K1508" s="41"/>
      <c r="L1508" s="788"/>
    </row>
    <row r="1509" spans="1:22">
      <c r="A1509" s="39" t="s">
        <v>819</v>
      </c>
      <c r="B1509" s="32" t="s">
        <v>858</v>
      </c>
      <c r="C1509" s="32"/>
      <c r="D1509" s="32"/>
      <c r="E1509" s="32"/>
      <c r="F1509" s="32"/>
      <c r="G1509" s="304">
        <v>12.99</v>
      </c>
      <c r="H1509" s="40"/>
      <c r="I1509" s="40"/>
      <c r="J1509" s="40"/>
      <c r="K1509" s="41"/>
      <c r="L1509" s="788"/>
    </row>
    <row r="1510" spans="1:22">
      <c r="A1510" s="39" t="s">
        <v>820</v>
      </c>
      <c r="B1510" s="32" t="s">
        <v>859</v>
      </c>
      <c r="C1510" s="32"/>
      <c r="D1510" s="32"/>
      <c r="E1510" s="32"/>
      <c r="F1510" s="32"/>
      <c r="G1510" s="304">
        <v>25.99</v>
      </c>
      <c r="H1510" s="40"/>
      <c r="I1510" s="40"/>
      <c r="J1510" s="40"/>
      <c r="K1510" s="41"/>
      <c r="L1510" s="788"/>
    </row>
    <row r="1511" spans="1:22">
      <c r="A1511" s="39" t="s">
        <v>821</v>
      </c>
      <c r="B1511" s="32" t="s">
        <v>860</v>
      </c>
      <c r="C1511" s="32"/>
      <c r="D1511" s="32"/>
      <c r="E1511" s="32"/>
      <c r="F1511" s="32"/>
      <c r="G1511" s="304">
        <v>21.66</v>
      </c>
      <c r="H1511" s="40"/>
      <c r="I1511" s="40"/>
      <c r="J1511" s="40"/>
      <c r="K1511" s="41"/>
      <c r="L1511" s="788"/>
    </row>
    <row r="1512" spans="1:22">
      <c r="A1512" s="39" t="s">
        <v>822</v>
      </c>
      <c r="B1512" s="32" t="s">
        <v>861</v>
      </c>
      <c r="C1512" s="32"/>
      <c r="D1512" s="32"/>
      <c r="E1512" s="32"/>
      <c r="F1512" s="32"/>
      <c r="G1512" s="304">
        <v>17.32</v>
      </c>
      <c r="H1512" s="40"/>
      <c r="I1512" s="40"/>
      <c r="J1512" s="40"/>
      <c r="K1512" s="41"/>
      <c r="L1512" s="788"/>
    </row>
    <row r="1513" spans="1:22">
      <c r="A1513" s="39" t="s">
        <v>823</v>
      </c>
      <c r="B1513" s="32" t="s">
        <v>862</v>
      </c>
      <c r="C1513" s="32"/>
      <c r="D1513" s="32"/>
      <c r="E1513" s="32"/>
      <c r="F1513" s="32"/>
      <c r="G1513" s="304">
        <v>12.72</v>
      </c>
      <c r="H1513" s="40"/>
      <c r="I1513" s="40"/>
      <c r="J1513" s="40"/>
      <c r="K1513" s="41"/>
      <c r="L1513" s="788"/>
    </row>
    <row r="1514" spans="1:22">
      <c r="A1514" s="39" t="s">
        <v>824</v>
      </c>
      <c r="B1514" s="32" t="s">
        <v>863</v>
      </c>
      <c r="C1514" s="32"/>
      <c r="D1514" s="32"/>
      <c r="E1514" s="32"/>
      <c r="F1514" s="32"/>
      <c r="G1514" s="304">
        <v>12.27</v>
      </c>
      <c r="H1514" s="40"/>
      <c r="I1514" s="40"/>
      <c r="J1514" s="40"/>
      <c r="K1514" s="41"/>
      <c r="L1514" s="788"/>
    </row>
    <row r="1515" spans="1:22">
      <c r="A1515" s="39" t="s">
        <v>825</v>
      </c>
      <c r="B1515" s="32" t="s">
        <v>864</v>
      </c>
      <c r="C1515" s="32"/>
      <c r="D1515" s="32"/>
      <c r="E1515" s="32"/>
      <c r="F1515" s="32"/>
      <c r="G1515" s="304">
        <v>21.21</v>
      </c>
      <c r="H1515" s="40"/>
      <c r="I1515" s="40"/>
      <c r="J1515" s="40"/>
      <c r="K1515" s="41"/>
      <c r="L1515" s="788"/>
    </row>
    <row r="1516" spans="1:22">
      <c r="A1516" s="39" t="s">
        <v>826</v>
      </c>
      <c r="B1516" s="32" t="s">
        <v>865</v>
      </c>
      <c r="C1516" s="32"/>
      <c r="D1516" s="32"/>
      <c r="E1516" s="32"/>
      <c r="F1516" s="32"/>
      <c r="G1516" s="304">
        <v>16.96</v>
      </c>
      <c r="H1516" s="40"/>
      <c r="I1516" s="40"/>
      <c r="J1516" s="40"/>
      <c r="K1516" s="41"/>
      <c r="L1516" s="788"/>
    </row>
    <row r="1517" spans="1:22">
      <c r="A1517" s="39" t="s">
        <v>790</v>
      </c>
      <c r="B1517" s="32" t="s">
        <v>798</v>
      </c>
      <c r="C1517" s="32"/>
      <c r="D1517" s="32"/>
      <c r="E1517" s="32"/>
      <c r="F1517" s="32"/>
      <c r="G1517" s="304">
        <v>12.42</v>
      </c>
      <c r="H1517" s="40"/>
      <c r="I1517" s="40"/>
      <c r="J1517" s="40"/>
      <c r="K1517" s="41"/>
      <c r="L1517" s="788"/>
    </row>
    <row r="1518" spans="1:22">
      <c r="A1518" s="39" t="s">
        <v>827</v>
      </c>
      <c r="B1518" s="32" t="s">
        <v>866</v>
      </c>
      <c r="C1518" s="32"/>
      <c r="D1518" s="32"/>
      <c r="E1518" s="32"/>
      <c r="F1518" s="32"/>
      <c r="G1518" s="304">
        <v>24.86</v>
      </c>
      <c r="H1518" s="40"/>
      <c r="I1518" s="40"/>
      <c r="J1518" s="40"/>
      <c r="K1518" s="41"/>
      <c r="L1518" s="788"/>
    </row>
    <row r="1519" spans="1:22">
      <c r="A1519" s="39" t="s">
        <v>828</v>
      </c>
      <c r="B1519" s="32" t="s">
        <v>867</v>
      </c>
      <c r="C1519" s="32"/>
      <c r="D1519" s="32"/>
      <c r="E1519" s="32"/>
      <c r="F1519" s="32"/>
      <c r="G1519" s="304">
        <v>20.71</v>
      </c>
      <c r="H1519" s="40"/>
      <c r="I1519" s="40"/>
      <c r="J1519" s="40"/>
      <c r="K1519" s="41"/>
      <c r="L1519" s="788"/>
    </row>
    <row r="1520" spans="1:22">
      <c r="A1520" s="39" t="s">
        <v>829</v>
      </c>
      <c r="B1520" s="32" t="s">
        <v>868</v>
      </c>
      <c r="C1520" s="32"/>
      <c r="D1520" s="32"/>
      <c r="E1520" s="32"/>
      <c r="F1520" s="32"/>
      <c r="G1520" s="304">
        <v>16.57</v>
      </c>
      <c r="H1520" s="40"/>
      <c r="I1520" s="40"/>
      <c r="J1520" s="40"/>
      <c r="K1520" s="41"/>
      <c r="L1520" s="788"/>
    </row>
    <row r="1521" spans="1:12">
      <c r="A1521" s="39" t="s">
        <v>791</v>
      </c>
      <c r="B1521" s="32" t="s">
        <v>799</v>
      </c>
      <c r="C1521" s="32"/>
      <c r="D1521" s="32"/>
      <c r="E1521" s="32"/>
      <c r="F1521" s="32"/>
      <c r="G1521" s="304">
        <v>12.1</v>
      </c>
      <c r="H1521" s="40"/>
      <c r="I1521" s="40"/>
      <c r="J1521" s="40"/>
      <c r="K1521" s="41"/>
      <c r="L1521" s="788"/>
    </row>
    <row r="1522" spans="1:12">
      <c r="A1522" s="39" t="s">
        <v>830</v>
      </c>
      <c r="B1522" s="32" t="s">
        <v>869</v>
      </c>
      <c r="C1522" s="32"/>
      <c r="D1522" s="32"/>
      <c r="E1522" s="32"/>
      <c r="F1522" s="32"/>
      <c r="G1522" s="304">
        <v>24.23</v>
      </c>
      <c r="H1522" s="40"/>
      <c r="I1522" s="40"/>
      <c r="J1522" s="40"/>
      <c r="K1522" s="41"/>
      <c r="L1522" s="788"/>
    </row>
    <row r="1523" spans="1:12">
      <c r="A1523" s="39" t="s">
        <v>831</v>
      </c>
      <c r="B1523" s="32" t="s">
        <v>870</v>
      </c>
      <c r="C1523" s="32"/>
      <c r="D1523" s="32"/>
      <c r="E1523" s="32"/>
      <c r="F1523" s="32"/>
      <c r="G1523" s="304">
        <v>20.18</v>
      </c>
      <c r="H1523" s="40"/>
      <c r="I1523" s="40"/>
      <c r="J1523" s="40"/>
      <c r="K1523" s="41"/>
      <c r="L1523" s="788"/>
    </row>
    <row r="1524" spans="1:12">
      <c r="A1524" s="39" t="s">
        <v>832</v>
      </c>
      <c r="B1524" s="32" t="s">
        <v>871</v>
      </c>
      <c r="C1524" s="32"/>
      <c r="D1524" s="32"/>
      <c r="E1524" s="32"/>
      <c r="F1524" s="32"/>
      <c r="G1524" s="304">
        <v>16.14</v>
      </c>
      <c r="H1524" s="40"/>
      <c r="I1524" s="40"/>
      <c r="J1524" s="40"/>
      <c r="K1524" s="41"/>
      <c r="L1524" s="788"/>
    </row>
    <row r="1525" spans="1:12">
      <c r="A1525" s="39" t="s">
        <v>792</v>
      </c>
      <c r="B1525" s="32" t="s">
        <v>800</v>
      </c>
      <c r="C1525" s="32"/>
      <c r="D1525" s="32"/>
      <c r="E1525" s="32"/>
      <c r="F1525" s="32"/>
      <c r="G1525" s="304">
        <v>11.76</v>
      </c>
      <c r="H1525" s="40"/>
      <c r="I1525" s="40"/>
      <c r="J1525" s="40"/>
      <c r="K1525" s="41"/>
      <c r="L1525" s="788"/>
    </row>
    <row r="1526" spans="1:12">
      <c r="A1526" s="39" t="s">
        <v>833</v>
      </c>
      <c r="B1526" s="32" t="s">
        <v>872</v>
      </c>
      <c r="C1526" s="32"/>
      <c r="D1526" s="32"/>
      <c r="E1526" s="32"/>
      <c r="F1526" s="32"/>
      <c r="G1526" s="304">
        <v>23.54</v>
      </c>
      <c r="H1526" s="40"/>
      <c r="I1526" s="40"/>
      <c r="J1526" s="40"/>
      <c r="K1526" s="41"/>
      <c r="L1526" s="788"/>
    </row>
    <row r="1527" spans="1:12">
      <c r="A1527" s="39" t="s">
        <v>834</v>
      </c>
      <c r="B1527" s="32" t="s">
        <v>873</v>
      </c>
      <c r="C1527" s="32"/>
      <c r="D1527" s="32"/>
      <c r="E1527" s="32"/>
      <c r="F1527" s="32"/>
      <c r="G1527" s="304">
        <v>19.62</v>
      </c>
      <c r="H1527" s="40"/>
      <c r="I1527" s="40"/>
      <c r="J1527" s="40"/>
      <c r="K1527" s="41"/>
      <c r="L1527" s="788"/>
    </row>
    <row r="1528" spans="1:12">
      <c r="A1528" s="39" t="s">
        <v>835</v>
      </c>
      <c r="B1528" s="32" t="s">
        <v>874</v>
      </c>
      <c r="C1528" s="32"/>
      <c r="D1528" s="32"/>
      <c r="E1528" s="32"/>
      <c r="F1528" s="32"/>
      <c r="G1528" s="304">
        <v>15.69</v>
      </c>
      <c r="H1528" s="40"/>
      <c r="I1528" s="40"/>
      <c r="J1528" s="40"/>
      <c r="K1528" s="41"/>
      <c r="L1528" s="788"/>
    </row>
    <row r="1529" spans="1:12">
      <c r="A1529" s="39" t="s">
        <v>793</v>
      </c>
      <c r="B1529" s="32" t="s">
        <v>801</v>
      </c>
      <c r="C1529" s="32"/>
      <c r="D1529" s="32"/>
      <c r="E1529" s="32"/>
      <c r="F1529" s="32"/>
      <c r="G1529" s="304">
        <v>11.4</v>
      </c>
      <c r="H1529" s="40"/>
      <c r="I1529" s="40"/>
      <c r="J1529" s="40"/>
      <c r="K1529" s="41"/>
      <c r="L1529" s="788"/>
    </row>
    <row r="1530" spans="1:12">
      <c r="A1530" s="39" t="s">
        <v>836</v>
      </c>
      <c r="B1530" s="32" t="s">
        <v>875</v>
      </c>
      <c r="C1530" s="32"/>
      <c r="D1530" s="32"/>
      <c r="E1530" s="32"/>
      <c r="F1530" s="32"/>
      <c r="G1530" s="304">
        <v>22.81</v>
      </c>
      <c r="H1530" s="40"/>
      <c r="I1530" s="40"/>
      <c r="J1530" s="40"/>
      <c r="K1530" s="41"/>
      <c r="L1530" s="788"/>
    </row>
    <row r="1531" spans="1:12">
      <c r="A1531" s="39" t="s">
        <v>837</v>
      </c>
      <c r="B1531" s="32" t="s">
        <v>876</v>
      </c>
      <c r="C1531" s="32"/>
      <c r="D1531" s="32"/>
      <c r="E1531" s="32"/>
      <c r="F1531" s="32"/>
      <c r="G1531" s="304">
        <v>19.010000000000002</v>
      </c>
      <c r="H1531" s="40"/>
      <c r="I1531" s="40"/>
      <c r="J1531" s="40"/>
      <c r="K1531" s="41"/>
      <c r="L1531" s="788"/>
    </row>
    <row r="1532" spans="1:12">
      <c r="A1532" s="39" t="s">
        <v>838</v>
      </c>
      <c r="B1532" s="32" t="s">
        <v>877</v>
      </c>
      <c r="C1532" s="32"/>
      <c r="D1532" s="32"/>
      <c r="E1532" s="32"/>
      <c r="F1532" s="32"/>
      <c r="G1532" s="304">
        <v>15.2</v>
      </c>
      <c r="H1532" s="40"/>
      <c r="I1532" s="40"/>
      <c r="J1532" s="40"/>
      <c r="K1532" s="41"/>
      <c r="L1532" s="788"/>
    </row>
    <row r="1533" spans="1:12">
      <c r="A1533" s="39" t="s">
        <v>794</v>
      </c>
      <c r="B1533" s="32" t="s">
        <v>802</v>
      </c>
      <c r="C1533" s="32"/>
      <c r="D1533" s="32"/>
      <c r="E1533" s="32"/>
      <c r="F1533" s="32"/>
      <c r="G1533" s="304">
        <v>11.01</v>
      </c>
      <c r="H1533" s="40"/>
      <c r="I1533" s="40"/>
      <c r="J1533" s="40"/>
      <c r="K1533" s="41"/>
      <c r="L1533" s="788"/>
    </row>
    <row r="1534" spans="1:12">
      <c r="A1534" s="39" t="s">
        <v>839</v>
      </c>
      <c r="B1534" s="32" t="s">
        <v>878</v>
      </c>
      <c r="C1534" s="32"/>
      <c r="D1534" s="32"/>
      <c r="E1534" s="32"/>
      <c r="F1534" s="32"/>
      <c r="G1534" s="304">
        <v>18.36</v>
      </c>
      <c r="H1534" s="40"/>
      <c r="I1534" s="40"/>
      <c r="J1534" s="40"/>
      <c r="K1534" s="41"/>
      <c r="L1534" s="788"/>
    </row>
    <row r="1535" spans="1:12">
      <c r="A1535" s="39" t="s">
        <v>840</v>
      </c>
      <c r="B1535" s="32" t="s">
        <v>879</v>
      </c>
      <c r="C1535" s="32"/>
      <c r="D1535" s="32"/>
      <c r="E1535" s="32"/>
      <c r="F1535" s="32"/>
      <c r="G1535" s="304">
        <v>14.68</v>
      </c>
      <c r="H1535" s="40"/>
      <c r="I1535" s="40"/>
      <c r="J1535" s="40"/>
      <c r="K1535" s="41"/>
      <c r="L1535" s="788"/>
    </row>
    <row r="1536" spans="1:12">
      <c r="A1536" s="39" t="s">
        <v>795</v>
      </c>
      <c r="B1536" s="32" t="s">
        <v>803</v>
      </c>
      <c r="C1536" s="32"/>
      <c r="D1536" s="32"/>
      <c r="E1536" s="32"/>
      <c r="F1536" s="32"/>
      <c r="G1536" s="304">
        <v>10.59</v>
      </c>
      <c r="H1536" s="40"/>
      <c r="I1536" s="40"/>
      <c r="J1536" s="40"/>
      <c r="K1536" s="41"/>
      <c r="L1536" s="788"/>
    </row>
    <row r="1537" spans="1:12">
      <c r="A1537" s="39" t="s">
        <v>841</v>
      </c>
      <c r="B1537" s="32" t="s">
        <v>880</v>
      </c>
      <c r="C1537" s="32"/>
      <c r="D1537" s="32"/>
      <c r="E1537" s="32"/>
      <c r="F1537" s="32"/>
      <c r="G1537" s="304">
        <v>21.21</v>
      </c>
      <c r="H1537" s="40"/>
      <c r="I1537" s="40"/>
      <c r="J1537" s="40"/>
      <c r="K1537" s="41"/>
      <c r="L1537" s="788"/>
    </row>
    <row r="1538" spans="1:12">
      <c r="A1538" s="39" t="s">
        <v>842</v>
      </c>
      <c r="B1538" s="32" t="s">
        <v>881</v>
      </c>
      <c r="C1538" s="32"/>
      <c r="D1538" s="32"/>
      <c r="E1538" s="32"/>
      <c r="F1538" s="32"/>
      <c r="G1538" s="304">
        <v>17.670000000000002</v>
      </c>
      <c r="H1538" s="40"/>
      <c r="I1538" s="40"/>
      <c r="J1538" s="40"/>
      <c r="K1538" s="41"/>
      <c r="L1538" s="788"/>
    </row>
    <row r="1539" spans="1:12">
      <c r="A1539" s="39" t="s">
        <v>843</v>
      </c>
      <c r="B1539" s="32" t="s">
        <v>882</v>
      </c>
      <c r="C1539" s="32"/>
      <c r="D1539" s="32"/>
      <c r="E1539" s="32"/>
      <c r="F1539" s="32"/>
      <c r="G1539" s="304">
        <v>14.13</v>
      </c>
      <c r="H1539" s="40"/>
      <c r="I1539" s="40"/>
      <c r="J1539" s="40"/>
      <c r="K1539" s="41"/>
      <c r="L1539" s="788"/>
    </row>
    <row r="1540" spans="1:12">
      <c r="A1540" s="39" t="s">
        <v>844</v>
      </c>
      <c r="B1540" s="32" t="s">
        <v>883</v>
      </c>
      <c r="C1540" s="32"/>
      <c r="D1540" s="32"/>
      <c r="E1540" s="32"/>
      <c r="F1540" s="32"/>
      <c r="G1540" s="304">
        <v>10.16</v>
      </c>
      <c r="H1540" s="40"/>
      <c r="I1540" s="40"/>
      <c r="J1540" s="40"/>
      <c r="K1540" s="41"/>
      <c r="L1540" s="788"/>
    </row>
    <row r="1541" spans="1:12">
      <c r="A1541" s="39" t="s">
        <v>845</v>
      </c>
      <c r="B1541" s="32" t="s">
        <v>884</v>
      </c>
      <c r="C1541" s="32"/>
      <c r="D1541" s="32"/>
      <c r="E1541" s="32"/>
      <c r="F1541" s="32"/>
      <c r="G1541" s="304">
        <v>16.940000000000001</v>
      </c>
      <c r="H1541" s="40"/>
      <c r="I1541" s="40"/>
      <c r="J1541" s="40"/>
      <c r="K1541" s="41"/>
      <c r="L1541" s="788"/>
    </row>
    <row r="1542" spans="1:12">
      <c r="A1542" s="39" t="s">
        <v>846</v>
      </c>
      <c r="B1542" s="32" t="s">
        <v>885</v>
      </c>
      <c r="C1542" s="32"/>
      <c r="D1542" s="32"/>
      <c r="E1542" s="32"/>
      <c r="F1542" s="32"/>
      <c r="G1542" s="304">
        <v>24.3</v>
      </c>
      <c r="H1542" s="40"/>
      <c r="I1542" s="40"/>
      <c r="J1542" s="40"/>
      <c r="K1542" s="41"/>
      <c r="L1542" s="788"/>
    </row>
    <row r="1543" spans="1:12">
      <c r="A1543" s="39" t="s">
        <v>847</v>
      </c>
      <c r="B1543" s="32" t="s">
        <v>886</v>
      </c>
      <c r="C1543" s="32"/>
      <c r="D1543" s="32"/>
      <c r="E1543" s="32"/>
      <c r="F1543" s="32"/>
      <c r="G1543" s="304">
        <v>13.55</v>
      </c>
      <c r="H1543" s="40"/>
      <c r="I1543" s="40"/>
      <c r="J1543" s="40"/>
      <c r="K1543" s="41"/>
      <c r="L1543" s="788"/>
    </row>
    <row r="1544" spans="1:12">
      <c r="A1544" s="39" t="s">
        <v>796</v>
      </c>
      <c r="B1544" s="32" t="s">
        <v>804</v>
      </c>
      <c r="C1544" s="32"/>
      <c r="D1544" s="32"/>
      <c r="E1544" s="32"/>
      <c r="F1544" s="32"/>
      <c r="G1544" s="304">
        <v>9.6999999999999993</v>
      </c>
      <c r="H1544" s="40"/>
      <c r="I1544" s="40"/>
      <c r="J1544" s="40"/>
      <c r="K1544" s="41"/>
      <c r="L1544" s="788"/>
    </row>
    <row r="1545" spans="1:12">
      <c r="A1545" s="39" t="s">
        <v>848</v>
      </c>
      <c r="B1545" s="32" t="s">
        <v>887</v>
      </c>
      <c r="C1545" s="32"/>
      <c r="D1545" s="32"/>
      <c r="E1545" s="32"/>
      <c r="F1545" s="32"/>
      <c r="G1545" s="108">
        <v>19.420000000000002</v>
      </c>
      <c r="H1545" s="40"/>
      <c r="I1545" s="40"/>
      <c r="J1545" s="40"/>
      <c r="K1545" s="41"/>
      <c r="L1545" s="788"/>
    </row>
    <row r="1546" spans="1:12">
      <c r="A1546" s="39" t="s">
        <v>849</v>
      </c>
      <c r="B1546" s="32" t="s">
        <v>888</v>
      </c>
      <c r="C1546" s="32"/>
      <c r="D1546" s="32"/>
      <c r="E1546" s="32"/>
      <c r="F1546" s="32"/>
      <c r="G1546" s="108">
        <v>16.18</v>
      </c>
      <c r="H1546" s="40"/>
      <c r="I1546" s="40"/>
      <c r="J1546" s="40"/>
      <c r="K1546" s="41"/>
      <c r="L1546" s="788"/>
    </row>
    <row r="1547" spans="1:12">
      <c r="A1547" s="39" t="s">
        <v>850</v>
      </c>
      <c r="B1547" s="32" t="s">
        <v>889</v>
      </c>
      <c r="C1547" s="32"/>
      <c r="D1547" s="32"/>
      <c r="E1547" s="32"/>
      <c r="F1547" s="32"/>
      <c r="G1547" s="108">
        <v>12.94</v>
      </c>
      <c r="H1547" s="40"/>
      <c r="I1547" s="40"/>
      <c r="J1547" s="40"/>
      <c r="K1547" s="41"/>
      <c r="L1547" s="788"/>
    </row>
    <row r="1548" spans="1:12">
      <c r="A1548" s="39" t="s">
        <v>851</v>
      </c>
      <c r="B1548" s="32" t="s">
        <v>890</v>
      </c>
      <c r="C1548" s="32"/>
      <c r="D1548" s="32"/>
      <c r="E1548" s="32"/>
      <c r="F1548" s="32"/>
      <c r="G1548" s="108">
        <v>9.2200000000000006</v>
      </c>
      <c r="H1548" s="40"/>
      <c r="I1548" s="40"/>
      <c r="J1548" s="40"/>
      <c r="K1548" s="41"/>
      <c r="L1548" s="788"/>
    </row>
    <row r="1549" spans="1:12">
      <c r="A1549" s="39" t="s">
        <v>852</v>
      </c>
      <c r="B1549" s="32" t="s">
        <v>891</v>
      </c>
      <c r="C1549" s="32"/>
      <c r="D1549" s="32"/>
      <c r="E1549" s="32"/>
      <c r="F1549" s="32"/>
      <c r="G1549" s="108">
        <v>12.3</v>
      </c>
      <c r="H1549" s="40"/>
      <c r="I1549" s="40"/>
      <c r="J1549" s="40"/>
      <c r="K1549" s="41"/>
      <c r="L1549" s="788"/>
    </row>
    <row r="1550" spans="1:12">
      <c r="A1550" s="39" t="s">
        <v>797</v>
      </c>
      <c r="B1550" s="32" t="s">
        <v>805</v>
      </c>
      <c r="C1550" s="32"/>
      <c r="D1550" s="32"/>
      <c r="E1550" s="32"/>
      <c r="F1550" s="32"/>
      <c r="G1550" s="108">
        <v>8.7100000000000009</v>
      </c>
      <c r="H1550" s="40"/>
      <c r="I1550" s="40"/>
      <c r="J1550" s="40"/>
      <c r="K1550" s="41"/>
      <c r="L1550" s="788"/>
    </row>
    <row r="1551" spans="1:12">
      <c r="A1551" s="39" t="s">
        <v>853</v>
      </c>
      <c r="B1551" s="32" t="s">
        <v>892</v>
      </c>
      <c r="C1551" s="32"/>
      <c r="D1551" s="32"/>
      <c r="E1551" s="32"/>
      <c r="F1551" s="32"/>
      <c r="G1551" s="108">
        <v>14.53</v>
      </c>
      <c r="H1551" s="40"/>
      <c r="I1551" s="40"/>
      <c r="J1551" s="40"/>
      <c r="K1551" s="41"/>
      <c r="L1551" s="788"/>
    </row>
    <row r="1552" spans="1:12">
      <c r="A1552" s="39" t="s">
        <v>854</v>
      </c>
      <c r="B1552" s="32" t="s">
        <v>893</v>
      </c>
      <c r="C1552" s="32"/>
      <c r="D1552" s="32"/>
      <c r="E1552" s="32"/>
      <c r="F1552" s="32"/>
      <c r="G1552" s="108">
        <v>11.62</v>
      </c>
      <c r="H1552" s="40"/>
      <c r="I1552" s="40"/>
      <c r="J1552" s="40"/>
      <c r="K1552" s="41"/>
      <c r="L1552" s="788"/>
    </row>
    <row r="1553" spans="1:12">
      <c r="A1553" s="39" t="s">
        <v>894</v>
      </c>
      <c r="B1553" s="32" t="s">
        <v>913</v>
      </c>
      <c r="C1553" s="32"/>
      <c r="D1553" s="32"/>
      <c r="E1553" s="32"/>
      <c r="F1553" s="32"/>
      <c r="G1553" s="108">
        <v>17.646999999999998</v>
      </c>
      <c r="H1553" s="40"/>
      <c r="I1553" s="40"/>
      <c r="J1553" s="40"/>
      <c r="K1553" s="41"/>
      <c r="L1553" s="788"/>
    </row>
    <row r="1554" spans="1:12">
      <c r="A1554" s="39" t="s">
        <v>895</v>
      </c>
      <c r="B1554" s="32" t="s">
        <v>914</v>
      </c>
      <c r="C1554" s="32"/>
      <c r="D1554" s="32"/>
      <c r="E1554" s="32"/>
      <c r="F1554" s="32"/>
      <c r="G1554" s="108">
        <v>21.43</v>
      </c>
      <c r="H1554" s="40"/>
      <c r="I1554" s="40"/>
      <c r="J1554" s="40"/>
      <c r="K1554" s="41"/>
      <c r="L1554" s="788"/>
    </row>
    <row r="1555" spans="1:12">
      <c r="A1555" s="39" t="s">
        <v>896</v>
      </c>
      <c r="B1555" s="32" t="s">
        <v>915</v>
      </c>
      <c r="C1555" s="32"/>
      <c r="D1555" s="32"/>
      <c r="E1555" s="32"/>
      <c r="F1555" s="32"/>
      <c r="G1555" s="108">
        <v>20.96</v>
      </c>
      <c r="H1555" s="40"/>
      <c r="I1555" s="40"/>
      <c r="J1555" s="40"/>
      <c r="K1555" s="41"/>
      <c r="L1555" s="788"/>
    </row>
    <row r="1556" spans="1:12">
      <c r="A1556" s="39" t="s">
        <v>897</v>
      </c>
      <c r="B1556" s="32" t="s">
        <v>916</v>
      </c>
      <c r="C1556" s="32"/>
      <c r="D1556" s="32"/>
      <c r="E1556" s="32"/>
      <c r="F1556" s="32"/>
      <c r="G1556" s="108">
        <v>16.96</v>
      </c>
      <c r="H1556" s="40"/>
      <c r="I1556" s="40"/>
      <c r="J1556" s="40"/>
      <c r="K1556" s="41"/>
      <c r="L1556" s="788"/>
    </row>
    <row r="1557" spans="1:12">
      <c r="A1557" s="39" t="s">
        <v>898</v>
      </c>
      <c r="B1557" s="32" t="s">
        <v>917</v>
      </c>
      <c r="C1557" s="32"/>
      <c r="D1557" s="32"/>
      <c r="E1557" s="32"/>
      <c r="F1557" s="32"/>
      <c r="G1557" s="108">
        <v>20.45</v>
      </c>
      <c r="H1557" s="40"/>
      <c r="I1557" s="40"/>
      <c r="J1557" s="40"/>
      <c r="K1557" s="41"/>
      <c r="L1557" s="788"/>
    </row>
    <row r="1558" spans="1:12">
      <c r="A1558" s="39" t="s">
        <v>899</v>
      </c>
      <c r="B1558" s="32" t="s">
        <v>918</v>
      </c>
      <c r="C1558" s="32"/>
      <c r="D1558" s="32"/>
      <c r="E1558" s="32"/>
      <c r="F1558" s="32"/>
      <c r="G1558" s="108">
        <v>16.559999999999999</v>
      </c>
      <c r="H1558" s="40"/>
      <c r="I1558" s="40"/>
      <c r="J1558" s="40"/>
      <c r="K1558" s="41"/>
      <c r="L1558" s="788"/>
    </row>
    <row r="1559" spans="1:12">
      <c r="A1559" s="39" t="s">
        <v>900</v>
      </c>
      <c r="B1559" s="32" t="s">
        <v>919</v>
      </c>
      <c r="C1559" s="32"/>
      <c r="D1559" s="32"/>
      <c r="E1559" s="32"/>
      <c r="F1559" s="32"/>
      <c r="G1559" s="108">
        <v>23.19</v>
      </c>
      <c r="H1559" s="40"/>
      <c r="I1559" s="40"/>
      <c r="J1559" s="40"/>
      <c r="K1559" s="41"/>
      <c r="L1559" s="788"/>
    </row>
    <row r="1560" spans="1:12">
      <c r="A1560" s="39" t="s">
        <v>901</v>
      </c>
      <c r="B1560" s="32" t="s">
        <v>920</v>
      </c>
      <c r="C1560" s="32"/>
      <c r="D1560" s="32"/>
      <c r="E1560" s="32"/>
      <c r="F1560" s="32"/>
      <c r="G1560" s="108">
        <v>16.14</v>
      </c>
      <c r="H1560" s="40"/>
      <c r="I1560" s="40"/>
      <c r="J1560" s="40"/>
      <c r="K1560" s="41"/>
      <c r="L1560" s="788"/>
    </row>
    <row r="1561" spans="1:12">
      <c r="A1561" s="39" t="s">
        <v>902</v>
      </c>
      <c r="B1561" s="32" t="s">
        <v>921</v>
      </c>
      <c r="C1561" s="32"/>
      <c r="D1561" s="32"/>
      <c r="E1561" s="32"/>
      <c r="F1561" s="32"/>
      <c r="G1561" s="108">
        <v>22.43</v>
      </c>
      <c r="H1561" s="40"/>
      <c r="I1561" s="40"/>
      <c r="J1561" s="40"/>
      <c r="K1561" s="41"/>
      <c r="L1561" s="788"/>
    </row>
    <row r="1562" spans="1:12">
      <c r="A1562" s="39" t="s">
        <v>903</v>
      </c>
      <c r="B1562" s="32" t="s">
        <v>922</v>
      </c>
      <c r="C1562" s="32"/>
      <c r="D1562" s="32"/>
      <c r="E1562" s="32"/>
      <c r="F1562" s="32"/>
      <c r="G1562" s="108">
        <v>15.68</v>
      </c>
      <c r="H1562" s="40"/>
      <c r="I1562" s="40"/>
      <c r="J1562" s="40"/>
      <c r="K1562" s="41"/>
      <c r="L1562" s="788"/>
    </row>
    <row r="1563" spans="1:12">
      <c r="A1563" s="39" t="s">
        <v>806</v>
      </c>
      <c r="B1563" s="32" t="s">
        <v>811</v>
      </c>
      <c r="C1563" s="32"/>
      <c r="D1563" s="32"/>
      <c r="E1563" s="32"/>
      <c r="F1563" s="32"/>
      <c r="G1563" s="108">
        <v>18.690000000000001</v>
      </c>
      <c r="H1563" s="40"/>
      <c r="I1563" s="40"/>
      <c r="J1563" s="40"/>
      <c r="K1563" s="41"/>
      <c r="L1563" s="788"/>
    </row>
    <row r="1564" spans="1:12">
      <c r="A1564" s="39" t="s">
        <v>904</v>
      </c>
      <c r="B1564" s="32" t="s">
        <v>923</v>
      </c>
      <c r="C1564" s="32"/>
      <c r="D1564" s="32"/>
      <c r="E1564" s="32"/>
      <c r="F1564" s="32"/>
      <c r="G1564" s="108">
        <v>15.12</v>
      </c>
      <c r="H1564" s="40"/>
      <c r="I1564" s="40"/>
      <c r="J1564" s="40"/>
      <c r="K1564" s="41"/>
      <c r="L1564" s="788"/>
    </row>
    <row r="1565" spans="1:12">
      <c r="A1565" s="39" t="s">
        <v>905</v>
      </c>
      <c r="B1565" s="32" t="s">
        <v>924</v>
      </c>
      <c r="C1565" s="32"/>
      <c r="D1565" s="32"/>
      <c r="E1565" s="32"/>
      <c r="F1565" s="32"/>
      <c r="G1565" s="108">
        <v>18.02</v>
      </c>
      <c r="H1565" s="40"/>
      <c r="I1565" s="40"/>
      <c r="J1565" s="40"/>
      <c r="K1565" s="41"/>
      <c r="L1565" s="788"/>
    </row>
    <row r="1566" spans="1:12">
      <c r="A1566" s="39" t="s">
        <v>807</v>
      </c>
      <c r="B1566" s="32" t="s">
        <v>812</v>
      </c>
      <c r="C1566" s="32"/>
      <c r="D1566" s="32"/>
      <c r="E1566" s="32"/>
      <c r="F1566" s="32"/>
      <c r="G1566" s="108">
        <v>14.68</v>
      </c>
      <c r="H1566" s="40"/>
      <c r="I1566" s="40"/>
      <c r="J1566" s="40"/>
      <c r="K1566" s="41"/>
      <c r="L1566" s="788"/>
    </row>
    <row r="1567" spans="1:12">
      <c r="A1567" s="39" t="s">
        <v>906</v>
      </c>
      <c r="B1567" s="32" t="s">
        <v>925</v>
      </c>
      <c r="C1567" s="32"/>
      <c r="D1567" s="32"/>
      <c r="E1567" s="32"/>
      <c r="F1567" s="32"/>
      <c r="G1567" s="108">
        <v>17.309999999999999</v>
      </c>
      <c r="H1567" s="40"/>
      <c r="I1567" s="40"/>
      <c r="J1567" s="40"/>
      <c r="K1567" s="41"/>
      <c r="L1567" s="788"/>
    </row>
    <row r="1568" spans="1:12">
      <c r="A1568" s="39" t="s">
        <v>808</v>
      </c>
      <c r="B1568" s="32" t="s">
        <v>813</v>
      </c>
      <c r="C1568" s="32"/>
      <c r="D1568" s="32"/>
      <c r="E1568" s="32"/>
      <c r="F1568" s="32"/>
      <c r="G1568" s="108">
        <v>14.13</v>
      </c>
      <c r="H1568" s="40"/>
      <c r="I1568" s="40"/>
      <c r="J1568" s="40"/>
      <c r="K1568" s="41"/>
      <c r="L1568" s="788"/>
    </row>
    <row r="1569" spans="1:12">
      <c r="A1569" s="39" t="s">
        <v>907</v>
      </c>
      <c r="B1569" s="32" t="s">
        <v>926</v>
      </c>
      <c r="C1569" s="32"/>
      <c r="D1569" s="32"/>
      <c r="E1569" s="32"/>
      <c r="F1569" s="32"/>
      <c r="G1569" s="108">
        <v>18.829999999999998</v>
      </c>
      <c r="H1569" s="40"/>
      <c r="I1569" s="40"/>
      <c r="J1569" s="40"/>
      <c r="K1569" s="41"/>
      <c r="L1569" s="788"/>
    </row>
    <row r="1570" spans="1:12">
      <c r="A1570" s="39" t="s">
        <v>908</v>
      </c>
      <c r="B1570" s="32" t="s">
        <v>927</v>
      </c>
      <c r="C1570" s="32"/>
      <c r="D1570" s="32"/>
      <c r="E1570" s="32"/>
      <c r="F1570" s="32"/>
      <c r="G1570" s="108">
        <v>16.57</v>
      </c>
      <c r="H1570" s="40"/>
      <c r="I1570" s="40"/>
      <c r="J1570" s="40"/>
      <c r="K1570" s="41"/>
      <c r="L1570" s="788"/>
    </row>
    <row r="1571" spans="1:12">
      <c r="A1571" s="39" t="s">
        <v>809</v>
      </c>
      <c r="B1571" s="32" t="s">
        <v>814</v>
      </c>
      <c r="C1571" s="32"/>
      <c r="D1571" s="32"/>
      <c r="E1571" s="32"/>
      <c r="F1571" s="32"/>
      <c r="G1571" s="108">
        <v>13.55</v>
      </c>
      <c r="H1571" s="40"/>
      <c r="I1571" s="40"/>
      <c r="J1571" s="40"/>
      <c r="K1571" s="41"/>
      <c r="L1571" s="788"/>
    </row>
    <row r="1572" spans="1:12">
      <c r="A1572" s="39" t="s">
        <v>909</v>
      </c>
      <c r="B1572" s="32" t="s">
        <v>928</v>
      </c>
      <c r="C1572" s="32"/>
      <c r="D1572" s="32"/>
      <c r="E1572" s="32"/>
      <c r="F1572" s="32"/>
      <c r="G1572" s="108">
        <v>17.8</v>
      </c>
      <c r="H1572" s="40"/>
      <c r="I1572" s="40"/>
      <c r="J1572" s="40"/>
      <c r="K1572" s="41"/>
      <c r="L1572" s="788"/>
    </row>
    <row r="1573" spans="1:12">
      <c r="A1573" s="39" t="s">
        <v>910</v>
      </c>
      <c r="B1573" s="32" t="s">
        <v>929</v>
      </c>
      <c r="C1573" s="32"/>
      <c r="D1573" s="32"/>
      <c r="E1573" s="32"/>
      <c r="F1573" s="32"/>
      <c r="G1573" s="108">
        <v>15.78</v>
      </c>
      <c r="H1573" s="40"/>
      <c r="I1573" s="40"/>
      <c r="J1573" s="40"/>
      <c r="K1573" s="41"/>
      <c r="L1573" s="788"/>
    </row>
    <row r="1574" spans="1:12">
      <c r="A1574" s="39" t="s">
        <v>810</v>
      </c>
      <c r="B1574" s="32" t="s">
        <v>815</v>
      </c>
      <c r="C1574" s="32"/>
      <c r="D1574" s="32"/>
      <c r="E1574" s="32"/>
      <c r="F1574" s="32"/>
      <c r="G1574" s="108">
        <v>12.93</v>
      </c>
      <c r="H1574" s="40"/>
      <c r="I1574" s="40"/>
      <c r="J1574" s="40"/>
      <c r="K1574" s="41"/>
      <c r="L1574" s="788"/>
    </row>
    <row r="1575" spans="1:12">
      <c r="A1575" s="39" t="s">
        <v>911</v>
      </c>
      <c r="B1575" s="32" t="s">
        <v>930</v>
      </c>
      <c r="C1575" s="32"/>
      <c r="D1575" s="32"/>
      <c r="E1575" s="32"/>
      <c r="F1575" s="32"/>
      <c r="G1575" s="108">
        <v>16.72</v>
      </c>
      <c r="H1575" s="40"/>
      <c r="I1575" s="40"/>
      <c r="J1575" s="40"/>
      <c r="K1575" s="41"/>
      <c r="L1575" s="788"/>
    </row>
    <row r="1576" spans="1:12">
      <c r="A1576" s="39" t="s">
        <v>912</v>
      </c>
      <c r="B1576" s="32" t="s">
        <v>931</v>
      </c>
      <c r="C1576" s="32"/>
      <c r="D1576" s="32"/>
      <c r="E1576" s="32"/>
      <c r="F1576" s="32"/>
      <c r="G1576" s="108">
        <v>12.29</v>
      </c>
      <c r="H1576" s="40"/>
      <c r="I1576" s="40"/>
      <c r="J1576" s="40"/>
      <c r="K1576" s="41"/>
      <c r="L1576" s="788"/>
    </row>
    <row r="1577" spans="1:12">
      <c r="A1577" s="39" t="s">
        <v>932</v>
      </c>
      <c r="B1577" s="32" t="s">
        <v>939</v>
      </c>
      <c r="C1577" s="32"/>
      <c r="D1577" s="32"/>
      <c r="E1577" s="32"/>
      <c r="F1577" s="32"/>
      <c r="G1577" s="108">
        <v>24.54</v>
      </c>
      <c r="H1577" s="40"/>
      <c r="I1577" s="40"/>
      <c r="J1577" s="40"/>
      <c r="K1577" s="41"/>
      <c r="L1577" s="788"/>
    </row>
    <row r="1578" spans="1:12">
      <c r="A1578" s="39" t="s">
        <v>933</v>
      </c>
      <c r="B1578" s="32" t="s">
        <v>940</v>
      </c>
      <c r="C1578" s="32"/>
      <c r="D1578" s="32"/>
      <c r="E1578" s="32"/>
      <c r="F1578" s="32"/>
      <c r="G1578" s="108">
        <v>23.89</v>
      </c>
      <c r="H1578" s="40"/>
      <c r="I1578" s="40"/>
      <c r="J1578" s="40"/>
      <c r="K1578" s="41"/>
      <c r="L1578" s="788"/>
    </row>
    <row r="1579" spans="1:12">
      <c r="A1579" s="39" t="s">
        <v>934</v>
      </c>
      <c r="B1579" s="32" t="s">
        <v>941</v>
      </c>
      <c r="C1579" s="32"/>
      <c r="D1579" s="32"/>
      <c r="E1579" s="32"/>
      <c r="F1579" s="32"/>
      <c r="G1579" s="108">
        <v>19.899999999999999</v>
      </c>
      <c r="H1579" s="40"/>
      <c r="I1579" s="40"/>
      <c r="J1579" s="40"/>
      <c r="K1579" s="41"/>
      <c r="L1579" s="788"/>
    </row>
    <row r="1580" spans="1:12">
      <c r="A1580" s="39" t="s">
        <v>935</v>
      </c>
      <c r="B1580" s="32" t="s">
        <v>942</v>
      </c>
      <c r="C1580" s="32"/>
      <c r="D1580" s="32"/>
      <c r="E1580" s="32"/>
      <c r="F1580" s="32"/>
      <c r="G1580" s="108">
        <v>19.309999999999999</v>
      </c>
      <c r="H1580" s="40"/>
      <c r="I1580" s="40"/>
      <c r="J1580" s="40"/>
      <c r="K1580" s="41"/>
      <c r="L1580" s="788"/>
    </row>
    <row r="1581" spans="1:12">
      <c r="A1581" s="39" t="s">
        <v>936</v>
      </c>
      <c r="B1581" s="32" t="s">
        <v>943</v>
      </c>
      <c r="C1581" s="32"/>
      <c r="D1581" s="32"/>
      <c r="E1581" s="32"/>
      <c r="F1581" s="32"/>
      <c r="G1581" s="108">
        <v>21.62</v>
      </c>
      <c r="H1581" s="40"/>
      <c r="I1581" s="40"/>
      <c r="J1581" s="40"/>
      <c r="K1581" s="41"/>
      <c r="L1581" s="788"/>
    </row>
    <row r="1582" spans="1:12">
      <c r="A1582" s="39" t="s">
        <v>937</v>
      </c>
      <c r="B1582" s="32" t="s">
        <v>944</v>
      </c>
      <c r="C1582" s="32"/>
      <c r="D1582" s="32"/>
      <c r="E1582" s="32"/>
      <c r="F1582" s="32"/>
      <c r="G1582" s="108">
        <v>20.74</v>
      </c>
      <c r="H1582" s="40"/>
      <c r="I1582" s="40"/>
      <c r="J1582" s="40"/>
      <c r="K1582" s="41"/>
      <c r="L1582" s="788"/>
    </row>
    <row r="1583" spans="1:12">
      <c r="A1583" s="39" t="s">
        <v>938</v>
      </c>
      <c r="B1583" s="32" t="s">
        <v>945</v>
      </c>
      <c r="C1583" s="32"/>
      <c r="D1583" s="32"/>
      <c r="E1583" s="32"/>
      <c r="F1583" s="32"/>
      <c r="G1583" s="108">
        <v>19.809999999999999</v>
      </c>
      <c r="H1583" s="40"/>
      <c r="I1583" s="40"/>
      <c r="J1583" s="40"/>
      <c r="K1583" s="41"/>
      <c r="L1583" s="788"/>
    </row>
    <row r="1584" spans="1:12">
      <c r="A1584" s="39" t="s">
        <v>946</v>
      </c>
      <c r="B1584" s="32" t="s">
        <v>962</v>
      </c>
      <c r="C1584" s="32"/>
      <c r="D1584" s="32"/>
      <c r="E1584" s="32"/>
      <c r="F1584" s="32"/>
      <c r="G1584" s="108">
        <v>34.74</v>
      </c>
      <c r="H1584" s="40"/>
      <c r="I1584" s="40"/>
      <c r="J1584" s="40"/>
      <c r="K1584" s="41"/>
      <c r="L1584" s="788"/>
    </row>
    <row r="1585" spans="1:22">
      <c r="A1585" s="39" t="s">
        <v>947</v>
      </c>
      <c r="B1585" s="32" t="s">
        <v>963</v>
      </c>
      <c r="C1585" s="32"/>
      <c r="D1585" s="32"/>
      <c r="E1585" s="32"/>
      <c r="F1585" s="32"/>
      <c r="G1585" s="108">
        <v>46.33</v>
      </c>
      <c r="H1585" s="40"/>
      <c r="I1585" s="40"/>
      <c r="J1585" s="40"/>
      <c r="K1585" s="41"/>
      <c r="L1585" s="788"/>
    </row>
    <row r="1586" spans="1:22">
      <c r="A1586" s="39" t="s">
        <v>948</v>
      </c>
      <c r="B1586" s="32" t="s">
        <v>964</v>
      </c>
      <c r="C1586" s="32"/>
      <c r="D1586" s="32"/>
      <c r="E1586" s="32"/>
      <c r="F1586" s="32"/>
      <c r="G1586" s="108">
        <v>57.92</v>
      </c>
      <c r="H1586" s="40"/>
      <c r="I1586" s="40"/>
      <c r="J1586" s="40"/>
      <c r="K1586" s="41"/>
      <c r="L1586" s="788"/>
    </row>
    <row r="1587" spans="1:22">
      <c r="A1587" s="39" t="s">
        <v>949</v>
      </c>
      <c r="B1587" s="32" t="s">
        <v>965</v>
      </c>
      <c r="C1587" s="32"/>
      <c r="D1587" s="32"/>
      <c r="E1587" s="32"/>
      <c r="F1587" s="32"/>
      <c r="G1587" s="108">
        <v>60.24</v>
      </c>
      <c r="H1587" s="40"/>
      <c r="I1587" s="40"/>
      <c r="J1587" s="40"/>
      <c r="K1587" s="41"/>
      <c r="L1587" s="788"/>
    </row>
    <row r="1588" spans="1:22">
      <c r="A1588" s="39" t="s">
        <v>950</v>
      </c>
      <c r="B1588" s="32" t="s">
        <v>966</v>
      </c>
      <c r="C1588" s="32"/>
      <c r="D1588" s="32"/>
      <c r="E1588" s="32"/>
      <c r="F1588" s="32"/>
      <c r="G1588" s="108">
        <v>64.91</v>
      </c>
      <c r="H1588" s="40"/>
      <c r="I1588" s="40"/>
      <c r="J1588" s="40"/>
      <c r="K1588" s="41"/>
      <c r="L1588" s="788"/>
    </row>
    <row r="1589" spans="1:22">
      <c r="A1589" s="39" t="s">
        <v>951</v>
      </c>
      <c r="B1589" s="32" t="s">
        <v>967</v>
      </c>
      <c r="C1589" s="32"/>
      <c r="D1589" s="32"/>
      <c r="E1589" s="32"/>
      <c r="F1589" s="32"/>
      <c r="G1589" s="108">
        <v>69.510000000000005</v>
      </c>
      <c r="H1589" s="40"/>
      <c r="I1589" s="40"/>
      <c r="J1589" s="40"/>
      <c r="K1589" s="41"/>
      <c r="L1589" s="788"/>
    </row>
    <row r="1590" spans="1:22">
      <c r="A1590" s="39" t="s">
        <v>952</v>
      </c>
      <c r="B1590" s="32" t="s">
        <v>968</v>
      </c>
      <c r="C1590" s="32"/>
      <c r="D1590" s="32"/>
      <c r="E1590" s="32"/>
      <c r="F1590" s="32"/>
      <c r="G1590" s="108">
        <v>62.15</v>
      </c>
      <c r="H1590" s="40"/>
      <c r="I1590" s="40"/>
      <c r="J1590" s="40"/>
      <c r="K1590" s="41"/>
      <c r="L1590" s="788"/>
    </row>
    <row r="1591" spans="1:22">
      <c r="A1591" s="39" t="s">
        <v>953</v>
      </c>
      <c r="B1591" s="32" t="s">
        <v>969</v>
      </c>
      <c r="C1591" s="32"/>
      <c r="D1591" s="32"/>
      <c r="E1591" s="32"/>
      <c r="F1591" s="32"/>
      <c r="G1591" s="108">
        <v>30.914000000000001</v>
      </c>
      <c r="H1591" s="40"/>
      <c r="I1591" s="40"/>
      <c r="J1591" s="40"/>
      <c r="K1591" s="41"/>
      <c r="L1591" s="788"/>
    </row>
    <row r="1592" spans="1:22">
      <c r="A1592" s="39" t="s">
        <v>954</v>
      </c>
      <c r="B1592" s="32" t="s">
        <v>970</v>
      </c>
      <c r="C1592" s="32"/>
      <c r="D1592" s="32"/>
      <c r="E1592" s="32"/>
      <c r="F1592" s="32"/>
      <c r="G1592" s="108">
        <v>41.23</v>
      </c>
      <c r="H1592" s="40"/>
      <c r="I1592" s="40"/>
      <c r="J1592" s="40"/>
      <c r="K1592" s="41"/>
      <c r="L1592" s="788"/>
    </row>
    <row r="1593" spans="1:22">
      <c r="A1593" s="39" t="s">
        <v>955</v>
      </c>
      <c r="B1593" s="32" t="s">
        <v>971</v>
      </c>
      <c r="C1593" s="32"/>
      <c r="D1593" s="32"/>
      <c r="E1593" s="32"/>
      <c r="F1593" s="32"/>
      <c r="G1593" s="108">
        <v>51.54</v>
      </c>
      <c r="H1593" s="40"/>
      <c r="I1593" s="40"/>
      <c r="J1593" s="40"/>
      <c r="K1593" s="41"/>
      <c r="L1593" s="788"/>
    </row>
    <row r="1594" spans="1:22">
      <c r="A1594" s="39" t="s">
        <v>956</v>
      </c>
      <c r="B1594" s="32" t="s">
        <v>972</v>
      </c>
      <c r="C1594" s="32"/>
      <c r="D1594" s="32"/>
      <c r="E1594" s="32"/>
      <c r="F1594" s="32"/>
      <c r="G1594" s="108">
        <v>57.73</v>
      </c>
      <c r="H1594" s="40"/>
      <c r="I1594" s="40"/>
      <c r="J1594" s="40"/>
      <c r="K1594" s="41"/>
      <c r="L1594" s="788"/>
    </row>
    <row r="1595" spans="1:22">
      <c r="A1595" s="39" t="s">
        <v>957</v>
      </c>
      <c r="B1595" s="32" t="s">
        <v>973</v>
      </c>
      <c r="C1595" s="32"/>
      <c r="D1595" s="32"/>
      <c r="E1595" s="32"/>
      <c r="F1595" s="32"/>
      <c r="G1595" s="108">
        <v>17.654</v>
      </c>
      <c r="H1595" s="40"/>
      <c r="I1595" s="40"/>
      <c r="J1595" s="40"/>
      <c r="K1595" s="41"/>
      <c r="L1595" s="788"/>
    </row>
    <row r="1596" spans="1:22">
      <c r="A1596" s="39" t="s">
        <v>958</v>
      </c>
      <c r="B1596" s="32" t="s">
        <v>974</v>
      </c>
      <c r="C1596" s="32"/>
      <c r="D1596" s="32"/>
      <c r="E1596" s="32"/>
      <c r="F1596" s="32"/>
      <c r="G1596" s="108">
        <v>26.5</v>
      </c>
      <c r="H1596" s="40"/>
      <c r="I1596" s="40"/>
      <c r="J1596" s="40"/>
      <c r="K1596" s="41"/>
      <c r="L1596" s="788"/>
    </row>
    <row r="1597" spans="1:22">
      <c r="A1597" s="39" t="s">
        <v>959</v>
      </c>
      <c r="B1597" s="32" t="s">
        <v>975</v>
      </c>
      <c r="C1597" s="32"/>
      <c r="D1597" s="32"/>
      <c r="E1597" s="32"/>
      <c r="F1597" s="32"/>
      <c r="G1597" s="108">
        <v>35.340000000000003</v>
      </c>
      <c r="H1597" s="40"/>
      <c r="I1597" s="40"/>
      <c r="J1597" s="40"/>
      <c r="K1597" s="41"/>
      <c r="L1597" s="788"/>
    </row>
    <row r="1598" spans="1:22">
      <c r="A1598" s="39" t="s">
        <v>960</v>
      </c>
      <c r="B1598" s="32" t="s">
        <v>976</v>
      </c>
      <c r="C1598" s="32"/>
      <c r="D1598" s="32"/>
      <c r="E1598" s="32"/>
      <c r="F1598" s="32"/>
      <c r="G1598" s="108">
        <v>44.18</v>
      </c>
      <c r="H1598" s="40"/>
      <c r="I1598" s="40"/>
      <c r="J1598" s="40"/>
      <c r="K1598" s="41"/>
      <c r="L1598" s="788"/>
    </row>
    <row r="1599" spans="1:22" ht="13.8" thickBot="1">
      <c r="A1599" s="39" t="s">
        <v>961</v>
      </c>
      <c r="B1599" s="32" t="s">
        <v>977</v>
      </c>
      <c r="C1599" s="32"/>
      <c r="D1599" s="32"/>
      <c r="E1599" s="32"/>
      <c r="F1599" s="32"/>
      <c r="G1599" s="108">
        <v>49.48</v>
      </c>
      <c r="H1599" s="40"/>
      <c r="I1599" s="40"/>
      <c r="J1599" s="40"/>
      <c r="K1599" s="41"/>
      <c r="L1599" s="788"/>
    </row>
    <row r="1600" spans="1:22" ht="25.2" thickBot="1">
      <c r="A1600" s="64" t="s">
        <v>1097</v>
      </c>
      <c r="B1600" s="94"/>
      <c r="C1600" s="94"/>
      <c r="D1600" s="94"/>
      <c r="E1600" s="94"/>
      <c r="F1600" s="94"/>
      <c r="G1600" s="106"/>
      <c r="H1600" s="95"/>
      <c r="I1600" s="95"/>
      <c r="J1600" s="95"/>
      <c r="K1600" s="95"/>
      <c r="L1600" s="99"/>
      <c r="R1600" s="22"/>
      <c r="S1600" s="22"/>
      <c r="T1600" s="20"/>
      <c r="U1600" s="20"/>
      <c r="V1600" s="20"/>
    </row>
    <row r="1601" spans="1:22">
      <c r="A1601" s="76"/>
      <c r="G1601" s="21"/>
      <c r="H1601" s="20"/>
      <c r="I1601" s="20"/>
      <c r="J1601" s="20"/>
      <c r="L1601" s="752"/>
      <c r="M1601" s="20"/>
      <c r="N1601" s="20"/>
      <c r="O1601" s="20"/>
      <c r="P1601" s="20"/>
      <c r="Q1601" s="21"/>
      <c r="R1601" s="22"/>
      <c r="S1601" s="20"/>
      <c r="T1601" s="20"/>
      <c r="U1601" s="22"/>
      <c r="V1601" s="20"/>
    </row>
    <row r="1602" spans="1:22">
      <c r="A1602" s="306"/>
      <c r="G1602" s="21"/>
      <c r="H1602" s="20"/>
      <c r="I1602" s="20"/>
      <c r="J1602" s="20"/>
      <c r="L1602" s="752"/>
      <c r="M1602" s="20"/>
      <c r="N1602" s="20"/>
      <c r="O1602" s="20"/>
      <c r="P1602" s="20"/>
      <c r="Q1602" s="21"/>
      <c r="R1602" s="22"/>
      <c r="S1602" s="20"/>
      <c r="T1602" s="20"/>
      <c r="U1602" s="22"/>
      <c r="V1602" s="20"/>
    </row>
    <row r="1603" spans="1:22">
      <c r="A1603" s="305"/>
      <c r="G1603" s="21"/>
      <c r="H1603" s="20"/>
      <c r="I1603" s="20"/>
      <c r="J1603" s="20"/>
      <c r="L1603" s="752"/>
      <c r="M1603" s="20"/>
      <c r="N1603" s="20"/>
      <c r="O1603" s="20"/>
      <c r="P1603" s="20"/>
      <c r="Q1603" s="21"/>
      <c r="R1603" s="22"/>
      <c r="S1603" s="20"/>
      <c r="T1603" s="20"/>
      <c r="U1603" s="22"/>
      <c r="V1603" s="20"/>
    </row>
    <row r="1604" spans="1:22">
      <c r="A1604" s="306" t="s">
        <v>979</v>
      </c>
      <c r="G1604" s="17">
        <f>(75000*100)/1000000</f>
        <v>7.5</v>
      </c>
      <c r="L1604" s="752"/>
    </row>
    <row r="1605" spans="1:22">
      <c r="A1605" s="306" t="s">
        <v>980</v>
      </c>
      <c r="G1605" s="17">
        <f>(76875*100)/1000000</f>
        <v>7.6875</v>
      </c>
      <c r="L1605" s="752"/>
    </row>
    <row r="1606" spans="1:22">
      <c r="A1606" s="306" t="s">
        <v>981</v>
      </c>
      <c r="G1606" s="17">
        <f>(110700*100)/1000000</f>
        <v>11.07</v>
      </c>
      <c r="L1606" s="752"/>
    </row>
    <row r="1607" spans="1:22">
      <c r="A1607" s="306" t="s">
        <v>981</v>
      </c>
      <c r="G1607" s="17">
        <f>(108000*100)/1000000</f>
        <v>10.8</v>
      </c>
      <c r="L1607" s="752"/>
    </row>
    <row r="1608" spans="1:22" ht="13.8" thickBot="1">
      <c r="A1608" s="306" t="s">
        <v>982</v>
      </c>
      <c r="B1608" s="3"/>
      <c r="C1608" s="3"/>
      <c r="D1608" s="3"/>
      <c r="E1608" s="3"/>
      <c r="F1608" s="3"/>
      <c r="G1608" s="17">
        <f>(74250*100)/1000000</f>
        <v>7.4249999999999998</v>
      </c>
      <c r="L1608" s="752"/>
    </row>
    <row r="1609" spans="1:22" ht="25.2" thickBot="1">
      <c r="A1609" s="64" t="s">
        <v>1080</v>
      </c>
      <c r="B1609" s="94"/>
      <c r="C1609" s="94"/>
      <c r="D1609" s="94"/>
      <c r="E1609" s="94"/>
      <c r="F1609" s="94"/>
      <c r="G1609" s="106"/>
      <c r="H1609" s="95"/>
      <c r="I1609" s="95"/>
      <c r="J1609" s="95"/>
      <c r="K1609" s="95"/>
      <c r="L1609" s="99"/>
      <c r="R1609" s="22"/>
      <c r="S1609" s="22"/>
      <c r="T1609" s="20"/>
      <c r="U1609" s="20"/>
      <c r="V1609" s="20"/>
    </row>
    <row r="1610" spans="1:22">
      <c r="A1610" s="306" t="s">
        <v>1087</v>
      </c>
      <c r="B1610" s="2" t="s">
        <v>1834</v>
      </c>
      <c r="G1610" s="17">
        <f>5.3/185</f>
        <v>2.8648648648648647E-2</v>
      </c>
      <c r="L1610" s="752"/>
    </row>
    <row r="1611" spans="1:22">
      <c r="A1611" s="306" t="s">
        <v>1088</v>
      </c>
      <c r="B1611" s="2" t="s">
        <v>1834</v>
      </c>
      <c r="G1611" s="17">
        <f>4.5/140</f>
        <v>3.214285714285714E-2</v>
      </c>
      <c r="L1611" s="752"/>
    </row>
    <row r="1612" spans="1:22">
      <c r="A1612" s="306" t="s">
        <v>1089</v>
      </c>
      <c r="B1612" s="2" t="s">
        <v>1834</v>
      </c>
      <c r="G1612" s="17">
        <f>4/120</f>
        <v>3.3333333333333333E-2</v>
      </c>
      <c r="L1612" s="752"/>
    </row>
    <row r="1613" spans="1:22">
      <c r="A1613" s="306" t="s">
        <v>1090</v>
      </c>
      <c r="B1613" s="2" t="s">
        <v>1834</v>
      </c>
      <c r="G1613" s="17">
        <f>5.2/180</f>
        <v>2.8888888888888891E-2</v>
      </c>
      <c r="L1613" s="752"/>
    </row>
    <row r="1614" spans="1:22">
      <c r="A1614" s="306" t="s">
        <v>1835</v>
      </c>
      <c r="B1614" s="2" t="s">
        <v>1836</v>
      </c>
      <c r="G1614" s="17">
        <f>4.5/140</f>
        <v>3.214285714285714E-2</v>
      </c>
      <c r="L1614" s="752"/>
    </row>
    <row r="1615" spans="1:22">
      <c r="A1615" s="306"/>
      <c r="L1615" s="752"/>
    </row>
    <row r="1616" spans="1:22">
      <c r="A1616" s="306"/>
      <c r="L1616" s="752"/>
    </row>
    <row r="1617" spans="1:22">
      <c r="A1617" s="306"/>
      <c r="L1617" s="752"/>
    </row>
    <row r="1618" spans="1:22">
      <c r="A1618" s="306"/>
      <c r="L1618" s="752"/>
    </row>
    <row r="1619" spans="1:22">
      <c r="A1619" s="306"/>
      <c r="L1619" s="752"/>
    </row>
    <row r="1620" spans="1:22">
      <c r="A1620" s="306"/>
      <c r="L1620" s="752"/>
    </row>
    <row r="1621" spans="1:22">
      <c r="A1621" s="306"/>
      <c r="L1621" s="752"/>
    </row>
    <row r="1622" spans="1:22">
      <c r="A1622" s="306"/>
      <c r="L1622" s="752"/>
    </row>
    <row r="1623" spans="1:22">
      <c r="A1623" s="306"/>
      <c r="L1623" s="752"/>
    </row>
    <row r="1624" spans="1:22" ht="13.8" thickBot="1">
      <c r="L1624" s="752"/>
    </row>
    <row r="1625" spans="1:22" ht="25.2" thickBot="1">
      <c r="A1625" s="64" t="s">
        <v>1150</v>
      </c>
      <c r="B1625" s="94"/>
      <c r="C1625" s="94"/>
      <c r="D1625" s="94"/>
      <c r="E1625" s="94"/>
      <c r="F1625" s="94"/>
      <c r="G1625" s="106"/>
      <c r="H1625" s="95"/>
      <c r="I1625" s="95"/>
      <c r="J1625" s="95"/>
      <c r="K1625" s="95"/>
      <c r="L1625" s="99"/>
      <c r="R1625" s="22"/>
      <c r="S1625" s="22"/>
      <c r="T1625" s="20"/>
      <c r="U1625" s="20"/>
      <c r="V1625" s="20"/>
    </row>
    <row r="1626" spans="1:22" customFormat="1" ht="14.4">
      <c r="A1626" s="367" t="s">
        <v>1151</v>
      </c>
      <c r="B1626" s="357"/>
      <c r="C1626" s="357" t="s">
        <v>1152</v>
      </c>
      <c r="D1626" s="357" t="s">
        <v>1153</v>
      </c>
      <c r="E1626" s="357" t="s">
        <v>1154</v>
      </c>
      <c r="F1626" s="357" t="s">
        <v>1159</v>
      </c>
      <c r="G1626" s="357" t="s">
        <v>1169</v>
      </c>
      <c r="H1626" s="3"/>
      <c r="K1626" t="s">
        <v>1155</v>
      </c>
      <c r="L1626" s="749"/>
      <c r="M1626" s="3"/>
      <c r="T1626" s="445">
        <v>211</v>
      </c>
    </row>
    <row r="1627" spans="1:22" customFormat="1" ht="14.4">
      <c r="A1627" s="401" t="str">
        <f t="shared" ref="A1627:A1665" si="143">F1627&amp;"."&amp;C1627&amp;"-"&amp;D1627&amp;"-"&amp;E1627&amp;"K"</f>
        <v>CH1.8-100-304K</v>
      </c>
      <c r="B1627" s="401"/>
      <c r="C1627" s="385">
        <v>8</v>
      </c>
      <c r="D1627" s="385">
        <v>100</v>
      </c>
      <c r="E1627" s="376">
        <v>304</v>
      </c>
      <c r="F1627" s="353" t="s">
        <v>1156</v>
      </c>
      <c r="G1627" s="359">
        <f t="shared" ref="G1627:G1665" si="144">K1627/10^6</f>
        <v>1.1640821292571471E-2</v>
      </c>
      <c r="H1627" s="3"/>
      <c r="I1627" s="355"/>
      <c r="J1627" s="355"/>
      <c r="K1627" s="356">
        <f>((PI()*C1627^2)/4)*(IF(C1627=6,55.133,IF(C1627=8,57.227,IF(C1627=10,59.322)))+((2/SQRT(3))*(D1627-(IF(C1627=6,22.5,IF(C1627=8,24.5,IF(C1627=10,26.5))))))*2*1)</f>
        <v>11640.821292571471</v>
      </c>
      <c r="L1627" s="750"/>
      <c r="M1627" s="3"/>
      <c r="T1627" s="436">
        <v>311</v>
      </c>
    </row>
    <row r="1628" spans="1:22" customFormat="1" ht="14.4">
      <c r="A1628" s="401" t="str">
        <f t="shared" si="143"/>
        <v>CH1.--K</v>
      </c>
      <c r="B1628" s="401"/>
      <c r="C1628" s="385"/>
      <c r="D1628" s="385"/>
      <c r="E1628" s="385"/>
      <c r="F1628" s="353" t="s">
        <v>1156</v>
      </c>
      <c r="G1628" s="359">
        <f t="shared" si="144"/>
        <v>0</v>
      </c>
      <c r="H1628" s="3"/>
      <c r="I1628" s="355"/>
      <c r="J1628" s="355"/>
      <c r="K1628" s="356">
        <f>((PI()*C1628^2)/4)*(IF(C1628=6,55.133,IF(C1628=8,57.227,IF(C1628=10,59.322)))+((2/SQRT(3))*(D1628-(IF(C1628=6,22.5,IF(C1628=8,24.5,IF(C1628=10,26.5))))))*2*1)</f>
        <v>0</v>
      </c>
      <c r="L1628" s="750"/>
      <c r="M1628" s="3"/>
      <c r="T1628" s="436">
        <v>411</v>
      </c>
    </row>
    <row r="1629" spans="1:22" customFormat="1" ht="14.4">
      <c r="A1629" s="401" t="str">
        <f t="shared" si="143"/>
        <v>CH1.--K</v>
      </c>
      <c r="B1629" s="401"/>
      <c r="C1629" s="385"/>
      <c r="D1629" s="385"/>
      <c r="E1629" s="385"/>
      <c r="F1629" s="353" t="s">
        <v>1156</v>
      </c>
      <c r="G1629" s="359">
        <f t="shared" si="144"/>
        <v>0</v>
      </c>
      <c r="H1629" s="3"/>
      <c r="I1629" s="355"/>
      <c r="J1629" s="355"/>
      <c r="K1629" s="356">
        <f>((PI()*C1629^2)/4)*(IF(C1629=6,55.133,IF(C1629=8,57.227,IF(C1629=10,59.322)))+((2/SQRT(3))*(D1629-(IF(C1629=6,22.5,IF(C1629=8,24.5,IF(C1629=10,26.5))))))*2*1)</f>
        <v>0</v>
      </c>
      <c r="L1629" s="750"/>
      <c r="M1629" s="3"/>
      <c r="T1629" s="436">
        <v>511</v>
      </c>
    </row>
    <row r="1630" spans="1:22" customFormat="1" ht="14.4">
      <c r="A1630" s="399" t="str">
        <f t="shared" si="143"/>
        <v>CH2.8-100-Material?K</v>
      </c>
      <c r="B1630" s="399"/>
      <c r="C1630" s="385">
        <v>8</v>
      </c>
      <c r="D1630" s="385">
        <v>100</v>
      </c>
      <c r="E1630" s="376" t="s">
        <v>1184</v>
      </c>
      <c r="F1630" s="353" t="s">
        <v>1157</v>
      </c>
      <c r="G1630" s="359">
        <f t="shared" si="144"/>
        <v>1.2079035218970456E-2</v>
      </c>
      <c r="H1630" s="3"/>
      <c r="I1630" s="355"/>
      <c r="J1630" s="355"/>
      <c r="K1630" s="356">
        <f>((PI()*C1630^2)/4)*(IF(C1630=6,55.133,IF(C1630=8,57.227,IF(C1630=10,59.322)))+((2/SQRT(3))*(D1630-(IF(C1630=6,22.5,IF(C1630=8,24.5,IF(C1630=10,26.5))))))*2*1.05)</f>
        <v>12079.035218970457</v>
      </c>
      <c r="L1630" s="750"/>
      <c r="M1630" s="3"/>
      <c r="T1630" s="436">
        <v>811</v>
      </c>
    </row>
    <row r="1631" spans="1:22" customFormat="1" ht="14.4">
      <c r="A1631" s="399" t="str">
        <f t="shared" si="143"/>
        <v>CH2.--K</v>
      </c>
      <c r="B1631" s="399"/>
      <c r="C1631" s="385"/>
      <c r="D1631" s="385"/>
      <c r="E1631" s="398"/>
      <c r="F1631" s="353" t="s">
        <v>1157</v>
      </c>
      <c r="G1631" s="359">
        <f t="shared" si="144"/>
        <v>0</v>
      </c>
      <c r="H1631" s="3"/>
      <c r="I1631" s="355"/>
      <c r="J1631" s="355"/>
      <c r="K1631" s="356">
        <f>((PI()*C1631^2)/4)*(IF(C1631=6,55.133,IF(C1631=8,57.227,IF(C1631=10,59.322)))+((2/SQRT(3))*(D1631-(IF(C1631=6,22.5,IF(C1631=8,24.5,IF(C1631=10,26.5))))))*2*1.05)</f>
        <v>0</v>
      </c>
      <c r="L1631" s="750"/>
      <c r="M1631" s="3"/>
      <c r="T1631" s="401">
        <v>216</v>
      </c>
    </row>
    <row r="1632" spans="1:22" customFormat="1" ht="14.4">
      <c r="A1632" s="399" t="str">
        <f t="shared" si="143"/>
        <v>CH2.--K</v>
      </c>
      <c r="B1632" s="399"/>
      <c r="C1632" s="385"/>
      <c r="D1632" s="385"/>
      <c r="E1632" s="398"/>
      <c r="F1632" s="353" t="s">
        <v>1157</v>
      </c>
      <c r="G1632" s="359">
        <f t="shared" si="144"/>
        <v>0</v>
      </c>
      <c r="H1632" s="3"/>
      <c r="I1632" s="355"/>
      <c r="J1632" s="355"/>
      <c r="K1632" s="356">
        <f>((PI()*C1632^2)/4)*(IF(C1632=6,55.133,IF(C1632=8,57.227,IF(C1632=10,59.322)))+((2/SQRT(3))*(D1632-(IF(C1632=6,22.5,IF(C1632=8,24.5,IF(C1632=10,26.5))))))*2*1.05)</f>
        <v>0</v>
      </c>
      <c r="L1632" s="750"/>
      <c r="M1632" s="3"/>
      <c r="T1632" s="401">
        <v>316</v>
      </c>
    </row>
    <row r="1633" spans="1:20" customFormat="1" ht="14.4">
      <c r="A1633" s="402" t="str">
        <f t="shared" si="143"/>
        <v>CH3.8-100-Material?K</v>
      </c>
      <c r="B1633" s="402"/>
      <c r="C1633" s="385">
        <v>8</v>
      </c>
      <c r="D1633" s="385">
        <v>100</v>
      </c>
      <c r="E1633" s="376" t="s">
        <v>1184</v>
      </c>
      <c r="F1633" s="353" t="s">
        <v>1158</v>
      </c>
      <c r="G1633" s="359">
        <f t="shared" si="144"/>
        <v>1.1745992634907228E-2</v>
      </c>
      <c r="H1633" s="3"/>
      <c r="I1633" s="355"/>
      <c r="J1633" s="355"/>
      <c r="K1633" s="356">
        <f>((PI()*C1633^2)/4)*(IF(C1633=6,55.133,IF(C1633=8,57.227,IF(C1633=10,59.322)))+((2/SQRT(3))*(D1633-(IF(C1633=6,22.5,IF(C1633=8,24.5,IF(C1633=10,26.5))))))*2*1.012)</f>
        <v>11745.992634907228</v>
      </c>
      <c r="L1633" s="750"/>
      <c r="M1633" s="3"/>
      <c r="T1633" s="401">
        <v>516</v>
      </c>
    </row>
    <row r="1634" spans="1:20" customFormat="1" ht="14.4">
      <c r="A1634" s="402" t="str">
        <f t="shared" si="143"/>
        <v>CH3.--K</v>
      </c>
      <c r="B1634" s="402"/>
      <c r="C1634" s="385"/>
      <c r="D1634" s="385"/>
      <c r="E1634" s="398"/>
      <c r="F1634" s="353" t="s">
        <v>1158</v>
      </c>
      <c r="G1634" s="359">
        <f t="shared" si="144"/>
        <v>0</v>
      </c>
      <c r="H1634" s="3"/>
      <c r="I1634" s="355"/>
      <c r="J1634" s="355"/>
      <c r="K1634" s="356">
        <f>((PI()*C1634^2)/4)*(IF(C1634=6,55.133,IF(C1634=8,57.227,IF(C1634=10,59.322)))+((2/SQRT(3))*(D1634-(IF(C1634=6,22.5,IF(C1634=8,24.5,IF(C1634=10,26.5))))))*2*1.012)</f>
        <v>0</v>
      </c>
      <c r="L1634" s="750"/>
      <c r="M1634" s="3"/>
      <c r="T1634" s="401">
        <v>616</v>
      </c>
    </row>
    <row r="1635" spans="1:20" customFormat="1" ht="14.4">
      <c r="A1635" s="402" t="str">
        <f t="shared" si="143"/>
        <v>CH3.--K</v>
      </c>
      <c r="B1635" s="402"/>
      <c r="C1635" s="385"/>
      <c r="D1635" s="385"/>
      <c r="E1635" s="398"/>
      <c r="F1635" s="353" t="s">
        <v>1158</v>
      </c>
      <c r="G1635" s="359">
        <f t="shared" si="144"/>
        <v>0</v>
      </c>
      <c r="H1635" s="3"/>
      <c r="I1635" s="355"/>
      <c r="J1635" s="355"/>
      <c r="K1635" s="356">
        <f>((PI()*C1635^2)/4)*(IF(C1635=6,55.133,IF(C1635=8,57.227,IF(C1635=10,59.322)))+((2/SQRT(3))*(D1635-(IF(C1635=6,22.5,IF(C1635=8,24.5,IF(C1635=10,26.5))))))*2*1.012)</f>
        <v>0</v>
      </c>
      <c r="L1635" s="750"/>
      <c r="M1635" s="3"/>
      <c r="T1635" s="401">
        <v>716</v>
      </c>
    </row>
    <row r="1636" spans="1:20" customFormat="1" ht="14.4">
      <c r="A1636" s="401" t="str">
        <f t="shared" si="143"/>
        <v>CV1.10-150-Material?K</v>
      </c>
      <c r="B1636" s="401"/>
      <c r="C1636" s="386">
        <v>10</v>
      </c>
      <c r="D1636" s="386">
        <v>150</v>
      </c>
      <c r="E1636" s="376" t="s">
        <v>1184</v>
      </c>
      <c r="F1636" s="67" t="s">
        <v>1160</v>
      </c>
      <c r="G1636" s="361">
        <f t="shared" si="144"/>
        <v>2.5844251553984163E-2</v>
      </c>
      <c r="H1636" s="3"/>
      <c r="I1636" s="355"/>
      <c r="J1636" s="355"/>
      <c r="K1636" s="356">
        <f>((PI()*C1636^2)/4)*(IF(C1636=6,44.279,IF(C1636=8,46.427,IF(C1636=10,48.467)))+((2/SQRT(3))*(D1636-(IF(C1636=6,24.5,IF(C1636=8,26.5,IF(C1636=10,28.5))))))*2*1)</f>
        <v>25844.251553984162</v>
      </c>
      <c r="L1636" s="750"/>
      <c r="T1636" s="401">
        <v>916</v>
      </c>
    </row>
    <row r="1637" spans="1:20" customFormat="1" ht="14.4">
      <c r="A1637" s="401" t="str">
        <f t="shared" si="143"/>
        <v>CV1.--K</v>
      </c>
      <c r="B1637" s="401"/>
      <c r="C1637" s="386"/>
      <c r="D1637" s="386"/>
      <c r="E1637" s="386"/>
      <c r="F1637" s="67" t="s">
        <v>1160</v>
      </c>
      <c r="G1637" s="361">
        <f t="shared" si="144"/>
        <v>0</v>
      </c>
      <c r="H1637" s="3"/>
      <c r="I1637" s="355"/>
      <c r="J1637" s="355"/>
      <c r="K1637" s="356">
        <f>((PI()*C1637^2)/4)*(IF(C1637=6,44.279,IF(C1637=8,46.427,IF(C1637=10,48.467)))+((2/SQRT(3))*(D1637-(IF(C1637=6,24.5,IF(C1637=8,26.5,IF(C1637=10,28.5))))))*2*1)</f>
        <v>0</v>
      </c>
      <c r="L1637" s="750"/>
      <c r="T1637" s="399">
        <v>218</v>
      </c>
    </row>
    <row r="1638" spans="1:20" customFormat="1" ht="14.4">
      <c r="A1638" s="401" t="str">
        <f t="shared" si="143"/>
        <v>CV1.--K</v>
      </c>
      <c r="B1638" s="401"/>
      <c r="C1638" s="386"/>
      <c r="D1638" s="386"/>
      <c r="E1638" s="386"/>
      <c r="F1638" s="67" t="s">
        <v>1160</v>
      </c>
      <c r="G1638" s="361">
        <f t="shared" si="144"/>
        <v>0</v>
      </c>
      <c r="H1638" s="3"/>
      <c r="I1638" s="355"/>
      <c r="J1638" s="355"/>
      <c r="K1638" s="356">
        <f>((PI()*C1638^2)/4)*(IF(C1638=6,44.279,IF(C1638=8,46.427,IF(C1638=10,48.467)))+((2/SQRT(3))*(D1638-(IF(C1638=6,24.5,IF(C1638=8,26.5,IF(C1638=10,28.5))))))*2*1)</f>
        <v>0</v>
      </c>
      <c r="L1638" s="750"/>
      <c r="T1638" s="399">
        <v>318</v>
      </c>
    </row>
    <row r="1639" spans="1:20" customFormat="1" ht="14.4">
      <c r="A1639" s="399" t="str">
        <f t="shared" si="143"/>
        <v>CV2.10-150-Material?K</v>
      </c>
      <c r="B1639" s="399"/>
      <c r="C1639" s="386">
        <v>10</v>
      </c>
      <c r="D1639" s="386">
        <v>150</v>
      </c>
      <c r="E1639" s="376" t="s">
        <v>1184</v>
      </c>
      <c r="F1639" s="67" t="s">
        <v>1161</v>
      </c>
      <c r="G1639" s="361">
        <f t="shared" si="144"/>
        <v>2.6946134667756454E-2</v>
      </c>
      <c r="H1639" s="3"/>
      <c r="I1639" s="355"/>
      <c r="J1639" s="355"/>
      <c r="K1639" s="356">
        <f>((PI()*C1639^2)/4)*(IF(C1639=6,44.279,IF(C1639=8,46.427,IF(C1639=10,48.467)))+((2/SQRT(3))*(D1639-(IF(C1639=6,24.5,IF(C1639=8,26.5,IF(C1639=10,28.5))))))*2*1.05)</f>
        <v>26946.134667756454</v>
      </c>
      <c r="L1639" s="750"/>
      <c r="T1639" s="399">
        <v>518</v>
      </c>
    </row>
    <row r="1640" spans="1:20" customFormat="1" ht="14.4">
      <c r="A1640" s="399" t="str">
        <f t="shared" si="143"/>
        <v>CV2.--K</v>
      </c>
      <c r="B1640" s="399"/>
      <c r="C1640" s="386"/>
      <c r="D1640" s="386"/>
      <c r="E1640" s="386"/>
      <c r="F1640" s="67" t="s">
        <v>1161</v>
      </c>
      <c r="G1640" s="361">
        <f t="shared" si="144"/>
        <v>0</v>
      </c>
      <c r="H1640" s="3"/>
      <c r="I1640" s="355"/>
      <c r="J1640" s="355"/>
      <c r="K1640" s="356">
        <f>((PI()*C1640^2)/4)*(IF(C1640=6,44.279,IF(C1640=8,46.427,IF(C1640=10,48.467)))+((2/SQRT(3))*(D1640-(IF(C1640=6,24.5,IF(C1640=8,26.5,IF(C1640=10,28.5))))))*2*1.05)</f>
        <v>0</v>
      </c>
      <c r="L1640" s="750"/>
      <c r="T1640" s="399">
        <v>618</v>
      </c>
    </row>
    <row r="1641" spans="1:20" customFormat="1" ht="14.4">
      <c r="A1641" s="399" t="str">
        <f t="shared" si="143"/>
        <v>CV2.--K</v>
      </c>
      <c r="B1641" s="399"/>
      <c r="C1641" s="386"/>
      <c r="D1641" s="386"/>
      <c r="E1641" s="386"/>
      <c r="F1641" s="67" t="s">
        <v>1161</v>
      </c>
      <c r="G1641" s="361">
        <f t="shared" si="144"/>
        <v>0</v>
      </c>
      <c r="H1641" s="3"/>
      <c r="I1641" s="355"/>
      <c r="J1641" s="355"/>
      <c r="K1641" s="356">
        <f>((PI()*C1641^2)/4)*(IF(C1641=6,44.279,IF(C1641=8,46.427,IF(C1641=10,48.467)))+((2/SQRT(3))*(D1641-(IF(C1641=6,24.5,IF(C1641=8,26.5,IF(C1641=10,28.5))))))*2*1.05)</f>
        <v>0</v>
      </c>
      <c r="L1641" s="750"/>
      <c r="T1641" s="399">
        <v>718</v>
      </c>
    </row>
    <row r="1642" spans="1:20" customFormat="1" ht="14.4">
      <c r="A1642" s="402" t="str">
        <f t="shared" si="143"/>
        <v>CV3.10-150-Material?K</v>
      </c>
      <c r="B1642" s="402"/>
      <c r="C1642" s="386">
        <v>10</v>
      </c>
      <c r="D1642" s="386">
        <v>150</v>
      </c>
      <c r="E1642" s="376" t="s">
        <v>1184</v>
      </c>
      <c r="F1642" s="67" t="s">
        <v>1162</v>
      </c>
      <c r="G1642" s="361">
        <f t="shared" si="144"/>
        <v>2.848877102703766E-2</v>
      </c>
      <c r="H1642" s="3"/>
      <c r="I1642" s="355"/>
      <c r="J1642" s="355"/>
      <c r="K1642" s="356">
        <f>((PI()*C1642^2)/4)*(IF(C1642=6,44.279,IF(C1642=8,46.427,IF(C1642=10,48.467)))+((2/SQRT(3))*(D1642-(IF(C1642=6,24.5,IF(C1642=8,26.5,IF(C1642=10,28.5))))))*2*1.12)</f>
        <v>28488.771027037659</v>
      </c>
      <c r="L1642" s="750"/>
      <c r="T1642" s="403">
        <v>220</v>
      </c>
    </row>
    <row r="1643" spans="1:20" customFormat="1" ht="14.4">
      <c r="A1643" s="402" t="str">
        <f t="shared" si="143"/>
        <v>CV3.--K</v>
      </c>
      <c r="B1643" s="402"/>
      <c r="C1643" s="386"/>
      <c r="D1643" s="386"/>
      <c r="E1643" s="386"/>
      <c r="F1643" s="67" t="s">
        <v>1162</v>
      </c>
      <c r="G1643" s="361">
        <f t="shared" si="144"/>
        <v>0</v>
      </c>
      <c r="H1643" s="3"/>
      <c r="I1643" s="355"/>
      <c r="J1643" s="355"/>
      <c r="K1643" s="356">
        <f>((PI()*C1643^2)/4)*(IF(C1643=6,44.279,IF(C1643=8,46.427,IF(C1643=10,48.467)))+((2/SQRT(3))*(D1643-(IF(C1643=6,24.5,IF(C1643=8,26.5,IF(C1643=10,28.5))))))*2*1.12)</f>
        <v>0</v>
      </c>
      <c r="L1643" s="750"/>
      <c r="T1643" s="403">
        <v>320</v>
      </c>
    </row>
    <row r="1644" spans="1:20" customFormat="1" ht="14.4">
      <c r="A1644" s="402" t="str">
        <f t="shared" si="143"/>
        <v>CV3.--K</v>
      </c>
      <c r="B1644" s="402"/>
      <c r="C1644" s="386"/>
      <c r="D1644" s="386"/>
      <c r="E1644" s="386"/>
      <c r="F1644" s="67" t="s">
        <v>1162</v>
      </c>
      <c r="G1644" s="361">
        <f t="shared" si="144"/>
        <v>0</v>
      </c>
      <c r="H1644" s="3"/>
      <c r="I1644" s="355"/>
      <c r="J1644" s="355"/>
      <c r="K1644" s="356">
        <f>((PI()*C1644^2)/4)*(IF(C1644=6,44.279,IF(C1644=8,46.427,IF(C1644=10,48.467)))+((2/SQRT(3))*(D1644-(IF(C1644=6,24.5,IF(C1644=8,26.5,IF(C1644=10,28.5))))))*2*1.12)</f>
        <v>0</v>
      </c>
      <c r="L1644" s="750"/>
      <c r="T1644" s="403">
        <v>420</v>
      </c>
    </row>
    <row r="1645" spans="1:20" customFormat="1" ht="14.4">
      <c r="A1645" s="401" t="str">
        <f t="shared" si="143"/>
        <v>STH.10-100-Material?K</v>
      </c>
      <c r="B1645" s="401"/>
      <c r="C1645" s="386">
        <v>10</v>
      </c>
      <c r="D1645" s="386">
        <v>100</v>
      </c>
      <c r="E1645" s="376" t="s">
        <v>1184</v>
      </c>
      <c r="F1645" s="67" t="s">
        <v>1170</v>
      </c>
      <c r="G1645" s="361">
        <f t="shared" si="144"/>
        <v>1.7109192131266354E-2</v>
      </c>
      <c r="H1645" s="3"/>
      <c r="I1645" s="355"/>
      <c r="J1645" s="355"/>
      <c r="K1645" s="356">
        <f>((PI()*C1645^2)/4)*(IF(C1645=6,42.274,IF(C1645=8,46.559,IF(C1645=10,46.841)))+((D1645-(C1645+2))*2)-5)*1</f>
        <v>17109.192131266354</v>
      </c>
      <c r="L1645" s="750"/>
      <c r="M1645" s="3"/>
      <c r="T1645" s="403">
        <v>620</v>
      </c>
    </row>
    <row r="1646" spans="1:20" customFormat="1" ht="14.4">
      <c r="A1646" s="401" t="str">
        <f t="shared" si="143"/>
        <v>STH.--K</v>
      </c>
      <c r="B1646" s="401"/>
      <c r="C1646" s="386"/>
      <c r="D1646" s="386"/>
      <c r="E1646" s="386"/>
      <c r="F1646" s="67" t="s">
        <v>1170</v>
      </c>
      <c r="G1646" s="361">
        <f t="shared" si="144"/>
        <v>0</v>
      </c>
      <c r="H1646" s="3"/>
      <c r="I1646" s="355"/>
      <c r="J1646" s="355"/>
      <c r="K1646" s="356">
        <f>((PI()*C1646^2)/4)*(IF(C1646=6,42.274,IF(C1646=8,46.559,IF(C1646=10,46.841)))+((D1646-(C1646+2))*2)-5)*1</f>
        <v>0</v>
      </c>
      <c r="L1646" s="750"/>
      <c r="M1646" s="3"/>
      <c r="T1646" s="403">
        <v>720</v>
      </c>
    </row>
    <row r="1647" spans="1:20" customFormat="1" ht="14.4">
      <c r="A1647" s="401" t="str">
        <f t="shared" si="143"/>
        <v>STH.--K</v>
      </c>
      <c r="B1647" s="401"/>
      <c r="C1647" s="386"/>
      <c r="D1647" s="386"/>
      <c r="E1647" s="386"/>
      <c r="F1647" s="67" t="s">
        <v>1170</v>
      </c>
      <c r="G1647" s="361">
        <f t="shared" si="144"/>
        <v>0</v>
      </c>
      <c r="H1647" s="3"/>
      <c r="I1647" s="355"/>
      <c r="J1647" s="355"/>
      <c r="K1647" s="356">
        <f>((PI()*C1647^2)/4)*(IF(C1647=6,42.274,IF(C1647=8,46.559,IF(C1647=10,46.841)))+((D1647-(C1647+2))*2)-5)*1</f>
        <v>0</v>
      </c>
      <c r="L1647" s="750"/>
      <c r="M1647" s="3"/>
      <c r="T1647" s="403">
        <v>820</v>
      </c>
    </row>
    <row r="1648" spans="1:20" customFormat="1" ht="14.4">
      <c r="A1648" s="399" t="str">
        <f t="shared" si="143"/>
        <v>CTH.10-100-Material?K</v>
      </c>
      <c r="B1648" s="399"/>
      <c r="C1648" s="386">
        <v>10</v>
      </c>
      <c r="D1648" s="386">
        <v>100</v>
      </c>
      <c r="E1648" s="376" t="s">
        <v>1184</v>
      </c>
      <c r="F1648" s="67" t="s">
        <v>1171</v>
      </c>
      <c r="G1648" s="361">
        <f t="shared" si="144"/>
        <v>1.7964651737829674E-2</v>
      </c>
      <c r="H1648" s="3"/>
      <c r="I1648" s="355"/>
      <c r="J1648" s="355"/>
      <c r="K1648" s="356">
        <f>((PI()*C1648^2)/4)*(IF(C1648=6,42.274,IF(C1648=8,46.559,IF(C1648=10,46.841)))+((D1648-(C1648+2))*2)-5)*1.05</f>
        <v>17964.651737829674</v>
      </c>
      <c r="L1648" s="750"/>
      <c r="M1648" s="3"/>
      <c r="T1648" s="402">
        <v>322</v>
      </c>
    </row>
    <row r="1649" spans="1:20" customFormat="1" ht="14.4">
      <c r="A1649" s="399" t="str">
        <f t="shared" si="143"/>
        <v>CTH.--K</v>
      </c>
      <c r="B1649" s="399"/>
      <c r="C1649" s="386"/>
      <c r="D1649" s="386"/>
      <c r="E1649" s="386"/>
      <c r="F1649" s="67" t="s">
        <v>1171</v>
      </c>
      <c r="G1649" s="361">
        <f t="shared" si="144"/>
        <v>0</v>
      </c>
      <c r="H1649" s="3"/>
      <c r="I1649" s="355"/>
      <c r="J1649" s="355"/>
      <c r="K1649" s="356">
        <f>((PI()*C1649^2)/4)*(IF(C1649=6,42.274,IF(C1649=8,46.559,IF(C1649=10,46.841)))+((D1649-(C1649+2))*2)-5)*1.05</f>
        <v>0</v>
      </c>
      <c r="L1649" s="750"/>
      <c r="M1649" s="3"/>
      <c r="T1649" s="402">
        <v>422</v>
      </c>
    </row>
    <row r="1650" spans="1:20" customFormat="1" ht="14.4">
      <c r="A1650" s="399" t="str">
        <f t="shared" si="143"/>
        <v>CTH.--K</v>
      </c>
      <c r="B1650" s="399"/>
      <c r="C1650" s="386"/>
      <c r="D1650" s="386"/>
      <c r="E1650" s="386"/>
      <c r="F1650" s="67" t="s">
        <v>1171</v>
      </c>
      <c r="G1650" s="361">
        <f t="shared" si="144"/>
        <v>0</v>
      </c>
      <c r="H1650" s="3"/>
      <c r="I1650" s="355"/>
      <c r="J1650" s="355"/>
      <c r="K1650" s="356">
        <f>((PI()*C1650^2)/4)*(IF(C1650=6,42.274,IF(C1650=8,46.559,IF(C1650=10,46.841)))+((D1650-(C1650+2))*2)-5)*1.05</f>
        <v>0</v>
      </c>
      <c r="L1650" s="750"/>
      <c r="M1650" s="3"/>
      <c r="T1650" s="402">
        <v>522</v>
      </c>
    </row>
    <row r="1651" spans="1:20" customFormat="1" ht="14.4">
      <c r="A1651" s="402" t="str">
        <f t="shared" si="143"/>
        <v>HTH.10-100-Material?K</v>
      </c>
      <c r="B1651" s="402"/>
      <c r="C1651" s="386">
        <v>10</v>
      </c>
      <c r="D1651" s="386">
        <v>100</v>
      </c>
      <c r="E1651" s="376" t="s">
        <v>1184</v>
      </c>
      <c r="F1651" s="67" t="s">
        <v>1172</v>
      </c>
      <c r="G1651" s="361">
        <f t="shared" si="144"/>
        <v>1.8649019423080327E-2</v>
      </c>
      <c r="H1651" s="3"/>
      <c r="I1651" s="355"/>
      <c r="J1651" s="355"/>
      <c r="K1651" s="356">
        <f>((PI()*C1651^2)/4)*(IF(C1651=6,42.274,IF(C1651=8,46.559,IF(C1651=10,46.841)))+((D1651-(C1651+2))*2)-5)*1.09</f>
        <v>18649.019423080328</v>
      </c>
      <c r="L1651" s="750"/>
      <c r="M1651" s="3"/>
      <c r="T1651" s="438">
        <v>722</v>
      </c>
    </row>
    <row r="1652" spans="1:20" customFormat="1" ht="14.4">
      <c r="A1652" s="402" t="str">
        <f t="shared" si="143"/>
        <v>HTH.--K</v>
      </c>
      <c r="B1652" s="402"/>
      <c r="C1652" s="386"/>
      <c r="D1652" s="386"/>
      <c r="E1652" s="386"/>
      <c r="F1652" s="67" t="s">
        <v>1172</v>
      </c>
      <c r="G1652" s="361">
        <f t="shared" si="144"/>
        <v>0</v>
      </c>
      <c r="H1652" s="3"/>
      <c r="I1652" s="355"/>
      <c r="J1652" s="355"/>
      <c r="K1652" s="356">
        <f>((PI()*C1652^2)/4)*(IF(C1652=6,42.274,IF(C1652=8,46.559,IF(C1652=10,46.841)))+((D1652-(C1652+2))*2)-5)*1.09</f>
        <v>0</v>
      </c>
      <c r="L1652" s="750"/>
      <c r="M1652" s="3"/>
      <c r="T1652" s="402">
        <v>822</v>
      </c>
    </row>
    <row r="1653" spans="1:20" customFormat="1" ht="14.4">
      <c r="A1653" s="402" t="str">
        <f t="shared" si="143"/>
        <v>HTH.--K</v>
      </c>
      <c r="B1653" s="402"/>
      <c r="C1653" s="386"/>
      <c r="D1653" s="386"/>
      <c r="E1653" s="386"/>
      <c r="F1653" s="67" t="s">
        <v>1172</v>
      </c>
      <c r="G1653" s="361">
        <f t="shared" si="144"/>
        <v>0</v>
      </c>
      <c r="H1653" s="3"/>
      <c r="I1653" s="355"/>
      <c r="J1653" s="355"/>
      <c r="K1653" s="356">
        <f>((PI()*C1653^2)/4)*(IF(C1653=6,42.274,IF(C1653=8,46.559,IF(C1653=10,46.841)))+((D1653-(C1653+2))*2)-5)*1.09</f>
        <v>0</v>
      </c>
      <c r="L1653" s="750"/>
      <c r="M1653" s="3"/>
      <c r="T1653" s="441">
        <v>225</v>
      </c>
    </row>
    <row r="1654" spans="1:20" customFormat="1" ht="14.4">
      <c r="A1654" s="401" t="str">
        <f t="shared" si="143"/>
        <v>STP.10-100-Material?K</v>
      </c>
      <c r="B1654" s="401"/>
      <c r="C1654" s="386">
        <v>10</v>
      </c>
      <c r="D1654" s="386">
        <v>100</v>
      </c>
      <c r="E1654" s="376" t="s">
        <v>1184</v>
      </c>
      <c r="F1654" s="67" t="s">
        <v>1163</v>
      </c>
      <c r="G1654" s="361">
        <f t="shared" si="144"/>
        <v>1.5028672396426513E-2</v>
      </c>
      <c r="H1654" s="3"/>
      <c r="I1654" s="355"/>
      <c r="J1654" s="355"/>
      <c r="K1654" s="356">
        <f>((PI()*C1654^2)/4)*(IF(C1654=6,11.042,IF(C1654=8,14.197,IF(C1654=10,17.351)))+((D1654-(C1654+0.5))*2)-5)*1</f>
        <v>15028.672396426513</v>
      </c>
      <c r="L1654" s="750"/>
      <c r="M1654" s="3"/>
      <c r="T1654" s="441">
        <v>425</v>
      </c>
    </row>
    <row r="1655" spans="1:20" customFormat="1" ht="14.4">
      <c r="A1655" s="401" t="str">
        <f t="shared" si="143"/>
        <v>STP.--K</v>
      </c>
      <c r="B1655" s="401"/>
      <c r="C1655" s="386"/>
      <c r="D1655" s="386"/>
      <c r="E1655" s="386"/>
      <c r="F1655" s="67" t="s">
        <v>1163</v>
      </c>
      <c r="G1655" s="361">
        <f t="shared" si="144"/>
        <v>0</v>
      </c>
      <c r="H1655" s="3"/>
      <c r="I1655" s="355"/>
      <c r="J1655" s="355"/>
      <c r="K1655" s="356">
        <f>((PI()*C1655^2)/4)*(IF(C1655=6,11.042,IF(C1655=8,14.197,IF(C1655=10,17.351)))+((D1655-(C1655+0.5))*2)-5)*1</f>
        <v>0</v>
      </c>
      <c r="L1655" s="750"/>
      <c r="M1655" s="3"/>
      <c r="T1655" s="441">
        <v>525</v>
      </c>
    </row>
    <row r="1656" spans="1:20" customFormat="1" ht="14.4">
      <c r="A1656" s="401" t="str">
        <f t="shared" si="143"/>
        <v>STP.--K</v>
      </c>
      <c r="B1656" s="401"/>
      <c r="C1656" s="386"/>
      <c r="D1656" s="386"/>
      <c r="E1656" s="386"/>
      <c r="F1656" s="67" t="s">
        <v>1163</v>
      </c>
      <c r="G1656" s="361">
        <f t="shared" si="144"/>
        <v>0</v>
      </c>
      <c r="H1656" s="3"/>
      <c r="I1656" s="355"/>
      <c r="J1656" s="355"/>
      <c r="K1656" s="356">
        <f>((PI()*C1656^2)/4)*(IF(C1656=6,11.042,IF(C1656=8,14.197,IF(C1656=10,17.351)))+((D1656-(C1656+0.5))*2)-5)*1</f>
        <v>0</v>
      </c>
      <c r="L1656" s="750"/>
      <c r="M1656" s="3"/>
      <c r="T1656" s="441">
        <v>625</v>
      </c>
    </row>
    <row r="1657" spans="1:20" customFormat="1" ht="14.4">
      <c r="A1657" s="399" t="str">
        <f t="shared" si="143"/>
        <v>CTP.10-100-Material?K</v>
      </c>
      <c r="B1657" s="399"/>
      <c r="C1657" s="386">
        <v>10</v>
      </c>
      <c r="D1657" s="386">
        <v>100</v>
      </c>
      <c r="E1657" s="376" t="s">
        <v>1184</v>
      </c>
      <c r="F1657" s="67" t="s">
        <v>1164</v>
      </c>
      <c r="G1657" s="361">
        <f t="shared" si="144"/>
        <v>1.5780106016247838E-2</v>
      </c>
      <c r="H1657" s="3"/>
      <c r="I1657" s="355"/>
      <c r="J1657" s="355"/>
      <c r="K1657" s="356">
        <f>((PI()*C1657^2)/4)*(IF(C1657=6,11.042,IF(C1657=8,14.197,IF(C1657=10,17.351)))+((D1657-(C1657+0.5))*2)-5)*1.05</f>
        <v>15780.106016247839</v>
      </c>
      <c r="L1657" s="750"/>
      <c r="M1657" s="3"/>
      <c r="T1657" s="441">
        <v>825</v>
      </c>
    </row>
    <row r="1658" spans="1:20" customFormat="1" ht="14.4">
      <c r="A1658" s="399" t="str">
        <f t="shared" si="143"/>
        <v>CTP.--K</v>
      </c>
      <c r="B1658" s="399"/>
      <c r="C1658" s="386"/>
      <c r="D1658" s="386"/>
      <c r="E1658" s="386"/>
      <c r="F1658" s="67" t="s">
        <v>1164</v>
      </c>
      <c r="G1658" s="361">
        <f t="shared" si="144"/>
        <v>0</v>
      </c>
      <c r="H1658" s="3"/>
      <c r="I1658" s="355"/>
      <c r="J1658" s="355"/>
      <c r="K1658" s="356">
        <f>((PI()*C1658^2)/4)*(IF(C1658=6,11.042,IF(C1658=8,14.197,IF(C1658=10,17.351)))+((D1658-(C1658+0.5))*2)-5)*1.05</f>
        <v>0</v>
      </c>
      <c r="L1658" s="750"/>
      <c r="M1658" s="3"/>
      <c r="T1658" s="439">
        <v>230</v>
      </c>
    </row>
    <row r="1659" spans="1:20" customFormat="1" ht="14.4">
      <c r="A1659" s="399" t="str">
        <f t="shared" si="143"/>
        <v>CTP.--K</v>
      </c>
      <c r="B1659" s="399"/>
      <c r="C1659" s="386"/>
      <c r="D1659" s="386"/>
      <c r="E1659" s="386"/>
      <c r="F1659" s="67" t="s">
        <v>1164</v>
      </c>
      <c r="G1659" s="361">
        <f t="shared" si="144"/>
        <v>0</v>
      </c>
      <c r="H1659" s="3"/>
      <c r="I1659" s="355"/>
      <c r="J1659" s="355"/>
      <c r="K1659" s="356">
        <f>((PI()*C1659^2)/4)*(IF(C1659=6,11.042,IF(C1659=8,14.197,IF(C1659=10,17.351)))+((D1659-(C1659+0.5))*2)-5)*1.05</f>
        <v>0</v>
      </c>
      <c r="L1659" s="750"/>
      <c r="M1659" s="3"/>
      <c r="T1659" s="439">
        <v>330</v>
      </c>
    </row>
    <row r="1660" spans="1:20" customFormat="1" ht="14.4">
      <c r="A1660" s="402" t="str">
        <f t="shared" si="143"/>
        <v>HTP.10-100-Material?K</v>
      </c>
      <c r="B1660" s="402"/>
      <c r="C1660" s="386">
        <v>10</v>
      </c>
      <c r="D1660" s="386">
        <v>100</v>
      </c>
      <c r="E1660" s="376" t="s">
        <v>1184</v>
      </c>
      <c r="F1660" s="67" t="s">
        <v>1165</v>
      </c>
      <c r="G1660" s="361">
        <f t="shared" si="144"/>
        <v>1.6381252912104901E-2</v>
      </c>
      <c r="H1660" s="3"/>
      <c r="I1660" s="355"/>
      <c r="J1660" s="355"/>
      <c r="K1660" s="356">
        <f>((PI()*C1660^2)/4)*(IF(C1660=6,11.042,IF(C1660=8,14.197,IF(C1660=10,17.351)))+((D1660-(C1660+0.5))*2)-5)*1.09</f>
        <v>16381.252912104901</v>
      </c>
      <c r="L1660" s="750"/>
      <c r="M1660" s="3"/>
      <c r="T1660" s="439">
        <v>630</v>
      </c>
    </row>
    <row r="1661" spans="1:20" customFormat="1" ht="14.4">
      <c r="A1661" s="402" t="str">
        <f t="shared" si="143"/>
        <v>HTP.--K</v>
      </c>
      <c r="B1661" s="402"/>
      <c r="C1661" s="386"/>
      <c r="D1661" s="386"/>
      <c r="E1661" s="386"/>
      <c r="F1661" s="67" t="s">
        <v>1165</v>
      </c>
      <c r="G1661" s="361">
        <f t="shared" si="144"/>
        <v>0</v>
      </c>
      <c r="H1661" s="3"/>
      <c r="I1661" s="355"/>
      <c r="J1661" s="355"/>
      <c r="K1661" s="356">
        <f>((PI()*C1661^2)/4)*(IF(C1661=6,11.042,IF(C1661=8,14.197,IF(C1661=10,17.351)))+((D1661-(C1661+0.5))*2)-5)*1.09</f>
        <v>0</v>
      </c>
      <c r="L1661" s="750"/>
      <c r="M1661" s="3"/>
      <c r="T1661" s="439">
        <v>830</v>
      </c>
    </row>
    <row r="1662" spans="1:20" customFormat="1" ht="14.4">
      <c r="A1662" s="402" t="str">
        <f t="shared" si="143"/>
        <v>HTP.--K</v>
      </c>
      <c r="B1662" s="402"/>
      <c r="C1662" s="386"/>
      <c r="D1662" s="386"/>
      <c r="E1662" s="386"/>
      <c r="F1662" s="67" t="s">
        <v>1165</v>
      </c>
      <c r="G1662" s="361">
        <f t="shared" si="144"/>
        <v>0</v>
      </c>
      <c r="H1662" s="3"/>
      <c r="I1662" s="355"/>
      <c r="J1662" s="355"/>
      <c r="K1662" s="356">
        <f>((PI()*C1662^2)/4)*(IF(C1662=6,11.042,IF(C1662=8,14.197,IF(C1662=10,17.351)))+((D1662-(C1662+0.5))*2)-5)*1.09</f>
        <v>0</v>
      </c>
      <c r="L1662" s="750"/>
      <c r="M1662" s="3"/>
      <c r="T1662" s="443">
        <v>235</v>
      </c>
    </row>
    <row r="1663" spans="1:20" customFormat="1" ht="14.4">
      <c r="A1663" s="401" t="str">
        <f t="shared" si="143"/>
        <v>SKD.6-100-Material?K</v>
      </c>
      <c r="B1663" s="401"/>
      <c r="C1663" s="386">
        <v>6</v>
      </c>
      <c r="D1663" s="386">
        <v>100</v>
      </c>
      <c r="E1663" s="376" t="s">
        <v>1184</v>
      </c>
      <c r="F1663" s="67" t="s">
        <v>1174</v>
      </c>
      <c r="G1663" s="361">
        <f t="shared" si="144"/>
        <v>5.4581339613085271E-3</v>
      </c>
      <c r="I1663" s="355"/>
      <c r="J1663" s="355"/>
      <c r="K1663" s="356">
        <f>((PI()*C1663^2)/4)*(IF(C1663=6,11.042,IF(C1663=8,14.197,IF(C1663=10,17.351)))+((D1663-(C1663+0.5))*2)-5)*1</f>
        <v>5458.1339613085274</v>
      </c>
      <c r="L1663" s="750"/>
      <c r="T1663" s="443">
        <v>435</v>
      </c>
    </row>
    <row r="1664" spans="1:20" customFormat="1" ht="14.4">
      <c r="A1664" s="401" t="str">
        <f t="shared" si="143"/>
        <v>SKD.--K</v>
      </c>
      <c r="B1664" s="401"/>
      <c r="C1664" s="386"/>
      <c r="D1664" s="386"/>
      <c r="E1664" s="386"/>
      <c r="F1664" s="67" t="s">
        <v>1174</v>
      </c>
      <c r="G1664" s="361">
        <f t="shared" si="144"/>
        <v>0</v>
      </c>
      <c r="I1664" s="355"/>
      <c r="J1664" s="355"/>
      <c r="K1664" s="356">
        <f>((PI()*C1664^2)/4)*(IF(C1664=6,11.042,IF(C1664=8,14.197,IF(C1664=10,17.351)))+((D1664-(C1664+0.5))*2)-5)*1</f>
        <v>0</v>
      </c>
      <c r="L1664" s="750"/>
      <c r="T1664" s="443">
        <v>635</v>
      </c>
    </row>
    <row r="1665" spans="1:20" customFormat="1" ht="15" thickBot="1">
      <c r="A1665" s="401" t="str">
        <f t="shared" si="143"/>
        <v>SKD.--K</v>
      </c>
      <c r="B1665" s="401"/>
      <c r="C1665" s="386"/>
      <c r="D1665" s="386"/>
      <c r="E1665" s="386"/>
      <c r="F1665" s="67" t="s">
        <v>1174</v>
      </c>
      <c r="G1665" s="361">
        <f t="shared" si="144"/>
        <v>0</v>
      </c>
      <c r="I1665" s="355"/>
      <c r="J1665" s="355"/>
      <c r="K1665" s="356">
        <f>((PI()*C1665^2)/4)*(IF(C1665=6,11.042,IF(C1665=8,14.197,IF(C1665=10,17.351)))+((D1665-(C1665+0.5))*2)-5)*1</f>
        <v>0</v>
      </c>
      <c r="L1665" s="750"/>
      <c r="T1665" s="446">
        <v>835</v>
      </c>
    </row>
    <row r="1666" spans="1:20" customFormat="1" ht="14.4">
      <c r="A1666" s="445" t="str">
        <f>F1666&amp;"."&amp;C1666&amp;"-"&amp;E1666</f>
        <v>WB.10-Material?</v>
      </c>
      <c r="B1666" s="67"/>
      <c r="C1666" s="386">
        <v>10</v>
      </c>
      <c r="D1666" s="67"/>
      <c r="E1666" s="376" t="s">
        <v>1184</v>
      </c>
      <c r="F1666" s="67" t="s">
        <v>1175</v>
      </c>
      <c r="G1666" s="360">
        <f>77.78256*(PI()*C1666^2)/4</f>
        <v>6109.0279768351829</v>
      </c>
      <c r="L1666" s="750"/>
    </row>
    <row r="1667" spans="1:20" customFormat="1" ht="14.4">
      <c r="A1667" s="436" t="str">
        <f>F1667&amp;"."&amp;C1667&amp;"-"&amp;E1667</f>
        <v>WB.12-Material?</v>
      </c>
      <c r="B1667" s="67"/>
      <c r="C1667" s="386">
        <v>12</v>
      </c>
      <c r="D1667" s="67"/>
      <c r="E1667" s="376" t="s">
        <v>1184</v>
      </c>
      <c r="F1667" s="67" t="s">
        <v>1175</v>
      </c>
      <c r="G1667" s="360">
        <f>77.30728*(PI()*C1667^2)/4</f>
        <v>8743.2473850123297</v>
      </c>
      <c r="L1667" s="750"/>
    </row>
    <row r="1668" spans="1:20">
      <c r="L1668" s="750"/>
    </row>
    <row r="1669" spans="1:20" s="306" customFormat="1">
      <c r="A1669" s="367" t="s">
        <v>1151</v>
      </c>
      <c r="B1669" s="367" t="s">
        <v>2160</v>
      </c>
      <c r="C1669" s="362" t="s">
        <v>1152</v>
      </c>
      <c r="D1669" s="362" t="s">
        <v>2161</v>
      </c>
      <c r="E1669" s="362" t="s">
        <v>2162</v>
      </c>
      <c r="F1669" s="362" t="s">
        <v>1154</v>
      </c>
      <c r="G1669" s="357" t="s">
        <v>1169</v>
      </c>
      <c r="H1669" s="357" t="s">
        <v>1159</v>
      </c>
      <c r="L1669" s="750"/>
      <c r="Q1669" s="557"/>
      <c r="R1669" s="2"/>
    </row>
    <row r="1670" spans="1:20" customFormat="1" ht="14.4">
      <c r="A1670" s="399" t="str">
        <f>H1670&amp;"."&amp;C1670&amp;"("&amp;B1670&amp;")"&amp;D1670&amp;"/"&amp;E1670&amp;"-"&amp;F1670</f>
        <v>RCA.8(120)80/20-Material?</v>
      </c>
      <c r="B1670" s="591">
        <v>120</v>
      </c>
      <c r="C1670" s="386">
        <v>8</v>
      </c>
      <c r="D1670" s="386">
        <v>80</v>
      </c>
      <c r="E1670" s="386">
        <v>20</v>
      </c>
      <c r="F1670" s="376" t="s">
        <v>1184</v>
      </c>
      <c r="G1670" s="361">
        <f t="shared" ref="G1670:G1672" si="145">K1670/10^6</f>
        <v>1.8117962998069476E-2</v>
      </c>
      <c r="H1670" s="358" t="s">
        <v>2163</v>
      </c>
      <c r="I1670" s="355"/>
      <c r="J1670" s="355"/>
      <c r="K1670" s="356">
        <f>((PI()*C1670^2)/4)*((120-10-C1670)+((C1670+10)*PI()*180/360)+((D1670-(C1670/2)-5)*2)+((C1670+15)*PI()*B1670/360*2)+(E1670*2))</f>
        <v>18117.962998069477</v>
      </c>
      <c r="L1670" s="750"/>
      <c r="M1670">
        <f>(120-10-C1670)+((C1670+10)*PI()*180/360)+((D1670-(C1670/2)-5)*2)+((C1670+15)*PI()*B1670/360*2)+(E1670*2)</f>
        <v>360.44542123735164</v>
      </c>
    </row>
    <row r="1671" spans="1:20" customFormat="1" ht="14.4">
      <c r="A1671" s="399" t="str">
        <f>H1671&amp;"."&amp;C1671&amp;"("&amp;B1671&amp;")"&amp;D1671&amp;"/"&amp;E1671&amp;"-"&amp;F1671</f>
        <v>RCA.()/-</v>
      </c>
      <c r="B1671" s="591"/>
      <c r="C1671" s="386"/>
      <c r="D1671" s="386"/>
      <c r="E1671" s="386"/>
      <c r="F1671" s="376"/>
      <c r="G1671" s="361">
        <f t="shared" si="145"/>
        <v>0</v>
      </c>
      <c r="H1671" s="358" t="s">
        <v>2163</v>
      </c>
      <c r="I1671" s="355"/>
      <c r="J1671" s="355"/>
      <c r="K1671" s="356">
        <f>((PI()*C1671^2)/4)*((120-10-C1671)+((C1671+10)*PI()*180/360)+((D1671-(C1671/2)-5)*2)+((C1671+15)*PI()*B1671/360*2)+(E1671*2))</f>
        <v>0</v>
      </c>
      <c r="L1671" s="750"/>
      <c r="M1671">
        <f>(120-10-C1671)+((C1671+10)*PI()*180/360)+((D1671-(C1671/2)-5)*2)+((C1671+15)*PI()*B1671/360*2)+(E1671*2)</f>
        <v>115.70796326794897</v>
      </c>
    </row>
    <row r="1672" spans="1:20" customFormat="1" ht="14.4">
      <c r="A1672" s="399" t="str">
        <f>H1672&amp;"."&amp;C1672&amp;"("&amp;B1672&amp;")"&amp;D1672&amp;"/"&amp;E1672&amp;"-"&amp;F1672</f>
        <v>RCA.()/-</v>
      </c>
      <c r="B1672" s="591"/>
      <c r="C1672" s="386"/>
      <c r="D1672" s="386"/>
      <c r="E1672" s="386"/>
      <c r="F1672" s="376"/>
      <c r="G1672" s="361">
        <f t="shared" si="145"/>
        <v>0</v>
      </c>
      <c r="H1672" s="358" t="s">
        <v>2163</v>
      </c>
      <c r="I1672" s="355"/>
      <c r="J1672" s="355"/>
      <c r="K1672" s="356">
        <f>((PI()*C1672^2)/4)*((120-10-C1672)+((C1672+10)*PI()*180/360)+((D1672-(C1672/2)-5)*2)+((C1672+15)*PI()*B1672/360*2)+(E1672*2))</f>
        <v>0</v>
      </c>
      <c r="L1672" s="750"/>
      <c r="M1672">
        <f>(120-10-C1672)+((C1672+10)*PI()*180/360)+((D1672-(C1672/2)-5)*2)+((C1672+15)*PI()*B1672/360*2)+(E1672*2)</f>
        <v>115.70796326794897</v>
      </c>
    </row>
    <row r="1673" spans="1:20" s="306" customFormat="1">
      <c r="A1673" s="592"/>
      <c r="B1673" s="471"/>
      <c r="C1673" s="471"/>
      <c r="D1673" s="471"/>
      <c r="E1673" s="471"/>
      <c r="F1673" s="471"/>
      <c r="G1673" s="593"/>
      <c r="H1673" s="592"/>
      <c r="I1673" s="592"/>
      <c r="J1673" s="592"/>
      <c r="K1673" s="592"/>
      <c r="L1673" s="750"/>
      <c r="Q1673" s="557"/>
      <c r="R1673" s="2"/>
    </row>
    <row r="1674" spans="1:20">
      <c r="A1674" s="367" t="s">
        <v>1151</v>
      </c>
      <c r="B1674" s="358"/>
      <c r="C1674" s="362" t="s">
        <v>1152</v>
      </c>
      <c r="D1674" s="362" t="s">
        <v>1153</v>
      </c>
      <c r="E1674" s="362" t="s">
        <v>1168</v>
      </c>
      <c r="F1674" s="362" t="s">
        <v>1154</v>
      </c>
      <c r="G1674" s="357" t="s">
        <v>1169</v>
      </c>
      <c r="H1674" s="357" t="s">
        <v>1159</v>
      </c>
      <c r="L1674" s="750"/>
    </row>
    <row r="1675" spans="1:20" customFormat="1" ht="14.4">
      <c r="A1675" s="399" t="str">
        <f t="shared" ref="A1675:A1680" si="146">H1675&amp;"."&amp;C1675&amp;"-"&amp;D1675&amp;"("&amp;E1675&amp;")"&amp;"-"&amp;F1675&amp;"K"</f>
        <v>TWA.8-100(30)-Material?K</v>
      </c>
      <c r="B1675" s="399"/>
      <c r="C1675" s="386">
        <v>8</v>
      </c>
      <c r="D1675" s="386">
        <v>100</v>
      </c>
      <c r="E1675" s="386">
        <v>30</v>
      </c>
      <c r="F1675" s="376" t="s">
        <v>1184</v>
      </c>
      <c r="G1675" s="361">
        <f t="shared" ref="G1675:G1683" si="147">K1675/10^6</f>
        <v>1.2940661130251163E-2</v>
      </c>
      <c r="H1675" t="s">
        <v>1166</v>
      </c>
      <c r="I1675" s="355"/>
      <c r="J1675" s="355"/>
      <c r="K1675" s="356">
        <f>((PI()*C1675^2)/4)*(63.407+(E1675-11.5)*2+((2/SQRT(3))*((D1675-E1675)-C1675/4))*2*1)</f>
        <v>12940.661130251163</v>
      </c>
      <c r="L1675" s="750"/>
    </row>
    <row r="1676" spans="1:20" customFormat="1" ht="14.4">
      <c r="A1676" s="399" t="str">
        <f t="shared" si="146"/>
        <v>TWA.-()-K</v>
      </c>
      <c r="B1676" s="399"/>
      <c r="C1676" s="386"/>
      <c r="D1676" s="386"/>
      <c r="E1676" s="386"/>
      <c r="F1676" s="386"/>
      <c r="G1676" s="361">
        <f t="shared" si="147"/>
        <v>0</v>
      </c>
      <c r="H1676" t="s">
        <v>1166</v>
      </c>
      <c r="I1676" s="355"/>
      <c r="J1676" s="355"/>
      <c r="K1676" s="356">
        <f>((PI()*C1676^2)/4)*(63.407+(E1676-11.5)*2+((2/SQRT(3))*((D1676-E1676)-C1676/4))*2*1)</f>
        <v>0</v>
      </c>
      <c r="L1676" s="750"/>
    </row>
    <row r="1677" spans="1:20" customFormat="1" ht="14.4">
      <c r="A1677" s="399" t="str">
        <f t="shared" si="146"/>
        <v>TWA.-()-K</v>
      </c>
      <c r="B1677" s="399"/>
      <c r="C1677" s="386"/>
      <c r="D1677" s="386"/>
      <c r="E1677" s="386"/>
      <c r="F1677" s="386"/>
      <c r="G1677" s="361">
        <f t="shared" si="147"/>
        <v>0</v>
      </c>
      <c r="H1677" t="s">
        <v>1166</v>
      </c>
      <c r="I1677" s="355"/>
      <c r="J1677" s="355"/>
      <c r="K1677" s="356">
        <f>((PI()*C1677^2)/4)*(63.407+(E1677-11.5)*2+((2/SQRT(3))*((D1677-E1677)-C1677/4))*2*1)</f>
        <v>0</v>
      </c>
      <c r="L1677" s="750"/>
    </row>
    <row r="1678" spans="1:20" customFormat="1" ht="14.4">
      <c r="A1678" s="402" t="str">
        <f t="shared" si="146"/>
        <v>TWM.8-100(30)-Material?K</v>
      </c>
      <c r="B1678" s="402"/>
      <c r="C1678" s="386">
        <v>8</v>
      </c>
      <c r="D1678" s="386">
        <v>100</v>
      </c>
      <c r="E1678" s="386">
        <v>30</v>
      </c>
      <c r="F1678" s="376" t="s">
        <v>1184</v>
      </c>
      <c r="G1678" s="361">
        <f t="shared" si="147"/>
        <v>1.3374812146074265E-2</v>
      </c>
      <c r="H1678" t="s">
        <v>1167</v>
      </c>
      <c r="I1678" s="355"/>
      <c r="J1678" s="355"/>
      <c r="K1678" s="356">
        <f>((PI()*C1678^2)/4)*(63.407+(E1678-11.5)*2+((2/SQRT(3))*((D1678-E1678)-C1678/4))*2*1.055)</f>
        <v>13374.812146074266</v>
      </c>
      <c r="L1678" s="750"/>
    </row>
    <row r="1679" spans="1:20" customFormat="1" ht="14.4">
      <c r="A1679" s="402" t="str">
        <f t="shared" si="146"/>
        <v>TWM.-()-K</v>
      </c>
      <c r="B1679" s="402"/>
      <c r="C1679" s="386"/>
      <c r="D1679" s="386"/>
      <c r="E1679" s="386"/>
      <c r="F1679" s="386"/>
      <c r="G1679" s="361">
        <f t="shared" si="147"/>
        <v>0</v>
      </c>
      <c r="H1679" t="s">
        <v>1167</v>
      </c>
      <c r="I1679" s="355"/>
      <c r="J1679" s="355"/>
      <c r="K1679" s="356">
        <f>((PI()*C1679^2)/4)*(63.407+(E1679-11.5)*2+((2/SQRT(3))*((D1679-E1679)-C1679/4))*2*1.055)</f>
        <v>0</v>
      </c>
      <c r="L1679" s="750"/>
    </row>
    <row r="1680" spans="1:20" customFormat="1" ht="15" thickBot="1">
      <c r="A1680" s="402" t="str">
        <f t="shared" si="146"/>
        <v>TWM.-()-K</v>
      </c>
      <c r="B1680" s="402"/>
      <c r="C1680" s="386"/>
      <c r="D1680" s="386"/>
      <c r="E1680" s="386"/>
      <c r="F1680" s="386"/>
      <c r="G1680" s="361">
        <f t="shared" si="147"/>
        <v>0</v>
      </c>
      <c r="H1680" t="s">
        <v>1167</v>
      </c>
      <c r="I1680" s="355"/>
      <c r="J1680" s="355"/>
      <c r="K1680" s="356">
        <f>((PI()*C1680^2)/4)*(63.407+(E1680-11.5)*2+((2/SQRT(3))*((D1680-E1680)-C1680/4))*2*1.055)</f>
        <v>0</v>
      </c>
      <c r="L1680" s="750"/>
    </row>
    <row r="1681" spans="1:15" customFormat="1" ht="15" thickBot="1">
      <c r="A1681" s="445" t="str">
        <f>H1681&amp;"."&amp;C1681&amp;"-"&amp;D1681&amp;"-"&amp;"("&amp;E1681&amp;")"&amp;"-"&amp;F1681&amp;"K"</f>
        <v>YHA.6-100-(30)-Material?K</v>
      </c>
      <c r="B1681" s="363"/>
      <c r="C1681" s="386">
        <v>6</v>
      </c>
      <c r="D1681" s="386">
        <v>100</v>
      </c>
      <c r="E1681" s="386">
        <v>30</v>
      </c>
      <c r="F1681" s="376" t="s">
        <v>1184</v>
      </c>
      <c r="G1681" s="361">
        <f t="shared" si="147"/>
        <v>3.4789242961527835E-2</v>
      </c>
      <c r="H1681" t="s">
        <v>1173</v>
      </c>
      <c r="I1681" s="355"/>
      <c r="J1681" s="355"/>
      <c r="K1681" s="356">
        <f>((32*C1681)*((E1681+((2/SQRT(3))*((D1681-(E1681+C1681/4))))*2)-7))</f>
        <v>34789.242961527838</v>
      </c>
      <c r="L1681" s="750"/>
      <c r="O1681" s="3"/>
    </row>
    <row r="1682" spans="1:15" customFormat="1" ht="15" thickBot="1">
      <c r="A1682" s="445" t="str">
        <f>H1682&amp;"."&amp;C1682&amp;"-"&amp;D1682&amp;"-"&amp;"("&amp;E1682&amp;")"&amp;"-"&amp;F1682&amp;"K"</f>
        <v>YHA.--()-K</v>
      </c>
      <c r="B1682" s="363"/>
      <c r="C1682" s="386"/>
      <c r="D1682" s="386"/>
      <c r="E1682" s="386"/>
      <c r="F1682" s="386"/>
      <c r="G1682" s="361">
        <f t="shared" si="147"/>
        <v>0</v>
      </c>
      <c r="H1682" t="s">
        <v>1173</v>
      </c>
      <c r="I1682" s="355"/>
      <c r="J1682" s="355"/>
      <c r="K1682" s="356">
        <f>((32*C1682)*((E1682+((2/SQRT(3))*((D1682-(E1682+C1682/4))))*2)-7))</f>
        <v>0</v>
      </c>
      <c r="L1682" s="750"/>
      <c r="O1682" s="3"/>
    </row>
    <row r="1683" spans="1:15" customFormat="1" ht="14.4">
      <c r="A1683" s="445" t="str">
        <f>H1683&amp;"."&amp;C1683&amp;"-"&amp;D1683&amp;"-"&amp;"("&amp;E1683&amp;")"&amp;"-"&amp;F1683&amp;"K"</f>
        <v>YHA.--()-K</v>
      </c>
      <c r="B1683" s="363"/>
      <c r="C1683" s="386"/>
      <c r="D1683" s="386"/>
      <c r="E1683" s="386"/>
      <c r="F1683" s="386"/>
      <c r="G1683" s="361">
        <f t="shared" si="147"/>
        <v>0</v>
      </c>
      <c r="H1683" t="s">
        <v>1173</v>
      </c>
      <c r="I1683" s="355"/>
      <c r="J1683" s="355"/>
      <c r="K1683" s="356">
        <f>((32*C1683)*((E1683+((2/SQRT(3))*((D1683-(E1683+C1683/4))))*2)-7))</f>
        <v>0</v>
      </c>
      <c r="L1683" s="750"/>
      <c r="O1683" s="3"/>
    </row>
    <row r="1684" spans="1:15">
      <c r="L1684" s="750"/>
    </row>
    <row r="1685" spans="1:15">
      <c r="A1685" s="367" t="s">
        <v>1151</v>
      </c>
      <c r="C1685" s="362" t="s">
        <v>1153</v>
      </c>
      <c r="E1685" s="357" t="s">
        <v>1154</v>
      </c>
      <c r="F1685" s="357" t="s">
        <v>1159</v>
      </c>
      <c r="G1685" s="357" t="s">
        <v>1169</v>
      </c>
      <c r="L1685" s="750"/>
    </row>
    <row r="1686" spans="1:15" ht="14.4">
      <c r="A1686" s="466" t="str">
        <f t="shared" ref="A1686:A1696" si="148">F1686&amp;C1686&amp;"-"&amp;E1686</f>
        <v>SLA12-Material?</v>
      </c>
      <c r="B1686" s="466"/>
      <c r="C1686" s="376">
        <v>12</v>
      </c>
      <c r="D1686" s="363"/>
      <c r="E1686" s="376" t="s">
        <v>1184</v>
      </c>
      <c r="F1686" s="363" t="s">
        <v>1176</v>
      </c>
      <c r="G1686" s="17">
        <f t="shared" ref="G1686:G1696" si="149">(541.67282+(C1686-2.5)*6*2)*50/10^6</f>
        <v>3.2783641000000002E-2</v>
      </c>
      <c r="L1686" s="750"/>
    </row>
    <row r="1687" spans="1:15" ht="14.4">
      <c r="A1687" s="466" t="str">
        <f t="shared" si="148"/>
        <v>SLA25-Material?</v>
      </c>
      <c r="B1687" s="466"/>
      <c r="C1687" s="376">
        <v>25</v>
      </c>
      <c r="D1687" s="363"/>
      <c r="E1687" s="376" t="s">
        <v>1184</v>
      </c>
      <c r="F1687" s="363" t="s">
        <v>1176</v>
      </c>
      <c r="G1687" s="17">
        <f t="shared" si="149"/>
        <v>4.0583641000000004E-2</v>
      </c>
      <c r="L1687" s="750"/>
    </row>
    <row r="1688" spans="1:15" ht="14.4">
      <c r="A1688" s="466" t="str">
        <f t="shared" si="148"/>
        <v>SLA28-Material?</v>
      </c>
      <c r="B1688" s="466"/>
      <c r="C1688" s="376">
        <v>28</v>
      </c>
      <c r="D1688" s="363"/>
      <c r="E1688" s="376" t="s">
        <v>1184</v>
      </c>
      <c r="F1688" s="363" t="s">
        <v>1176</v>
      </c>
      <c r="G1688" s="17">
        <f t="shared" si="149"/>
        <v>4.2383641000000007E-2</v>
      </c>
      <c r="L1688" s="750"/>
    </row>
    <row r="1689" spans="1:15" ht="14.4">
      <c r="A1689" s="466" t="str">
        <f t="shared" si="148"/>
        <v>SLA32-Material?</v>
      </c>
      <c r="B1689" s="466"/>
      <c r="C1689" s="376">
        <v>32</v>
      </c>
      <c r="D1689" s="363"/>
      <c r="E1689" s="376" t="s">
        <v>1184</v>
      </c>
      <c r="F1689" s="363" t="s">
        <v>1176</v>
      </c>
      <c r="G1689" s="17">
        <f t="shared" si="149"/>
        <v>4.4783641000000006E-2</v>
      </c>
      <c r="L1689" s="750"/>
    </row>
    <row r="1690" spans="1:15" ht="14.4">
      <c r="A1690" s="466" t="str">
        <f t="shared" si="148"/>
        <v>SLA36-Material?</v>
      </c>
      <c r="B1690" s="466"/>
      <c r="C1690" s="376">
        <v>36</v>
      </c>
      <c r="D1690" s="363"/>
      <c r="E1690" s="376" t="s">
        <v>1184</v>
      </c>
      <c r="F1690" s="363" t="s">
        <v>1176</v>
      </c>
      <c r="G1690" s="17">
        <f t="shared" si="149"/>
        <v>4.7183641000000005E-2</v>
      </c>
      <c r="L1690" s="750"/>
    </row>
    <row r="1691" spans="1:15" ht="14.4">
      <c r="A1691" s="466" t="str">
        <f t="shared" si="148"/>
        <v>SLA45-Material?</v>
      </c>
      <c r="B1691" s="466"/>
      <c r="C1691" s="376">
        <v>45</v>
      </c>
      <c r="D1691" s="363"/>
      <c r="E1691" s="376" t="s">
        <v>1184</v>
      </c>
      <c r="F1691" s="363" t="s">
        <v>1176</v>
      </c>
      <c r="G1691" s="17">
        <f t="shared" si="149"/>
        <v>5.2583641E-2</v>
      </c>
      <c r="L1691" s="750"/>
    </row>
    <row r="1692" spans="1:15" ht="14.4">
      <c r="A1692" s="466" t="str">
        <f t="shared" si="148"/>
        <v>SLA50-Material?</v>
      </c>
      <c r="B1692" s="466"/>
      <c r="C1692" s="376">
        <v>50</v>
      </c>
      <c r="D1692" s="363"/>
      <c r="E1692" s="376" t="s">
        <v>1184</v>
      </c>
      <c r="F1692" s="363" t="s">
        <v>1176</v>
      </c>
      <c r="G1692" s="17">
        <f t="shared" si="149"/>
        <v>5.5583641000000003E-2</v>
      </c>
      <c r="L1692" s="750"/>
    </row>
    <row r="1693" spans="1:15" ht="14.4">
      <c r="A1693" s="466" t="str">
        <f t="shared" si="148"/>
        <v>SLA55-Material?</v>
      </c>
      <c r="B1693" s="466"/>
      <c r="C1693" s="376">
        <v>55</v>
      </c>
      <c r="D1693" s="363"/>
      <c r="E1693" s="376" t="s">
        <v>1184</v>
      </c>
      <c r="F1693" s="363" t="s">
        <v>1176</v>
      </c>
      <c r="G1693" s="17">
        <f t="shared" si="149"/>
        <v>5.8583641000000006E-2</v>
      </c>
      <c r="L1693" s="750"/>
    </row>
    <row r="1694" spans="1:15" ht="14.4">
      <c r="A1694" s="466" t="str">
        <f t="shared" si="148"/>
        <v>SLA75-Material?</v>
      </c>
      <c r="B1694" s="466"/>
      <c r="C1694" s="376">
        <v>75</v>
      </c>
      <c r="D1694" s="363"/>
      <c r="E1694" s="376" t="s">
        <v>1184</v>
      </c>
      <c r="F1694" s="363" t="s">
        <v>1176</v>
      </c>
      <c r="G1694" s="17">
        <f t="shared" si="149"/>
        <v>7.0583641000000003E-2</v>
      </c>
      <c r="L1694" s="750"/>
    </row>
    <row r="1695" spans="1:15" ht="14.4">
      <c r="A1695" s="466" t="str">
        <f t="shared" si="148"/>
        <v>SLA105-Material?</v>
      </c>
      <c r="B1695" s="466"/>
      <c r="C1695" s="376">
        <v>105</v>
      </c>
      <c r="D1695" s="363"/>
      <c r="E1695" s="376" t="s">
        <v>1184</v>
      </c>
      <c r="F1695" s="363" t="s">
        <v>1176</v>
      </c>
      <c r="G1695" s="17">
        <f t="shared" si="149"/>
        <v>8.8583641000000005E-2</v>
      </c>
      <c r="L1695" s="750"/>
    </row>
    <row r="1696" spans="1:15" ht="14.4">
      <c r="A1696" s="466" t="str">
        <f t="shared" si="148"/>
        <v>SLA110-Material?</v>
      </c>
      <c r="B1696" s="466"/>
      <c r="C1696" s="376">
        <v>110</v>
      </c>
      <c r="D1696" s="363"/>
      <c r="E1696" s="376" t="s">
        <v>1184</v>
      </c>
      <c r="F1696" s="363" t="s">
        <v>1176</v>
      </c>
      <c r="G1696" s="17">
        <f t="shared" si="149"/>
        <v>9.1583641000000007E-2</v>
      </c>
      <c r="L1696" s="750"/>
    </row>
    <row r="1697" spans="1:12">
      <c r="L1697" s="750"/>
    </row>
    <row r="1698" spans="1:12" ht="14.4">
      <c r="A1698" s="466" t="str">
        <f>F1698&amp;"-"&amp;E1698</f>
        <v>SKL-Material?</v>
      </c>
      <c r="B1698" s="466"/>
      <c r="C1698" s="363"/>
      <c r="D1698" s="363"/>
      <c r="E1698" s="376" t="s">
        <v>1184</v>
      </c>
      <c r="F1698" s="363" t="s">
        <v>1177</v>
      </c>
      <c r="G1698" s="17">
        <f>2630.43242*70/10^6</f>
        <v>0.18413026940000002</v>
      </c>
      <c r="L1698" s="750"/>
    </row>
    <row r="1699" spans="1:12">
      <c r="L1699" s="750"/>
    </row>
    <row r="1700" spans="1:12" ht="14.4">
      <c r="A1700" s="465" t="str">
        <f t="shared" ref="A1700:A1707" si="150">F1700&amp;C1700&amp;"-"&amp;E1700</f>
        <v>BU27-Material?</v>
      </c>
      <c r="B1700" s="465"/>
      <c r="C1700" s="376">
        <v>27</v>
      </c>
      <c r="D1700" s="363"/>
      <c r="E1700" s="376" t="s">
        <v>1184</v>
      </c>
      <c r="F1700" s="363" t="s">
        <v>1178</v>
      </c>
      <c r="G1700" s="17">
        <f t="shared" ref="G1700:G1707" si="151">(1643.68135+(C1700-27)*12*2)*20/10^6</f>
        <v>3.2873627000000002E-2</v>
      </c>
      <c r="L1700" s="750"/>
    </row>
    <row r="1701" spans="1:12" ht="14.4">
      <c r="A1701" s="465" t="str">
        <f t="shared" si="150"/>
        <v>BU42-Material?</v>
      </c>
      <c r="B1701" s="465"/>
      <c r="C1701" s="376">
        <v>42</v>
      </c>
      <c r="D1701" s="363"/>
      <c r="E1701" s="376" t="s">
        <v>1184</v>
      </c>
      <c r="F1701" s="363" t="s">
        <v>1178</v>
      </c>
      <c r="G1701" s="17">
        <f t="shared" si="151"/>
        <v>4.0073627000000001E-2</v>
      </c>
      <c r="L1701" s="750"/>
    </row>
    <row r="1702" spans="1:12" ht="14.4">
      <c r="A1702" s="465" t="str">
        <f t="shared" si="150"/>
        <v>BU52-Material?</v>
      </c>
      <c r="B1702" s="465"/>
      <c r="C1702" s="376">
        <v>52</v>
      </c>
      <c r="D1702" s="363"/>
      <c r="E1702" s="376" t="s">
        <v>1184</v>
      </c>
      <c r="F1702" s="363" t="s">
        <v>1178</v>
      </c>
      <c r="G1702" s="17">
        <f t="shared" si="151"/>
        <v>4.4873626999999992E-2</v>
      </c>
      <c r="L1702" s="750"/>
    </row>
    <row r="1703" spans="1:12" ht="14.4">
      <c r="A1703" s="465" t="str">
        <f t="shared" si="150"/>
        <v>BU77-Material?</v>
      </c>
      <c r="B1703" s="465"/>
      <c r="C1703" s="376">
        <v>77</v>
      </c>
      <c r="D1703" s="363"/>
      <c r="E1703" s="376" t="s">
        <v>1184</v>
      </c>
      <c r="F1703" s="363" t="s">
        <v>1178</v>
      </c>
      <c r="G1703" s="17">
        <f t="shared" si="151"/>
        <v>5.6873626999999996E-2</v>
      </c>
      <c r="L1703" s="750"/>
    </row>
    <row r="1704" spans="1:12" ht="14.4">
      <c r="A1704" s="465" t="str">
        <f t="shared" si="150"/>
        <v>BU102-Material?</v>
      </c>
      <c r="B1704" s="465"/>
      <c r="C1704" s="376">
        <v>102</v>
      </c>
      <c r="D1704" s="363"/>
      <c r="E1704" s="376" t="s">
        <v>1184</v>
      </c>
      <c r="F1704" s="363" t="s">
        <v>1178</v>
      </c>
      <c r="G1704" s="17">
        <f t="shared" si="151"/>
        <v>6.8873626999999993E-2</v>
      </c>
      <c r="L1704" s="750"/>
    </row>
    <row r="1705" spans="1:12" ht="14.4">
      <c r="A1705" s="465" t="str">
        <f t="shared" si="150"/>
        <v>BU127-Material?</v>
      </c>
      <c r="B1705" s="465"/>
      <c r="C1705" s="376">
        <v>127</v>
      </c>
      <c r="D1705" s="363"/>
      <c r="E1705" s="376" t="s">
        <v>1184</v>
      </c>
      <c r="F1705" s="363" t="s">
        <v>1178</v>
      </c>
      <c r="G1705" s="17">
        <f t="shared" si="151"/>
        <v>8.087362699999999E-2</v>
      </c>
      <c r="L1705" s="750"/>
    </row>
    <row r="1706" spans="1:12" ht="14.4">
      <c r="A1706" s="465" t="str">
        <f t="shared" si="150"/>
        <v>BU157-Material?</v>
      </c>
      <c r="B1706" s="465"/>
      <c r="C1706" s="376">
        <v>157</v>
      </c>
      <c r="D1706" s="363"/>
      <c r="E1706" s="376" t="s">
        <v>1184</v>
      </c>
      <c r="F1706" s="363" t="s">
        <v>1178</v>
      </c>
      <c r="G1706" s="17">
        <f t="shared" si="151"/>
        <v>9.5273627E-2</v>
      </c>
      <c r="L1706" s="750"/>
    </row>
    <row r="1707" spans="1:12" ht="14.4">
      <c r="A1707" s="465" t="str">
        <f t="shared" si="150"/>
        <v>BU177-Material?</v>
      </c>
      <c r="B1707" s="465"/>
      <c r="C1707" s="376">
        <v>177</v>
      </c>
      <c r="D1707" s="363"/>
      <c r="E1707" s="376" t="s">
        <v>1184</v>
      </c>
      <c r="F1707" s="363" t="s">
        <v>1178</v>
      </c>
      <c r="G1707" s="17">
        <f t="shared" si="151"/>
        <v>0.104873627</v>
      </c>
      <c r="L1707" s="750"/>
    </row>
    <row r="1708" spans="1:12">
      <c r="L1708" s="750"/>
    </row>
    <row r="1709" spans="1:12" ht="14.4">
      <c r="A1709" s="465" t="str">
        <f>F1709&amp;"-"&amp;E1709</f>
        <v>GKB-Material?</v>
      </c>
      <c r="B1709" s="465"/>
      <c r="C1709" s="363"/>
      <c r="D1709" s="363"/>
      <c r="E1709" s="376" t="s">
        <v>1184</v>
      </c>
      <c r="F1709" s="363" t="s">
        <v>1179</v>
      </c>
      <c r="G1709" s="17">
        <f>1.17/7.85</f>
        <v>0.14904458598726114</v>
      </c>
      <c r="L1709" s="750"/>
    </row>
    <row r="1710" spans="1:12">
      <c r="L1710" s="750"/>
    </row>
    <row r="1711" spans="1:12" ht="14.4">
      <c r="A1711" s="437" t="str">
        <f>F1711&amp;C1711&amp;"-"&amp;E1711</f>
        <v>KSET48-Material?</v>
      </c>
      <c r="B1711" s="363"/>
      <c r="C1711" s="381">
        <v>48</v>
      </c>
      <c r="D1711" s="437"/>
      <c r="E1711" s="381" t="s">
        <v>1184</v>
      </c>
      <c r="F1711" s="437" t="s">
        <v>1180</v>
      </c>
      <c r="G1711" s="364">
        <f>2/7.85</f>
        <v>0.25477707006369427</v>
      </c>
      <c r="L1711" s="750"/>
    </row>
    <row r="1712" spans="1:12" ht="14.4">
      <c r="A1712" s="437" t="str">
        <f>F1712&amp;C1712&amp;"-"&amp;E1712</f>
        <v>KSET53-Material?</v>
      </c>
      <c r="B1712" s="363"/>
      <c r="C1712" s="381">
        <v>53</v>
      </c>
      <c r="D1712" s="437"/>
      <c r="E1712" s="381" t="s">
        <v>1184</v>
      </c>
      <c r="F1712" s="437" t="s">
        <v>1180</v>
      </c>
      <c r="G1712" s="364">
        <f>2/7.85</f>
        <v>0.25477707006369427</v>
      </c>
      <c r="L1712" s="750"/>
    </row>
    <row r="1713" spans="1:14" ht="14.4">
      <c r="A1713" s="437" t="str">
        <f>F1713&amp;C1713&amp;"-"&amp;E1713</f>
        <v>KSET58-Material?</v>
      </c>
      <c r="B1713" s="363"/>
      <c r="C1713" s="381">
        <v>58</v>
      </c>
      <c r="D1713" s="437"/>
      <c r="E1713" s="381" t="s">
        <v>1184</v>
      </c>
      <c r="F1713" s="437" t="s">
        <v>1180</v>
      </c>
      <c r="G1713" s="364">
        <f>2/7.85</f>
        <v>0.25477707006369427</v>
      </c>
      <c r="L1713" s="750"/>
    </row>
    <row r="1714" spans="1:14" ht="14.4">
      <c r="A1714" s="437" t="str">
        <f>F1714&amp;C1714&amp;"-"&amp;E1714</f>
        <v>KSET63-Material?</v>
      </c>
      <c r="B1714" s="363"/>
      <c r="C1714" s="381">
        <v>63</v>
      </c>
      <c r="D1714" s="437"/>
      <c r="E1714" s="381" t="s">
        <v>1184</v>
      </c>
      <c r="F1714" s="437" t="s">
        <v>1180</v>
      </c>
      <c r="G1714" s="364">
        <f>2/7.85</f>
        <v>0.25477707006369427</v>
      </c>
      <c r="L1714" s="750"/>
    </row>
    <row r="1715" spans="1:14" ht="14.4">
      <c r="A1715" s="437" t="str">
        <f>F1715&amp;C1715&amp;"-"&amp;E1715</f>
        <v>KSET68-Material?</v>
      </c>
      <c r="B1715" s="363"/>
      <c r="C1715" s="381">
        <v>68</v>
      </c>
      <c r="D1715" s="437"/>
      <c r="E1715" s="381" t="s">
        <v>1184</v>
      </c>
      <c r="F1715" s="437" t="s">
        <v>1180</v>
      </c>
      <c r="G1715" s="364">
        <f>2/7.85</f>
        <v>0.25477707006369427</v>
      </c>
      <c r="L1715" s="750"/>
    </row>
    <row r="1716" spans="1:14">
      <c r="L1716" s="750"/>
    </row>
    <row r="1717" spans="1:14" ht="14.4">
      <c r="A1717" s="467" t="str">
        <f>F1717&amp;"-"&amp;E1717</f>
        <v>UAH01-Material?</v>
      </c>
      <c r="B1717" s="467"/>
      <c r="C1717" s="363"/>
      <c r="D1717" s="363"/>
      <c r="E1717" s="376" t="s">
        <v>1184</v>
      </c>
      <c r="F1717" s="354" t="s">
        <v>1181</v>
      </c>
      <c r="G1717" s="17">
        <v>0.108</v>
      </c>
      <c r="L1717" s="750"/>
    </row>
    <row r="1718" spans="1:14">
      <c r="A1718" s="1"/>
      <c r="F1718" s="306"/>
      <c r="L1718" s="750"/>
    </row>
    <row r="1719" spans="1:14" ht="14.4">
      <c r="A1719" s="375" t="str">
        <f>F1719&amp;"-"&amp;150&amp;"-"&amp;E1719</f>
        <v>UAH02-150-Material?</v>
      </c>
      <c r="B1719" s="375"/>
      <c r="C1719" s="363"/>
      <c r="D1719" s="363"/>
      <c r="E1719" s="376" t="s">
        <v>1184</v>
      </c>
      <c r="F1719" s="354" t="s">
        <v>1182</v>
      </c>
      <c r="G1719" s="17">
        <v>0.11394813843027231</v>
      </c>
      <c r="J1719" s="365"/>
      <c r="K1719" s="365"/>
      <c r="L1719" s="750"/>
      <c r="N1719" s="16"/>
    </row>
    <row r="1720" spans="1:14" ht="14.4">
      <c r="A1720" s="375" t="str">
        <f>F1720&amp;"-"&amp;200&amp;"-"&amp;E1720</f>
        <v>UAH02-200-Material?</v>
      </c>
      <c r="B1720" s="375"/>
      <c r="C1720" s="363"/>
      <c r="D1720" s="363"/>
      <c r="E1720" s="376" t="s">
        <v>1184</v>
      </c>
      <c r="F1720" s="354" t="s">
        <v>1182</v>
      </c>
      <c r="G1720" s="17">
        <v>0.12661582540770977</v>
      </c>
      <c r="J1720" s="365"/>
      <c r="K1720" s="365"/>
      <c r="L1720" s="750"/>
      <c r="N1720" s="16"/>
    </row>
    <row r="1721" spans="1:14" ht="14.4">
      <c r="A1721" s="375" t="str">
        <f>F1721&amp;"-"&amp;250&amp;"-"&amp;E1721</f>
        <v>UAH02-250-Material?</v>
      </c>
      <c r="B1721" s="375"/>
      <c r="C1721" s="363"/>
      <c r="D1721" s="363"/>
      <c r="E1721" s="376" t="s">
        <v>1184</v>
      </c>
      <c r="F1721" s="354" t="s">
        <v>1182</v>
      </c>
      <c r="G1721" s="17">
        <v>0.13928351238514719</v>
      </c>
      <c r="J1721" s="365"/>
      <c r="K1721" s="365"/>
      <c r="L1721" s="750"/>
      <c r="N1721" s="16"/>
    </row>
    <row r="1722" spans="1:14" ht="14.4">
      <c r="A1722" s="375" t="str">
        <f>F1722&amp;"-"&amp;300&amp;"-"&amp;E1722</f>
        <v>UAH02-300-Material?</v>
      </c>
      <c r="B1722" s="375"/>
      <c r="C1722" s="363"/>
      <c r="D1722" s="363"/>
      <c r="E1722" s="376" t="s">
        <v>1184</v>
      </c>
      <c r="F1722" s="354" t="s">
        <v>1182</v>
      </c>
      <c r="G1722" s="17">
        <v>0.15195119936258461</v>
      </c>
      <c r="J1722" s="365"/>
      <c r="K1722" s="365"/>
      <c r="L1722" s="750"/>
      <c r="N1722" s="16"/>
    </row>
    <row r="1723" spans="1:14" ht="14.4">
      <c r="A1723" s="375" t="str">
        <f>F1723&amp;"-"&amp;350&amp;"-"&amp;E1723</f>
        <v>UAH02-350-Material?</v>
      </c>
      <c r="B1723" s="375"/>
      <c r="C1723" s="363"/>
      <c r="D1723" s="363"/>
      <c r="E1723" s="376" t="s">
        <v>1184</v>
      </c>
      <c r="F1723" s="354" t="s">
        <v>1182</v>
      </c>
      <c r="G1723" s="17">
        <v>0.16461888634002209</v>
      </c>
      <c r="J1723" s="365"/>
      <c r="K1723" s="365"/>
      <c r="L1723" s="750"/>
      <c r="N1723" s="16"/>
    </row>
    <row r="1724" spans="1:14" ht="14.4">
      <c r="A1724" s="375" t="str">
        <f>F1724&amp;"-"&amp;400&amp;"-"&amp;E1724</f>
        <v>UAH02-400-Material?</v>
      </c>
      <c r="B1724" s="375"/>
      <c r="C1724" s="363"/>
      <c r="D1724" s="363"/>
      <c r="E1724" s="376" t="s">
        <v>1184</v>
      </c>
      <c r="F1724" s="354" t="s">
        <v>1182</v>
      </c>
      <c r="G1724" s="17">
        <v>0.17728657331745951</v>
      </c>
      <c r="J1724" s="365"/>
      <c r="K1724" s="365"/>
      <c r="L1724" s="750"/>
      <c r="N1724" s="16"/>
    </row>
    <row r="1725" spans="1:14" ht="14.4">
      <c r="A1725" s="375" t="str">
        <f>F1725&amp;"-"&amp;450&amp;"-"&amp;E1725</f>
        <v>UAH02-450-Material?</v>
      </c>
      <c r="B1725" s="375"/>
      <c r="C1725" s="363"/>
      <c r="D1725" s="363"/>
      <c r="E1725" s="376" t="s">
        <v>1184</v>
      </c>
      <c r="F1725" s="354" t="s">
        <v>1182</v>
      </c>
      <c r="G1725" s="17">
        <v>0.18995426029489698</v>
      </c>
      <c r="J1725" s="365"/>
      <c r="K1725" s="365"/>
      <c r="L1725" s="750"/>
      <c r="N1725" s="16"/>
    </row>
    <row r="1726" spans="1:14" ht="14.4">
      <c r="A1726" s="375" t="str">
        <f>F1726&amp;"-"&amp;500&amp;"-"&amp;E1726</f>
        <v>UAH02-500-Material?</v>
      </c>
      <c r="B1726" s="375"/>
      <c r="C1726" s="363"/>
      <c r="D1726" s="363"/>
      <c r="E1726" s="376" t="s">
        <v>1184</v>
      </c>
      <c r="F1726" s="354" t="s">
        <v>1182</v>
      </c>
      <c r="G1726" s="17">
        <v>0.2026219472723344</v>
      </c>
      <c r="J1726" s="365"/>
      <c r="K1726" s="365"/>
      <c r="L1726" s="750"/>
      <c r="N1726" s="16"/>
    </row>
    <row r="1727" spans="1:14" ht="14.4">
      <c r="A1727" s="375" t="str">
        <f>F1727&amp;"-"&amp;550&amp;"-"&amp;E1727</f>
        <v>UAH02-550-Material?</v>
      </c>
      <c r="B1727" s="375"/>
      <c r="C1727" s="363"/>
      <c r="D1727" s="363"/>
      <c r="E1727" s="376" t="s">
        <v>1184</v>
      </c>
      <c r="F1727" s="354" t="s">
        <v>1182</v>
      </c>
      <c r="G1727" s="17">
        <v>0.21528963424977182</v>
      </c>
      <c r="J1727" s="365"/>
      <c r="K1727" s="365"/>
      <c r="L1727" s="750"/>
      <c r="N1727" s="16"/>
    </row>
    <row r="1728" spans="1:14">
      <c r="L1728" s="750"/>
    </row>
    <row r="1729" spans="1:12" ht="14.4">
      <c r="A1729" s="374" t="str">
        <f t="shared" ref="A1729:A1737" si="152">F1729&amp;C1729&amp;"-"&amp;E1729</f>
        <v>BL30-Material?</v>
      </c>
      <c r="B1729" s="374"/>
      <c r="C1729" s="376">
        <v>30</v>
      </c>
      <c r="D1729" s="363"/>
      <c r="E1729" s="376" t="s">
        <v>1184</v>
      </c>
      <c r="F1729" s="363" t="s">
        <v>1183</v>
      </c>
      <c r="G1729" s="17">
        <f t="shared" ref="G1729:G1737" si="153">(105.39+(C1729-24)*2)*(8*8*PI())/10^6</f>
        <v>2.3602659942713974E-2</v>
      </c>
      <c r="L1729" s="750"/>
    </row>
    <row r="1730" spans="1:12" ht="14.4">
      <c r="A1730" s="374" t="str">
        <f t="shared" si="152"/>
        <v>BL40-Material?</v>
      </c>
      <c r="B1730" s="374"/>
      <c r="C1730" s="376">
        <v>40</v>
      </c>
      <c r="D1730" s="363"/>
      <c r="E1730" s="376" t="s">
        <v>1184</v>
      </c>
      <c r="F1730" s="363" t="s">
        <v>1183</v>
      </c>
      <c r="G1730" s="17">
        <f t="shared" si="153"/>
        <v>2.7623898539308907E-2</v>
      </c>
      <c r="L1730" s="750"/>
    </row>
    <row r="1731" spans="1:12" ht="14.4">
      <c r="A1731" s="374" t="str">
        <f t="shared" si="152"/>
        <v>BL50-Material?</v>
      </c>
      <c r="B1731" s="374"/>
      <c r="C1731" s="376">
        <v>50</v>
      </c>
      <c r="D1731" s="363"/>
      <c r="E1731" s="376" t="s">
        <v>1184</v>
      </c>
      <c r="F1731" s="363" t="s">
        <v>1183</v>
      </c>
      <c r="G1731" s="17">
        <f t="shared" si="153"/>
        <v>3.1645137135903841E-2</v>
      </c>
      <c r="L1731" s="750"/>
    </row>
    <row r="1732" spans="1:12" ht="14.4">
      <c r="A1732" s="374" t="str">
        <f t="shared" si="152"/>
        <v>BL60-Material?</v>
      </c>
      <c r="B1732" s="374"/>
      <c r="C1732" s="376">
        <v>60</v>
      </c>
      <c r="D1732" s="363"/>
      <c r="E1732" s="376" t="s">
        <v>1184</v>
      </c>
      <c r="F1732" s="363" t="s">
        <v>1183</v>
      </c>
      <c r="G1732" s="17">
        <f t="shared" si="153"/>
        <v>3.5666375732498777E-2</v>
      </c>
      <c r="L1732" s="750"/>
    </row>
    <row r="1733" spans="1:12" ht="14.4">
      <c r="A1733" s="374" t="str">
        <f t="shared" si="152"/>
        <v>BL70-Material?</v>
      </c>
      <c r="B1733" s="374"/>
      <c r="C1733" s="376">
        <v>70</v>
      </c>
      <c r="D1733" s="363"/>
      <c r="E1733" s="376" t="s">
        <v>1184</v>
      </c>
      <c r="F1733" s="363" t="s">
        <v>1183</v>
      </c>
      <c r="G1733" s="17">
        <f t="shared" si="153"/>
        <v>3.9687614329093714E-2</v>
      </c>
      <c r="L1733" s="750"/>
    </row>
    <row r="1734" spans="1:12" ht="14.4">
      <c r="A1734" s="374" t="str">
        <f t="shared" si="152"/>
        <v>BL80-Material?</v>
      </c>
      <c r="B1734" s="374"/>
      <c r="C1734" s="376">
        <v>80</v>
      </c>
      <c r="D1734" s="363"/>
      <c r="E1734" s="376" t="s">
        <v>1184</v>
      </c>
      <c r="F1734" s="363" t="s">
        <v>1183</v>
      </c>
      <c r="G1734" s="17">
        <f t="shared" si="153"/>
        <v>4.370885292568865E-2</v>
      </c>
      <c r="L1734" s="750"/>
    </row>
    <row r="1735" spans="1:12" ht="14.4">
      <c r="A1735" s="374" t="str">
        <f t="shared" si="152"/>
        <v>BL90-Material?</v>
      </c>
      <c r="B1735" s="374"/>
      <c r="C1735" s="376">
        <v>90</v>
      </c>
      <c r="D1735" s="363"/>
      <c r="E1735" s="376" t="s">
        <v>1184</v>
      </c>
      <c r="F1735" s="363" t="s">
        <v>1183</v>
      </c>
      <c r="G1735" s="17">
        <f t="shared" si="153"/>
        <v>4.773009152228358E-2</v>
      </c>
      <c r="L1735" s="750"/>
    </row>
    <row r="1736" spans="1:12" ht="14.4">
      <c r="A1736" s="374" t="str">
        <f t="shared" si="152"/>
        <v>BL100-Material?</v>
      </c>
      <c r="B1736" s="374"/>
      <c r="C1736" s="376">
        <v>100</v>
      </c>
      <c r="D1736" s="363"/>
      <c r="E1736" s="376" t="s">
        <v>1184</v>
      </c>
      <c r="F1736" s="363" t="s">
        <v>1183</v>
      </c>
      <c r="G1736" s="17">
        <f t="shared" si="153"/>
        <v>5.1751330118878516E-2</v>
      </c>
      <c r="L1736" s="750"/>
    </row>
    <row r="1737" spans="1:12" ht="14.4">
      <c r="A1737" s="374" t="str">
        <f t="shared" si="152"/>
        <v>BL110-Material?</v>
      </c>
      <c r="B1737" s="374"/>
      <c r="C1737" s="376">
        <v>110</v>
      </c>
      <c r="D1737" s="363"/>
      <c r="E1737" s="376" t="s">
        <v>1184</v>
      </c>
      <c r="F1737" s="363" t="s">
        <v>1183</v>
      </c>
      <c r="G1737" s="17">
        <f t="shared" si="153"/>
        <v>5.5772568715473446E-2</v>
      </c>
      <c r="L1737" s="750"/>
    </row>
    <row r="1738" spans="1:12">
      <c r="L1738" s="750"/>
    </row>
    <row r="1739" spans="1:12" ht="14.4">
      <c r="A1739" s="374" t="str">
        <f>F1739&amp;C1739&amp;"-"&amp;E1739</f>
        <v>GK70-Material?</v>
      </c>
      <c r="B1739" s="374"/>
      <c r="C1739" s="363">
        <v>70</v>
      </c>
      <c r="D1739" s="363"/>
      <c r="E1739" s="376" t="s">
        <v>1184</v>
      </c>
      <c r="F1739" s="363" t="s">
        <v>1185</v>
      </c>
      <c r="G1739" s="17">
        <f>0.65/8</f>
        <v>8.1250000000000003E-2</v>
      </c>
      <c r="L1739" s="750"/>
    </row>
    <row r="1740" spans="1:12" ht="14.4">
      <c r="A1740" s="374" t="str">
        <f t="shared" ref="A1740:A1745" si="154">F1740&amp;C1740&amp;"-"&amp;E1740</f>
        <v>GK75-Material?</v>
      </c>
      <c r="B1740" s="374"/>
      <c r="C1740" s="363">
        <v>75</v>
      </c>
      <c r="D1740" s="363"/>
      <c r="E1740" s="376" t="s">
        <v>1184</v>
      </c>
      <c r="F1740" s="363" t="s">
        <v>1185</v>
      </c>
      <c r="G1740" s="17">
        <f>0.67/8</f>
        <v>8.3750000000000005E-2</v>
      </c>
      <c r="L1740" s="750"/>
    </row>
    <row r="1741" spans="1:12" ht="14.4">
      <c r="A1741" s="374" t="str">
        <f t="shared" si="154"/>
        <v>GK80-Material?</v>
      </c>
      <c r="B1741" s="374"/>
      <c r="C1741" s="363">
        <v>80</v>
      </c>
      <c r="D1741" s="363"/>
      <c r="E1741" s="376" t="s">
        <v>1184</v>
      </c>
      <c r="F1741" s="363" t="s">
        <v>1185</v>
      </c>
      <c r="G1741" s="17">
        <f>0.69/8</f>
        <v>8.6249999999999993E-2</v>
      </c>
      <c r="L1741" s="750"/>
    </row>
    <row r="1742" spans="1:12" ht="14.4">
      <c r="A1742" s="374" t="str">
        <f t="shared" si="154"/>
        <v>GK90-Material?</v>
      </c>
      <c r="B1742" s="374"/>
      <c r="C1742" s="363">
        <v>90</v>
      </c>
      <c r="D1742" s="363"/>
      <c r="E1742" s="376" t="s">
        <v>1184</v>
      </c>
      <c r="F1742" s="363" t="s">
        <v>1185</v>
      </c>
      <c r="G1742" s="17">
        <f>0.73/8</f>
        <v>9.1249999999999998E-2</v>
      </c>
      <c r="L1742" s="750"/>
    </row>
    <row r="1743" spans="1:12" ht="14.4">
      <c r="A1743" s="374" t="str">
        <f t="shared" si="154"/>
        <v>GK100-Material?</v>
      </c>
      <c r="B1743" s="374"/>
      <c r="C1743" s="363">
        <v>100</v>
      </c>
      <c r="D1743" s="363"/>
      <c r="E1743" s="376" t="s">
        <v>1184</v>
      </c>
      <c r="F1743" s="363" t="s">
        <v>1185</v>
      </c>
      <c r="G1743" s="17">
        <f>0.77/8</f>
        <v>9.6250000000000002E-2</v>
      </c>
      <c r="L1743" s="750"/>
    </row>
    <row r="1744" spans="1:12" ht="14.4">
      <c r="A1744" s="374" t="str">
        <f t="shared" si="154"/>
        <v>GK110-Material?</v>
      </c>
      <c r="B1744" s="374"/>
      <c r="C1744" s="363">
        <v>110</v>
      </c>
      <c r="D1744" s="363"/>
      <c r="E1744" s="376" t="s">
        <v>1184</v>
      </c>
      <c r="F1744" s="363" t="s">
        <v>1185</v>
      </c>
      <c r="G1744" s="17">
        <f>0.81/8</f>
        <v>0.10125000000000001</v>
      </c>
      <c r="L1744" s="750"/>
    </row>
    <row r="1745" spans="1:22" ht="14.4">
      <c r="A1745" s="374" t="str">
        <f t="shared" si="154"/>
        <v>GK150-Material?</v>
      </c>
      <c r="B1745" s="374"/>
      <c r="C1745" s="363">
        <v>150</v>
      </c>
      <c r="D1745" s="363"/>
      <c r="E1745" s="376" t="s">
        <v>1184</v>
      </c>
      <c r="F1745" s="363" t="s">
        <v>1185</v>
      </c>
      <c r="G1745" s="17">
        <f>0.96/8</f>
        <v>0.12</v>
      </c>
      <c r="I1745" s="17"/>
      <c r="L1745" s="750"/>
    </row>
    <row r="1746" spans="1:22" ht="13.8" thickBot="1">
      <c r="I1746" s="17"/>
      <c r="L1746" s="751"/>
    </row>
    <row r="1747" spans="1:22" ht="25.2" thickBot="1">
      <c r="A1747" s="370" t="s">
        <v>1187</v>
      </c>
      <c r="B1747" s="390"/>
      <c r="C1747" s="390"/>
      <c r="D1747" s="390"/>
      <c r="E1747" s="390"/>
      <c r="F1747" s="390"/>
      <c r="G1747" s="106"/>
      <c r="H1747" s="95"/>
      <c r="I1747" s="95"/>
      <c r="J1747" s="95"/>
      <c r="K1747" s="95"/>
      <c r="L1747" s="95"/>
      <c r="R1747" s="22"/>
      <c r="S1747" s="22"/>
      <c r="T1747" s="20"/>
      <c r="U1747" s="20"/>
      <c r="V1747" s="20"/>
    </row>
    <row r="1748" spans="1:22">
      <c r="A1748" s="354" t="s">
        <v>1186</v>
      </c>
      <c r="B1748" s="363"/>
      <c r="C1748" s="363"/>
      <c r="D1748" s="363"/>
      <c r="E1748" s="363"/>
      <c r="F1748" s="363"/>
      <c r="G1748" s="17">
        <v>1.4219999999999999</v>
      </c>
      <c r="I1748" s="17"/>
      <c r="L1748" s="749"/>
    </row>
    <row r="1749" spans="1:22">
      <c r="A1749" s="354" t="s">
        <v>1188</v>
      </c>
      <c r="B1749" s="363"/>
      <c r="C1749" s="363"/>
      <c r="D1749" s="363"/>
      <c r="E1749" s="363"/>
      <c r="F1749" s="363"/>
      <c r="G1749" s="17">
        <v>1.665</v>
      </c>
      <c r="L1749" s="750"/>
    </row>
    <row r="1750" spans="1:22">
      <c r="A1750" s="354" t="s">
        <v>1189</v>
      </c>
      <c r="B1750" s="363"/>
      <c r="C1750" s="363"/>
      <c r="D1750" s="363"/>
      <c r="E1750" s="363"/>
      <c r="F1750" s="363"/>
      <c r="G1750" s="17">
        <v>1.9079999999999999</v>
      </c>
      <c r="L1750" s="750"/>
    </row>
    <row r="1751" spans="1:22">
      <c r="A1751" s="354" t="s">
        <v>1190</v>
      </c>
      <c r="B1751" s="363"/>
      <c r="C1751" s="363"/>
      <c r="D1751" s="363"/>
      <c r="E1751" s="363"/>
      <c r="F1751" s="363"/>
      <c r="G1751" s="17">
        <v>2.1509999999999998</v>
      </c>
      <c r="L1751" s="750"/>
    </row>
    <row r="1752" spans="1:22">
      <c r="A1752" s="354" t="s">
        <v>1191</v>
      </c>
      <c r="B1752" s="363"/>
      <c r="C1752" s="363"/>
      <c r="D1752" s="363"/>
      <c r="E1752" s="363"/>
      <c r="F1752" s="363"/>
      <c r="G1752" s="17">
        <v>2.3940000000000001</v>
      </c>
      <c r="L1752" s="750"/>
    </row>
    <row r="1753" spans="1:22">
      <c r="A1753" s="354" t="s">
        <v>1192</v>
      </c>
      <c r="B1753" s="394"/>
      <c r="C1753" s="363"/>
      <c r="D1753" s="363"/>
      <c r="E1753" s="363"/>
      <c r="F1753" s="363"/>
      <c r="G1753" s="17">
        <v>2.637</v>
      </c>
      <c r="L1753" s="750"/>
    </row>
    <row r="1754" spans="1:22">
      <c r="A1754" s="354" t="s">
        <v>1193</v>
      </c>
      <c r="B1754" s="363"/>
      <c r="C1754" s="363"/>
      <c r="D1754" s="363"/>
      <c r="E1754" s="363"/>
      <c r="F1754" s="363"/>
      <c r="G1754" s="17">
        <v>2.8809999999999998</v>
      </c>
      <c r="L1754" s="750"/>
    </row>
    <row r="1755" spans="1:22">
      <c r="A1755" s="354" t="s">
        <v>1194</v>
      </c>
      <c r="B1755" s="363"/>
      <c r="C1755" s="363"/>
      <c r="D1755" s="363"/>
      <c r="E1755" s="363"/>
      <c r="F1755" s="363"/>
      <c r="G1755" s="17">
        <v>3.1240000000000001</v>
      </c>
      <c r="L1755" s="750"/>
    </row>
    <row r="1756" spans="1:22">
      <c r="A1756" s="354" t="s">
        <v>1195</v>
      </c>
      <c r="B1756" s="363"/>
      <c r="C1756" s="363"/>
      <c r="D1756" s="363"/>
      <c r="E1756" s="363"/>
      <c r="F1756" s="363"/>
      <c r="G1756" s="17">
        <v>3.367</v>
      </c>
      <c r="L1756" s="750"/>
    </row>
    <row r="1757" spans="1:22">
      <c r="A1757" s="354" t="s">
        <v>1196</v>
      </c>
      <c r="B1757" s="363"/>
      <c r="C1757" s="363"/>
      <c r="D1757" s="363"/>
      <c r="E1757" s="363"/>
      <c r="F1757" s="363"/>
      <c r="G1757" s="17">
        <v>3.61</v>
      </c>
      <c r="L1757" s="750"/>
    </row>
    <row r="1758" spans="1:22">
      <c r="A1758" s="354" t="s">
        <v>1197</v>
      </c>
      <c r="B1758" s="363"/>
      <c r="C1758" s="363"/>
      <c r="D1758" s="363"/>
      <c r="E1758" s="363"/>
      <c r="F1758" s="363"/>
      <c r="G1758" s="17">
        <v>3.8530000000000002</v>
      </c>
      <c r="L1758" s="750"/>
    </row>
    <row r="1759" spans="1:22">
      <c r="A1759" s="354" t="s">
        <v>1198</v>
      </c>
      <c r="B1759" s="363"/>
      <c r="C1759" s="363"/>
      <c r="D1759" s="363"/>
      <c r="E1759" s="363"/>
      <c r="F1759" s="363"/>
      <c r="G1759" s="17">
        <v>4.048</v>
      </c>
      <c r="L1759" s="750"/>
    </row>
    <row r="1760" spans="1:22">
      <c r="A1760" s="354" t="s">
        <v>1199</v>
      </c>
      <c r="B1760" s="363"/>
      <c r="C1760" s="363"/>
      <c r="D1760" s="363"/>
      <c r="E1760" s="363"/>
      <c r="F1760" s="363"/>
      <c r="G1760" s="17">
        <v>4.34</v>
      </c>
      <c r="L1760" s="750"/>
    </row>
    <row r="1761" spans="1:22">
      <c r="A1761" s="354" t="s">
        <v>1200</v>
      </c>
      <c r="B1761" s="363"/>
      <c r="C1761" s="363"/>
      <c r="D1761" s="363"/>
      <c r="E1761" s="363"/>
      <c r="F1761" s="363"/>
      <c r="G1761" s="359">
        <v>4.59</v>
      </c>
      <c r="L1761" s="750"/>
    </row>
    <row r="1762" spans="1:22" ht="13.8" thickBot="1">
      <c r="A1762" s="354" t="s">
        <v>1201</v>
      </c>
      <c r="B1762" s="363"/>
      <c r="C1762" s="363"/>
      <c r="D1762" s="363"/>
      <c r="E1762" s="363"/>
      <c r="F1762" s="363"/>
      <c r="G1762" s="359">
        <v>4.8259999999999996</v>
      </c>
      <c r="L1762" s="750"/>
    </row>
    <row r="1763" spans="1:22" ht="25.2" thickBot="1">
      <c r="A1763" s="388" t="s">
        <v>1589</v>
      </c>
      <c r="B1763" s="380"/>
      <c r="C1763" s="380"/>
      <c r="D1763" s="380"/>
      <c r="E1763" s="380"/>
      <c r="F1763" s="380"/>
      <c r="G1763" s="106"/>
      <c r="H1763" s="95"/>
      <c r="I1763" s="95"/>
      <c r="J1763" s="95"/>
      <c r="K1763" s="95"/>
      <c r="L1763" s="99"/>
      <c r="R1763" s="22"/>
      <c r="S1763" s="22"/>
      <c r="T1763" s="20"/>
      <c r="U1763" s="20"/>
      <c r="V1763" s="20"/>
    </row>
    <row r="1764" spans="1:22">
      <c r="A1764" s="306"/>
      <c r="D1764" s="362" t="s">
        <v>1207</v>
      </c>
      <c r="L1764" s="749"/>
    </row>
    <row r="1765" spans="1:22">
      <c r="A1765" s="389" t="s">
        <v>1214</v>
      </c>
      <c r="B1765" s="379"/>
      <c r="C1765" s="391">
        <v>230</v>
      </c>
      <c r="D1765" s="383">
        <v>172</v>
      </c>
      <c r="E1765" s="363"/>
      <c r="F1765" s="363"/>
      <c r="G1765" s="2">
        <v>2.21</v>
      </c>
      <c r="L1765" s="750"/>
    </row>
    <row r="1766" spans="1:22">
      <c r="A1766" s="389" t="s">
        <v>1213</v>
      </c>
      <c r="B1766" s="379"/>
      <c r="C1766" s="391">
        <v>230</v>
      </c>
      <c r="D1766" s="383">
        <v>172</v>
      </c>
      <c r="E1766" s="363"/>
      <c r="F1766" s="363"/>
      <c r="G1766" s="2">
        <v>2.62</v>
      </c>
      <c r="L1766" s="750"/>
    </row>
    <row r="1767" spans="1:22">
      <c r="A1767" s="389" t="s">
        <v>1211</v>
      </c>
      <c r="B1767" s="379"/>
      <c r="C1767" s="391">
        <v>230</v>
      </c>
      <c r="D1767" s="383">
        <v>230</v>
      </c>
      <c r="E1767" s="363"/>
      <c r="F1767" s="363"/>
      <c r="G1767" s="2">
        <v>2.96</v>
      </c>
      <c r="L1767" s="750"/>
    </row>
    <row r="1768" spans="1:22">
      <c r="A1768" s="389" t="s">
        <v>1210</v>
      </c>
      <c r="B1768" s="379"/>
      <c r="C1768" s="391">
        <v>230</v>
      </c>
      <c r="D1768" s="383">
        <v>230</v>
      </c>
      <c r="E1768" s="363"/>
      <c r="F1768" s="363"/>
      <c r="G1768" s="2">
        <v>3.5089999999999999</v>
      </c>
      <c r="L1768" s="750"/>
    </row>
    <row r="1769" spans="1:22">
      <c r="A1769" s="389" t="s">
        <v>1209</v>
      </c>
      <c r="B1769" s="379"/>
      <c r="C1769" s="391">
        <v>250</v>
      </c>
      <c r="D1769" s="383">
        <v>187</v>
      </c>
      <c r="E1769" s="363"/>
      <c r="F1769" s="363"/>
      <c r="G1769" s="2">
        <v>2.609</v>
      </c>
      <c r="L1769" s="750"/>
    </row>
    <row r="1770" spans="1:22">
      <c r="A1770" s="389" t="s">
        <v>1215</v>
      </c>
      <c r="B1770" s="379"/>
      <c r="C1770" s="391">
        <v>250</v>
      </c>
      <c r="D1770" s="383">
        <v>187</v>
      </c>
      <c r="E1770" s="363"/>
      <c r="F1770" s="363"/>
      <c r="G1770" s="2">
        <v>3.1</v>
      </c>
      <c r="L1770" s="750"/>
    </row>
    <row r="1771" spans="1:22">
      <c r="A1771" s="389" t="s">
        <v>1208</v>
      </c>
      <c r="B1771" s="379"/>
      <c r="C1771" s="391">
        <v>250</v>
      </c>
      <c r="D1771" s="383">
        <v>250</v>
      </c>
      <c r="E1771" s="363"/>
      <c r="F1771" s="363"/>
      <c r="G1771" s="2">
        <v>3.49</v>
      </c>
      <c r="L1771" s="750"/>
    </row>
    <row r="1772" spans="1:22">
      <c r="A1772" s="389" t="s">
        <v>1212</v>
      </c>
      <c r="B1772" s="379"/>
      <c r="C1772" s="391">
        <v>250</v>
      </c>
      <c r="D1772" s="383">
        <v>250</v>
      </c>
      <c r="E1772" s="363"/>
      <c r="F1772" s="363"/>
      <c r="G1772" s="2">
        <v>4.1500000000000004</v>
      </c>
      <c r="L1772" s="750"/>
    </row>
    <row r="1773" spans="1:22">
      <c r="B1773" s="3"/>
      <c r="G1773" s="2"/>
      <c r="L1773" s="750"/>
    </row>
    <row r="1774" spans="1:22">
      <c r="A1774" s="377" t="s">
        <v>1222</v>
      </c>
      <c r="B1774" s="379"/>
      <c r="C1774" s="391">
        <v>172</v>
      </c>
      <c r="D1774" s="383">
        <v>172</v>
      </c>
      <c r="E1774" s="379"/>
      <c r="F1774" s="363"/>
      <c r="G1774" s="2">
        <v>1.57</v>
      </c>
      <c r="H1774" s="366"/>
      <c r="L1774" s="750"/>
    </row>
    <row r="1775" spans="1:22">
      <c r="A1775" s="377" t="s">
        <v>1221</v>
      </c>
      <c r="B1775" s="379"/>
      <c r="C1775" s="391">
        <v>172</v>
      </c>
      <c r="D1775" s="383">
        <v>172</v>
      </c>
      <c r="E1775" s="379"/>
      <c r="F1775" s="363"/>
      <c r="G1775" s="2">
        <v>1.87</v>
      </c>
      <c r="H1775" s="366"/>
      <c r="L1775" s="750"/>
    </row>
    <row r="1776" spans="1:22">
      <c r="A1776" s="377" t="s">
        <v>1220</v>
      </c>
      <c r="B1776" s="379"/>
      <c r="C1776" s="391">
        <v>172</v>
      </c>
      <c r="D1776" s="383">
        <v>230</v>
      </c>
      <c r="E1776" s="379"/>
      <c r="F1776" s="363"/>
      <c r="G1776" s="2">
        <v>2.1</v>
      </c>
      <c r="H1776" s="366"/>
      <c r="L1776" s="750"/>
    </row>
    <row r="1777" spans="1:12">
      <c r="A1777" s="377" t="s">
        <v>1218</v>
      </c>
      <c r="B1777" s="379"/>
      <c r="C1777" s="391">
        <v>172</v>
      </c>
      <c r="D1777" s="383">
        <v>230</v>
      </c>
      <c r="E1777" s="379"/>
      <c r="F1777" s="363"/>
      <c r="G1777" s="2">
        <v>2.496</v>
      </c>
      <c r="H1777" s="366"/>
      <c r="L1777" s="750"/>
    </row>
    <row r="1778" spans="1:12">
      <c r="A1778" s="377" t="s">
        <v>1217</v>
      </c>
      <c r="B1778" s="379"/>
      <c r="C1778" s="391">
        <v>187</v>
      </c>
      <c r="D1778" s="383">
        <v>187</v>
      </c>
      <c r="E1778" s="379"/>
      <c r="F1778" s="363"/>
      <c r="G1778" s="2">
        <v>1.855</v>
      </c>
      <c r="H1778" s="366"/>
      <c r="L1778" s="750"/>
    </row>
    <row r="1779" spans="1:12">
      <c r="A1779" s="377" t="s">
        <v>1223</v>
      </c>
      <c r="B1779" s="379"/>
      <c r="C1779" s="391">
        <v>187</v>
      </c>
      <c r="D1779" s="383">
        <v>187</v>
      </c>
      <c r="E1779" s="379"/>
      <c r="F1779" s="363"/>
      <c r="G1779" s="2">
        <v>2.2000000000000002</v>
      </c>
      <c r="H1779" s="366"/>
      <c r="L1779" s="750"/>
    </row>
    <row r="1780" spans="1:12">
      <c r="A1780" s="377" t="s">
        <v>1216</v>
      </c>
      <c r="B1780" s="379"/>
      <c r="C1780" s="391">
        <v>187</v>
      </c>
      <c r="D1780" s="383">
        <v>250</v>
      </c>
      <c r="E1780" s="379"/>
      <c r="F1780" s="363"/>
      <c r="G1780" s="2">
        <v>2.48</v>
      </c>
      <c r="H1780" s="366"/>
      <c r="L1780" s="750"/>
    </row>
    <row r="1781" spans="1:12">
      <c r="A1781" s="377" t="s">
        <v>1219</v>
      </c>
      <c r="B1781" s="379"/>
      <c r="C1781" s="391">
        <v>187</v>
      </c>
      <c r="D1781" s="383">
        <v>250</v>
      </c>
      <c r="E1781" s="379"/>
      <c r="F1781" s="363"/>
      <c r="G1781" s="2">
        <v>2.95</v>
      </c>
      <c r="H1781" s="366"/>
      <c r="L1781" s="750"/>
    </row>
    <row r="1782" spans="1:12">
      <c r="B1782" s="3"/>
      <c r="G1782" s="2"/>
      <c r="L1782" s="750"/>
    </row>
    <row r="1783" spans="1:12">
      <c r="A1783" s="382" t="s">
        <v>1224</v>
      </c>
      <c r="B1783" s="379"/>
      <c r="C1783" s="391">
        <v>230</v>
      </c>
      <c r="D1783" s="383">
        <v>172</v>
      </c>
      <c r="E1783" s="363"/>
      <c r="F1783" s="363"/>
      <c r="G1783" s="2">
        <v>2.56</v>
      </c>
      <c r="H1783" s="366"/>
      <c r="L1783" s="750"/>
    </row>
    <row r="1784" spans="1:12">
      <c r="A1784" s="382" t="s">
        <v>1227</v>
      </c>
      <c r="B1784" s="379"/>
      <c r="C1784" s="391">
        <v>230</v>
      </c>
      <c r="D1784" s="383">
        <v>230</v>
      </c>
      <c r="E1784" s="363"/>
      <c r="F1784" s="363"/>
      <c r="G1784" s="2">
        <v>2.89</v>
      </c>
      <c r="H1784" s="366"/>
      <c r="L1784" s="750"/>
    </row>
    <row r="1785" spans="1:12">
      <c r="A1785" s="382" t="s">
        <v>1226</v>
      </c>
      <c r="B1785" s="379"/>
      <c r="C1785" s="391">
        <v>230</v>
      </c>
      <c r="D1785" s="383">
        <v>230</v>
      </c>
      <c r="E1785" s="363"/>
      <c r="F1785" s="363"/>
      <c r="G1785" s="2">
        <v>3.4409999999999998</v>
      </c>
      <c r="H1785" s="366"/>
      <c r="L1785" s="750"/>
    </row>
    <row r="1786" spans="1:12">
      <c r="A1786" s="382" t="s">
        <v>1225</v>
      </c>
      <c r="B1786" s="379"/>
      <c r="C1786" s="391">
        <v>250</v>
      </c>
      <c r="D1786" s="383">
        <v>187</v>
      </c>
      <c r="E1786" s="363"/>
      <c r="F1786" s="363"/>
      <c r="G1786" s="2">
        <v>2.5499999999999998</v>
      </c>
      <c r="H1786" s="366"/>
      <c r="L1786" s="750"/>
    </row>
    <row r="1787" spans="1:12">
      <c r="A1787" s="382" t="s">
        <v>1229</v>
      </c>
      <c r="B1787" s="379"/>
      <c r="C1787" s="391">
        <v>250</v>
      </c>
      <c r="D1787" s="383">
        <v>187</v>
      </c>
      <c r="E1787" s="363"/>
      <c r="F1787" s="363"/>
      <c r="G1787" s="2">
        <v>3.04</v>
      </c>
      <c r="H1787" s="366"/>
      <c r="L1787" s="750"/>
    </row>
    <row r="1788" spans="1:12">
      <c r="A1788" s="382" t="s">
        <v>1202</v>
      </c>
      <c r="B1788" s="379"/>
      <c r="C1788" s="391">
        <v>250</v>
      </c>
      <c r="D1788" s="383">
        <v>250</v>
      </c>
      <c r="E1788" s="363"/>
      <c r="F1788" s="363"/>
      <c r="G1788" s="2">
        <v>3.42</v>
      </c>
      <c r="H1788" s="366"/>
      <c r="L1788" s="750"/>
    </row>
    <row r="1789" spans="1:12">
      <c r="A1789" s="382" t="s">
        <v>1228</v>
      </c>
      <c r="B1789" s="379"/>
      <c r="C1789" s="391">
        <v>250</v>
      </c>
      <c r="D1789" s="383">
        <v>250</v>
      </c>
      <c r="E1789" s="363"/>
      <c r="F1789" s="363"/>
      <c r="G1789" s="2">
        <v>4.07</v>
      </c>
      <c r="H1789" s="366"/>
      <c r="L1789" s="750"/>
    </row>
    <row r="1790" spans="1:12">
      <c r="B1790" s="3"/>
      <c r="G1790" s="2"/>
      <c r="L1790" s="750"/>
    </row>
    <row r="1791" spans="1:12">
      <c r="A1791" s="378" t="s">
        <v>1230</v>
      </c>
      <c r="B1791" s="379"/>
      <c r="C1791" s="391">
        <v>172</v>
      </c>
      <c r="D1791" s="383">
        <v>172</v>
      </c>
      <c r="E1791" s="379"/>
      <c r="F1791" s="363"/>
      <c r="G1791" s="2">
        <v>1.8</v>
      </c>
      <c r="H1791" s="366"/>
      <c r="L1791" s="750"/>
    </row>
    <row r="1792" spans="1:12">
      <c r="A1792" s="378" t="s">
        <v>1235</v>
      </c>
      <c r="B1792" s="379"/>
      <c r="C1792" s="391">
        <v>172</v>
      </c>
      <c r="D1792" s="383">
        <v>230</v>
      </c>
      <c r="E1792" s="379"/>
      <c r="F1792" s="363"/>
      <c r="G1792" s="2">
        <v>2.0299999999999998</v>
      </c>
      <c r="H1792" s="366"/>
      <c r="L1792" s="750"/>
    </row>
    <row r="1793" spans="1:12">
      <c r="A1793" s="378" t="s">
        <v>1232</v>
      </c>
      <c r="B1793" s="379"/>
      <c r="C1793" s="391">
        <v>172</v>
      </c>
      <c r="D1793" s="383">
        <v>230</v>
      </c>
      <c r="E1793" s="379"/>
      <c r="F1793" s="363"/>
      <c r="G1793" s="2">
        <v>2.4279999999999999</v>
      </c>
      <c r="H1793" s="366"/>
      <c r="L1793" s="750"/>
    </row>
    <row r="1794" spans="1:12">
      <c r="A1794" s="378" t="s">
        <v>1231</v>
      </c>
      <c r="B1794" s="379"/>
      <c r="C1794" s="391">
        <v>187</v>
      </c>
      <c r="D1794" s="383">
        <v>187</v>
      </c>
      <c r="E1794" s="379"/>
      <c r="F1794" s="363"/>
      <c r="G1794" s="2">
        <v>1.79</v>
      </c>
      <c r="H1794" s="366"/>
      <c r="L1794" s="750"/>
    </row>
    <row r="1795" spans="1:12">
      <c r="A1795" s="378" t="s">
        <v>1234</v>
      </c>
      <c r="B1795" s="379"/>
      <c r="C1795" s="391">
        <v>187</v>
      </c>
      <c r="D1795" s="383">
        <v>187</v>
      </c>
      <c r="E1795" s="379"/>
      <c r="F1795" s="363"/>
      <c r="G1795" s="2">
        <v>2.14</v>
      </c>
      <c r="H1795" s="366"/>
      <c r="L1795" s="750"/>
    </row>
    <row r="1796" spans="1:12">
      <c r="A1796" s="378" t="s">
        <v>1203</v>
      </c>
      <c r="B1796" s="379"/>
      <c r="C1796" s="391">
        <v>187</v>
      </c>
      <c r="D1796" s="383">
        <v>250</v>
      </c>
      <c r="E1796" s="379"/>
      <c r="F1796" s="363"/>
      <c r="G1796" s="2">
        <v>2.41</v>
      </c>
      <c r="H1796" s="366"/>
      <c r="L1796" s="750"/>
    </row>
    <row r="1797" spans="1:12">
      <c r="A1797" s="378" t="s">
        <v>1233</v>
      </c>
      <c r="B1797" s="379"/>
      <c r="C1797" s="391">
        <v>187</v>
      </c>
      <c r="D1797" s="383">
        <v>250</v>
      </c>
      <c r="E1797" s="379"/>
      <c r="F1797" s="363"/>
      <c r="G1797" s="2">
        <v>2.89</v>
      </c>
      <c r="H1797" s="366"/>
      <c r="L1797" s="750"/>
    </row>
    <row r="1798" spans="1:12">
      <c r="B1798" s="3"/>
      <c r="G1798" s="2"/>
      <c r="L1798" s="750"/>
    </row>
    <row r="1799" spans="1:12">
      <c r="A1799" s="384" t="s">
        <v>1243</v>
      </c>
      <c r="B1799" s="379"/>
      <c r="C1799" s="391">
        <v>230</v>
      </c>
      <c r="D1799" s="383">
        <v>172</v>
      </c>
      <c r="E1799" s="363"/>
      <c r="F1799" s="363"/>
      <c r="G1799" s="2">
        <v>2.4700000000000002</v>
      </c>
      <c r="L1799" s="750"/>
    </row>
    <row r="1800" spans="1:12">
      <c r="A1800" s="384" t="s">
        <v>1244</v>
      </c>
      <c r="B1800" s="379"/>
      <c r="C1800" s="391">
        <v>230</v>
      </c>
      <c r="D1800" s="383">
        <v>172</v>
      </c>
      <c r="E1800" s="363"/>
      <c r="F1800" s="363"/>
      <c r="G1800" s="2">
        <v>2.94</v>
      </c>
      <c r="L1800" s="750"/>
    </row>
    <row r="1801" spans="1:12">
      <c r="A1801" s="384" t="s">
        <v>1267</v>
      </c>
      <c r="B1801" s="379"/>
      <c r="C1801" s="391">
        <v>230</v>
      </c>
      <c r="D1801" s="383">
        <v>230</v>
      </c>
      <c r="E1801" s="363"/>
      <c r="F1801" s="363"/>
      <c r="G1801" s="2">
        <v>3.32</v>
      </c>
      <c r="L1801" s="750"/>
    </row>
    <row r="1802" spans="1:12">
      <c r="A1802" s="384" t="s">
        <v>1268</v>
      </c>
      <c r="B1802" s="379"/>
      <c r="C1802" s="391">
        <v>230</v>
      </c>
      <c r="D1802" s="383">
        <v>230</v>
      </c>
      <c r="E1802" s="363"/>
      <c r="F1802" s="363"/>
      <c r="G1802" s="2">
        <v>3.95</v>
      </c>
      <c r="L1802" s="750"/>
    </row>
    <row r="1803" spans="1:12">
      <c r="A1803" s="384" t="s">
        <v>1237</v>
      </c>
      <c r="B1803" s="379"/>
      <c r="C1803" s="391">
        <v>230</v>
      </c>
      <c r="D1803" s="383">
        <v>114</v>
      </c>
      <c r="E1803" s="363"/>
      <c r="F1803" s="363"/>
      <c r="G1803" s="2">
        <v>1.62</v>
      </c>
      <c r="L1803" s="750"/>
    </row>
    <row r="1804" spans="1:12">
      <c r="A1804" s="384" t="s">
        <v>1242</v>
      </c>
      <c r="B1804" s="379"/>
      <c r="C1804" s="391">
        <v>230</v>
      </c>
      <c r="D1804" s="383">
        <v>114</v>
      </c>
      <c r="E1804" s="363"/>
      <c r="F1804" s="363"/>
      <c r="G1804" s="2">
        <v>1.9339999999999999</v>
      </c>
      <c r="L1804" s="750"/>
    </row>
    <row r="1805" spans="1:12">
      <c r="A1805" s="384" t="s">
        <v>1240</v>
      </c>
      <c r="B1805" s="379"/>
      <c r="C1805" s="391">
        <v>250</v>
      </c>
      <c r="D1805" s="383">
        <v>187</v>
      </c>
      <c r="E1805" s="363"/>
      <c r="F1805" s="363"/>
      <c r="G1805" s="2">
        <v>2.93</v>
      </c>
      <c r="L1805" s="750"/>
    </row>
    <row r="1806" spans="1:12">
      <c r="A1806" s="384" t="s">
        <v>1241</v>
      </c>
      <c r="B1806" s="379"/>
      <c r="C1806" s="391">
        <v>250</v>
      </c>
      <c r="D1806" s="383">
        <v>187</v>
      </c>
      <c r="E1806" s="363"/>
      <c r="F1806" s="363"/>
      <c r="G1806" s="2">
        <v>3.49</v>
      </c>
      <c r="L1806" s="750"/>
    </row>
    <row r="1807" spans="1:12">
      <c r="A1807" s="384" t="s">
        <v>1269</v>
      </c>
      <c r="B1807" s="379"/>
      <c r="C1807" s="391">
        <v>250</v>
      </c>
      <c r="D1807" s="383">
        <v>250</v>
      </c>
      <c r="E1807" s="363"/>
      <c r="F1807" s="363"/>
      <c r="G1807" s="2">
        <v>3.93</v>
      </c>
      <c r="L1807" s="750"/>
    </row>
    <row r="1808" spans="1:12">
      <c r="A1808" s="384" t="s">
        <v>1270</v>
      </c>
      <c r="B1808" s="379"/>
      <c r="C1808" s="391">
        <v>250</v>
      </c>
      <c r="D1808" s="383">
        <v>250</v>
      </c>
      <c r="E1808" s="363"/>
      <c r="F1808" s="363"/>
      <c r="G1808" s="2">
        <v>4.68</v>
      </c>
      <c r="L1808" s="750"/>
    </row>
    <row r="1809" spans="1:12">
      <c r="A1809" s="384" t="s">
        <v>1271</v>
      </c>
      <c r="B1809" s="379"/>
      <c r="C1809" s="391">
        <v>300</v>
      </c>
      <c r="D1809" s="383">
        <v>300</v>
      </c>
      <c r="E1809" s="363"/>
      <c r="F1809" s="363"/>
      <c r="G1809" s="2">
        <v>6.76</v>
      </c>
      <c r="L1809" s="750"/>
    </row>
    <row r="1810" spans="1:12">
      <c r="A1810" s="384" t="s">
        <v>1239</v>
      </c>
      <c r="B1810" s="379"/>
      <c r="C1810" s="391">
        <v>300</v>
      </c>
      <c r="D1810" s="383">
        <v>150</v>
      </c>
      <c r="E1810" s="363"/>
      <c r="F1810" s="363"/>
      <c r="G1810" s="2">
        <v>2.82</v>
      </c>
      <c r="L1810" s="750"/>
    </row>
    <row r="1811" spans="1:12">
      <c r="A1811" s="384" t="s">
        <v>1236</v>
      </c>
      <c r="B1811" s="379"/>
      <c r="C1811" s="391">
        <v>300</v>
      </c>
      <c r="D1811" s="383">
        <v>150</v>
      </c>
      <c r="E1811" s="363"/>
      <c r="F1811" s="363"/>
      <c r="G1811" s="2">
        <v>3.36</v>
      </c>
      <c r="L1811" s="750"/>
    </row>
    <row r="1812" spans="1:12">
      <c r="A1812" s="384" t="s">
        <v>1204</v>
      </c>
      <c r="B1812" s="379"/>
      <c r="C1812" s="391">
        <v>250</v>
      </c>
      <c r="D1812" s="383">
        <v>124</v>
      </c>
      <c r="E1812" s="363"/>
      <c r="F1812" s="363"/>
      <c r="G1812" s="2">
        <v>1.92</v>
      </c>
      <c r="L1812" s="750"/>
    </row>
    <row r="1813" spans="1:12">
      <c r="A1813" s="384" t="s">
        <v>1238</v>
      </c>
      <c r="B1813" s="379"/>
      <c r="C1813" s="391">
        <v>250</v>
      </c>
      <c r="D1813" s="383">
        <v>124</v>
      </c>
      <c r="E1813" s="363"/>
      <c r="F1813" s="363"/>
      <c r="G1813" s="2">
        <v>2.29</v>
      </c>
      <c r="L1813" s="750"/>
    </row>
    <row r="1814" spans="1:12">
      <c r="B1814" s="3"/>
      <c r="G1814" s="2"/>
      <c r="L1814" s="750"/>
    </row>
    <row r="1815" spans="1:12">
      <c r="A1815" s="389" t="s">
        <v>1249</v>
      </c>
      <c r="B1815" s="379"/>
      <c r="C1815" s="391">
        <v>172</v>
      </c>
      <c r="D1815" s="383">
        <v>114</v>
      </c>
      <c r="E1815" s="363"/>
      <c r="F1815" s="363"/>
      <c r="G1815" s="2">
        <v>1.04</v>
      </c>
      <c r="L1815" s="750"/>
    </row>
    <row r="1816" spans="1:12">
      <c r="A1816" s="389" t="s">
        <v>1248</v>
      </c>
      <c r="B1816" s="379"/>
      <c r="C1816" s="391">
        <v>172</v>
      </c>
      <c r="D1816" s="383">
        <v>114</v>
      </c>
      <c r="E1816" s="363"/>
      <c r="F1816" s="363"/>
      <c r="G1816" s="2">
        <v>1.2350000000000001</v>
      </c>
      <c r="L1816" s="750"/>
    </row>
    <row r="1817" spans="1:12">
      <c r="A1817" s="389" t="s">
        <v>1246</v>
      </c>
      <c r="B1817" s="379"/>
      <c r="C1817" s="391">
        <v>225</v>
      </c>
      <c r="D1817" s="383">
        <v>150</v>
      </c>
      <c r="E1817" s="363"/>
      <c r="F1817" s="363"/>
      <c r="G1817" s="2">
        <v>1.8</v>
      </c>
      <c r="L1817" s="750"/>
    </row>
    <row r="1818" spans="1:12">
      <c r="A1818" s="389" t="s">
        <v>1250</v>
      </c>
      <c r="B1818" s="379"/>
      <c r="C1818" s="391">
        <v>225</v>
      </c>
      <c r="D1818" s="383">
        <v>150</v>
      </c>
      <c r="E1818" s="363"/>
      <c r="F1818" s="363"/>
      <c r="G1818" s="2">
        <v>2.13</v>
      </c>
      <c r="L1818" s="750"/>
    </row>
    <row r="1819" spans="1:12">
      <c r="A1819" s="389" t="s">
        <v>1247</v>
      </c>
      <c r="B1819" s="379"/>
      <c r="C1819" s="391">
        <v>187</v>
      </c>
      <c r="D1819" s="383">
        <v>124</v>
      </c>
      <c r="E1819" s="363"/>
      <c r="F1819" s="363"/>
      <c r="G1819" s="2">
        <v>1.23</v>
      </c>
      <c r="L1819" s="750"/>
    </row>
    <row r="1820" spans="1:12">
      <c r="A1820" s="389" t="s">
        <v>1245</v>
      </c>
      <c r="B1820" s="379"/>
      <c r="C1820" s="391">
        <v>187</v>
      </c>
      <c r="D1820" s="383">
        <v>124</v>
      </c>
      <c r="E1820" s="363"/>
      <c r="F1820" s="363"/>
      <c r="G1820" s="2">
        <v>1.46</v>
      </c>
      <c r="L1820" s="750"/>
    </row>
    <row r="1821" spans="1:12">
      <c r="B1821" s="3"/>
      <c r="G1821" s="2"/>
      <c r="L1821" s="750"/>
    </row>
    <row r="1822" spans="1:12">
      <c r="A1822" s="377" t="s">
        <v>1255</v>
      </c>
      <c r="B1822" s="379"/>
      <c r="C1822" s="391">
        <v>230</v>
      </c>
      <c r="D1822" s="383">
        <v>114</v>
      </c>
      <c r="E1822" s="363"/>
      <c r="F1822" s="363"/>
      <c r="G1822" s="2">
        <v>1.46</v>
      </c>
      <c r="L1822" s="750"/>
    </row>
    <row r="1823" spans="1:12">
      <c r="A1823" s="377" t="s">
        <v>1254</v>
      </c>
      <c r="B1823" s="379"/>
      <c r="C1823" s="391">
        <v>230</v>
      </c>
      <c r="D1823" s="383">
        <v>114</v>
      </c>
      <c r="E1823" s="363"/>
      <c r="F1823" s="363"/>
      <c r="G1823" s="2">
        <v>1.7370000000000001</v>
      </c>
      <c r="L1823" s="750"/>
    </row>
    <row r="1824" spans="1:12">
      <c r="A1824" s="377" t="s">
        <v>1253</v>
      </c>
      <c r="B1824" s="379"/>
      <c r="C1824" s="391">
        <v>300</v>
      </c>
      <c r="D1824" s="383">
        <v>150</v>
      </c>
      <c r="E1824" s="363"/>
      <c r="F1824" s="363"/>
      <c r="G1824" s="2">
        <v>2.52</v>
      </c>
      <c r="L1824" s="750"/>
    </row>
    <row r="1825" spans="1:12">
      <c r="A1825" s="377" t="s">
        <v>1256</v>
      </c>
      <c r="B1825" s="379"/>
      <c r="C1825" s="391">
        <v>300</v>
      </c>
      <c r="D1825" s="383">
        <v>150</v>
      </c>
      <c r="E1825" s="363"/>
      <c r="F1825" s="363"/>
      <c r="G1825" s="2">
        <v>2.99</v>
      </c>
      <c r="L1825" s="750"/>
    </row>
    <row r="1826" spans="1:12">
      <c r="A1826" s="377" t="s">
        <v>1251</v>
      </c>
      <c r="B1826" s="379"/>
      <c r="C1826" s="391">
        <v>250</v>
      </c>
      <c r="D1826" s="383">
        <v>124</v>
      </c>
      <c r="E1826" s="363"/>
      <c r="F1826" s="363"/>
      <c r="G1826" s="2">
        <v>1.73</v>
      </c>
      <c r="L1826" s="750"/>
    </row>
    <row r="1827" spans="1:12">
      <c r="A1827" s="377" t="s">
        <v>1252</v>
      </c>
      <c r="B1827" s="379"/>
      <c r="C1827" s="391">
        <v>250</v>
      </c>
      <c r="D1827" s="383">
        <v>124</v>
      </c>
      <c r="E1827" s="363"/>
      <c r="F1827" s="363"/>
      <c r="G1827" s="2">
        <v>2.0499999999999998</v>
      </c>
      <c r="L1827" s="750"/>
    </row>
    <row r="1828" spans="1:12">
      <c r="B1828" s="3"/>
      <c r="G1828" s="2"/>
      <c r="L1828" s="750"/>
    </row>
    <row r="1829" spans="1:12">
      <c r="A1829" s="382" t="s">
        <v>1260</v>
      </c>
      <c r="B1829" s="379"/>
      <c r="C1829" s="391">
        <v>172</v>
      </c>
      <c r="D1829" s="383">
        <v>114</v>
      </c>
      <c r="E1829" s="363"/>
      <c r="F1829" s="363"/>
      <c r="G1829" s="2">
        <v>0.98</v>
      </c>
      <c r="L1829" s="750"/>
    </row>
    <row r="1830" spans="1:12">
      <c r="A1830" s="382" t="s">
        <v>1259</v>
      </c>
      <c r="B1830" s="379"/>
      <c r="C1830" s="391">
        <v>172</v>
      </c>
      <c r="D1830" s="383">
        <v>114</v>
      </c>
      <c r="E1830" s="363"/>
      <c r="F1830" s="363"/>
      <c r="G1830" s="2">
        <v>0.98199999999999998</v>
      </c>
      <c r="L1830" s="750"/>
    </row>
    <row r="1831" spans="1:12">
      <c r="A1831" s="382" t="s">
        <v>1258</v>
      </c>
      <c r="B1831" s="379"/>
      <c r="C1831" s="391">
        <v>225</v>
      </c>
      <c r="D1831" s="383">
        <v>150</v>
      </c>
      <c r="E1831" s="363"/>
      <c r="F1831" s="363"/>
      <c r="G1831" s="2">
        <v>1.73</v>
      </c>
      <c r="L1831" s="750"/>
    </row>
    <row r="1832" spans="1:12">
      <c r="A1832" s="382" t="s">
        <v>1261</v>
      </c>
      <c r="B1832" s="379"/>
      <c r="C1832" s="391">
        <v>225</v>
      </c>
      <c r="D1832" s="383">
        <v>150</v>
      </c>
      <c r="E1832" s="363"/>
      <c r="F1832" s="363"/>
      <c r="G1832" s="2">
        <v>2.0699999999999998</v>
      </c>
      <c r="L1832" s="750"/>
    </row>
    <row r="1833" spans="1:12">
      <c r="A1833" s="382" t="s">
        <v>1205</v>
      </c>
      <c r="B1833" s="379"/>
      <c r="C1833" s="391">
        <v>187</v>
      </c>
      <c r="D1833" s="383">
        <v>124</v>
      </c>
      <c r="E1833" s="363"/>
      <c r="F1833" s="363"/>
      <c r="G1833" s="2">
        <v>1.17</v>
      </c>
      <c r="L1833" s="750"/>
    </row>
    <row r="1834" spans="1:12">
      <c r="A1834" s="382" t="s">
        <v>1257</v>
      </c>
      <c r="B1834" s="379"/>
      <c r="C1834" s="391">
        <v>187</v>
      </c>
      <c r="D1834" s="383">
        <v>124</v>
      </c>
      <c r="E1834" s="363"/>
      <c r="F1834" s="363"/>
      <c r="G1834" s="2">
        <v>1.4</v>
      </c>
      <c r="L1834" s="750"/>
    </row>
    <row r="1835" spans="1:12">
      <c r="B1835" s="3"/>
      <c r="G1835" s="2"/>
      <c r="L1835" s="750"/>
    </row>
    <row r="1836" spans="1:12">
      <c r="A1836" s="378" t="s">
        <v>1262</v>
      </c>
      <c r="B1836" s="379"/>
      <c r="C1836" s="391">
        <v>230</v>
      </c>
      <c r="D1836" s="383">
        <v>114</v>
      </c>
      <c r="E1836" s="363"/>
      <c r="F1836" s="363"/>
      <c r="G1836" s="2">
        <v>1.4</v>
      </c>
      <c r="L1836" s="750"/>
    </row>
    <row r="1837" spans="1:12">
      <c r="A1837" s="378" t="s">
        <v>1265</v>
      </c>
      <c r="B1837" s="379"/>
      <c r="C1837" s="391">
        <v>230</v>
      </c>
      <c r="D1837" s="383">
        <v>114</v>
      </c>
      <c r="E1837" s="363"/>
      <c r="F1837" s="363"/>
      <c r="G1837" s="2">
        <v>1.679</v>
      </c>
      <c r="L1837" s="750"/>
    </row>
    <row r="1838" spans="1:12">
      <c r="A1838" s="378" t="s">
        <v>1264</v>
      </c>
      <c r="B1838" s="379"/>
      <c r="C1838" s="391">
        <v>300</v>
      </c>
      <c r="D1838" s="383">
        <v>150</v>
      </c>
      <c r="E1838" s="363"/>
      <c r="F1838" s="363"/>
      <c r="G1838" s="2">
        <v>2.4500000000000002</v>
      </c>
      <c r="L1838" s="750"/>
    </row>
    <row r="1839" spans="1:12">
      <c r="A1839" s="378" t="s">
        <v>1266</v>
      </c>
      <c r="B1839" s="379"/>
      <c r="C1839" s="391">
        <v>300</v>
      </c>
      <c r="D1839" s="383">
        <v>150</v>
      </c>
      <c r="E1839" s="363"/>
      <c r="F1839" s="363"/>
      <c r="G1839" s="2">
        <v>2.92</v>
      </c>
      <c r="L1839" s="750"/>
    </row>
    <row r="1840" spans="1:12">
      <c r="A1840" s="378" t="s">
        <v>1206</v>
      </c>
      <c r="B1840" s="379"/>
      <c r="C1840" s="391">
        <v>250</v>
      </c>
      <c r="D1840" s="383">
        <v>124</v>
      </c>
      <c r="E1840" s="363"/>
      <c r="F1840" s="363"/>
      <c r="G1840" s="2">
        <v>1.67</v>
      </c>
      <c r="L1840" s="750"/>
    </row>
    <row r="1841" spans="1:22">
      <c r="A1841" s="378" t="s">
        <v>1263</v>
      </c>
      <c r="B1841" s="379"/>
      <c r="C1841" s="391">
        <v>250</v>
      </c>
      <c r="D1841" s="383">
        <v>124</v>
      </c>
      <c r="E1841" s="363"/>
      <c r="F1841" s="363"/>
      <c r="G1841" s="2">
        <v>1.99</v>
      </c>
      <c r="L1841" s="750"/>
    </row>
    <row r="1842" spans="1:22">
      <c r="L1842" s="750"/>
    </row>
    <row r="1843" spans="1:22" s="306" customFormat="1">
      <c r="A1843" s="305" t="s">
        <v>2013</v>
      </c>
      <c r="B1843" s="2" t="s">
        <v>2014</v>
      </c>
      <c r="C1843" s="2">
        <v>228.6</v>
      </c>
      <c r="D1843" s="2">
        <v>100</v>
      </c>
      <c r="E1843" s="2">
        <v>152.4</v>
      </c>
      <c r="F1843" s="2">
        <v>139.69999999999999</v>
      </c>
      <c r="G1843" s="21">
        <f t="shared" ref="G1843:G1877" si="155">IF(B1843="","",AVERAGE(E1843:F1843)*D1843*C1843/10^6)</f>
        <v>3.3387030000000006</v>
      </c>
      <c r="H1843" s="20">
        <f t="shared" ref="H1843:H1845" si="156">ROUND(C1843*E1843*F1843/10^6,3)</f>
        <v>4.867</v>
      </c>
      <c r="I1843" s="20">
        <f t="shared" ref="I1843:I1845" si="157">IF(D1843="","-",ROUND((F1843+D1843)*C1843/2*E1843/10^6,3))</f>
        <v>4.1749999999999998</v>
      </c>
      <c r="J1843" s="75">
        <f t="shared" ref="J1843:J1845" si="158">IF(D1843="","-",ROUND((E1843+F1843)*C1843/2*D1843/10^6,3))</f>
        <v>3.339</v>
      </c>
      <c r="L1843" s="20"/>
      <c r="M1843" s="20"/>
      <c r="N1843" s="20"/>
      <c r="O1843" s="20"/>
      <c r="P1843" s="20"/>
      <c r="Q1843" s="21"/>
      <c r="R1843" s="22" t="s">
        <v>16</v>
      </c>
      <c r="S1843" s="22">
        <v>2</v>
      </c>
      <c r="T1843" s="20">
        <f t="shared" ref="T1843:T1845" si="159">(E1843+U1843)/2/(SIN(RADIANS((ATAN(((E1843+U1843)-(F1843+U1843))/2/C1843)*180/PI()))))*2</f>
        <v>5488.5162585164971</v>
      </c>
      <c r="U1843" s="22">
        <f>U1839</f>
        <v>0</v>
      </c>
      <c r="V1843" s="20" t="str">
        <f t="shared" ref="V1843:V1845" si="160">B1843&amp;"-"&amp;C1843&amp;"x"&amp;E1843&amp;"x"&amp;D1843</f>
        <v>RE-228,6x152,4x100</v>
      </c>
    </row>
    <row r="1844" spans="1:22" s="306" customFormat="1">
      <c r="A1844" s="305" t="s">
        <v>2015</v>
      </c>
      <c r="B1844" s="2" t="s">
        <v>2014</v>
      </c>
      <c r="C1844" s="2">
        <v>228.6</v>
      </c>
      <c r="D1844" s="2">
        <v>100</v>
      </c>
      <c r="E1844" s="2">
        <v>152.4</v>
      </c>
      <c r="F1844" s="2">
        <v>114.3</v>
      </c>
      <c r="G1844" s="21">
        <f t="shared" si="155"/>
        <v>3.048381</v>
      </c>
      <c r="H1844" s="20">
        <f t="shared" si="156"/>
        <v>3.9820000000000002</v>
      </c>
      <c r="I1844" s="20">
        <f t="shared" si="157"/>
        <v>3.7330000000000001</v>
      </c>
      <c r="J1844" s="75">
        <f t="shared" si="158"/>
        <v>3.048</v>
      </c>
      <c r="L1844" s="20"/>
      <c r="M1844" s="20"/>
      <c r="N1844" s="20"/>
      <c r="O1844" s="20"/>
      <c r="P1844" s="20"/>
      <c r="Q1844" s="21"/>
      <c r="R1844" s="22" t="s">
        <v>16</v>
      </c>
      <c r="S1844" s="22">
        <v>2</v>
      </c>
      <c r="T1844" s="20">
        <f t="shared" si="159"/>
        <v>1835.1390138079453</v>
      </c>
      <c r="U1844" s="22">
        <f>U1838</f>
        <v>0</v>
      </c>
      <c r="V1844" s="20" t="str">
        <f t="shared" si="160"/>
        <v>RE-228,6x152,4x100</v>
      </c>
    </row>
    <row r="1845" spans="1:22" s="306" customFormat="1">
      <c r="A1845" s="305" t="s">
        <v>2016</v>
      </c>
      <c r="B1845" s="2" t="s">
        <v>2014</v>
      </c>
      <c r="C1845" s="2">
        <v>228.6</v>
      </c>
      <c r="D1845" s="2">
        <v>100</v>
      </c>
      <c r="E1845" s="2">
        <v>152.4</v>
      </c>
      <c r="F1845" s="2">
        <v>76.2</v>
      </c>
      <c r="G1845" s="21">
        <f t="shared" si="155"/>
        <v>2.6128980000000004</v>
      </c>
      <c r="H1845" s="20">
        <f t="shared" si="156"/>
        <v>2.6549999999999998</v>
      </c>
      <c r="I1845" s="20">
        <f t="shared" si="157"/>
        <v>3.069</v>
      </c>
      <c r="J1845" s="75">
        <f t="shared" si="158"/>
        <v>2.613</v>
      </c>
      <c r="L1845" s="20"/>
      <c r="M1845" s="20"/>
      <c r="N1845" s="20"/>
      <c r="O1845" s="20"/>
      <c r="P1845" s="20"/>
      <c r="Q1845" s="21"/>
      <c r="R1845" s="22" t="s">
        <v>16</v>
      </c>
      <c r="S1845" s="22">
        <v>2</v>
      </c>
      <c r="T1845" s="20">
        <f t="shared" si="159"/>
        <v>927.01300961744869</v>
      </c>
      <c r="U1845" s="22">
        <f>U1839</f>
        <v>0</v>
      </c>
      <c r="V1845" s="20" t="str">
        <f t="shared" si="160"/>
        <v>RE-228,6x152,4x100</v>
      </c>
    </row>
    <row r="1846" spans="1:22" s="306" customFormat="1">
      <c r="B1846" s="2"/>
      <c r="C1846" s="2"/>
      <c r="D1846" s="2"/>
      <c r="E1846" s="2"/>
      <c r="F1846" s="2"/>
      <c r="G1846" s="359"/>
      <c r="Q1846" s="557"/>
      <c r="R1846" s="2"/>
    </row>
    <row r="1847" spans="1:22" s="306" customFormat="1">
      <c r="A1847" s="305" t="s">
        <v>2017</v>
      </c>
      <c r="B1847" s="2" t="s">
        <v>2014</v>
      </c>
      <c r="C1847" s="2">
        <v>304.8</v>
      </c>
      <c r="D1847" s="2">
        <v>100</v>
      </c>
      <c r="E1847" s="2">
        <v>152.4</v>
      </c>
      <c r="F1847" s="2">
        <v>139.69999999999999</v>
      </c>
      <c r="G1847" s="21">
        <f t="shared" si="155"/>
        <v>4.4516040000000006</v>
      </c>
      <c r="H1847" s="20">
        <f t="shared" ref="H1847:H1877" si="161">ROUND(C1847*E1847*F1847/10^6,3)</f>
        <v>6.4889999999999999</v>
      </c>
      <c r="I1847" s="20">
        <f t="shared" ref="I1847:I1877" si="162">IF(D1847="","-",ROUND((F1847+D1847)*C1847/2*E1847/10^6,3))</f>
        <v>5.5670000000000002</v>
      </c>
      <c r="J1847" s="75">
        <f t="shared" ref="J1847:J1877" si="163">IF(D1847="","-",ROUND((E1847+F1847)*C1847/2*D1847/10^6,3))</f>
        <v>4.452</v>
      </c>
      <c r="L1847" s="20"/>
      <c r="M1847" s="20"/>
      <c r="N1847" s="20"/>
      <c r="O1847" s="20"/>
      <c r="P1847" s="20"/>
      <c r="Q1847" s="21"/>
      <c r="R1847" s="22" t="s">
        <v>16</v>
      </c>
      <c r="S1847" s="22">
        <v>2</v>
      </c>
      <c r="T1847" s="20">
        <f t="shared" ref="T1847:T1877" si="164">(E1847+U1847)/2/(SIN(RADIANS((ATAN(((E1847+U1847)-(F1847+U1847))/2/C1847)*180/PI()))))*2</f>
        <v>7316.7873277825884</v>
      </c>
      <c r="U1847" s="22">
        <f>U1843</f>
        <v>0</v>
      </c>
      <c r="V1847" s="20" t="str">
        <f t="shared" ref="V1847:V1877" si="165">B1847&amp;"-"&amp;C1847&amp;"x"&amp;E1847&amp;"x"&amp;D1847</f>
        <v>RE-304,8x152,4x100</v>
      </c>
    </row>
    <row r="1848" spans="1:22" s="306" customFormat="1">
      <c r="A1848" s="305" t="s">
        <v>2018</v>
      </c>
      <c r="B1848" s="2" t="s">
        <v>2014</v>
      </c>
      <c r="C1848" s="2">
        <v>304.8</v>
      </c>
      <c r="D1848" s="2">
        <v>100</v>
      </c>
      <c r="E1848" s="2">
        <v>152.4</v>
      </c>
      <c r="F1848" s="2">
        <v>127</v>
      </c>
      <c r="G1848" s="21">
        <f t="shared" si="155"/>
        <v>4.2580559999999998</v>
      </c>
      <c r="H1848" s="20">
        <f t="shared" si="161"/>
        <v>5.899</v>
      </c>
      <c r="I1848" s="20">
        <f t="shared" si="162"/>
        <v>5.2720000000000002</v>
      </c>
      <c r="J1848" s="75">
        <f t="shared" si="163"/>
        <v>4.258</v>
      </c>
      <c r="L1848" s="20"/>
      <c r="M1848" s="20"/>
      <c r="N1848" s="20"/>
      <c r="O1848" s="20"/>
      <c r="P1848" s="20"/>
      <c r="Q1848" s="21"/>
      <c r="R1848" s="22" t="s">
        <v>16</v>
      </c>
      <c r="S1848" s="22">
        <v>2</v>
      </c>
      <c r="T1848" s="20">
        <f t="shared" si="164"/>
        <v>3660.7736231567228</v>
      </c>
      <c r="U1848" s="22">
        <f>U1845</f>
        <v>0</v>
      </c>
      <c r="V1848" s="20" t="str">
        <f t="shared" si="165"/>
        <v>RE-304,8x152,4x100</v>
      </c>
    </row>
    <row r="1849" spans="1:22" s="306" customFormat="1">
      <c r="A1849" s="305" t="s">
        <v>2019</v>
      </c>
      <c r="B1849" s="2" t="s">
        <v>2014</v>
      </c>
      <c r="C1849" s="2">
        <v>304.8</v>
      </c>
      <c r="D1849" s="2">
        <v>100</v>
      </c>
      <c r="E1849" s="2">
        <v>152.4</v>
      </c>
      <c r="F1849" s="2">
        <v>114.3</v>
      </c>
      <c r="G1849" s="21">
        <f t="shared" si="155"/>
        <v>4.064508</v>
      </c>
      <c r="H1849" s="20">
        <f t="shared" si="161"/>
        <v>5.3090000000000002</v>
      </c>
      <c r="I1849" s="20">
        <f t="shared" si="162"/>
        <v>4.9770000000000003</v>
      </c>
      <c r="J1849" s="75">
        <f t="shared" si="163"/>
        <v>4.0650000000000004</v>
      </c>
      <c r="L1849" s="20"/>
      <c r="M1849" s="20"/>
      <c r="N1849" s="20"/>
      <c r="O1849" s="20"/>
      <c r="P1849" s="20"/>
      <c r="Q1849" s="21"/>
      <c r="R1849" s="22" t="s">
        <v>16</v>
      </c>
      <c r="S1849" s="22">
        <v>2</v>
      </c>
      <c r="T1849" s="20">
        <f t="shared" si="164"/>
        <v>2443.1578581827243</v>
      </c>
      <c r="U1849" s="22">
        <f>U1846</f>
        <v>0</v>
      </c>
      <c r="V1849" s="20" t="str">
        <f t="shared" si="165"/>
        <v>RE-304,8x152,4x100</v>
      </c>
    </row>
    <row r="1850" spans="1:22" s="306" customFormat="1">
      <c r="A1850" s="305" t="s">
        <v>2020</v>
      </c>
      <c r="B1850" s="2" t="s">
        <v>2014</v>
      </c>
      <c r="C1850" s="2">
        <v>304.8</v>
      </c>
      <c r="D1850" s="2">
        <v>100</v>
      </c>
      <c r="E1850" s="2">
        <v>152.4</v>
      </c>
      <c r="F1850" s="2">
        <v>76.2</v>
      </c>
      <c r="G1850" s="21">
        <f t="shared" si="155"/>
        <v>3.4838640000000005</v>
      </c>
      <c r="H1850" s="20">
        <f>ROUND(C1850*E1850*F1850/10^6,3)</f>
        <v>3.54</v>
      </c>
      <c r="I1850" s="20">
        <f>IF(D1850="","-",ROUND((F1850+D1850)*C1850/2*E1850/10^6,3))</f>
        <v>4.0919999999999996</v>
      </c>
      <c r="J1850" s="75">
        <f>IF(D1850="","-",ROUND((E1850+F1850)*C1850/2*D1850/10^6,3))</f>
        <v>3.484</v>
      </c>
      <c r="L1850" s="20"/>
      <c r="M1850" s="20"/>
      <c r="N1850" s="20"/>
      <c r="O1850" s="20"/>
      <c r="P1850" s="20"/>
      <c r="Q1850" s="21"/>
      <c r="R1850" s="22" t="s">
        <v>16</v>
      </c>
      <c r="S1850" s="22">
        <v>2</v>
      </c>
      <c r="T1850" s="20">
        <f>(E1850+U1850)/2/(SIN(RADIANS((ATAN(((E1850+U1850)-(F1850+U1850))/2/C1850)*180/PI()))))*2</f>
        <v>1228.6880808406991</v>
      </c>
      <c r="U1850" s="22">
        <f>U1844</f>
        <v>0</v>
      </c>
      <c r="V1850" s="20" t="str">
        <f>B1850&amp;"-"&amp;C1850&amp;"x"&amp;E1850&amp;"x"&amp;D1850</f>
        <v>RE-304,8x152,4x100</v>
      </c>
    </row>
    <row r="1851" spans="1:22" s="306" customFormat="1">
      <c r="A1851" s="305"/>
      <c r="B1851" s="2"/>
      <c r="C1851" s="2"/>
      <c r="D1851" s="2"/>
      <c r="E1851" s="2"/>
      <c r="F1851" s="2"/>
      <c r="G1851" s="21"/>
      <c r="H1851" s="20"/>
      <c r="I1851" s="20"/>
      <c r="L1851" s="20"/>
      <c r="M1851" s="20"/>
      <c r="N1851" s="20"/>
      <c r="O1851" s="20"/>
      <c r="P1851" s="20"/>
      <c r="Q1851" s="21"/>
      <c r="R1851" s="22"/>
      <c r="S1851" s="22"/>
      <c r="T1851" s="20"/>
      <c r="U1851" s="22"/>
      <c r="V1851" s="20"/>
    </row>
    <row r="1852" spans="1:22" s="306" customFormat="1">
      <c r="A1852" s="305" t="s">
        <v>2021</v>
      </c>
      <c r="B1852" s="2" t="s">
        <v>2014</v>
      </c>
      <c r="C1852" s="2">
        <v>342.9</v>
      </c>
      <c r="D1852" s="2">
        <v>100</v>
      </c>
      <c r="E1852" s="2">
        <v>152.4</v>
      </c>
      <c r="F1852" s="2">
        <v>127</v>
      </c>
      <c r="G1852" s="21">
        <f t="shared" si="155"/>
        <v>4.7903129999999994</v>
      </c>
      <c r="H1852" s="20">
        <f t="shared" si="161"/>
        <v>6.6369999999999996</v>
      </c>
      <c r="I1852" s="20">
        <f t="shared" si="162"/>
        <v>5.931</v>
      </c>
      <c r="J1852" s="75">
        <f t="shared" si="163"/>
        <v>4.79</v>
      </c>
      <c r="L1852" s="20"/>
      <c r="M1852" s="20"/>
      <c r="N1852" s="20"/>
      <c r="O1852" s="20"/>
      <c r="P1852" s="20"/>
      <c r="Q1852" s="21"/>
      <c r="R1852" s="22" t="s">
        <v>16</v>
      </c>
      <c r="S1852" s="22">
        <v>2</v>
      </c>
      <c r="T1852" s="20" t="e">
        <f t="shared" si="164"/>
        <v>#REF!</v>
      </c>
      <c r="U1852" s="22" t="e">
        <f>#REF!</f>
        <v>#REF!</v>
      </c>
      <c r="V1852" s="20" t="str">
        <f t="shared" si="165"/>
        <v>RE-342,9x152,4x100</v>
      </c>
    </row>
    <row r="1853" spans="1:22" s="306" customFormat="1">
      <c r="A1853" s="305" t="s">
        <v>2022</v>
      </c>
      <c r="B1853" s="2" t="s">
        <v>2014</v>
      </c>
      <c r="C1853" s="2">
        <v>342.9</v>
      </c>
      <c r="D1853" s="2">
        <v>100</v>
      </c>
      <c r="E1853" s="2">
        <v>152.4</v>
      </c>
      <c r="F1853" s="2">
        <v>101.6</v>
      </c>
      <c r="G1853" s="21">
        <f t="shared" si="155"/>
        <v>4.3548299999999998</v>
      </c>
      <c r="H1853" s="20">
        <f t="shared" si="161"/>
        <v>5.3090000000000002</v>
      </c>
      <c r="I1853" s="20">
        <f t="shared" si="162"/>
        <v>5.2679999999999998</v>
      </c>
      <c r="J1853" s="75">
        <f t="shared" si="163"/>
        <v>4.3550000000000004</v>
      </c>
      <c r="L1853" s="20"/>
      <c r="M1853" s="20"/>
      <c r="N1853" s="20"/>
      <c r="O1853" s="20"/>
      <c r="P1853" s="20"/>
      <c r="Q1853" s="21"/>
      <c r="R1853" s="22" t="s">
        <v>16</v>
      </c>
      <c r="S1853" s="22">
        <v>2</v>
      </c>
      <c r="T1853" s="20" t="e">
        <f t="shared" si="164"/>
        <v>#REF!</v>
      </c>
      <c r="U1853" s="22" t="e">
        <f>#REF!</f>
        <v>#REF!</v>
      </c>
      <c r="V1853" s="20" t="str">
        <f t="shared" si="165"/>
        <v>RE-342,9x152,4x100</v>
      </c>
    </row>
    <row r="1854" spans="1:22" s="306" customFormat="1">
      <c r="A1854" s="305" t="s">
        <v>2023</v>
      </c>
      <c r="B1854" s="2" t="s">
        <v>2014</v>
      </c>
      <c r="C1854" s="2">
        <v>342.9</v>
      </c>
      <c r="D1854" s="2">
        <v>100</v>
      </c>
      <c r="E1854" s="2">
        <v>152.4</v>
      </c>
      <c r="F1854" s="2">
        <v>76.2</v>
      </c>
      <c r="G1854" s="21">
        <f t="shared" si="155"/>
        <v>3.9193470000000006</v>
      </c>
      <c r="H1854" s="20">
        <f t="shared" si="161"/>
        <v>3.9820000000000002</v>
      </c>
      <c r="I1854" s="20">
        <f t="shared" si="162"/>
        <v>4.6040000000000001</v>
      </c>
      <c r="J1854" s="75">
        <f t="shared" si="163"/>
        <v>3.919</v>
      </c>
      <c r="L1854" s="20"/>
      <c r="M1854" s="20"/>
      <c r="N1854" s="20"/>
      <c r="O1854" s="20"/>
      <c r="P1854" s="20"/>
      <c r="Q1854" s="21"/>
      <c r="R1854" s="22" t="s">
        <v>16</v>
      </c>
      <c r="S1854" s="22">
        <v>2</v>
      </c>
      <c r="T1854" s="20">
        <f t="shared" si="164"/>
        <v>1380.0406950521424</v>
      </c>
      <c r="U1854" s="22">
        <f>U1847</f>
        <v>0</v>
      </c>
      <c r="V1854" s="20" t="str">
        <f t="shared" si="165"/>
        <v>RE-342,9x152,4x100</v>
      </c>
    </row>
    <row r="1855" spans="1:22" s="306" customFormat="1">
      <c r="A1855" s="305"/>
      <c r="B1855" s="2"/>
      <c r="C1855" s="2"/>
      <c r="D1855" s="2"/>
      <c r="E1855" s="2"/>
      <c r="F1855" s="2"/>
      <c r="G1855" s="21"/>
      <c r="H1855" s="20"/>
      <c r="I1855" s="20"/>
      <c r="L1855" s="20"/>
      <c r="M1855" s="20"/>
      <c r="N1855" s="20"/>
      <c r="O1855" s="20"/>
      <c r="P1855" s="20"/>
      <c r="Q1855" s="21"/>
      <c r="R1855" s="22"/>
      <c r="S1855" s="22"/>
      <c r="T1855" s="20"/>
      <c r="U1855" s="22"/>
      <c r="V1855" s="20"/>
    </row>
    <row r="1856" spans="1:22" s="306" customFormat="1">
      <c r="A1856" s="305" t="s">
        <v>2024</v>
      </c>
      <c r="B1856" s="2" t="s">
        <v>2014</v>
      </c>
      <c r="C1856" s="2">
        <v>381</v>
      </c>
      <c r="D1856" s="2">
        <v>100</v>
      </c>
      <c r="E1856" s="2">
        <v>152.4</v>
      </c>
      <c r="F1856" s="2">
        <v>139.69999999999999</v>
      </c>
      <c r="G1856" s="21">
        <f t="shared" si="155"/>
        <v>5.5645050000000014</v>
      </c>
      <c r="H1856" s="20">
        <f t="shared" si="161"/>
        <v>8.1120000000000001</v>
      </c>
      <c r="I1856" s="20">
        <f t="shared" si="162"/>
        <v>6.9589999999999996</v>
      </c>
      <c r="J1856" s="75">
        <f t="shared" si="163"/>
        <v>5.5650000000000004</v>
      </c>
      <c r="L1856" s="20"/>
      <c r="M1856" s="20"/>
      <c r="N1856" s="20"/>
      <c r="O1856" s="20"/>
      <c r="P1856" s="20"/>
      <c r="Q1856" s="21"/>
      <c r="R1856" s="22" t="s">
        <v>16</v>
      </c>
      <c r="S1856" s="22">
        <v>2</v>
      </c>
      <c r="T1856" s="20">
        <f t="shared" si="164"/>
        <v>9145.2699118177916</v>
      </c>
      <c r="U1856" s="22">
        <f>U1850</f>
        <v>0</v>
      </c>
      <c r="V1856" s="20" t="str">
        <f t="shared" si="165"/>
        <v>RE-381x152,4x100</v>
      </c>
    </row>
    <row r="1857" spans="1:22" s="306" customFormat="1">
      <c r="A1857" s="305" t="s">
        <v>2025</v>
      </c>
      <c r="B1857" s="2" t="s">
        <v>2014</v>
      </c>
      <c r="C1857" s="2">
        <v>381</v>
      </c>
      <c r="D1857" s="2">
        <v>100</v>
      </c>
      <c r="E1857" s="2">
        <v>152.4</v>
      </c>
      <c r="F1857" s="2">
        <v>127</v>
      </c>
      <c r="G1857" s="21">
        <f t="shared" si="155"/>
        <v>5.3225699999999989</v>
      </c>
      <c r="H1857" s="20">
        <f t="shared" si="161"/>
        <v>7.3739999999999997</v>
      </c>
      <c r="I1857" s="20">
        <f t="shared" si="162"/>
        <v>6.59</v>
      </c>
      <c r="J1857" s="75">
        <f t="shared" si="163"/>
        <v>5.3230000000000004</v>
      </c>
      <c r="L1857" s="20"/>
      <c r="M1857" s="20"/>
      <c r="N1857" s="20"/>
      <c r="O1857" s="20"/>
      <c r="P1857" s="20"/>
      <c r="Q1857" s="21"/>
      <c r="R1857" s="22" t="s">
        <v>16</v>
      </c>
      <c r="S1857" s="22">
        <v>2</v>
      </c>
      <c r="T1857" s="20">
        <f t="shared" si="164"/>
        <v>4574.5392948361477</v>
      </c>
      <c r="U1857" s="22">
        <f t="shared" ref="U1857:U1859" si="166">U1848</f>
        <v>0</v>
      </c>
      <c r="V1857" s="20" t="str">
        <f t="shared" si="165"/>
        <v>RE-381x152,4x100</v>
      </c>
    </row>
    <row r="1858" spans="1:22" s="306" customFormat="1">
      <c r="A1858" s="305" t="s">
        <v>2026</v>
      </c>
      <c r="B1858" s="2" t="s">
        <v>2014</v>
      </c>
      <c r="C1858" s="2">
        <v>381</v>
      </c>
      <c r="D1858" s="2">
        <v>100</v>
      </c>
      <c r="E1858" s="2">
        <v>152.4</v>
      </c>
      <c r="F1858" s="2">
        <v>101.6</v>
      </c>
      <c r="G1858" s="21">
        <f t="shared" si="155"/>
        <v>4.8387000000000002</v>
      </c>
      <c r="H1858" s="20">
        <f t="shared" si="161"/>
        <v>5.899</v>
      </c>
      <c r="I1858" s="20">
        <f t="shared" si="162"/>
        <v>5.8529999999999998</v>
      </c>
      <c r="J1858" s="75">
        <f t="shared" si="163"/>
        <v>4.8390000000000004</v>
      </c>
      <c r="L1858" s="20"/>
      <c r="M1858" s="20"/>
      <c r="N1858" s="20"/>
      <c r="O1858" s="20"/>
      <c r="P1858" s="20"/>
      <c r="Q1858" s="21"/>
      <c r="R1858" s="22" t="s">
        <v>16</v>
      </c>
      <c r="S1858" s="22">
        <v>2</v>
      </c>
      <c r="T1858" s="20">
        <f t="shared" si="164"/>
        <v>2291.0743680640308</v>
      </c>
      <c r="U1858" s="22">
        <f t="shared" si="166"/>
        <v>0</v>
      </c>
      <c r="V1858" s="20" t="str">
        <f t="shared" si="165"/>
        <v>RE-381x152,4x100</v>
      </c>
    </row>
    <row r="1859" spans="1:22" s="306" customFormat="1">
      <c r="A1859" s="305" t="s">
        <v>2027</v>
      </c>
      <c r="B1859" s="2" t="s">
        <v>2014</v>
      </c>
      <c r="C1859" s="2">
        <v>381</v>
      </c>
      <c r="D1859" s="2">
        <v>100</v>
      </c>
      <c r="E1859" s="2">
        <v>152.4</v>
      </c>
      <c r="F1859" s="2">
        <v>76.2</v>
      </c>
      <c r="G1859" s="21">
        <f t="shared" si="155"/>
        <v>4.3548300000000006</v>
      </c>
      <c r="H1859" s="20">
        <f t="shared" si="161"/>
        <v>4.4249999999999998</v>
      </c>
      <c r="I1859" s="20">
        <f t="shared" si="162"/>
        <v>5.1150000000000002</v>
      </c>
      <c r="J1859" s="75">
        <f t="shared" si="163"/>
        <v>4.3550000000000004</v>
      </c>
      <c r="L1859" s="20"/>
      <c r="M1859" s="20"/>
      <c r="N1859" s="20"/>
      <c r="O1859" s="20"/>
      <c r="P1859" s="20"/>
      <c r="Q1859" s="21"/>
      <c r="R1859" s="22" t="s">
        <v>16</v>
      </c>
      <c r="S1859" s="22">
        <v>2</v>
      </c>
      <c r="T1859" s="20">
        <f t="shared" si="164"/>
        <v>1531.6010446588234</v>
      </c>
      <c r="U1859" s="22">
        <f t="shared" si="166"/>
        <v>0</v>
      </c>
      <c r="V1859" s="20" t="str">
        <f t="shared" si="165"/>
        <v>RE-381x152,4x100</v>
      </c>
    </row>
    <row r="1860" spans="1:22" s="306" customFormat="1">
      <c r="A1860" s="305"/>
      <c r="B1860" s="2"/>
      <c r="C1860" s="2"/>
      <c r="D1860" s="2"/>
      <c r="E1860" s="2"/>
      <c r="F1860" s="2"/>
      <c r="G1860" s="21"/>
      <c r="H1860" s="20"/>
      <c r="I1860" s="20"/>
      <c r="L1860" s="20"/>
      <c r="M1860" s="20"/>
      <c r="N1860" s="20"/>
      <c r="O1860" s="20"/>
      <c r="P1860" s="20"/>
      <c r="Q1860" s="21"/>
      <c r="R1860" s="22"/>
      <c r="S1860" s="22"/>
      <c r="T1860" s="20"/>
      <c r="U1860" s="22"/>
      <c r="V1860" s="20"/>
    </row>
    <row r="1861" spans="1:22" s="306" customFormat="1">
      <c r="A1861" s="305" t="s">
        <v>2028</v>
      </c>
      <c r="B1861" s="2" t="s">
        <v>2014</v>
      </c>
      <c r="C1861" s="2">
        <v>457.2</v>
      </c>
      <c r="D1861" s="2">
        <v>100</v>
      </c>
      <c r="E1861" s="2">
        <v>152.4</v>
      </c>
      <c r="F1861" s="2">
        <v>139.69999999999999</v>
      </c>
      <c r="G1861" s="21">
        <f t="shared" si="155"/>
        <v>6.6774060000000013</v>
      </c>
      <c r="H1861" s="20">
        <f t="shared" si="161"/>
        <v>9.734</v>
      </c>
      <c r="I1861" s="20">
        <f t="shared" si="162"/>
        <v>8.3510000000000009</v>
      </c>
      <c r="J1861" s="75">
        <f t="shared" si="163"/>
        <v>6.6769999999999996</v>
      </c>
      <c r="L1861" s="20"/>
      <c r="M1861" s="20"/>
      <c r="N1861" s="20"/>
      <c r="O1861" s="20"/>
      <c r="P1861" s="20"/>
      <c r="Q1861" s="21"/>
      <c r="R1861" s="22" t="s">
        <v>16</v>
      </c>
      <c r="S1861" s="22">
        <v>2</v>
      </c>
      <c r="T1861" s="20">
        <f t="shared" si="164"/>
        <v>10973.858282299791</v>
      </c>
      <c r="U1861" s="22">
        <f>U1851</f>
        <v>0</v>
      </c>
      <c r="V1861" s="20" t="str">
        <f t="shared" si="165"/>
        <v>RE-457,2x152,4x100</v>
      </c>
    </row>
    <row r="1862" spans="1:22" s="306" customFormat="1">
      <c r="A1862" s="305" t="s">
        <v>2029</v>
      </c>
      <c r="B1862" s="2" t="s">
        <v>2014</v>
      </c>
      <c r="C1862" s="2">
        <v>457.2</v>
      </c>
      <c r="D1862" s="2">
        <v>100</v>
      </c>
      <c r="E1862" s="2">
        <v>152.4</v>
      </c>
      <c r="F1862" s="2">
        <v>127</v>
      </c>
      <c r="G1862" s="21">
        <f t="shared" si="155"/>
        <v>6.3870839999999989</v>
      </c>
      <c r="H1862" s="20">
        <f t="shared" si="161"/>
        <v>8.8490000000000002</v>
      </c>
      <c r="I1862" s="20">
        <f t="shared" si="162"/>
        <v>7.9080000000000004</v>
      </c>
      <c r="J1862" s="75">
        <f t="shared" si="163"/>
        <v>6.3869999999999996</v>
      </c>
      <c r="L1862" s="20"/>
      <c r="M1862" s="20"/>
      <c r="N1862" s="20"/>
      <c r="O1862" s="20"/>
      <c r="P1862" s="20"/>
      <c r="Q1862" s="21"/>
      <c r="R1862" s="22" t="s">
        <v>16</v>
      </c>
      <c r="S1862" s="22">
        <v>2</v>
      </c>
      <c r="T1862" s="20" t="e">
        <f t="shared" si="164"/>
        <v>#REF!</v>
      </c>
      <c r="U1862" s="22" t="e">
        <f>U1852</f>
        <v>#REF!</v>
      </c>
      <c r="V1862" s="20" t="str">
        <f t="shared" si="165"/>
        <v>RE-457,2x152,4x100</v>
      </c>
    </row>
    <row r="1863" spans="1:22" s="306" customFormat="1">
      <c r="A1863" s="305" t="s">
        <v>2030</v>
      </c>
      <c r="B1863" s="2" t="s">
        <v>2014</v>
      </c>
      <c r="C1863" s="2">
        <v>457.2</v>
      </c>
      <c r="D1863" s="2">
        <v>100</v>
      </c>
      <c r="E1863" s="2">
        <v>152.4</v>
      </c>
      <c r="F1863" s="2">
        <v>101.6</v>
      </c>
      <c r="G1863" s="21">
        <f t="shared" si="155"/>
        <v>5.8064400000000003</v>
      </c>
      <c r="H1863" s="20">
        <f t="shared" si="161"/>
        <v>7.0789999999999997</v>
      </c>
      <c r="I1863" s="20">
        <f t="shared" si="162"/>
        <v>7.0229999999999997</v>
      </c>
      <c r="J1863" s="75">
        <f t="shared" si="163"/>
        <v>5.806</v>
      </c>
      <c r="L1863" s="20"/>
      <c r="M1863" s="20"/>
      <c r="N1863" s="20"/>
      <c r="O1863" s="20"/>
      <c r="P1863" s="20"/>
      <c r="Q1863" s="21"/>
      <c r="R1863" s="22" t="s">
        <v>16</v>
      </c>
      <c r="S1863" s="22">
        <v>2</v>
      </c>
      <c r="T1863" s="20" t="e">
        <f t="shared" si="164"/>
        <v>#REF!</v>
      </c>
      <c r="U1863" s="22" t="e">
        <f>U1853</f>
        <v>#REF!</v>
      </c>
      <c r="V1863" s="20" t="str">
        <f t="shared" si="165"/>
        <v>RE-457,2x152,4x100</v>
      </c>
    </row>
    <row r="1864" spans="1:22" s="306" customFormat="1">
      <c r="A1864" s="305" t="s">
        <v>2031</v>
      </c>
      <c r="B1864" s="2" t="s">
        <v>2014</v>
      </c>
      <c r="C1864" s="2">
        <v>457.2</v>
      </c>
      <c r="D1864" s="2">
        <v>100</v>
      </c>
      <c r="E1864" s="2">
        <v>152.4</v>
      </c>
      <c r="F1864" s="2">
        <v>85.7</v>
      </c>
      <c r="G1864" s="21">
        <f t="shared" si="155"/>
        <v>5.4429660000000011</v>
      </c>
      <c r="H1864" s="20">
        <f t="shared" si="161"/>
        <v>5.9710000000000001</v>
      </c>
      <c r="I1864" s="20">
        <f t="shared" si="162"/>
        <v>6.47</v>
      </c>
      <c r="J1864" s="75">
        <f t="shared" si="163"/>
        <v>5.4429999999999996</v>
      </c>
      <c r="L1864" s="20"/>
      <c r="M1864" s="20"/>
      <c r="N1864" s="20"/>
      <c r="O1864" s="20"/>
      <c r="P1864" s="20"/>
      <c r="Q1864" s="21"/>
      <c r="R1864" s="22" t="s">
        <v>16</v>
      </c>
      <c r="S1864" s="22">
        <v>2</v>
      </c>
      <c r="T1864" s="20">
        <f t="shared" si="164"/>
        <v>2094.8247223228705</v>
      </c>
      <c r="U1864" s="22">
        <f>U1854</f>
        <v>0</v>
      </c>
      <c r="V1864" s="20" t="str">
        <f t="shared" si="165"/>
        <v>RE-457,2x152,4x100</v>
      </c>
    </row>
    <row r="1865" spans="1:22" s="306" customFormat="1">
      <c r="A1865" s="305"/>
      <c r="B1865" s="2"/>
      <c r="C1865" s="2"/>
      <c r="D1865" s="2"/>
      <c r="E1865" s="2"/>
      <c r="F1865" s="2"/>
      <c r="G1865" s="21"/>
      <c r="H1865" s="20"/>
      <c r="I1865" s="20"/>
      <c r="L1865" s="20"/>
      <c r="M1865" s="20"/>
      <c r="N1865" s="20"/>
      <c r="O1865" s="20"/>
      <c r="P1865" s="20"/>
      <c r="Q1865" s="21"/>
      <c r="R1865" s="22"/>
      <c r="S1865" s="22"/>
      <c r="T1865" s="20"/>
      <c r="U1865" s="22"/>
      <c r="V1865" s="20"/>
    </row>
    <row r="1866" spans="1:22" s="306" customFormat="1">
      <c r="A1866" s="305" t="s">
        <v>2032</v>
      </c>
      <c r="B1866" s="2" t="s">
        <v>2014</v>
      </c>
      <c r="C1866" s="2">
        <v>533.4</v>
      </c>
      <c r="D1866" s="2">
        <v>100</v>
      </c>
      <c r="E1866" s="2">
        <v>152.4</v>
      </c>
      <c r="F1866" s="2">
        <v>127</v>
      </c>
      <c r="G1866" s="21">
        <f t="shared" si="155"/>
        <v>7.4515979999999988</v>
      </c>
      <c r="H1866" s="20">
        <f t="shared" si="161"/>
        <v>10.324</v>
      </c>
      <c r="I1866" s="20">
        <f t="shared" si="162"/>
        <v>9.2260000000000009</v>
      </c>
      <c r="J1866" s="75">
        <f t="shared" si="163"/>
        <v>7.452</v>
      </c>
      <c r="L1866" s="20"/>
      <c r="M1866" s="20"/>
      <c r="N1866" s="20"/>
      <c r="O1866" s="20"/>
      <c r="P1866" s="20"/>
      <c r="Q1866" s="21"/>
      <c r="R1866" s="22" t="s">
        <v>16</v>
      </c>
      <c r="S1866" s="22">
        <v>2</v>
      </c>
      <c r="T1866" s="20">
        <f t="shared" si="164"/>
        <v>6402.6140286604805</v>
      </c>
      <c r="U1866" s="22">
        <f>U1855</f>
        <v>0</v>
      </c>
      <c r="V1866" s="20" t="str">
        <f t="shared" si="165"/>
        <v>RE-533,4x152,4x100</v>
      </c>
    </row>
    <row r="1867" spans="1:22" s="306" customFormat="1">
      <c r="A1867" s="305" t="s">
        <v>2033</v>
      </c>
      <c r="B1867" s="2" t="s">
        <v>2014</v>
      </c>
      <c r="C1867" s="2">
        <v>533.4</v>
      </c>
      <c r="D1867" s="2">
        <v>100</v>
      </c>
      <c r="E1867" s="2">
        <v>152.4</v>
      </c>
      <c r="F1867" s="2">
        <v>101.6</v>
      </c>
      <c r="G1867" s="21">
        <f t="shared" si="155"/>
        <v>6.7741800000000003</v>
      </c>
      <c r="H1867" s="20">
        <f t="shared" si="161"/>
        <v>8.2590000000000003</v>
      </c>
      <c r="I1867" s="20">
        <f t="shared" si="162"/>
        <v>8.1940000000000008</v>
      </c>
      <c r="J1867" s="75">
        <f t="shared" si="163"/>
        <v>6.774</v>
      </c>
      <c r="L1867" s="20"/>
      <c r="M1867" s="20"/>
      <c r="N1867" s="20"/>
      <c r="O1867" s="20"/>
      <c r="P1867" s="20"/>
      <c r="Q1867" s="21"/>
      <c r="R1867" s="22" t="s">
        <v>16</v>
      </c>
      <c r="S1867" s="22">
        <v>2</v>
      </c>
      <c r="T1867" s="20">
        <f t="shared" si="164"/>
        <v>3204.0265167442039</v>
      </c>
      <c r="U1867" s="22">
        <f t="shared" ref="U1867:U1868" si="167">U1856</f>
        <v>0</v>
      </c>
      <c r="V1867" s="20" t="str">
        <f t="shared" si="165"/>
        <v>RE-533,4x152,4x100</v>
      </c>
    </row>
    <row r="1868" spans="1:22" s="306" customFormat="1">
      <c r="A1868" s="305" t="s">
        <v>2034</v>
      </c>
      <c r="B1868" s="2" t="s">
        <v>2014</v>
      </c>
      <c r="C1868" s="2">
        <v>533.4</v>
      </c>
      <c r="D1868" s="2">
        <v>100</v>
      </c>
      <c r="E1868" s="2">
        <v>152.4</v>
      </c>
      <c r="F1868" s="2">
        <v>76.2</v>
      </c>
      <c r="G1868" s="21">
        <f t="shared" si="155"/>
        <v>6.0967620000000009</v>
      </c>
      <c r="H1868" s="20">
        <f t="shared" si="161"/>
        <v>6.194</v>
      </c>
      <c r="I1868" s="20">
        <f t="shared" si="162"/>
        <v>7.1619999999999999</v>
      </c>
      <c r="J1868" s="75">
        <f t="shared" si="163"/>
        <v>6.0970000000000004</v>
      </c>
      <c r="L1868" s="20"/>
      <c r="M1868" s="20"/>
      <c r="N1868" s="20"/>
      <c r="O1868" s="20"/>
      <c r="P1868" s="20"/>
      <c r="Q1868" s="21"/>
      <c r="R1868" s="22" t="s">
        <v>16</v>
      </c>
      <c r="S1868" s="22">
        <v>2</v>
      </c>
      <c r="T1868" s="20">
        <f t="shared" si="164"/>
        <v>2139.0359323770131</v>
      </c>
      <c r="U1868" s="22">
        <f t="shared" si="167"/>
        <v>0</v>
      </c>
      <c r="V1868" s="20" t="str">
        <f t="shared" si="165"/>
        <v>RE-533,4x152,4x100</v>
      </c>
    </row>
    <row r="1869" spans="1:22" s="306" customFormat="1">
      <c r="A1869" s="305"/>
      <c r="B1869" s="2"/>
      <c r="C1869" s="2"/>
      <c r="D1869" s="2"/>
      <c r="E1869" s="2"/>
      <c r="F1869" s="2"/>
      <c r="G1869" s="21"/>
      <c r="H1869" s="20"/>
      <c r="I1869" s="20"/>
      <c r="L1869" s="20"/>
      <c r="M1869" s="20"/>
      <c r="N1869" s="20"/>
      <c r="O1869" s="20"/>
      <c r="P1869" s="20"/>
      <c r="Q1869" s="21"/>
      <c r="R1869" s="22"/>
      <c r="S1869" s="22"/>
      <c r="T1869" s="20"/>
      <c r="U1869" s="22"/>
      <c r="V1869" s="20"/>
    </row>
    <row r="1870" spans="1:22" s="306" customFormat="1">
      <c r="A1870" s="305" t="s">
        <v>2035</v>
      </c>
      <c r="B1870" s="2" t="s">
        <v>2014</v>
      </c>
      <c r="C1870" s="2">
        <v>609.6</v>
      </c>
      <c r="D1870" s="2">
        <v>100</v>
      </c>
      <c r="E1870" s="2">
        <v>152.4</v>
      </c>
      <c r="F1870" s="2">
        <v>127</v>
      </c>
      <c r="G1870" s="21">
        <f t="shared" si="155"/>
        <v>8.5161119999999997</v>
      </c>
      <c r="H1870" s="20">
        <f t="shared" si="161"/>
        <v>11.798999999999999</v>
      </c>
      <c r="I1870" s="20">
        <f t="shared" si="162"/>
        <v>10.544</v>
      </c>
      <c r="J1870" s="75">
        <f t="shared" si="163"/>
        <v>8.516</v>
      </c>
      <c r="L1870" s="20"/>
      <c r="M1870" s="20"/>
      <c r="N1870" s="20"/>
      <c r="O1870" s="20"/>
      <c r="P1870" s="20"/>
      <c r="Q1870" s="21"/>
      <c r="R1870" s="22" t="s">
        <v>16</v>
      </c>
      <c r="S1870" s="22">
        <v>2</v>
      </c>
      <c r="T1870" s="20">
        <f t="shared" si="164"/>
        <v>7316.7873277825956</v>
      </c>
      <c r="U1870" s="22">
        <f>U1858</f>
        <v>0</v>
      </c>
      <c r="V1870" s="20" t="str">
        <f t="shared" si="165"/>
        <v>RE-609,6x152,4x100</v>
      </c>
    </row>
    <row r="1871" spans="1:22" s="306" customFormat="1">
      <c r="A1871" s="305" t="s">
        <v>2036</v>
      </c>
      <c r="B1871" s="2" t="s">
        <v>2014</v>
      </c>
      <c r="C1871" s="2">
        <v>609.6</v>
      </c>
      <c r="D1871" s="2">
        <v>100</v>
      </c>
      <c r="E1871" s="2">
        <v>152.4</v>
      </c>
      <c r="F1871" s="2">
        <v>101.6</v>
      </c>
      <c r="G1871" s="21">
        <f t="shared" si="155"/>
        <v>7.7419200000000004</v>
      </c>
      <c r="H1871" s="20">
        <f t="shared" si="161"/>
        <v>9.4390000000000001</v>
      </c>
      <c r="I1871" s="20">
        <f t="shared" si="162"/>
        <v>9.3650000000000002</v>
      </c>
      <c r="J1871" s="75">
        <f t="shared" si="163"/>
        <v>7.742</v>
      </c>
      <c r="L1871" s="20"/>
      <c r="M1871" s="20"/>
      <c r="N1871" s="20"/>
      <c r="O1871" s="20"/>
      <c r="P1871" s="20"/>
      <c r="Q1871" s="21"/>
      <c r="R1871" s="22" t="s">
        <v>16</v>
      </c>
      <c r="S1871" s="22">
        <v>2</v>
      </c>
      <c r="T1871" s="20">
        <f t="shared" si="164"/>
        <v>3660.7736231567228</v>
      </c>
      <c r="U1871" s="22">
        <f>U1859</f>
        <v>0</v>
      </c>
      <c r="V1871" s="20" t="str">
        <f t="shared" si="165"/>
        <v>RE-609,6x152,4x100</v>
      </c>
    </row>
    <row r="1872" spans="1:22" s="306" customFormat="1">
      <c r="A1872" s="305" t="s">
        <v>2037</v>
      </c>
      <c r="B1872" s="2" t="s">
        <v>2014</v>
      </c>
      <c r="C1872" s="2">
        <v>609.6</v>
      </c>
      <c r="D1872" s="2">
        <v>100</v>
      </c>
      <c r="E1872" s="2">
        <v>152.4</v>
      </c>
      <c r="F1872" s="2">
        <v>76.2</v>
      </c>
      <c r="G1872" s="21">
        <f t="shared" si="155"/>
        <v>6.967728000000001</v>
      </c>
      <c r="H1872" s="20">
        <f t="shared" si="161"/>
        <v>7.0789999999999997</v>
      </c>
      <c r="I1872" s="20">
        <f t="shared" si="162"/>
        <v>8.1850000000000005</v>
      </c>
      <c r="J1872" s="75">
        <f t="shared" si="163"/>
        <v>6.968</v>
      </c>
      <c r="L1872" s="20"/>
      <c r="M1872" s="20"/>
      <c r="N1872" s="20"/>
      <c r="O1872" s="20"/>
      <c r="P1872" s="20"/>
      <c r="Q1872" s="21"/>
      <c r="R1872" s="22" t="s">
        <v>16</v>
      </c>
      <c r="S1872" s="22">
        <v>2</v>
      </c>
      <c r="T1872" s="20">
        <f t="shared" si="164"/>
        <v>2443.1578581827248</v>
      </c>
      <c r="U1872" s="22">
        <f>U1860</f>
        <v>0</v>
      </c>
      <c r="V1872" s="20" t="str">
        <f t="shared" si="165"/>
        <v>RE-609,6x152,4x100</v>
      </c>
    </row>
    <row r="1873" spans="1:22" s="306" customFormat="1">
      <c r="A1873" s="305"/>
      <c r="B1873" s="2"/>
      <c r="C1873" s="2"/>
      <c r="D1873" s="2"/>
      <c r="E1873" s="2"/>
      <c r="F1873" s="2"/>
      <c r="G1873" s="21"/>
      <c r="H1873" s="20"/>
      <c r="I1873" s="20"/>
      <c r="L1873" s="20"/>
      <c r="M1873" s="20"/>
      <c r="N1873" s="20"/>
      <c r="O1873" s="20"/>
      <c r="P1873" s="20"/>
      <c r="Q1873" s="21"/>
      <c r="R1873" s="22"/>
      <c r="S1873" s="22"/>
      <c r="T1873" s="20"/>
      <c r="U1873" s="22"/>
      <c r="V1873" s="20"/>
    </row>
    <row r="1874" spans="1:22" s="306" customFormat="1">
      <c r="A1874" s="305" t="s">
        <v>2038</v>
      </c>
      <c r="B1874" s="2" t="s">
        <v>2014</v>
      </c>
      <c r="C1874" s="2">
        <v>685.8</v>
      </c>
      <c r="D1874" s="2">
        <v>100</v>
      </c>
      <c r="E1874" s="2">
        <v>152.4</v>
      </c>
      <c r="F1874" s="2">
        <v>127</v>
      </c>
      <c r="G1874" s="21">
        <f t="shared" si="155"/>
        <v>9.5806259999999988</v>
      </c>
      <c r="H1874" s="20">
        <f t="shared" si="161"/>
        <v>13.273999999999999</v>
      </c>
      <c r="I1874" s="20">
        <f t="shared" si="162"/>
        <v>11.863</v>
      </c>
      <c r="J1874" s="75">
        <f t="shared" si="163"/>
        <v>9.5809999999999995</v>
      </c>
      <c r="L1874" s="20"/>
      <c r="M1874" s="20"/>
      <c r="N1874" s="20"/>
      <c r="O1874" s="20"/>
      <c r="P1874" s="20"/>
      <c r="Q1874" s="21"/>
      <c r="R1874" s="22" t="s">
        <v>16</v>
      </c>
      <c r="S1874" s="22">
        <v>2</v>
      </c>
      <c r="T1874" s="20">
        <f t="shared" si="164"/>
        <v>8231.0109901518153</v>
      </c>
      <c r="U1874" s="22">
        <f>U1861</f>
        <v>0</v>
      </c>
      <c r="V1874" s="20" t="str">
        <f t="shared" si="165"/>
        <v>RE-685,8x152,4x100</v>
      </c>
    </row>
    <row r="1875" spans="1:22" s="306" customFormat="1">
      <c r="A1875" s="305" t="s">
        <v>2039</v>
      </c>
      <c r="B1875" s="2" t="s">
        <v>2014</v>
      </c>
      <c r="C1875" s="2">
        <v>685.8</v>
      </c>
      <c r="D1875" s="2">
        <v>100</v>
      </c>
      <c r="E1875" s="2">
        <v>152.4</v>
      </c>
      <c r="F1875" s="2">
        <v>101.6</v>
      </c>
      <c r="G1875" s="21">
        <f t="shared" si="155"/>
        <v>8.7096599999999995</v>
      </c>
      <c r="H1875" s="20">
        <f t="shared" si="161"/>
        <v>10.619</v>
      </c>
      <c r="I1875" s="20">
        <f t="shared" si="162"/>
        <v>10.535</v>
      </c>
      <c r="J1875" s="75">
        <f t="shared" si="163"/>
        <v>8.7100000000000009</v>
      </c>
      <c r="L1875" s="20"/>
      <c r="M1875" s="20"/>
      <c r="N1875" s="20"/>
      <c r="O1875" s="20"/>
      <c r="P1875" s="20"/>
      <c r="Q1875" s="21"/>
      <c r="R1875" s="22" t="s">
        <v>16</v>
      </c>
      <c r="S1875" s="22">
        <v>2</v>
      </c>
      <c r="T1875" s="20" t="e">
        <f t="shared" si="164"/>
        <v>#REF!</v>
      </c>
      <c r="U1875" s="22" t="e">
        <f>U1862</f>
        <v>#REF!</v>
      </c>
      <c r="V1875" s="20" t="str">
        <f t="shared" si="165"/>
        <v>RE-685,8x152,4x100</v>
      </c>
    </row>
    <row r="1876" spans="1:22" s="306" customFormat="1">
      <c r="A1876" s="305" t="s">
        <v>2040</v>
      </c>
      <c r="B1876" s="2" t="s">
        <v>2014</v>
      </c>
      <c r="C1876" s="2">
        <v>685.8</v>
      </c>
      <c r="D1876" s="2">
        <v>100</v>
      </c>
      <c r="E1876" s="2">
        <v>152.4</v>
      </c>
      <c r="F1876" s="2">
        <v>76.2</v>
      </c>
      <c r="G1876" s="21">
        <f t="shared" si="155"/>
        <v>7.8386940000000012</v>
      </c>
      <c r="H1876" s="20">
        <f t="shared" si="161"/>
        <v>7.9640000000000004</v>
      </c>
      <c r="I1876" s="20">
        <f t="shared" si="162"/>
        <v>9.2080000000000002</v>
      </c>
      <c r="J1876" s="75">
        <f t="shared" si="163"/>
        <v>7.8390000000000004</v>
      </c>
      <c r="L1876" s="20"/>
      <c r="M1876" s="20"/>
      <c r="N1876" s="20"/>
      <c r="O1876" s="20"/>
      <c r="P1876" s="20"/>
      <c r="Q1876" s="21"/>
      <c r="R1876" s="22" t="s">
        <v>16</v>
      </c>
      <c r="S1876" s="22">
        <v>2</v>
      </c>
      <c r="T1876" s="20" t="e">
        <f t="shared" si="164"/>
        <v>#REF!</v>
      </c>
      <c r="U1876" s="22" t="e">
        <f>U1863</f>
        <v>#REF!</v>
      </c>
      <c r="V1876" s="20" t="str">
        <f t="shared" si="165"/>
        <v>RE-685,8x152,4x100</v>
      </c>
    </row>
    <row r="1877" spans="1:22" s="306" customFormat="1">
      <c r="A1877" s="305" t="s">
        <v>2041</v>
      </c>
      <c r="B1877" s="2" t="s">
        <v>2014</v>
      </c>
      <c r="C1877" s="2">
        <v>685.8</v>
      </c>
      <c r="D1877" s="2">
        <v>100</v>
      </c>
      <c r="E1877" s="2">
        <v>152.4</v>
      </c>
      <c r="F1877" s="2">
        <v>50.8</v>
      </c>
      <c r="G1877" s="21">
        <f t="shared" si="155"/>
        <v>6.9677280000000001</v>
      </c>
      <c r="H1877" s="20">
        <f t="shared" si="161"/>
        <v>5.3090000000000002</v>
      </c>
      <c r="I1877" s="20">
        <f t="shared" si="162"/>
        <v>7.8810000000000002</v>
      </c>
      <c r="J1877" s="75">
        <f t="shared" si="163"/>
        <v>6.968</v>
      </c>
      <c r="L1877" s="20"/>
      <c r="M1877" s="20"/>
      <c r="N1877" s="20"/>
      <c r="O1877" s="20"/>
      <c r="P1877" s="20"/>
      <c r="Q1877" s="21"/>
      <c r="R1877" s="22" t="s">
        <v>16</v>
      </c>
      <c r="S1877" s="22">
        <v>2</v>
      </c>
      <c r="T1877" s="20">
        <f t="shared" si="164"/>
        <v>2063.0367228917667</v>
      </c>
      <c r="U1877" s="22">
        <f>U1864</f>
        <v>0</v>
      </c>
      <c r="V1877" s="20" t="str">
        <f t="shared" si="165"/>
        <v>RE-685,8x152,4x100</v>
      </c>
    </row>
    <row r="1878" spans="1:22" s="306" customFormat="1">
      <c r="B1878" s="2"/>
      <c r="C1878" s="2"/>
      <c r="D1878" s="2"/>
      <c r="E1878" s="2"/>
      <c r="F1878" s="2"/>
      <c r="G1878" s="359"/>
      <c r="Q1878" s="557"/>
      <c r="R1878" s="2"/>
    </row>
    <row r="1879" spans="1:22" s="614" customFormat="1">
      <c r="A1879" s="610" t="s">
        <v>2042</v>
      </c>
      <c r="B1879" s="476" t="s">
        <v>2014</v>
      </c>
      <c r="C1879" s="476">
        <v>252</v>
      </c>
      <c r="D1879" s="476">
        <v>100</v>
      </c>
      <c r="E1879" s="476">
        <v>114.3</v>
      </c>
      <c r="F1879" s="476">
        <v>114.3</v>
      </c>
      <c r="G1879" s="611">
        <v>2.3450000000000002</v>
      </c>
      <c r="H1879" s="611"/>
      <c r="I1879" s="612"/>
      <c r="J1879" s="613"/>
      <c r="L1879" s="612"/>
      <c r="M1879" s="612"/>
      <c r="N1879" s="612"/>
      <c r="O1879" s="612"/>
      <c r="P1879" s="612"/>
      <c r="Q1879" s="537"/>
      <c r="R1879" s="615" t="s">
        <v>16</v>
      </c>
      <c r="S1879" s="615">
        <v>2</v>
      </c>
      <c r="T1879" s="612" t="e">
        <f t="shared" ref="T1879:T1882" si="168">(E1879+U1879)/2/(SIN(RADIANS((ATAN(((E1879+U1879)-(F1879+U1879))/2/C1879)*180/PI()))))*2</f>
        <v>#DIV/0!</v>
      </c>
      <c r="U1879" s="615">
        <f>U1867</f>
        <v>0</v>
      </c>
      <c r="V1879" s="612" t="str">
        <f t="shared" ref="V1879:V1882" si="169">B1879&amp;"-"&amp;C1879&amp;"x"&amp;E1879&amp;"x"&amp;D1879</f>
        <v>RE-252x114,3x100</v>
      </c>
    </row>
    <row r="1880" spans="1:22" s="614" customFormat="1">
      <c r="A1880" s="610" t="s">
        <v>2043</v>
      </c>
      <c r="B1880" s="476" t="s">
        <v>2014</v>
      </c>
      <c r="C1880" s="476">
        <v>252</v>
      </c>
      <c r="D1880" s="476">
        <v>100</v>
      </c>
      <c r="E1880" s="616">
        <v>117.6</v>
      </c>
      <c r="F1880" s="476">
        <v>101.6</v>
      </c>
      <c r="G1880" s="617">
        <v>2.2490000000000001</v>
      </c>
      <c r="H1880" s="611"/>
      <c r="I1880" s="612"/>
      <c r="J1880" s="613"/>
      <c r="L1880" s="612"/>
      <c r="M1880" s="612"/>
      <c r="N1880" s="612"/>
      <c r="O1880" s="612"/>
      <c r="P1880" s="612"/>
      <c r="Q1880" s="537"/>
      <c r="R1880" s="615" t="s">
        <v>16</v>
      </c>
      <c r="S1880" s="615">
        <v>2</v>
      </c>
      <c r="T1880" s="612">
        <f>(E1880+U1880)/2/(SIN(RADIANS((ATAN(((E1880+U1880)-(F1880+U1880))/2/C1880)*180/PI()))))*2</f>
        <v>3706.2661965919287</v>
      </c>
      <c r="U1880" s="615">
        <f>U1869</f>
        <v>0</v>
      </c>
      <c r="V1880" s="612" t="str">
        <f>B1880&amp;"-"&amp;C1880&amp;"x"&amp;E1880&amp;"x"&amp;D1880</f>
        <v>RE-252x117,6x100</v>
      </c>
    </row>
    <row r="1881" spans="1:22" s="614" customFormat="1">
      <c r="A1881" s="610" t="s">
        <v>2044</v>
      </c>
      <c r="B1881" s="476" t="s">
        <v>2014</v>
      </c>
      <c r="C1881" s="476">
        <v>252</v>
      </c>
      <c r="D1881" s="476">
        <v>100</v>
      </c>
      <c r="E1881" s="616">
        <v>124.2</v>
      </c>
      <c r="F1881" s="476">
        <v>76.2</v>
      </c>
      <c r="G1881" s="617">
        <v>2.056</v>
      </c>
      <c r="H1881" s="611"/>
      <c r="I1881" s="612"/>
      <c r="J1881" s="613"/>
      <c r="L1881" s="612"/>
      <c r="M1881" s="612"/>
      <c r="N1881" s="612"/>
      <c r="O1881" s="612"/>
      <c r="P1881" s="612"/>
      <c r="Q1881" s="537"/>
      <c r="R1881" s="615" t="s">
        <v>16</v>
      </c>
      <c r="S1881" s="615">
        <v>2</v>
      </c>
      <c r="T1881" s="612">
        <f t="shared" si="168"/>
        <v>1310.00093511417</v>
      </c>
      <c r="U1881" s="615">
        <f>U1868</f>
        <v>0</v>
      </c>
      <c r="V1881" s="612" t="str">
        <f t="shared" si="169"/>
        <v>RE-252x124,2x100</v>
      </c>
    </row>
    <row r="1882" spans="1:22" s="614" customFormat="1">
      <c r="A1882" s="618" t="s">
        <v>2178</v>
      </c>
      <c r="B1882" s="476" t="s">
        <v>2014</v>
      </c>
      <c r="C1882" s="476">
        <v>252</v>
      </c>
      <c r="D1882" s="476">
        <v>100</v>
      </c>
      <c r="E1882" s="616">
        <v>127.5</v>
      </c>
      <c r="F1882" s="476">
        <v>76.2</v>
      </c>
      <c r="G1882" s="617">
        <v>1.96</v>
      </c>
      <c r="H1882" s="611"/>
      <c r="I1882" s="612"/>
      <c r="J1882" s="613"/>
      <c r="L1882" s="612"/>
      <c r="M1882" s="612"/>
      <c r="N1882" s="612"/>
      <c r="O1882" s="612"/>
      <c r="P1882" s="612"/>
      <c r="Q1882" s="537"/>
      <c r="R1882" s="615" t="s">
        <v>16</v>
      </c>
      <c r="S1882" s="615">
        <v>2</v>
      </c>
      <c r="T1882" s="612">
        <f t="shared" si="168"/>
        <v>1259.1036981028121</v>
      </c>
      <c r="U1882" s="615">
        <f>U1869</f>
        <v>0</v>
      </c>
      <c r="V1882" s="612" t="str">
        <f t="shared" si="169"/>
        <v>RE-252x127,5x100</v>
      </c>
    </row>
    <row r="1883" spans="1:22" s="619" customFormat="1">
      <c r="B1883" s="620"/>
      <c r="C1883" s="620"/>
      <c r="D1883" s="620"/>
      <c r="E1883" s="620"/>
      <c r="F1883" s="620"/>
      <c r="G1883" s="621"/>
      <c r="H1883" s="621"/>
      <c r="Q1883" s="622"/>
      <c r="R1883" s="620"/>
    </row>
    <row r="1884" spans="1:22" s="614" customFormat="1">
      <c r="A1884" s="610" t="s">
        <v>2045</v>
      </c>
      <c r="B1884" s="476" t="s">
        <v>2014</v>
      </c>
      <c r="C1884" s="476">
        <v>302</v>
      </c>
      <c r="D1884" s="476">
        <v>100</v>
      </c>
      <c r="E1884" s="616">
        <v>116.9</v>
      </c>
      <c r="F1884" s="476">
        <v>101.6</v>
      </c>
      <c r="G1884" s="617">
        <v>2.7879999999999998</v>
      </c>
      <c r="H1884" s="611"/>
      <c r="I1884" s="612"/>
      <c r="J1884" s="613"/>
      <c r="L1884" s="612"/>
      <c r="M1884" s="612"/>
      <c r="N1884" s="612"/>
      <c r="O1884" s="612"/>
      <c r="P1884" s="612"/>
      <c r="Q1884" s="537"/>
      <c r="R1884" s="615" t="s">
        <v>16</v>
      </c>
      <c r="S1884" s="615">
        <v>2</v>
      </c>
      <c r="T1884" s="612">
        <f t="shared" ref="T1884:T1886" si="170">(E1884+U1884)/2/(SIN(RADIANS((ATAN(((E1884+U1884)-(F1884+U1884))/2/C1884)*180/PI()))))*2</f>
        <v>4616.3561838609312</v>
      </c>
      <c r="U1884" s="615">
        <f>U1871</f>
        <v>0</v>
      </c>
      <c r="V1884" s="612" t="str">
        <f t="shared" ref="V1884:V1886" si="171">B1884&amp;"-"&amp;C1884&amp;"x"&amp;E1884&amp;"x"&amp;D1884</f>
        <v>RE-302x116,9x100</v>
      </c>
    </row>
    <row r="1885" spans="1:22" s="614" customFormat="1">
      <c r="A1885" s="610" t="s">
        <v>2046</v>
      </c>
      <c r="B1885" s="476" t="s">
        <v>2014</v>
      </c>
      <c r="C1885" s="476">
        <v>302</v>
      </c>
      <c r="D1885" s="476">
        <v>100</v>
      </c>
      <c r="E1885" s="616">
        <v>122.2</v>
      </c>
      <c r="F1885" s="476">
        <v>76.2</v>
      </c>
      <c r="G1885" s="617">
        <v>2.532</v>
      </c>
      <c r="H1885" s="611"/>
      <c r="I1885" s="612"/>
      <c r="J1885" s="613"/>
      <c r="L1885" s="612"/>
      <c r="M1885" s="612"/>
      <c r="N1885" s="612"/>
      <c r="O1885" s="612"/>
      <c r="P1885" s="612"/>
      <c r="Q1885" s="537"/>
      <c r="R1885" s="615" t="s">
        <v>16</v>
      </c>
      <c r="S1885" s="615">
        <v>2</v>
      </c>
      <c r="T1885" s="612">
        <f t="shared" si="170"/>
        <v>1609.1857136752142</v>
      </c>
      <c r="U1885" s="615">
        <f>U1872</f>
        <v>0</v>
      </c>
      <c r="V1885" s="612" t="str">
        <f t="shared" si="171"/>
        <v>RE-302x122,2x100</v>
      </c>
    </row>
    <row r="1886" spans="1:22" s="614" customFormat="1">
      <c r="A1886" s="618" t="s">
        <v>2179</v>
      </c>
      <c r="B1886" s="476" t="s">
        <v>2014</v>
      </c>
      <c r="C1886" s="476">
        <v>302</v>
      </c>
      <c r="D1886" s="476">
        <v>100</v>
      </c>
      <c r="E1886" s="616">
        <v>127.5</v>
      </c>
      <c r="F1886" s="476">
        <v>76.2</v>
      </c>
      <c r="G1886" s="617">
        <v>2.2749999999999999</v>
      </c>
      <c r="H1886" s="611"/>
      <c r="I1886" s="612"/>
      <c r="J1886" s="613"/>
      <c r="L1886" s="612"/>
      <c r="M1886" s="612"/>
      <c r="N1886" s="612"/>
      <c r="O1886" s="612"/>
      <c r="P1886" s="612"/>
      <c r="Q1886" s="537"/>
      <c r="R1886" s="615" t="s">
        <v>16</v>
      </c>
      <c r="S1886" s="615">
        <v>2</v>
      </c>
      <c r="T1886" s="612">
        <f t="shared" si="170"/>
        <v>1506.5743890933823</v>
      </c>
      <c r="U1886" s="615">
        <f>U1873</f>
        <v>0</v>
      </c>
      <c r="V1886" s="612" t="str">
        <f t="shared" si="171"/>
        <v>RE-302x127,5x100</v>
      </c>
    </row>
    <row r="1887" spans="1:22" s="619" customFormat="1">
      <c r="B1887" s="620"/>
      <c r="C1887" s="620"/>
      <c r="D1887" s="620"/>
      <c r="E1887" s="620"/>
      <c r="F1887" s="620"/>
      <c r="G1887" s="621"/>
      <c r="H1887" s="621"/>
      <c r="Q1887" s="622"/>
      <c r="R1887" s="620"/>
    </row>
    <row r="1888" spans="1:22" s="614" customFormat="1">
      <c r="A1888" s="610" t="s">
        <v>2047</v>
      </c>
      <c r="B1888" s="476" t="s">
        <v>2014</v>
      </c>
      <c r="C1888" s="476">
        <v>352</v>
      </c>
      <c r="D1888" s="476">
        <v>100</v>
      </c>
      <c r="E1888" s="616">
        <v>154.6</v>
      </c>
      <c r="F1888" s="476">
        <v>139.69999999999999</v>
      </c>
      <c r="G1888" s="617">
        <v>4.4909999999999997</v>
      </c>
      <c r="H1888" s="611"/>
      <c r="I1888" s="612"/>
      <c r="J1888" s="613"/>
      <c r="L1888" s="612"/>
      <c r="M1888" s="612"/>
      <c r="N1888" s="612"/>
      <c r="O1888" s="612"/>
      <c r="P1888" s="612"/>
      <c r="Q1888" s="537"/>
      <c r="R1888" s="615" t="s">
        <v>16</v>
      </c>
      <c r="S1888" s="615">
        <v>2</v>
      </c>
      <c r="T1888" s="612" t="e">
        <f t="shared" ref="T1888:T1890" si="172">(E1888+U1888)/2/(SIN(RADIANS((ATAN(((E1888+U1888)-(F1888+U1888))/2/C1888)*180/PI()))))*2</f>
        <v>#REF!</v>
      </c>
      <c r="U1888" s="615" t="e">
        <f>U1875</f>
        <v>#REF!</v>
      </c>
      <c r="V1888" s="612" t="str">
        <f t="shared" ref="V1888:V1890" si="173">B1888&amp;"-"&amp;C1888&amp;"x"&amp;E1888&amp;"x"&amp;D1888</f>
        <v>RE-352x154,6x100</v>
      </c>
    </row>
    <row r="1889" spans="1:22" s="614" customFormat="1">
      <c r="A1889" s="610" t="s">
        <v>2048</v>
      </c>
      <c r="B1889" s="476" t="s">
        <v>2014</v>
      </c>
      <c r="C1889" s="476">
        <v>352</v>
      </c>
      <c r="D1889" s="476">
        <v>100</v>
      </c>
      <c r="E1889" s="616">
        <v>159</v>
      </c>
      <c r="F1889" s="476">
        <v>114.3</v>
      </c>
      <c r="G1889" s="617">
        <v>4.1710000000000003</v>
      </c>
      <c r="H1889" s="611"/>
      <c r="I1889" s="612"/>
      <c r="J1889" s="613"/>
      <c r="L1889" s="612"/>
      <c r="M1889" s="612"/>
      <c r="N1889" s="612"/>
      <c r="O1889" s="612"/>
      <c r="P1889" s="612"/>
      <c r="Q1889" s="537"/>
      <c r="R1889" s="615" t="s">
        <v>16</v>
      </c>
      <c r="S1889" s="615">
        <v>2</v>
      </c>
      <c r="T1889" s="612" t="e">
        <f t="shared" si="172"/>
        <v>#REF!</v>
      </c>
      <c r="U1889" s="615" t="e">
        <f>U1876</f>
        <v>#REF!</v>
      </c>
      <c r="V1889" s="612" t="str">
        <f t="shared" si="173"/>
        <v>RE-352x159x100</v>
      </c>
    </row>
    <row r="1890" spans="1:22" s="614" customFormat="1">
      <c r="A1890" s="610" t="s">
        <v>2049</v>
      </c>
      <c r="B1890" s="476" t="s">
        <v>2014</v>
      </c>
      <c r="C1890" s="476">
        <v>352</v>
      </c>
      <c r="D1890" s="476">
        <v>100</v>
      </c>
      <c r="E1890" s="616">
        <v>165.6</v>
      </c>
      <c r="F1890" s="476">
        <v>76.2</v>
      </c>
      <c r="G1890" s="617">
        <v>3.69</v>
      </c>
      <c r="H1890" s="611"/>
      <c r="I1890" s="612"/>
      <c r="J1890" s="613"/>
      <c r="L1890" s="612"/>
      <c r="M1890" s="612"/>
      <c r="N1890" s="612"/>
      <c r="O1890" s="612"/>
      <c r="P1890" s="612"/>
      <c r="Q1890" s="537"/>
      <c r="R1890" s="615" t="s">
        <v>16</v>
      </c>
      <c r="S1890" s="615">
        <v>2</v>
      </c>
      <c r="T1890" s="612">
        <f t="shared" si="172"/>
        <v>1314.5262986066084</v>
      </c>
      <c r="U1890" s="615">
        <f>U1877</f>
        <v>0</v>
      </c>
      <c r="V1890" s="612" t="str">
        <f t="shared" si="173"/>
        <v>RE-352x165,6x100</v>
      </c>
    </row>
    <row r="1891" spans="1:22" s="619" customFormat="1">
      <c r="B1891" s="620"/>
      <c r="C1891" s="620"/>
      <c r="D1891" s="620"/>
      <c r="E1891" s="620"/>
      <c r="F1891" s="620"/>
      <c r="G1891" s="621"/>
      <c r="H1891" s="621"/>
      <c r="Q1891" s="622"/>
      <c r="R1891" s="620"/>
    </row>
    <row r="1892" spans="1:22" s="614" customFormat="1">
      <c r="A1892" s="610" t="s">
        <v>2050</v>
      </c>
      <c r="B1892" s="476" t="s">
        <v>2014</v>
      </c>
      <c r="C1892" s="476">
        <v>196.2</v>
      </c>
      <c r="D1892" s="476">
        <v>100</v>
      </c>
      <c r="E1892" s="476">
        <v>114.3</v>
      </c>
      <c r="F1892" s="476">
        <v>88.9</v>
      </c>
      <c r="G1892" s="611">
        <v>1.518</v>
      </c>
      <c r="H1892" s="611"/>
      <c r="I1892" s="612"/>
      <c r="J1892" s="613"/>
      <c r="L1892" s="612"/>
      <c r="M1892" s="612"/>
      <c r="N1892" s="612"/>
      <c r="O1892" s="612"/>
      <c r="P1892" s="612"/>
      <c r="Q1892" s="537"/>
      <c r="R1892" s="615" t="s">
        <v>16</v>
      </c>
      <c r="S1892" s="615">
        <v>2</v>
      </c>
      <c r="T1892" s="612">
        <f t="shared" ref="T1892:T1894" si="174">(E1892+U1892)/2/(SIN(RADIANS((ATAN(((E1892+U1892)-(F1892+U1892))/2/C1892)*180/PI()))))*2</f>
        <v>1769.4954450351097</v>
      </c>
      <c r="U1892" s="615">
        <f>U1879</f>
        <v>0</v>
      </c>
      <c r="V1892" s="612" t="str">
        <f t="shared" ref="V1892:V1894" si="175">B1892&amp;"-"&amp;C1892&amp;"x"&amp;E1892&amp;"x"&amp;D1892</f>
        <v>RE-196,2x114,3x100</v>
      </c>
    </row>
    <row r="1893" spans="1:22" s="614" customFormat="1">
      <c r="A1893" s="610" t="s">
        <v>2051</v>
      </c>
      <c r="B1893" s="476" t="s">
        <v>2014</v>
      </c>
      <c r="C1893" s="476">
        <v>196.2</v>
      </c>
      <c r="D1893" s="476">
        <v>100</v>
      </c>
      <c r="E1893" s="476">
        <v>114.3</v>
      </c>
      <c r="F1893" s="476">
        <v>114.3</v>
      </c>
      <c r="G1893" s="611">
        <v>1.708</v>
      </c>
      <c r="H1893" s="611"/>
      <c r="I1893" s="612"/>
      <c r="J1893" s="613"/>
      <c r="L1893" s="612"/>
      <c r="M1893" s="612"/>
      <c r="N1893" s="612"/>
      <c r="O1893" s="612"/>
      <c r="P1893" s="612"/>
      <c r="Q1893" s="537"/>
      <c r="R1893" s="615" t="s">
        <v>16</v>
      </c>
      <c r="S1893" s="615">
        <v>2</v>
      </c>
      <c r="T1893" s="612" t="e">
        <f t="shared" si="174"/>
        <v>#DIV/0!</v>
      </c>
      <c r="U1893" s="615">
        <f>U1880</f>
        <v>0</v>
      </c>
      <c r="V1893" s="612" t="str">
        <f t="shared" si="175"/>
        <v>RE-196,2x114,3x100</v>
      </c>
    </row>
    <row r="1894" spans="1:22" s="614" customFormat="1">
      <c r="A1894" s="610" t="s">
        <v>2052</v>
      </c>
      <c r="B1894" s="476" t="s">
        <v>2014</v>
      </c>
      <c r="C1894" s="476">
        <v>196.2</v>
      </c>
      <c r="D1894" s="476">
        <v>100</v>
      </c>
      <c r="E1894" s="476">
        <v>114.3</v>
      </c>
      <c r="F1894" s="476">
        <v>101.6</v>
      </c>
      <c r="G1894" s="611">
        <v>1.613</v>
      </c>
      <c r="H1894" s="611"/>
      <c r="I1894" s="612"/>
      <c r="J1894" s="613"/>
      <c r="L1894" s="612"/>
      <c r="M1894" s="612"/>
      <c r="N1894" s="612"/>
      <c r="O1894" s="612"/>
      <c r="P1894" s="612"/>
      <c r="Q1894" s="537"/>
      <c r="R1894" s="615" t="s">
        <v>16</v>
      </c>
      <c r="S1894" s="615">
        <v>2</v>
      </c>
      <c r="T1894" s="612">
        <f t="shared" si="174"/>
        <v>3533.4491718432841</v>
      </c>
      <c r="U1894" s="615">
        <f>U1881</f>
        <v>0</v>
      </c>
      <c r="V1894" s="612" t="str">
        <f t="shared" si="175"/>
        <v>RE-196,2x114,3x100</v>
      </c>
    </row>
  </sheetData>
  <sortState xmlns:xlrd2="http://schemas.microsoft.com/office/spreadsheetml/2017/richdata2" ref="A1065:F1105">
    <sortCondition ref="A1065"/>
  </sortState>
  <mergeCells count="35">
    <mergeCell ref="L1506:L1599"/>
    <mergeCell ref="L1465:L1504"/>
    <mergeCell ref="L945:L989"/>
    <mergeCell ref="L1052:L1063"/>
    <mergeCell ref="L1355:L1428"/>
    <mergeCell ref="L991:L1050"/>
    <mergeCell ref="L1430:L1456"/>
    <mergeCell ref="L1109:L1353"/>
    <mergeCell ref="H1374:K1384"/>
    <mergeCell ref="K68:K124"/>
    <mergeCell ref="K193:K223"/>
    <mergeCell ref="K629:K734"/>
    <mergeCell ref="K736:K768"/>
    <mergeCell ref="K126:K191"/>
    <mergeCell ref="K3:K66"/>
    <mergeCell ref="H1355:K1361"/>
    <mergeCell ref="H1362:K1367"/>
    <mergeCell ref="H1368:K1373"/>
    <mergeCell ref="L770:L942"/>
    <mergeCell ref="L1065:L1107"/>
    <mergeCell ref="H1448:K1456"/>
    <mergeCell ref="H1430:K1441"/>
    <mergeCell ref="H1442:K1447"/>
    <mergeCell ref="H1385:K1393"/>
    <mergeCell ref="H1402:K1407"/>
    <mergeCell ref="H1420:K1421"/>
    <mergeCell ref="H1408:K1412"/>
    <mergeCell ref="H1394:K1401"/>
    <mergeCell ref="H1413:K1419"/>
    <mergeCell ref="H1422:K1428"/>
    <mergeCell ref="L1764:L1842"/>
    <mergeCell ref="L1626:L1746"/>
    <mergeCell ref="L1748:L1762"/>
    <mergeCell ref="L1601:L1608"/>
    <mergeCell ref="L1610:L1624"/>
  </mergeCells>
  <phoneticPr fontId="4" type="noConversion"/>
  <conditionalFormatting sqref="D1600:F1600 R1600:S1600 D1461:F1461 D1464:F1464 R1464:S1464 R225:R256 R1358:S1359 F1358:F1359 F1361:F1373 R1361:S1384 D1457:F1457 R1436:S1450 R628:S628 F473:F502 F225:F272 F415:F469 S504:S627 F504:F627 R1457:S1461 F945:F1066 D945:D1066 D1068:D1076 R1068:S1076 R1084:S1084 D1084 D1086 R1086:S1086 R1088:S1090 R1092:S1092 D1096 R1096:S1096 R1098:S1098 D1098 D1100 R1100:S1100 R1102:S1104 D1102:D1104 D1106:D1221 R1106:S1221 F1106:F1221 D1092 D1088:D1090 R1094:S1094 D1094 R1078:S1078 D1080:D1082 R1080:S1082 D1078 S225:S502 R774:S1066 D774:D942 F774:F943 F195:F223 R195:S224 R192:S193 F192:F193 R769:S772 D769:D772 F769:F772 F1354:F1355 R1354:S1355 D1354">
    <cfRule type="cellIs" dxfId="1208" priority="589" stopIfTrue="1" operator="equal">
      <formula>"?????"</formula>
    </cfRule>
  </conditionalFormatting>
  <conditionalFormatting sqref="F1601">
    <cfRule type="cellIs" dxfId="1207" priority="416" stopIfTrue="1" operator="equal">
      <formula>"?????"</formula>
    </cfRule>
  </conditionalFormatting>
  <conditionalFormatting sqref="D1505:F1505 R1505:S1505">
    <cfRule type="cellIs" dxfId="1206" priority="415" stopIfTrue="1" operator="equal">
      <formula>"?????"</formula>
    </cfRule>
  </conditionalFormatting>
  <conditionalFormatting sqref="F1602">
    <cfRule type="cellIs" dxfId="1205" priority="414" stopIfTrue="1" operator="equal">
      <formula>"?????"</formula>
    </cfRule>
  </conditionalFormatting>
  <conditionalFormatting sqref="D1609:F1609 R1609:S1609">
    <cfRule type="cellIs" dxfId="1204" priority="413" stopIfTrue="1" operator="equal">
      <formula>"?????"</formula>
    </cfRule>
  </conditionalFormatting>
  <conditionalFormatting sqref="D1625:F1625 R1625:S1625">
    <cfRule type="cellIs" dxfId="1203" priority="412" stopIfTrue="1" operator="equal">
      <formula>"?????"</formula>
    </cfRule>
  </conditionalFormatting>
  <conditionalFormatting sqref="D1747:F1747 R1747:S1747">
    <cfRule type="cellIs" dxfId="1202" priority="411" stopIfTrue="1" operator="equal">
      <formula>"?????"</formula>
    </cfRule>
  </conditionalFormatting>
  <conditionalFormatting sqref="R261:S261">
    <cfRule type="cellIs" dxfId="1201" priority="410" stopIfTrue="1" operator="equal">
      <formula>"?????"</formula>
    </cfRule>
  </conditionalFormatting>
  <conditionalFormatting sqref="R468:S468">
    <cfRule type="cellIs" dxfId="1200" priority="409" stopIfTrue="1" operator="equal">
      <formula>"?????"</formula>
    </cfRule>
  </conditionalFormatting>
  <conditionalFormatting sqref="R550:S550">
    <cfRule type="cellIs" dxfId="1199" priority="408" stopIfTrue="1" operator="equal">
      <formula>"?????"</formula>
    </cfRule>
  </conditionalFormatting>
  <conditionalFormatting sqref="D1763:F1763 R1763:S1763">
    <cfRule type="cellIs" dxfId="1198" priority="407" stopIfTrue="1" operator="equal">
      <formula>"?????"</formula>
    </cfRule>
  </conditionalFormatting>
  <conditionalFormatting sqref="R1108:S1108">
    <cfRule type="cellIs" dxfId="1197" priority="403" stopIfTrue="1" operator="equal">
      <formula>"?????"</formula>
    </cfRule>
  </conditionalFormatting>
  <conditionalFormatting sqref="F1109 R1109:S1109">
    <cfRule type="cellIs" dxfId="1196" priority="402" stopIfTrue="1" operator="equal">
      <formula>"?????"</formula>
    </cfRule>
  </conditionalFormatting>
  <conditionalFormatting sqref="R1176:S1176">
    <cfRule type="cellIs" dxfId="1195" priority="401" stopIfTrue="1" operator="equal">
      <formula>"?????"</formula>
    </cfRule>
  </conditionalFormatting>
  <conditionalFormatting sqref="D1221">
    <cfRule type="cellIs" dxfId="1194" priority="399" stopIfTrue="1" operator="equal">
      <formula>"?????"</formula>
    </cfRule>
  </conditionalFormatting>
  <conditionalFormatting sqref="R1356:S1356 F1356">
    <cfRule type="cellIs" dxfId="1193" priority="398" stopIfTrue="1" operator="equal">
      <formula>"?????"</formula>
    </cfRule>
  </conditionalFormatting>
  <conditionalFormatting sqref="R1357:S1357 F1357">
    <cfRule type="cellIs" dxfId="1192" priority="397" stopIfTrue="1" operator="equal">
      <formula>"?????"</formula>
    </cfRule>
  </conditionalFormatting>
  <conditionalFormatting sqref="R1360:S1360 F1360">
    <cfRule type="cellIs" dxfId="1191" priority="396" stopIfTrue="1" operator="equal">
      <formula>"?????"</formula>
    </cfRule>
  </conditionalFormatting>
  <conditionalFormatting sqref="F1374">
    <cfRule type="cellIs" dxfId="1190" priority="395" stopIfTrue="1" operator="equal">
      <formula>"?????"</formula>
    </cfRule>
  </conditionalFormatting>
  <conditionalFormatting sqref="F1375">
    <cfRule type="cellIs" dxfId="1189" priority="394" stopIfTrue="1" operator="equal">
      <formula>"?????"</formula>
    </cfRule>
  </conditionalFormatting>
  <conditionalFormatting sqref="F1376">
    <cfRule type="cellIs" dxfId="1188" priority="393" stopIfTrue="1" operator="equal">
      <formula>"?????"</formula>
    </cfRule>
  </conditionalFormatting>
  <conditionalFormatting sqref="F1377">
    <cfRule type="cellIs" dxfId="1187" priority="392" stopIfTrue="1" operator="equal">
      <formula>"?????"</formula>
    </cfRule>
  </conditionalFormatting>
  <conditionalFormatting sqref="F1378">
    <cfRule type="cellIs" dxfId="1186" priority="391" stopIfTrue="1" operator="equal">
      <formula>"?????"</formula>
    </cfRule>
  </conditionalFormatting>
  <conditionalFormatting sqref="F1379">
    <cfRule type="cellIs" dxfId="1185" priority="390" stopIfTrue="1" operator="equal">
      <formula>"?????"</formula>
    </cfRule>
  </conditionalFormatting>
  <conditionalFormatting sqref="F1380">
    <cfRule type="cellIs" dxfId="1184" priority="389" stopIfTrue="1" operator="equal">
      <formula>"?????"</formula>
    </cfRule>
  </conditionalFormatting>
  <conditionalFormatting sqref="F1381">
    <cfRule type="cellIs" dxfId="1183" priority="388" stopIfTrue="1" operator="equal">
      <formula>"?????"</formula>
    </cfRule>
  </conditionalFormatting>
  <conditionalFormatting sqref="F1382">
    <cfRule type="cellIs" dxfId="1182" priority="387" stopIfTrue="1" operator="equal">
      <formula>"?????"</formula>
    </cfRule>
  </conditionalFormatting>
  <conditionalFormatting sqref="F1383">
    <cfRule type="cellIs" dxfId="1181" priority="386" stopIfTrue="1" operator="equal">
      <formula>"?????"</formula>
    </cfRule>
  </conditionalFormatting>
  <conditionalFormatting sqref="F1384">
    <cfRule type="cellIs" dxfId="1180" priority="385" stopIfTrue="1" operator="equal">
      <formula>"?????"</formula>
    </cfRule>
  </conditionalFormatting>
  <conditionalFormatting sqref="R1404:S1404">
    <cfRule type="cellIs" dxfId="1179" priority="353" stopIfTrue="1" operator="equal">
      <formula>"?????"</formula>
    </cfRule>
  </conditionalFormatting>
  <conditionalFormatting sqref="F1404">
    <cfRule type="cellIs" dxfId="1178" priority="352" stopIfTrue="1" operator="equal">
      <formula>"?????"</formula>
    </cfRule>
  </conditionalFormatting>
  <conditionalFormatting sqref="R1385:S1385">
    <cfRule type="cellIs" dxfId="1177" priority="381" stopIfTrue="1" operator="equal">
      <formula>"?????"</formula>
    </cfRule>
  </conditionalFormatting>
  <conditionalFormatting sqref="F1385">
    <cfRule type="cellIs" dxfId="1176" priority="380" stopIfTrue="1" operator="equal">
      <formula>"?????"</formula>
    </cfRule>
  </conditionalFormatting>
  <conditionalFormatting sqref="R1386:S1386">
    <cfRule type="cellIs" dxfId="1175" priority="379" stopIfTrue="1" operator="equal">
      <formula>"?????"</formula>
    </cfRule>
  </conditionalFormatting>
  <conditionalFormatting sqref="F1386">
    <cfRule type="cellIs" dxfId="1174" priority="378" stopIfTrue="1" operator="equal">
      <formula>"?????"</formula>
    </cfRule>
  </conditionalFormatting>
  <conditionalFormatting sqref="R1387:S1387">
    <cfRule type="cellIs" dxfId="1173" priority="377" stopIfTrue="1" operator="equal">
      <formula>"?????"</formula>
    </cfRule>
  </conditionalFormatting>
  <conditionalFormatting sqref="F1387">
    <cfRule type="cellIs" dxfId="1172" priority="376" stopIfTrue="1" operator="equal">
      <formula>"?????"</formula>
    </cfRule>
  </conditionalFormatting>
  <conditionalFormatting sqref="F1421">
    <cfRule type="cellIs" dxfId="1171" priority="342" stopIfTrue="1" operator="equal">
      <formula>"?????"</formula>
    </cfRule>
  </conditionalFormatting>
  <conditionalFormatting sqref="F1401">
    <cfRule type="cellIs" dxfId="1170" priority="312" stopIfTrue="1" operator="equal">
      <formula>"?????"</formula>
    </cfRule>
  </conditionalFormatting>
  <conditionalFormatting sqref="R1388:S1388">
    <cfRule type="cellIs" dxfId="1169" priority="375" stopIfTrue="1" operator="equal">
      <formula>"?????"</formula>
    </cfRule>
  </conditionalFormatting>
  <conditionalFormatting sqref="F1388">
    <cfRule type="cellIs" dxfId="1168" priority="374" stopIfTrue="1" operator="equal">
      <formula>"?????"</formula>
    </cfRule>
  </conditionalFormatting>
  <conditionalFormatting sqref="R1389:S1389">
    <cfRule type="cellIs" dxfId="1167" priority="373" stopIfTrue="1" operator="equal">
      <formula>"?????"</formula>
    </cfRule>
  </conditionalFormatting>
  <conditionalFormatting sqref="F1389">
    <cfRule type="cellIs" dxfId="1166" priority="372" stopIfTrue="1" operator="equal">
      <formula>"?????"</formula>
    </cfRule>
  </conditionalFormatting>
  <conditionalFormatting sqref="R1403:S1403">
    <cfRule type="cellIs" dxfId="1165" priority="355" stopIfTrue="1" operator="equal">
      <formula>"?????"</formula>
    </cfRule>
  </conditionalFormatting>
  <conditionalFormatting sqref="F1403">
    <cfRule type="cellIs" dxfId="1164" priority="354" stopIfTrue="1" operator="equal">
      <formula>"?????"</formula>
    </cfRule>
  </conditionalFormatting>
  <conditionalFormatting sqref="R1390:S1390">
    <cfRule type="cellIs" dxfId="1163" priority="369" stopIfTrue="1" operator="equal">
      <formula>"?????"</formula>
    </cfRule>
  </conditionalFormatting>
  <conditionalFormatting sqref="F1390">
    <cfRule type="cellIs" dxfId="1162" priority="368" stopIfTrue="1" operator="equal">
      <formula>"?????"</formula>
    </cfRule>
  </conditionalFormatting>
  <conditionalFormatting sqref="R1405:S1405">
    <cfRule type="cellIs" dxfId="1161" priority="351" stopIfTrue="1" operator="equal">
      <formula>"?????"</formula>
    </cfRule>
  </conditionalFormatting>
  <conditionalFormatting sqref="F1405">
    <cfRule type="cellIs" dxfId="1160" priority="350" stopIfTrue="1" operator="equal">
      <formula>"?????"</formula>
    </cfRule>
  </conditionalFormatting>
  <conditionalFormatting sqref="R1391:S1391">
    <cfRule type="cellIs" dxfId="1159" priority="365" stopIfTrue="1" operator="equal">
      <formula>"?????"</formula>
    </cfRule>
  </conditionalFormatting>
  <conditionalFormatting sqref="F1391">
    <cfRule type="cellIs" dxfId="1158" priority="364" stopIfTrue="1" operator="equal">
      <formula>"?????"</formula>
    </cfRule>
  </conditionalFormatting>
  <conditionalFormatting sqref="R1392:S1392">
    <cfRule type="cellIs" dxfId="1157" priority="363" stopIfTrue="1" operator="equal">
      <formula>"?????"</formula>
    </cfRule>
  </conditionalFormatting>
  <conditionalFormatting sqref="F1392">
    <cfRule type="cellIs" dxfId="1156" priority="362" stopIfTrue="1" operator="equal">
      <formula>"?????"</formula>
    </cfRule>
  </conditionalFormatting>
  <conditionalFormatting sqref="R1393:S1393">
    <cfRule type="cellIs" dxfId="1155" priority="361" stopIfTrue="1" operator="equal">
      <formula>"?????"</formula>
    </cfRule>
  </conditionalFormatting>
  <conditionalFormatting sqref="F1393">
    <cfRule type="cellIs" dxfId="1154" priority="360" stopIfTrue="1" operator="equal">
      <formula>"?????"</formula>
    </cfRule>
  </conditionalFormatting>
  <conditionalFormatting sqref="R1421:S1421">
    <cfRule type="cellIs" dxfId="1153" priority="343" stopIfTrue="1" operator="equal">
      <formula>"?????"</formula>
    </cfRule>
  </conditionalFormatting>
  <conditionalFormatting sqref="F1413:F1419 R1413:S1419">
    <cfRule type="cellIs" dxfId="1152" priority="311" stopIfTrue="1" operator="equal">
      <formula>"?????"</formula>
    </cfRule>
  </conditionalFormatting>
  <conditionalFormatting sqref="R1402:S1402">
    <cfRule type="cellIs" dxfId="1151" priority="357" stopIfTrue="1" operator="equal">
      <formula>"?????"</formula>
    </cfRule>
  </conditionalFormatting>
  <conditionalFormatting sqref="F1402">
    <cfRule type="cellIs" dxfId="1150" priority="356" stopIfTrue="1" operator="equal">
      <formula>"?????"</formula>
    </cfRule>
  </conditionalFormatting>
  <conditionalFormatting sqref="R1408:S1408">
    <cfRule type="cellIs" dxfId="1149" priority="341" stopIfTrue="1" operator="equal">
      <formula>"?????"</formula>
    </cfRule>
  </conditionalFormatting>
  <conditionalFormatting sqref="F1408">
    <cfRule type="cellIs" dxfId="1148" priority="340" stopIfTrue="1" operator="equal">
      <formula>"?????"</formula>
    </cfRule>
  </conditionalFormatting>
  <conditionalFormatting sqref="R1410:S1410">
    <cfRule type="cellIs" dxfId="1147" priority="337" stopIfTrue="1" operator="equal">
      <formula>"?????"</formula>
    </cfRule>
  </conditionalFormatting>
  <conditionalFormatting sqref="F1410">
    <cfRule type="cellIs" dxfId="1146" priority="336" stopIfTrue="1" operator="equal">
      <formula>"?????"</formula>
    </cfRule>
  </conditionalFormatting>
  <conditionalFormatting sqref="R1411:S1411">
    <cfRule type="cellIs" dxfId="1145" priority="335" stopIfTrue="1" operator="equal">
      <formula>"?????"</formula>
    </cfRule>
  </conditionalFormatting>
  <conditionalFormatting sqref="R1406:S1406">
    <cfRule type="cellIs" dxfId="1144" priority="349" stopIfTrue="1" operator="equal">
      <formula>"?????"</formula>
    </cfRule>
  </conditionalFormatting>
  <conditionalFormatting sqref="F1406">
    <cfRule type="cellIs" dxfId="1143" priority="348" stopIfTrue="1" operator="equal">
      <formula>"?????"</formula>
    </cfRule>
  </conditionalFormatting>
  <conditionalFormatting sqref="R1407:S1407">
    <cfRule type="cellIs" dxfId="1142" priority="347" stopIfTrue="1" operator="equal">
      <formula>"?????"</formula>
    </cfRule>
  </conditionalFormatting>
  <conditionalFormatting sqref="F1407">
    <cfRule type="cellIs" dxfId="1141" priority="346" stopIfTrue="1" operator="equal">
      <formula>"?????"</formula>
    </cfRule>
  </conditionalFormatting>
  <conditionalFormatting sqref="R1420:S1420">
    <cfRule type="cellIs" dxfId="1140" priority="345" stopIfTrue="1" operator="equal">
      <formula>"?????"</formula>
    </cfRule>
  </conditionalFormatting>
  <conditionalFormatting sqref="F1420">
    <cfRule type="cellIs" dxfId="1139" priority="344" stopIfTrue="1" operator="equal">
      <formula>"?????"</formula>
    </cfRule>
  </conditionalFormatting>
  <conditionalFormatting sqref="R1401:S1401">
    <cfRule type="cellIs" dxfId="1138" priority="313" stopIfTrue="1" operator="equal">
      <formula>"?????"</formula>
    </cfRule>
  </conditionalFormatting>
  <conditionalFormatting sqref="F1422:F1428 R1422:S1428">
    <cfRule type="cellIs" dxfId="1137" priority="310" stopIfTrue="1" operator="equal">
      <formula>"?????"</formula>
    </cfRule>
  </conditionalFormatting>
  <conditionalFormatting sqref="R1395:S1395">
    <cfRule type="cellIs" dxfId="1136" priority="325" stopIfTrue="1" operator="equal">
      <formula>"?????"</formula>
    </cfRule>
  </conditionalFormatting>
  <conditionalFormatting sqref="F1395">
    <cfRule type="cellIs" dxfId="1135" priority="324" stopIfTrue="1" operator="equal">
      <formula>"?????"</formula>
    </cfRule>
  </conditionalFormatting>
  <conditionalFormatting sqref="R1409:S1409">
    <cfRule type="cellIs" dxfId="1134" priority="339" stopIfTrue="1" operator="equal">
      <formula>"?????"</formula>
    </cfRule>
  </conditionalFormatting>
  <conditionalFormatting sqref="F1409">
    <cfRule type="cellIs" dxfId="1133" priority="338" stopIfTrue="1" operator="equal">
      <formula>"?????"</formula>
    </cfRule>
  </conditionalFormatting>
  <conditionalFormatting sqref="R1397:S1397">
    <cfRule type="cellIs" dxfId="1132" priority="321" stopIfTrue="1" operator="equal">
      <formula>"?????"</formula>
    </cfRule>
  </conditionalFormatting>
  <conditionalFormatting sqref="F1397">
    <cfRule type="cellIs" dxfId="1131" priority="320" stopIfTrue="1" operator="equal">
      <formula>"?????"</formula>
    </cfRule>
  </conditionalFormatting>
  <conditionalFormatting sqref="F1411">
    <cfRule type="cellIs" dxfId="1130" priority="334" stopIfTrue="1" operator="equal">
      <formula>"?????"</formula>
    </cfRule>
  </conditionalFormatting>
  <conditionalFormatting sqref="R1412:S1412">
    <cfRule type="cellIs" dxfId="1129" priority="333" stopIfTrue="1" operator="equal">
      <formula>"?????"</formula>
    </cfRule>
  </conditionalFormatting>
  <conditionalFormatting sqref="F1412">
    <cfRule type="cellIs" dxfId="1128" priority="332" stopIfTrue="1" operator="equal">
      <formula>"?????"</formula>
    </cfRule>
  </conditionalFormatting>
  <conditionalFormatting sqref="R1400:S1400">
    <cfRule type="cellIs" dxfId="1127" priority="315" stopIfTrue="1" operator="equal">
      <formula>"?????"</formula>
    </cfRule>
  </conditionalFormatting>
  <conditionalFormatting sqref="F1400">
    <cfRule type="cellIs" dxfId="1126" priority="314" stopIfTrue="1" operator="equal">
      <formula>"?????"</formula>
    </cfRule>
  </conditionalFormatting>
  <conditionalFormatting sqref="R1394:S1394">
    <cfRule type="cellIs" dxfId="1125" priority="327" stopIfTrue="1" operator="equal">
      <formula>"?????"</formula>
    </cfRule>
  </conditionalFormatting>
  <conditionalFormatting sqref="F1394">
    <cfRule type="cellIs" dxfId="1124" priority="326" stopIfTrue="1" operator="equal">
      <formula>"?????"</formula>
    </cfRule>
  </conditionalFormatting>
  <conditionalFormatting sqref="R1396:S1396">
    <cfRule type="cellIs" dxfId="1123" priority="323" stopIfTrue="1" operator="equal">
      <formula>"?????"</formula>
    </cfRule>
  </conditionalFormatting>
  <conditionalFormatting sqref="F1396">
    <cfRule type="cellIs" dxfId="1122" priority="322" stopIfTrue="1" operator="equal">
      <formula>"?????"</formula>
    </cfRule>
  </conditionalFormatting>
  <conditionalFormatting sqref="R1398:S1398">
    <cfRule type="cellIs" dxfId="1121" priority="319" stopIfTrue="1" operator="equal">
      <formula>"?????"</formula>
    </cfRule>
  </conditionalFormatting>
  <conditionalFormatting sqref="F1398">
    <cfRule type="cellIs" dxfId="1120" priority="318" stopIfTrue="1" operator="equal">
      <formula>"?????"</formula>
    </cfRule>
  </conditionalFormatting>
  <conditionalFormatting sqref="R1399:S1399">
    <cfRule type="cellIs" dxfId="1119" priority="317" stopIfTrue="1" operator="equal">
      <formula>"?????"</formula>
    </cfRule>
  </conditionalFormatting>
  <conditionalFormatting sqref="F1399">
    <cfRule type="cellIs" dxfId="1118" priority="316" stopIfTrue="1" operator="equal">
      <formula>"?????"</formula>
    </cfRule>
  </conditionalFormatting>
  <conditionalFormatting sqref="D1429 F1429 R1429:S1430 R1433:S1434">
    <cfRule type="cellIs" dxfId="1117" priority="309" stopIfTrue="1" operator="equal">
      <formula>"?????"</formula>
    </cfRule>
  </conditionalFormatting>
  <conditionalFormatting sqref="R1431:S1431">
    <cfRule type="cellIs" dxfId="1116" priority="308" stopIfTrue="1" operator="equal">
      <formula>"?????"</formula>
    </cfRule>
  </conditionalFormatting>
  <conditionalFormatting sqref="R1432:S1432">
    <cfRule type="cellIs" dxfId="1115" priority="307" stopIfTrue="1" operator="equal">
      <formula>"?????"</formula>
    </cfRule>
  </conditionalFormatting>
  <conditionalFormatting sqref="R1435:S1435">
    <cfRule type="cellIs" dxfId="1114" priority="306" stopIfTrue="1" operator="equal">
      <formula>"?????"</formula>
    </cfRule>
  </conditionalFormatting>
  <conditionalFormatting sqref="F1430:F1441">
    <cfRule type="cellIs" dxfId="1113" priority="305" stopIfTrue="1" operator="equal">
      <formula>"?????"</formula>
    </cfRule>
  </conditionalFormatting>
  <conditionalFormatting sqref="R1451:S1451">
    <cfRule type="cellIs" dxfId="1112" priority="304" stopIfTrue="1" operator="equal">
      <formula>"?????"</formula>
    </cfRule>
  </conditionalFormatting>
  <conditionalFormatting sqref="R1452:S1452">
    <cfRule type="cellIs" dxfId="1111" priority="303" stopIfTrue="1" operator="equal">
      <formula>"?????"</formula>
    </cfRule>
  </conditionalFormatting>
  <conditionalFormatting sqref="R1453:S1453">
    <cfRule type="cellIs" dxfId="1110" priority="302" stopIfTrue="1" operator="equal">
      <formula>"?????"</formula>
    </cfRule>
  </conditionalFormatting>
  <conditionalFormatting sqref="R1454:S1454">
    <cfRule type="cellIs" dxfId="1109" priority="301" stopIfTrue="1" operator="equal">
      <formula>"?????"</formula>
    </cfRule>
  </conditionalFormatting>
  <conditionalFormatting sqref="F1442">
    <cfRule type="cellIs" dxfId="1108" priority="300" stopIfTrue="1" operator="equal">
      <formula>"?????"</formula>
    </cfRule>
  </conditionalFormatting>
  <conditionalFormatting sqref="F1443">
    <cfRule type="cellIs" dxfId="1107" priority="299" stopIfTrue="1" operator="equal">
      <formula>"?????"</formula>
    </cfRule>
  </conditionalFormatting>
  <conditionalFormatting sqref="F1444">
    <cfRule type="cellIs" dxfId="1106" priority="298" stopIfTrue="1" operator="equal">
      <formula>"?????"</formula>
    </cfRule>
  </conditionalFormatting>
  <conditionalFormatting sqref="F1445">
    <cfRule type="cellIs" dxfId="1105" priority="297" stopIfTrue="1" operator="equal">
      <formula>"?????"</formula>
    </cfRule>
  </conditionalFormatting>
  <conditionalFormatting sqref="F1446">
    <cfRule type="cellIs" dxfId="1104" priority="296" stopIfTrue="1" operator="equal">
      <formula>"?????"</formula>
    </cfRule>
  </conditionalFormatting>
  <conditionalFormatting sqref="F1447">
    <cfRule type="cellIs" dxfId="1103" priority="295" stopIfTrue="1" operator="equal">
      <formula>"?????"</formula>
    </cfRule>
  </conditionalFormatting>
  <conditionalFormatting sqref="R1455:S1455">
    <cfRule type="cellIs" dxfId="1102" priority="294" stopIfTrue="1" operator="equal">
      <formula>"?????"</formula>
    </cfRule>
  </conditionalFormatting>
  <conditionalFormatting sqref="R1456:S1456">
    <cfRule type="cellIs" dxfId="1101" priority="293" stopIfTrue="1" operator="equal">
      <formula>"?????"</formula>
    </cfRule>
  </conditionalFormatting>
  <conditionalFormatting sqref="R735:S735">
    <cfRule type="cellIs" dxfId="1100" priority="292" stopIfTrue="1" operator="equal">
      <formula>"?????"</formula>
    </cfRule>
  </conditionalFormatting>
  <conditionalFormatting sqref="F503 S503">
    <cfRule type="cellIs" dxfId="1099" priority="291" stopIfTrue="1" operator="equal">
      <formula>"?????"</formula>
    </cfRule>
  </conditionalFormatting>
  <conditionalFormatting sqref="R1067:S1067">
    <cfRule type="cellIs" dxfId="1098" priority="288" stopIfTrue="1" operator="equal">
      <formula>"?????"</formula>
    </cfRule>
  </conditionalFormatting>
  <conditionalFormatting sqref="D1067">
    <cfRule type="cellIs" dxfId="1097" priority="287" stopIfTrue="1" operator="equal">
      <formula>"?????"</formula>
    </cfRule>
  </conditionalFormatting>
  <conditionalFormatting sqref="R1083:S1083">
    <cfRule type="cellIs" dxfId="1096" priority="286" stopIfTrue="1" operator="equal">
      <formula>"?????"</formula>
    </cfRule>
  </conditionalFormatting>
  <conditionalFormatting sqref="D1083">
    <cfRule type="cellIs" dxfId="1095" priority="285" stopIfTrue="1" operator="equal">
      <formula>"?????"</formula>
    </cfRule>
  </conditionalFormatting>
  <conditionalFormatting sqref="R1085:S1085">
    <cfRule type="cellIs" dxfId="1094" priority="284" stopIfTrue="1" operator="equal">
      <formula>"?????"</formula>
    </cfRule>
  </conditionalFormatting>
  <conditionalFormatting sqref="R1087:S1087 D1087">
    <cfRule type="cellIs" dxfId="1093" priority="282" stopIfTrue="1" operator="equal">
      <formula>"?????"</formula>
    </cfRule>
  </conditionalFormatting>
  <conditionalFormatting sqref="D1091 R1091:S1091">
    <cfRule type="cellIs" dxfId="1092" priority="281" stopIfTrue="1" operator="equal">
      <formula>"?????"</formula>
    </cfRule>
  </conditionalFormatting>
  <conditionalFormatting sqref="R1093:S1093 D1093">
    <cfRule type="cellIs" dxfId="1091" priority="280" stopIfTrue="1" operator="equal">
      <formula>"?????"</formula>
    </cfRule>
  </conditionalFormatting>
  <conditionalFormatting sqref="R1095:S1095">
    <cfRule type="cellIs" dxfId="1090" priority="279" stopIfTrue="1" operator="equal">
      <formula>"?????"</formula>
    </cfRule>
  </conditionalFormatting>
  <conditionalFormatting sqref="R1097:S1097">
    <cfRule type="cellIs" dxfId="1089" priority="278" stopIfTrue="1" operator="equal">
      <formula>"?????"</formula>
    </cfRule>
  </conditionalFormatting>
  <conditionalFormatting sqref="R1099:S1099">
    <cfRule type="cellIs" dxfId="1088" priority="277" stopIfTrue="1" operator="equal">
      <formula>"?????"</formula>
    </cfRule>
  </conditionalFormatting>
  <conditionalFormatting sqref="R1101:S1101">
    <cfRule type="cellIs" dxfId="1087" priority="276" stopIfTrue="1" operator="equal">
      <formula>"?????"</formula>
    </cfRule>
  </conditionalFormatting>
  <conditionalFormatting sqref="R1105:S1105">
    <cfRule type="cellIs" dxfId="1086" priority="275" stopIfTrue="1" operator="equal">
      <formula>"?????"</formula>
    </cfRule>
  </conditionalFormatting>
  <conditionalFormatting sqref="D1105">
    <cfRule type="cellIs" dxfId="1085" priority="274" stopIfTrue="1" operator="equal">
      <formula>"?????"</formula>
    </cfRule>
  </conditionalFormatting>
  <conditionalFormatting sqref="D1101">
    <cfRule type="cellIs" dxfId="1084" priority="273" stopIfTrue="1" operator="equal">
      <formula>"?????"</formula>
    </cfRule>
  </conditionalFormatting>
  <conditionalFormatting sqref="D1099">
    <cfRule type="cellIs" dxfId="1083" priority="272" stopIfTrue="1" operator="equal">
      <formula>"?????"</formula>
    </cfRule>
  </conditionalFormatting>
  <conditionalFormatting sqref="D1097">
    <cfRule type="cellIs" dxfId="1082" priority="271" stopIfTrue="1" operator="equal">
      <formula>"?????"</formula>
    </cfRule>
  </conditionalFormatting>
  <conditionalFormatting sqref="D1095">
    <cfRule type="cellIs" dxfId="1081" priority="270" stopIfTrue="1" operator="equal">
      <formula>"?????"</formula>
    </cfRule>
  </conditionalFormatting>
  <conditionalFormatting sqref="D1085">
    <cfRule type="cellIs" dxfId="1080" priority="268" stopIfTrue="1" operator="equal">
      <formula>"?????"</formula>
    </cfRule>
  </conditionalFormatting>
  <conditionalFormatting sqref="F1068:F1076 F1078 F1080:F1105">
    <cfRule type="cellIs" dxfId="1079" priority="267" stopIfTrue="1" operator="equal">
      <formula>"?????"</formula>
    </cfRule>
  </conditionalFormatting>
  <conditionalFormatting sqref="F1067">
    <cfRule type="cellIs" dxfId="1078" priority="266" stopIfTrue="1" operator="equal">
      <formula>"?????"</formula>
    </cfRule>
  </conditionalFormatting>
  <conditionalFormatting sqref="R1077:S1077 D1077">
    <cfRule type="cellIs" dxfId="1077" priority="265" stopIfTrue="1" operator="equal">
      <formula>"?????"</formula>
    </cfRule>
  </conditionalFormatting>
  <conditionalFormatting sqref="F1077">
    <cfRule type="cellIs" dxfId="1076" priority="263" stopIfTrue="1" operator="equal">
      <formula>"?????"</formula>
    </cfRule>
  </conditionalFormatting>
  <conditionalFormatting sqref="F1079">
    <cfRule type="cellIs" dxfId="1075" priority="261" stopIfTrue="1" operator="equal">
      <formula>"?????"</formula>
    </cfRule>
  </conditionalFormatting>
  <conditionalFormatting sqref="R1079:S1079 D1079">
    <cfRule type="cellIs" dxfId="1074" priority="262" stopIfTrue="1" operator="equal">
      <formula>"?????"</formula>
    </cfRule>
  </conditionalFormatting>
  <conditionalFormatting sqref="F773 D773 R773:S773">
    <cfRule type="cellIs" dxfId="1073" priority="259" stopIfTrue="1" operator="equal">
      <formula>"?????"</formula>
    </cfRule>
  </conditionalFormatting>
  <conditionalFormatting sqref="F194 R194:S194">
    <cfRule type="cellIs" dxfId="1072" priority="257" stopIfTrue="1" operator="equal">
      <formula>"?????"</formula>
    </cfRule>
  </conditionalFormatting>
  <conditionalFormatting sqref="F730 D730 R730:S730 R734:S734 D734 F734 R723:S723 R727:S727 R716:S716 R719:S719 R708:S708 R711:S711 R699:S699 R702:S702 R705:S705 R684:S684 R688:S688 R690:S690 R671:S671 R673:S673 R677:S678 R657:S657 R660:S660 R663:S664 R631:S631 D631 F631:F651">
    <cfRule type="cellIs" dxfId="1071" priority="254" stopIfTrue="1" operator="equal">
      <formula>"?????"</formula>
    </cfRule>
  </conditionalFormatting>
  <conditionalFormatting sqref="D729 F729 R729:S729">
    <cfRule type="cellIs" dxfId="1070" priority="253" stopIfTrue="1" operator="equal">
      <formula>"?????"</formula>
    </cfRule>
  </conditionalFormatting>
  <conditionalFormatting sqref="F731 D731 R731:S731">
    <cfRule type="cellIs" dxfId="1069" priority="252" stopIfTrue="1" operator="equal">
      <formula>"?????"</formula>
    </cfRule>
  </conditionalFormatting>
  <conditionalFormatting sqref="F732 D732 R732:S732">
    <cfRule type="cellIs" dxfId="1068" priority="251" stopIfTrue="1" operator="equal">
      <formula>"?????"</formula>
    </cfRule>
  </conditionalFormatting>
  <conditionalFormatting sqref="F733 D733 R733:S733">
    <cfRule type="cellIs" dxfId="1067" priority="250" stopIfTrue="1" operator="equal">
      <formula>"?????"</formula>
    </cfRule>
  </conditionalFormatting>
  <conditionalFormatting sqref="R722:S722">
    <cfRule type="cellIs" dxfId="1066" priority="249" stopIfTrue="1" operator="equal">
      <formula>"?????"</formula>
    </cfRule>
  </conditionalFormatting>
  <conditionalFormatting sqref="R724:S724">
    <cfRule type="cellIs" dxfId="1065" priority="248" stopIfTrue="1" operator="equal">
      <formula>"?????"</formula>
    </cfRule>
  </conditionalFormatting>
  <conditionalFormatting sqref="R725:S725">
    <cfRule type="cellIs" dxfId="1064" priority="247" stopIfTrue="1" operator="equal">
      <formula>"?????"</formula>
    </cfRule>
  </conditionalFormatting>
  <conditionalFormatting sqref="R726:S726">
    <cfRule type="cellIs" dxfId="1063" priority="246" stopIfTrue="1" operator="equal">
      <formula>"?????"</formula>
    </cfRule>
  </conditionalFormatting>
  <conditionalFormatting sqref="R728:S728">
    <cfRule type="cellIs" dxfId="1062" priority="245" stopIfTrue="1" operator="equal">
      <formula>"?????"</formula>
    </cfRule>
  </conditionalFormatting>
  <conditionalFormatting sqref="R717:S717">
    <cfRule type="cellIs" dxfId="1061" priority="243" stopIfTrue="1" operator="equal">
      <formula>"?????"</formula>
    </cfRule>
  </conditionalFormatting>
  <conditionalFormatting sqref="R715:S715">
    <cfRule type="cellIs" dxfId="1060" priority="244" stopIfTrue="1" operator="equal">
      <formula>"?????"</formula>
    </cfRule>
  </conditionalFormatting>
  <conditionalFormatting sqref="R718:S718">
    <cfRule type="cellIs" dxfId="1059" priority="242" stopIfTrue="1" operator="equal">
      <formula>"?????"</formula>
    </cfRule>
  </conditionalFormatting>
  <conditionalFormatting sqref="R720:S720">
    <cfRule type="cellIs" dxfId="1058" priority="241" stopIfTrue="1" operator="equal">
      <formula>"?????"</formula>
    </cfRule>
  </conditionalFormatting>
  <conditionalFormatting sqref="R721:S721">
    <cfRule type="cellIs" dxfId="1057" priority="240" stopIfTrue="1" operator="equal">
      <formula>"?????"</formula>
    </cfRule>
  </conditionalFormatting>
  <conditionalFormatting sqref="R709:S709">
    <cfRule type="cellIs" dxfId="1056" priority="238" stopIfTrue="1" operator="equal">
      <formula>"?????"</formula>
    </cfRule>
  </conditionalFormatting>
  <conditionalFormatting sqref="R707:S707">
    <cfRule type="cellIs" dxfId="1055" priority="239" stopIfTrue="1" operator="equal">
      <formula>"?????"</formula>
    </cfRule>
  </conditionalFormatting>
  <conditionalFormatting sqref="R712:S712">
    <cfRule type="cellIs" dxfId="1054" priority="236" stopIfTrue="1" operator="equal">
      <formula>"?????"</formula>
    </cfRule>
  </conditionalFormatting>
  <conditionalFormatting sqref="R710:S710">
    <cfRule type="cellIs" dxfId="1053" priority="237" stopIfTrue="1" operator="equal">
      <formula>"?????"</formula>
    </cfRule>
  </conditionalFormatting>
  <conditionalFormatting sqref="R713:S713">
    <cfRule type="cellIs" dxfId="1052" priority="235" stopIfTrue="1" operator="equal">
      <formula>"?????"</formula>
    </cfRule>
  </conditionalFormatting>
  <conditionalFormatting sqref="R714:S714">
    <cfRule type="cellIs" dxfId="1051" priority="234" stopIfTrue="1" operator="equal">
      <formula>"?????"</formula>
    </cfRule>
  </conditionalFormatting>
  <conditionalFormatting sqref="R706:S706">
    <cfRule type="cellIs" dxfId="1050" priority="233" stopIfTrue="1" operator="equal">
      <formula>"?????"</formula>
    </cfRule>
  </conditionalFormatting>
  <conditionalFormatting sqref="R695:S695">
    <cfRule type="cellIs" dxfId="1049" priority="232" stopIfTrue="1" operator="equal">
      <formula>"?????"</formula>
    </cfRule>
  </conditionalFormatting>
  <conditionalFormatting sqref="R693:S693">
    <cfRule type="cellIs" dxfId="1048" priority="231" stopIfTrue="1" operator="equal">
      <formula>"?????"</formula>
    </cfRule>
  </conditionalFormatting>
  <conditionalFormatting sqref="R697:S697">
    <cfRule type="cellIs" dxfId="1047" priority="230" stopIfTrue="1" operator="equal">
      <formula>"?????"</formula>
    </cfRule>
  </conditionalFormatting>
  <conditionalFormatting sqref="R691:S691">
    <cfRule type="cellIs" dxfId="1046" priority="229" stopIfTrue="1" operator="equal">
      <formula>"?????"</formula>
    </cfRule>
  </conditionalFormatting>
  <conditionalFormatting sqref="R694:S694">
    <cfRule type="cellIs" dxfId="1045" priority="228" stopIfTrue="1" operator="equal">
      <formula>"?????"</formula>
    </cfRule>
  </conditionalFormatting>
  <conditionalFormatting sqref="R696:S696">
    <cfRule type="cellIs" dxfId="1044" priority="227" stopIfTrue="1" operator="equal">
      <formula>"?????"</formula>
    </cfRule>
  </conditionalFormatting>
  <conditionalFormatting sqref="R692:S692">
    <cfRule type="cellIs" dxfId="1043" priority="226" stopIfTrue="1" operator="equal">
      <formula>"?????"</formula>
    </cfRule>
  </conditionalFormatting>
  <conditionalFormatting sqref="R698:S698">
    <cfRule type="cellIs" dxfId="1042" priority="225" stopIfTrue="1" operator="equal">
      <formula>"?????"</formula>
    </cfRule>
  </conditionalFormatting>
  <conditionalFormatting sqref="R701:S701">
    <cfRule type="cellIs" dxfId="1041" priority="224" stopIfTrue="1" operator="equal">
      <formula>"?????"</formula>
    </cfRule>
  </conditionalFormatting>
  <conditionalFormatting sqref="R700:S700">
    <cfRule type="cellIs" dxfId="1040" priority="223" stopIfTrue="1" operator="equal">
      <formula>"?????"</formula>
    </cfRule>
  </conditionalFormatting>
  <conditionalFormatting sqref="R703:S703">
    <cfRule type="cellIs" dxfId="1039" priority="222" stopIfTrue="1" operator="equal">
      <formula>"?????"</formula>
    </cfRule>
  </conditionalFormatting>
  <conditionalFormatting sqref="R704:S704">
    <cfRule type="cellIs" dxfId="1038" priority="221" stopIfTrue="1" operator="equal">
      <formula>"?????"</formula>
    </cfRule>
  </conditionalFormatting>
  <conditionalFormatting sqref="R679:S679">
    <cfRule type="cellIs" dxfId="1037" priority="220" stopIfTrue="1" operator="equal">
      <formula>"?????"</formula>
    </cfRule>
  </conditionalFormatting>
  <conditionalFormatting sqref="R680:S680">
    <cfRule type="cellIs" dxfId="1036" priority="219" stopIfTrue="1" operator="equal">
      <formula>"?????"</formula>
    </cfRule>
  </conditionalFormatting>
  <conditionalFormatting sqref="R681:S681">
    <cfRule type="cellIs" dxfId="1035" priority="218" stopIfTrue="1" operator="equal">
      <formula>"?????"</formula>
    </cfRule>
  </conditionalFormatting>
  <conditionalFormatting sqref="R682:S682">
    <cfRule type="cellIs" dxfId="1034" priority="217" stopIfTrue="1" operator="equal">
      <formula>"?????"</formula>
    </cfRule>
  </conditionalFormatting>
  <conditionalFormatting sqref="R683:S683">
    <cfRule type="cellIs" dxfId="1033" priority="216" stopIfTrue="1" operator="equal">
      <formula>"?????"</formula>
    </cfRule>
  </conditionalFormatting>
  <conditionalFormatting sqref="R685:S685">
    <cfRule type="cellIs" dxfId="1032" priority="215" stopIfTrue="1" operator="equal">
      <formula>"?????"</formula>
    </cfRule>
  </conditionalFormatting>
  <conditionalFormatting sqref="R686:S686">
    <cfRule type="cellIs" dxfId="1031" priority="214" stopIfTrue="1" operator="equal">
      <formula>"?????"</formula>
    </cfRule>
  </conditionalFormatting>
  <conditionalFormatting sqref="R687:S687">
    <cfRule type="cellIs" dxfId="1030" priority="213" stopIfTrue="1" operator="equal">
      <formula>"?????"</formula>
    </cfRule>
  </conditionalFormatting>
  <conditionalFormatting sqref="R689:S689">
    <cfRule type="cellIs" dxfId="1029" priority="212" stopIfTrue="1" operator="equal">
      <formula>"?????"</formula>
    </cfRule>
  </conditionalFormatting>
  <conditionalFormatting sqref="R665:S665">
    <cfRule type="cellIs" dxfId="1028" priority="211" stopIfTrue="1" operator="equal">
      <formula>"?????"</formula>
    </cfRule>
  </conditionalFormatting>
  <conditionalFormatting sqref="R666:S666">
    <cfRule type="cellIs" dxfId="1027" priority="210" stopIfTrue="1" operator="equal">
      <formula>"?????"</formula>
    </cfRule>
  </conditionalFormatting>
  <conditionalFormatting sqref="R667:S667">
    <cfRule type="cellIs" dxfId="1026" priority="209" stopIfTrue="1" operator="equal">
      <formula>"?????"</formula>
    </cfRule>
  </conditionalFormatting>
  <conditionalFormatting sqref="R668:S668">
    <cfRule type="cellIs" dxfId="1025" priority="208" stopIfTrue="1" operator="equal">
      <formula>"?????"</formula>
    </cfRule>
  </conditionalFormatting>
  <conditionalFormatting sqref="R669:S669">
    <cfRule type="cellIs" dxfId="1024" priority="207" stopIfTrue="1" operator="equal">
      <formula>"?????"</formula>
    </cfRule>
  </conditionalFormatting>
  <conditionalFormatting sqref="R670:S670">
    <cfRule type="cellIs" dxfId="1023" priority="206" stopIfTrue="1" operator="equal">
      <formula>"?????"</formula>
    </cfRule>
  </conditionalFormatting>
  <conditionalFormatting sqref="R672:S672">
    <cfRule type="cellIs" dxfId="1022" priority="205" stopIfTrue="1" operator="equal">
      <formula>"?????"</formula>
    </cfRule>
  </conditionalFormatting>
  <conditionalFormatting sqref="R674:S674">
    <cfRule type="cellIs" dxfId="1021" priority="204" stopIfTrue="1" operator="equal">
      <formula>"?????"</formula>
    </cfRule>
  </conditionalFormatting>
  <conditionalFormatting sqref="R675:S675">
    <cfRule type="cellIs" dxfId="1020" priority="203" stopIfTrue="1" operator="equal">
      <formula>"?????"</formula>
    </cfRule>
  </conditionalFormatting>
  <conditionalFormatting sqref="R676:S676">
    <cfRule type="cellIs" dxfId="1019" priority="202" stopIfTrue="1" operator="equal">
      <formula>"?????"</formula>
    </cfRule>
  </conditionalFormatting>
  <conditionalFormatting sqref="R656:S656">
    <cfRule type="cellIs" dxfId="1018" priority="201" stopIfTrue="1" operator="equal">
      <formula>"?????"</formula>
    </cfRule>
  </conditionalFormatting>
  <conditionalFormatting sqref="R658:S658">
    <cfRule type="cellIs" dxfId="1017" priority="200" stopIfTrue="1" operator="equal">
      <formula>"?????"</formula>
    </cfRule>
  </conditionalFormatting>
  <conditionalFormatting sqref="R659:S659">
    <cfRule type="cellIs" dxfId="1016" priority="199" stopIfTrue="1" operator="equal">
      <formula>"?????"</formula>
    </cfRule>
  </conditionalFormatting>
  <conditionalFormatting sqref="R661:S661">
    <cfRule type="cellIs" dxfId="1015" priority="198" stopIfTrue="1" operator="equal">
      <formula>"?????"</formula>
    </cfRule>
  </conditionalFormatting>
  <conditionalFormatting sqref="R662:S662">
    <cfRule type="cellIs" dxfId="1014" priority="197" stopIfTrue="1" operator="equal">
      <formula>"?????"</formula>
    </cfRule>
  </conditionalFormatting>
  <conditionalFormatting sqref="R641:S641">
    <cfRule type="cellIs" dxfId="1013" priority="196" stopIfTrue="1" operator="equal">
      <formula>"?????"</formula>
    </cfRule>
  </conditionalFormatting>
  <conditionalFormatting sqref="R642:S642">
    <cfRule type="cellIs" dxfId="1012" priority="195" stopIfTrue="1" operator="equal">
      <formula>"?????"</formula>
    </cfRule>
  </conditionalFormatting>
  <conditionalFormatting sqref="R644:S644">
    <cfRule type="cellIs" dxfId="1011" priority="194" stopIfTrue="1" operator="equal">
      <formula>"?????"</formula>
    </cfRule>
  </conditionalFormatting>
  <conditionalFormatting sqref="R645:S645">
    <cfRule type="cellIs" dxfId="1010" priority="193" stopIfTrue="1" operator="equal">
      <formula>"?????"</formula>
    </cfRule>
  </conditionalFormatting>
  <conditionalFormatting sqref="R643:S643">
    <cfRule type="cellIs" dxfId="1009" priority="192" stopIfTrue="1" operator="equal">
      <formula>"?????"</formula>
    </cfRule>
  </conditionalFormatting>
  <conditionalFormatting sqref="R646:S646">
    <cfRule type="cellIs" dxfId="1008" priority="191" stopIfTrue="1" operator="equal">
      <formula>"?????"</formula>
    </cfRule>
  </conditionalFormatting>
  <conditionalFormatting sqref="R647:S647">
    <cfRule type="cellIs" dxfId="1007" priority="190" stopIfTrue="1" operator="equal">
      <formula>"?????"</formula>
    </cfRule>
  </conditionalFormatting>
  <conditionalFormatting sqref="R649:S649">
    <cfRule type="cellIs" dxfId="1006" priority="189" stopIfTrue="1" operator="equal">
      <formula>"?????"</formula>
    </cfRule>
  </conditionalFormatting>
  <conditionalFormatting sqref="R648:S648">
    <cfRule type="cellIs" dxfId="1005" priority="188" stopIfTrue="1" operator="equal">
      <formula>"?????"</formula>
    </cfRule>
  </conditionalFormatting>
  <conditionalFormatting sqref="R651:S651">
    <cfRule type="cellIs" dxfId="1004" priority="187" stopIfTrue="1" operator="equal">
      <formula>"?????"</formula>
    </cfRule>
  </conditionalFormatting>
  <conditionalFormatting sqref="R650:S650">
    <cfRule type="cellIs" dxfId="1003" priority="186" stopIfTrue="1" operator="equal">
      <formula>"?????"</formula>
    </cfRule>
  </conditionalFormatting>
  <conditionalFormatting sqref="R630:S630 D630 F630">
    <cfRule type="cellIs" dxfId="1002" priority="185" stopIfTrue="1" operator="equal">
      <formula>"?????"</formula>
    </cfRule>
  </conditionalFormatting>
  <conditionalFormatting sqref="R632:S632">
    <cfRule type="cellIs" dxfId="1001" priority="178" stopIfTrue="1" operator="equal">
      <formula>"?????"</formula>
    </cfRule>
  </conditionalFormatting>
  <conditionalFormatting sqref="R633:S633">
    <cfRule type="cellIs" dxfId="1000" priority="177" stopIfTrue="1" operator="equal">
      <formula>"?????"</formula>
    </cfRule>
  </conditionalFormatting>
  <conditionalFormatting sqref="R634:S634">
    <cfRule type="cellIs" dxfId="999" priority="176" stopIfTrue="1" operator="equal">
      <formula>"?????"</formula>
    </cfRule>
  </conditionalFormatting>
  <conditionalFormatting sqref="R629:S629 D629 F629">
    <cfRule type="cellIs" dxfId="998" priority="184" stopIfTrue="1" operator="equal">
      <formula>"?????"</formula>
    </cfRule>
  </conditionalFormatting>
  <conditionalFormatting sqref="R636:S636">
    <cfRule type="cellIs" dxfId="997" priority="174" stopIfTrue="1" operator="equal">
      <formula>"?????"</formula>
    </cfRule>
  </conditionalFormatting>
  <conditionalFormatting sqref="F656:F664">
    <cfRule type="cellIs" dxfId="996" priority="183" stopIfTrue="1" operator="equal">
      <formula>"?????"</formula>
    </cfRule>
  </conditionalFormatting>
  <conditionalFormatting sqref="R652:S653">
    <cfRule type="cellIs" dxfId="995" priority="182" stopIfTrue="1" operator="equal">
      <formula>"?????"</formula>
    </cfRule>
  </conditionalFormatting>
  <conditionalFormatting sqref="R654:S654">
    <cfRule type="cellIs" dxfId="994" priority="181" stopIfTrue="1" operator="equal">
      <formula>"?????"</formula>
    </cfRule>
  </conditionalFormatting>
  <conditionalFormatting sqref="R655:S655">
    <cfRule type="cellIs" dxfId="993" priority="180" stopIfTrue="1" operator="equal">
      <formula>"?????"</formula>
    </cfRule>
  </conditionalFormatting>
  <conditionalFormatting sqref="F652:F655">
    <cfRule type="cellIs" dxfId="992" priority="179" stopIfTrue="1" operator="equal">
      <formula>"?????"</formula>
    </cfRule>
  </conditionalFormatting>
  <conditionalFormatting sqref="R635:S635">
    <cfRule type="cellIs" dxfId="991" priority="175" stopIfTrue="1" operator="equal">
      <formula>"?????"</formula>
    </cfRule>
  </conditionalFormatting>
  <conditionalFormatting sqref="R637:S637">
    <cfRule type="cellIs" dxfId="990" priority="173" stopIfTrue="1" operator="equal">
      <formula>"?????"</formula>
    </cfRule>
  </conditionalFormatting>
  <conditionalFormatting sqref="R638:S638">
    <cfRule type="cellIs" dxfId="989" priority="172" stopIfTrue="1" operator="equal">
      <formula>"?????"</formula>
    </cfRule>
  </conditionalFormatting>
  <conditionalFormatting sqref="R639:S639">
    <cfRule type="cellIs" dxfId="988" priority="171" stopIfTrue="1" operator="equal">
      <formula>"?????"</formula>
    </cfRule>
  </conditionalFormatting>
  <conditionalFormatting sqref="R640:S640">
    <cfRule type="cellIs" dxfId="987" priority="170" stopIfTrue="1" operator="equal">
      <formula>"?????"</formula>
    </cfRule>
  </conditionalFormatting>
  <conditionalFormatting sqref="F691:F705">
    <cfRule type="cellIs" dxfId="986" priority="168" stopIfTrue="1" operator="equal">
      <formula>"?????"</formula>
    </cfRule>
  </conditionalFormatting>
  <conditionalFormatting sqref="F679:F690">
    <cfRule type="cellIs" dxfId="985" priority="169" stopIfTrue="1" operator="equal">
      <formula>"?????"</formula>
    </cfRule>
  </conditionalFormatting>
  <conditionalFormatting sqref="F1847:F1857 D1847:D1857 R1847:S1857">
    <cfRule type="cellIs" dxfId="984" priority="167" stopIfTrue="1" operator="equal">
      <formula>"?????"</formula>
    </cfRule>
  </conditionalFormatting>
  <conditionalFormatting sqref="F1844 D1844 R1844:S1844">
    <cfRule type="cellIs" dxfId="983" priority="166" stopIfTrue="1" operator="equal">
      <formula>"?????"</formula>
    </cfRule>
  </conditionalFormatting>
  <conditionalFormatting sqref="F1843:F1844 D1843:D1844 R1843:S1844">
    <cfRule type="cellIs" dxfId="982" priority="165" stopIfTrue="1" operator="equal">
      <formula>"?????"</formula>
    </cfRule>
  </conditionalFormatting>
  <conditionalFormatting sqref="F1845 D1845 R1845:S1845">
    <cfRule type="cellIs" dxfId="981" priority="164" stopIfTrue="1" operator="equal">
      <formula>"?????"</formula>
    </cfRule>
  </conditionalFormatting>
  <conditionalFormatting sqref="F1845 D1845 R1845:S1845">
    <cfRule type="cellIs" dxfId="980" priority="163" stopIfTrue="1" operator="equal">
      <formula>"?????"</formula>
    </cfRule>
  </conditionalFormatting>
  <conditionalFormatting sqref="F1858:F1859 D1858:D1859 R1858:S1859 R1861:S1864 D1861:D1864 F1861:F1864 F1866 D1866 R1866:S1866">
    <cfRule type="cellIs" dxfId="979" priority="162" stopIfTrue="1" operator="equal">
      <formula>"?????"</formula>
    </cfRule>
  </conditionalFormatting>
  <conditionalFormatting sqref="F1860 D1860 R1860:S1860">
    <cfRule type="cellIs" dxfId="978" priority="161" stopIfTrue="1" operator="equal">
      <formula>"?????"</formula>
    </cfRule>
  </conditionalFormatting>
  <conditionalFormatting sqref="F1865 D1865 R1865:S1865">
    <cfRule type="cellIs" dxfId="977" priority="160" stopIfTrue="1" operator="equal">
      <formula>"?????"</formula>
    </cfRule>
  </conditionalFormatting>
  <conditionalFormatting sqref="F1867:F1868 D1867:D1868 R1867:S1868 R1870:S1872 D1870:D1872 F1870:F1872 F1874:F1875 D1874:D1875 R1874:S1875">
    <cfRule type="cellIs" dxfId="976" priority="159" stopIfTrue="1" operator="equal">
      <formula>"?????"</formula>
    </cfRule>
  </conditionalFormatting>
  <conditionalFormatting sqref="F1869 D1869 R1869:S1869">
    <cfRule type="cellIs" dxfId="975" priority="158" stopIfTrue="1" operator="equal">
      <formula>"?????"</formula>
    </cfRule>
  </conditionalFormatting>
  <conditionalFormatting sqref="F1873 D1873 R1873:S1873">
    <cfRule type="cellIs" dxfId="974" priority="157" stopIfTrue="1" operator="equal">
      <formula>"?????"</formula>
    </cfRule>
  </conditionalFormatting>
  <conditionalFormatting sqref="F1876:F1877 D1876:D1877 R1876:S1877">
    <cfRule type="cellIs" dxfId="973" priority="156" stopIfTrue="1" operator="equal">
      <formula>"?????"</formula>
    </cfRule>
  </conditionalFormatting>
  <conditionalFormatting sqref="F5:F20 F22:F33 F47:F56 F35:F41 F43:F45 F60:F66">
    <cfRule type="cellIs" dxfId="972" priority="152" stopIfTrue="1" operator="equal">
      <formula>"?????"</formula>
    </cfRule>
  </conditionalFormatting>
  <conditionalFormatting sqref="F4">
    <cfRule type="cellIs" dxfId="971" priority="151" stopIfTrue="1" operator="equal">
      <formula>"?????"</formula>
    </cfRule>
  </conditionalFormatting>
  <conditionalFormatting sqref="F21">
    <cfRule type="cellIs" dxfId="970" priority="150" stopIfTrue="1" operator="equal">
      <formula>"?????"</formula>
    </cfRule>
  </conditionalFormatting>
  <conditionalFormatting sqref="F34">
    <cfRule type="cellIs" dxfId="969" priority="149" stopIfTrue="1" operator="equal">
      <formula>"?????"</formula>
    </cfRule>
  </conditionalFormatting>
  <conditionalFormatting sqref="F46">
    <cfRule type="cellIs" dxfId="968" priority="148" stopIfTrue="1" operator="equal">
      <formula>"?????"</formula>
    </cfRule>
  </conditionalFormatting>
  <conditionalFormatting sqref="F42">
    <cfRule type="cellIs" dxfId="967" priority="147" stopIfTrue="1" operator="equal">
      <formula>"?????"</formula>
    </cfRule>
  </conditionalFormatting>
  <conditionalFormatting sqref="F57">
    <cfRule type="cellIs" dxfId="966" priority="146" stopIfTrue="1" operator="equal">
      <formula>"?????"</formula>
    </cfRule>
  </conditionalFormatting>
  <conditionalFormatting sqref="F58">
    <cfRule type="cellIs" dxfId="965" priority="145" stopIfTrue="1" operator="equal">
      <formula>"?????"</formula>
    </cfRule>
  </conditionalFormatting>
  <conditionalFormatting sqref="F59">
    <cfRule type="cellIs" dxfId="964" priority="144" stopIfTrue="1" operator="equal">
      <formula>"?????"</formula>
    </cfRule>
  </conditionalFormatting>
  <conditionalFormatting sqref="S70 F68 F70 F72 S72 S74 F74 F76:F78 S76:S78 S80 F80 F93:F94 S93:S94 S96 F96 F98 S98 S100:S102 F100:F102 F104 S104 F82 S82 S84 F84 F86 S86 S88 F88 F91 S91 S106:S108 F106:F108 F110:F111 S110:S111 S113 F113 F115:F117 S115:S117">
    <cfRule type="cellIs" dxfId="963" priority="143" stopIfTrue="1" operator="equal">
      <formula>"?????"</formula>
    </cfRule>
  </conditionalFormatting>
  <conditionalFormatting sqref="F69">
    <cfRule type="cellIs" dxfId="962" priority="142" stopIfTrue="1" operator="equal">
      <formula>"?????"</formula>
    </cfRule>
  </conditionalFormatting>
  <conditionalFormatting sqref="S71 F71">
    <cfRule type="cellIs" dxfId="961" priority="141" stopIfTrue="1" operator="equal">
      <formula>"?????"</formula>
    </cfRule>
  </conditionalFormatting>
  <conditionalFormatting sqref="F73 S73">
    <cfRule type="cellIs" dxfId="960" priority="140" stopIfTrue="1" operator="equal">
      <formula>"?????"</formula>
    </cfRule>
  </conditionalFormatting>
  <conditionalFormatting sqref="S92 F92">
    <cfRule type="cellIs" dxfId="959" priority="137" stopIfTrue="1" operator="equal">
      <formula>"?????"</formula>
    </cfRule>
  </conditionalFormatting>
  <conditionalFormatting sqref="S75 F75">
    <cfRule type="cellIs" dxfId="958" priority="139" stopIfTrue="1" operator="equal">
      <formula>"?????"</formula>
    </cfRule>
  </conditionalFormatting>
  <conditionalFormatting sqref="F79 S79">
    <cfRule type="cellIs" dxfId="957" priority="138" stopIfTrue="1" operator="equal">
      <formula>"?????"</formula>
    </cfRule>
  </conditionalFormatting>
  <conditionalFormatting sqref="S97 F97">
    <cfRule type="cellIs" dxfId="956" priority="135" stopIfTrue="1" operator="equal">
      <formula>"?????"</formula>
    </cfRule>
  </conditionalFormatting>
  <conditionalFormatting sqref="F95 S95">
    <cfRule type="cellIs" dxfId="955" priority="136" stopIfTrue="1" operator="equal">
      <formula>"?????"</formula>
    </cfRule>
  </conditionalFormatting>
  <conditionalFormatting sqref="F99 S99">
    <cfRule type="cellIs" dxfId="954" priority="134" stopIfTrue="1" operator="equal">
      <formula>"?????"</formula>
    </cfRule>
  </conditionalFormatting>
  <conditionalFormatting sqref="S103 F103">
    <cfRule type="cellIs" dxfId="953" priority="133" stopIfTrue="1" operator="equal">
      <formula>"?????"</formula>
    </cfRule>
  </conditionalFormatting>
  <conditionalFormatting sqref="F119 S119">
    <cfRule type="cellIs" dxfId="952" priority="132" stopIfTrue="1" operator="equal">
      <formula>"?????"</formula>
    </cfRule>
  </conditionalFormatting>
  <conditionalFormatting sqref="F120 S120">
    <cfRule type="cellIs" dxfId="951" priority="131" stopIfTrue="1" operator="equal">
      <formula>"?????"</formula>
    </cfRule>
  </conditionalFormatting>
  <conditionalFormatting sqref="F121 S121">
    <cfRule type="cellIs" dxfId="950" priority="130" stopIfTrue="1" operator="equal">
      <formula>"?????"</formula>
    </cfRule>
  </conditionalFormatting>
  <conditionalFormatting sqref="F122 S122">
    <cfRule type="cellIs" dxfId="949" priority="129" stopIfTrue="1" operator="equal">
      <formula>"?????"</formula>
    </cfRule>
  </conditionalFormatting>
  <conditionalFormatting sqref="F123 S123">
    <cfRule type="cellIs" dxfId="948" priority="128" stopIfTrue="1" operator="equal">
      <formula>"?????"</formula>
    </cfRule>
  </conditionalFormatting>
  <conditionalFormatting sqref="F124 S124">
    <cfRule type="cellIs" dxfId="947" priority="127" stopIfTrue="1" operator="equal">
      <formula>"?????"</formula>
    </cfRule>
  </conditionalFormatting>
  <conditionalFormatting sqref="S81 F81">
    <cfRule type="cellIs" dxfId="946" priority="126" stopIfTrue="1" operator="equal">
      <formula>"?????"</formula>
    </cfRule>
  </conditionalFormatting>
  <conditionalFormatting sqref="F83 S83">
    <cfRule type="cellIs" dxfId="945" priority="125" stopIfTrue="1" operator="equal">
      <formula>"?????"</formula>
    </cfRule>
  </conditionalFormatting>
  <conditionalFormatting sqref="S85 F85">
    <cfRule type="cellIs" dxfId="944" priority="124" stopIfTrue="1" operator="equal">
      <formula>"?????"</formula>
    </cfRule>
  </conditionalFormatting>
  <conditionalFormatting sqref="F87 S87">
    <cfRule type="cellIs" dxfId="943" priority="123" stopIfTrue="1" operator="equal">
      <formula>"?????"</formula>
    </cfRule>
  </conditionalFormatting>
  <conditionalFormatting sqref="S89 F89">
    <cfRule type="cellIs" dxfId="942" priority="122" stopIfTrue="1" operator="equal">
      <formula>"?????"</formula>
    </cfRule>
  </conditionalFormatting>
  <conditionalFormatting sqref="S90 F90">
    <cfRule type="cellIs" dxfId="941" priority="121" stopIfTrue="1" operator="equal">
      <formula>"?????"</formula>
    </cfRule>
  </conditionalFormatting>
  <conditionalFormatting sqref="F105 S105">
    <cfRule type="cellIs" dxfId="940" priority="120" stopIfTrue="1" operator="equal">
      <formula>"?????"</formula>
    </cfRule>
  </conditionalFormatting>
  <conditionalFormatting sqref="S109 F109">
    <cfRule type="cellIs" dxfId="939" priority="119" stopIfTrue="1" operator="equal">
      <formula>"?????"</formula>
    </cfRule>
  </conditionalFormatting>
  <conditionalFormatting sqref="F112 S112">
    <cfRule type="cellIs" dxfId="938" priority="118" stopIfTrue="1" operator="equal">
      <formula>"?????"</formula>
    </cfRule>
  </conditionalFormatting>
  <conditionalFormatting sqref="S114 F114">
    <cfRule type="cellIs" dxfId="937" priority="117" stopIfTrue="1" operator="equal">
      <formula>"?????"</formula>
    </cfRule>
  </conditionalFormatting>
  <conditionalFormatting sqref="F118 S118">
    <cfRule type="cellIs" dxfId="936" priority="116" stopIfTrue="1" operator="equal">
      <formula>"?????"</formula>
    </cfRule>
  </conditionalFormatting>
  <conditionalFormatting sqref="R126:S126 F126 R129:S129 F129 F131 R131:S131 R133:S133 F133 F135:F136 R135:S136 R138:S138 F138 F151 R151:S151 R153:S153 F153 F155 R155:S155 R157:S159 F157:F159 F161 R161:S161 R183:S183 F183 F185 R185:S185 R187:S187 F187 F189 R189:S189 R191:S191 F191 F148:F149 R148:S149 R163:S163 F163 F165 R165:S165 R167:S167 F167 F181 R181:S181">
    <cfRule type="cellIs" dxfId="935" priority="115" stopIfTrue="1" operator="equal">
      <formula>"?????"</formula>
    </cfRule>
  </conditionalFormatting>
  <conditionalFormatting sqref="F127 R127:S127">
    <cfRule type="cellIs" dxfId="934" priority="114" stopIfTrue="1" operator="equal">
      <formula>"?????"</formula>
    </cfRule>
  </conditionalFormatting>
  <conditionalFormatting sqref="F128 R128:S128">
    <cfRule type="cellIs" dxfId="933" priority="113" stopIfTrue="1" operator="equal">
      <formula>"?????"</formula>
    </cfRule>
  </conditionalFormatting>
  <conditionalFormatting sqref="R130:S130 F130">
    <cfRule type="cellIs" dxfId="932" priority="112" stopIfTrue="1" operator="equal">
      <formula>"?????"</formula>
    </cfRule>
  </conditionalFormatting>
  <conditionalFormatting sqref="F132 R132:S132">
    <cfRule type="cellIs" dxfId="931" priority="111" stopIfTrue="1" operator="equal">
      <formula>"?????"</formula>
    </cfRule>
  </conditionalFormatting>
  <conditionalFormatting sqref="R134:S134 F134">
    <cfRule type="cellIs" dxfId="930" priority="110" stopIfTrue="1" operator="equal">
      <formula>"?????"</formula>
    </cfRule>
  </conditionalFormatting>
  <conditionalFormatting sqref="F137 R137:S137">
    <cfRule type="cellIs" dxfId="929" priority="109" stopIfTrue="1" operator="equal">
      <formula>"?????"</formula>
    </cfRule>
  </conditionalFormatting>
  <conditionalFormatting sqref="R150:S150 F150">
    <cfRule type="cellIs" dxfId="928" priority="108" stopIfTrue="1" operator="equal">
      <formula>"?????"</formula>
    </cfRule>
  </conditionalFormatting>
  <conditionalFormatting sqref="R154:S154 F154">
    <cfRule type="cellIs" dxfId="927" priority="106" stopIfTrue="1" operator="equal">
      <formula>"?????"</formula>
    </cfRule>
  </conditionalFormatting>
  <conditionalFormatting sqref="F152 R152:S152">
    <cfRule type="cellIs" dxfId="926" priority="107" stopIfTrue="1" operator="equal">
      <formula>"?????"</formula>
    </cfRule>
  </conditionalFormatting>
  <conditionalFormatting sqref="R160:S160 F160">
    <cfRule type="cellIs" dxfId="925" priority="104" stopIfTrue="1" operator="equal">
      <formula>"?????"</formula>
    </cfRule>
  </conditionalFormatting>
  <conditionalFormatting sqref="R184:S184 F184">
    <cfRule type="cellIs" dxfId="924" priority="102" stopIfTrue="1" operator="equal">
      <formula>"?????"</formula>
    </cfRule>
  </conditionalFormatting>
  <conditionalFormatting sqref="F156 R156:S156">
    <cfRule type="cellIs" dxfId="923" priority="105" stopIfTrue="1" operator="equal">
      <formula>"?????"</formula>
    </cfRule>
  </conditionalFormatting>
  <conditionalFormatting sqref="F182 R182:S182">
    <cfRule type="cellIs" dxfId="922" priority="103" stopIfTrue="1" operator="equal">
      <formula>"?????"</formula>
    </cfRule>
  </conditionalFormatting>
  <conditionalFormatting sqref="R188:S188 F188">
    <cfRule type="cellIs" dxfId="921" priority="100" stopIfTrue="1" operator="equal">
      <formula>"?????"</formula>
    </cfRule>
  </conditionalFormatting>
  <conditionalFormatting sqref="F190 R190:S190">
    <cfRule type="cellIs" dxfId="920" priority="99" stopIfTrue="1" operator="equal">
      <formula>"?????"</formula>
    </cfRule>
  </conditionalFormatting>
  <conditionalFormatting sqref="F186 R186:S186">
    <cfRule type="cellIs" dxfId="919" priority="101" stopIfTrue="1" operator="equal">
      <formula>"?????"</formula>
    </cfRule>
  </conditionalFormatting>
  <conditionalFormatting sqref="R139:S139 F139">
    <cfRule type="cellIs" dxfId="918" priority="98" stopIfTrue="1" operator="equal">
      <formula>"?????"</formula>
    </cfRule>
  </conditionalFormatting>
  <conditionalFormatting sqref="R140:S140 F140">
    <cfRule type="cellIs" dxfId="917" priority="97" stopIfTrue="1" operator="equal">
      <formula>"?????"</formula>
    </cfRule>
  </conditionalFormatting>
  <conditionalFormatting sqref="R141:S141 F141">
    <cfRule type="cellIs" dxfId="916" priority="96" stopIfTrue="1" operator="equal">
      <formula>"?????"</formula>
    </cfRule>
  </conditionalFormatting>
  <conditionalFormatting sqref="R143:S143 F143">
    <cfRule type="cellIs" dxfId="915" priority="94" stopIfTrue="1" operator="equal">
      <formula>"?????"</formula>
    </cfRule>
  </conditionalFormatting>
  <conditionalFormatting sqref="R142:S142 F142">
    <cfRule type="cellIs" dxfId="914" priority="95" stopIfTrue="1" operator="equal">
      <formula>"?????"</formula>
    </cfRule>
  </conditionalFormatting>
  <conditionalFormatting sqref="R145:S145 F145">
    <cfRule type="cellIs" dxfId="913" priority="92" stopIfTrue="1" operator="equal">
      <formula>"?????"</formula>
    </cfRule>
  </conditionalFormatting>
  <conditionalFormatting sqref="R147:S147 F147">
    <cfRule type="cellIs" dxfId="912" priority="90" stopIfTrue="1" operator="equal">
      <formula>"?????"</formula>
    </cfRule>
  </conditionalFormatting>
  <conditionalFormatting sqref="R144:S144 F144">
    <cfRule type="cellIs" dxfId="911" priority="93" stopIfTrue="1" operator="equal">
      <formula>"?????"</formula>
    </cfRule>
  </conditionalFormatting>
  <conditionalFormatting sqref="R146:S146 F146">
    <cfRule type="cellIs" dxfId="910" priority="91" stopIfTrue="1" operator="equal">
      <formula>"?????"</formula>
    </cfRule>
  </conditionalFormatting>
  <conditionalFormatting sqref="R168:S168 F168">
    <cfRule type="cellIs" dxfId="909" priority="86" stopIfTrue="1" operator="equal">
      <formula>"?????"</formula>
    </cfRule>
  </conditionalFormatting>
  <conditionalFormatting sqref="R164:S164 F164">
    <cfRule type="cellIs" dxfId="908" priority="88" stopIfTrue="1" operator="equal">
      <formula>"?????"</formula>
    </cfRule>
  </conditionalFormatting>
  <conditionalFormatting sqref="F162 R162:S162">
    <cfRule type="cellIs" dxfId="907" priority="89" stopIfTrue="1" operator="equal">
      <formula>"?????"</formula>
    </cfRule>
  </conditionalFormatting>
  <conditionalFormatting sqref="F166 R166:S166">
    <cfRule type="cellIs" dxfId="906" priority="87" stopIfTrue="1" operator="equal">
      <formula>"?????"</formula>
    </cfRule>
  </conditionalFormatting>
  <conditionalFormatting sqref="R170:S170 F170">
    <cfRule type="cellIs" dxfId="905" priority="84" stopIfTrue="1" operator="equal">
      <formula>"?????"</formula>
    </cfRule>
  </conditionalFormatting>
  <conditionalFormatting sqref="R169:S169 F169">
    <cfRule type="cellIs" dxfId="904" priority="85" stopIfTrue="1" operator="equal">
      <formula>"?????"</formula>
    </cfRule>
  </conditionalFormatting>
  <conditionalFormatting sqref="F171 R171:S171">
    <cfRule type="cellIs" dxfId="903" priority="83" stopIfTrue="1" operator="equal">
      <formula>"?????"</formula>
    </cfRule>
  </conditionalFormatting>
  <conditionalFormatting sqref="F172 R172:S172">
    <cfRule type="cellIs" dxfId="902" priority="82" stopIfTrue="1" operator="equal">
      <formula>"?????"</formula>
    </cfRule>
  </conditionalFormatting>
  <conditionalFormatting sqref="R173:S173 F173">
    <cfRule type="cellIs" dxfId="901" priority="81" stopIfTrue="1" operator="equal">
      <formula>"?????"</formula>
    </cfRule>
  </conditionalFormatting>
  <conditionalFormatting sqref="R174:S174 F174">
    <cfRule type="cellIs" dxfId="900" priority="80" stopIfTrue="1" operator="equal">
      <formula>"?????"</formula>
    </cfRule>
  </conditionalFormatting>
  <conditionalFormatting sqref="F175 R175:S175 R177:S177 F177 F179 R179:S179">
    <cfRule type="cellIs" dxfId="899" priority="79" stopIfTrue="1" operator="equal">
      <formula>"?????"</formula>
    </cfRule>
  </conditionalFormatting>
  <conditionalFormatting sqref="F176 R176:S176">
    <cfRule type="cellIs" dxfId="898" priority="78" stopIfTrue="1" operator="equal">
      <formula>"?????"</formula>
    </cfRule>
  </conditionalFormatting>
  <conditionalFormatting sqref="R178:S178 F178">
    <cfRule type="cellIs" dxfId="897" priority="77" stopIfTrue="1" operator="equal">
      <formula>"?????"</formula>
    </cfRule>
  </conditionalFormatting>
  <conditionalFormatting sqref="F180 R180:S180">
    <cfRule type="cellIs" dxfId="896" priority="76" stopIfTrue="1" operator="equal">
      <formula>"?????"</formula>
    </cfRule>
  </conditionalFormatting>
  <conditionalFormatting sqref="F736:F737 D736:D737 R736:S737 R739:S739 D739 F739 F741 D741 R741:S741 R743:S743 D743 F743 F749:F750 D749:D750 R749:S750 R759:S764 D759:D764 F759:F764 R753:S753 D753 F753 F755:F757 D755:D757 R755:S757 F768 D768 R768:S768">
    <cfRule type="cellIs" dxfId="895" priority="75" stopIfTrue="1" operator="equal">
      <formula>"?????"</formula>
    </cfRule>
  </conditionalFormatting>
  <conditionalFormatting sqref="R738:S738 D738 F738">
    <cfRule type="cellIs" dxfId="894" priority="74" stopIfTrue="1" operator="equal">
      <formula>"?????"</formula>
    </cfRule>
  </conditionalFormatting>
  <conditionalFormatting sqref="F740 D740 R740:S740">
    <cfRule type="cellIs" dxfId="893" priority="73" stopIfTrue="1" operator="equal">
      <formula>"?????"</formula>
    </cfRule>
  </conditionalFormatting>
  <conditionalFormatting sqref="R742:S742 D742 F742">
    <cfRule type="cellIs" dxfId="892" priority="72" stopIfTrue="1" operator="equal">
      <formula>"?????"</formula>
    </cfRule>
  </conditionalFormatting>
  <conditionalFormatting sqref="R744:S744 D744 F744">
    <cfRule type="cellIs" dxfId="891" priority="71" stopIfTrue="1" operator="equal">
      <formula>"?????"</formula>
    </cfRule>
  </conditionalFormatting>
  <conditionalFormatting sqref="R746:S746 D746 F746">
    <cfRule type="cellIs" dxfId="890" priority="70" stopIfTrue="1" operator="equal">
      <formula>"?????"</formula>
    </cfRule>
  </conditionalFormatting>
  <conditionalFormatting sqref="F748 D748 R748:S748">
    <cfRule type="cellIs" dxfId="889" priority="69" stopIfTrue="1" operator="equal">
      <formula>"?????"</formula>
    </cfRule>
  </conditionalFormatting>
  <conditionalFormatting sqref="R758:S758 D758 F758">
    <cfRule type="cellIs" dxfId="888" priority="68" stopIfTrue="1" operator="equal">
      <formula>"?????"</formula>
    </cfRule>
  </conditionalFormatting>
  <conditionalFormatting sqref="R745:S745 D745 F745">
    <cfRule type="cellIs" dxfId="887" priority="67" stopIfTrue="1" operator="equal">
      <formula>"?????"</formula>
    </cfRule>
  </conditionalFormatting>
  <conditionalFormatting sqref="R747:S747 D747 F747">
    <cfRule type="cellIs" dxfId="886" priority="66" stopIfTrue="1" operator="equal">
      <formula>"?????"</formula>
    </cfRule>
  </conditionalFormatting>
  <conditionalFormatting sqref="R751:S751 D751 F751">
    <cfRule type="cellIs" dxfId="885" priority="65" stopIfTrue="1" operator="equal">
      <formula>"?????"</formula>
    </cfRule>
  </conditionalFormatting>
  <conditionalFormatting sqref="R752:S752 D752 F752">
    <cfRule type="cellIs" dxfId="884" priority="64" stopIfTrue="1" operator="equal">
      <formula>"?????"</formula>
    </cfRule>
  </conditionalFormatting>
  <conditionalFormatting sqref="F754 D754 R754:S754">
    <cfRule type="cellIs" dxfId="883" priority="63" stopIfTrue="1" operator="equal">
      <formula>"?????"</formula>
    </cfRule>
  </conditionalFormatting>
  <conditionalFormatting sqref="R765:S765 D765 F765">
    <cfRule type="cellIs" dxfId="882" priority="62" stopIfTrue="1" operator="equal">
      <formula>"?????"</formula>
    </cfRule>
  </conditionalFormatting>
  <conditionalFormatting sqref="R766:S766 D766 F766">
    <cfRule type="cellIs" dxfId="881" priority="61" stopIfTrue="1" operator="equal">
      <formula>"?????"</formula>
    </cfRule>
  </conditionalFormatting>
  <conditionalFormatting sqref="R767:S767 D767 F767">
    <cfRule type="cellIs" dxfId="880" priority="60" stopIfTrue="1" operator="equal">
      <formula>"?????"</formula>
    </cfRule>
  </conditionalFormatting>
  <conditionalFormatting sqref="F1229:F1234 R1229:S1234 D1229:D1234 D1241:D1248 R1241:S1248 F1241:F1248">
    <cfRule type="cellIs" dxfId="879" priority="59" stopIfTrue="1" operator="equal">
      <formula>"?????"</formula>
    </cfRule>
  </conditionalFormatting>
  <conditionalFormatting sqref="F1223 D1223">
    <cfRule type="cellIs" dxfId="878" priority="57" stopIfTrue="1" operator="equal">
      <formula>"?????"</formula>
    </cfRule>
  </conditionalFormatting>
  <conditionalFormatting sqref="F1222 D1222">
    <cfRule type="cellIs" dxfId="877" priority="55" stopIfTrue="1" operator="equal">
      <formula>"?????"</formula>
    </cfRule>
  </conditionalFormatting>
  <conditionalFormatting sqref="R1223:S1223">
    <cfRule type="cellIs" dxfId="876" priority="58" stopIfTrue="1" operator="equal">
      <formula>"?????"</formula>
    </cfRule>
  </conditionalFormatting>
  <conditionalFormatting sqref="F1224 D1224">
    <cfRule type="cellIs" dxfId="875" priority="53" stopIfTrue="1" operator="equal">
      <formula>"?????"</formula>
    </cfRule>
  </conditionalFormatting>
  <conditionalFormatting sqref="F1225 D1225">
    <cfRule type="cellIs" dxfId="874" priority="51" stopIfTrue="1" operator="equal">
      <formula>"?????"</formula>
    </cfRule>
  </conditionalFormatting>
  <conditionalFormatting sqref="R1222:S1222">
    <cfRule type="cellIs" dxfId="873" priority="56" stopIfTrue="1" operator="equal">
      <formula>"?????"</formula>
    </cfRule>
  </conditionalFormatting>
  <conditionalFormatting sqref="F1226 D1226">
    <cfRule type="cellIs" dxfId="872" priority="49" stopIfTrue="1" operator="equal">
      <formula>"?????"</formula>
    </cfRule>
  </conditionalFormatting>
  <conditionalFormatting sqref="R1224:S1224">
    <cfRule type="cellIs" dxfId="871" priority="54" stopIfTrue="1" operator="equal">
      <formula>"?????"</formula>
    </cfRule>
  </conditionalFormatting>
  <conditionalFormatting sqref="F1227 R1227:S1227 D1227">
    <cfRule type="cellIs" dxfId="870" priority="48" stopIfTrue="1" operator="equal">
      <formula>"?????"</formula>
    </cfRule>
  </conditionalFormatting>
  <conditionalFormatting sqref="R1225:S1225">
    <cfRule type="cellIs" dxfId="869" priority="52" stopIfTrue="1" operator="equal">
      <formula>"?????"</formula>
    </cfRule>
  </conditionalFormatting>
  <conditionalFormatting sqref="F1228 R1228:S1228 D1228">
    <cfRule type="cellIs" dxfId="868" priority="47" stopIfTrue="1" operator="equal">
      <formula>"?????"</formula>
    </cfRule>
  </conditionalFormatting>
  <conditionalFormatting sqref="R1226:S1226">
    <cfRule type="cellIs" dxfId="867" priority="50" stopIfTrue="1" operator="equal">
      <formula>"?????"</formula>
    </cfRule>
  </conditionalFormatting>
  <conditionalFormatting sqref="F1235 R1235:S1235 D1235">
    <cfRule type="cellIs" dxfId="866" priority="45" stopIfTrue="1" operator="equal">
      <formula>"?????"</formula>
    </cfRule>
  </conditionalFormatting>
  <conditionalFormatting sqref="F1238:F1239 D1238:D1239">
    <cfRule type="cellIs" dxfId="865" priority="42" stopIfTrue="1" operator="equal">
      <formula>"?????"</formula>
    </cfRule>
  </conditionalFormatting>
  <conditionalFormatting sqref="F1236:F1237 R1236:S1237 D1236:D1237">
    <cfRule type="cellIs" dxfId="864" priority="46" stopIfTrue="1" operator="equal">
      <formula>"?????"</formula>
    </cfRule>
  </conditionalFormatting>
  <conditionalFormatting sqref="D1240 R1240:S1240 F1240">
    <cfRule type="cellIs" dxfId="863" priority="41" stopIfTrue="1" operator="equal">
      <formula>"?????"</formula>
    </cfRule>
  </conditionalFormatting>
  <conditionalFormatting sqref="R1239:S1239">
    <cfRule type="cellIs" dxfId="862" priority="43" stopIfTrue="1" operator="equal">
      <formula>"?????"</formula>
    </cfRule>
  </conditionalFormatting>
  <conditionalFormatting sqref="D1249 F1249">
    <cfRule type="cellIs" dxfId="861" priority="38" stopIfTrue="1" operator="equal">
      <formula>"?????"</formula>
    </cfRule>
  </conditionalFormatting>
  <conditionalFormatting sqref="R1238:S1238">
    <cfRule type="cellIs" dxfId="860" priority="44" stopIfTrue="1" operator="equal">
      <formula>"?????"</formula>
    </cfRule>
  </conditionalFormatting>
  <conditionalFormatting sqref="R1250:S1250">
    <cfRule type="cellIs" dxfId="859" priority="39" stopIfTrue="1" operator="equal">
      <formula>"?????"</formula>
    </cfRule>
  </conditionalFormatting>
  <conditionalFormatting sqref="R1249:S1249">
    <cfRule type="cellIs" dxfId="858" priority="40" stopIfTrue="1" operator="equal">
      <formula>"?????"</formula>
    </cfRule>
  </conditionalFormatting>
  <conditionalFormatting sqref="D1250 F1250">
    <cfRule type="cellIs" dxfId="857" priority="37" stopIfTrue="1" operator="equal">
      <formula>"?????"</formula>
    </cfRule>
  </conditionalFormatting>
  <conditionalFormatting sqref="F1252:F1258 R1252:S1258 D1252:D1258 D1262:D1268 R1262:S1268 F1262:F1268">
    <cfRule type="cellIs" dxfId="856" priority="35" stopIfTrue="1" operator="equal">
      <formula>"?????"</formula>
    </cfRule>
  </conditionalFormatting>
  <conditionalFormatting sqref="F1251 R1251:S1251 D1251">
    <cfRule type="cellIs" dxfId="855" priority="34" stopIfTrue="1" operator="equal">
      <formula>"?????"</formula>
    </cfRule>
  </conditionalFormatting>
  <conditionalFormatting sqref="F1259:F1260 D1259:D1260">
    <cfRule type="cellIs" dxfId="854" priority="31" stopIfTrue="1" operator="equal">
      <formula>"?????"</formula>
    </cfRule>
  </conditionalFormatting>
  <conditionalFormatting sqref="D1261 R1261:S1261 F1261">
    <cfRule type="cellIs" dxfId="853" priority="30" stopIfTrue="1" operator="equal">
      <formula>"?????"</formula>
    </cfRule>
  </conditionalFormatting>
  <conditionalFormatting sqref="R1260:S1260">
    <cfRule type="cellIs" dxfId="852" priority="32" stopIfTrue="1" operator="equal">
      <formula>"?????"</formula>
    </cfRule>
  </conditionalFormatting>
  <conditionalFormatting sqref="D1269:D1270 F1269:F1270">
    <cfRule type="cellIs" dxfId="851" priority="27" stopIfTrue="1" operator="equal">
      <formula>"?????"</formula>
    </cfRule>
  </conditionalFormatting>
  <conditionalFormatting sqref="R1270:S1270">
    <cfRule type="cellIs" dxfId="850" priority="28" stopIfTrue="1" operator="equal">
      <formula>"?????"</formula>
    </cfRule>
  </conditionalFormatting>
  <conditionalFormatting sqref="R1259:S1259">
    <cfRule type="cellIs" dxfId="849" priority="33" stopIfTrue="1" operator="equal">
      <formula>"?????"</formula>
    </cfRule>
  </conditionalFormatting>
  <conditionalFormatting sqref="R1269:S1269">
    <cfRule type="cellIs" dxfId="848" priority="29" stopIfTrue="1" operator="equal">
      <formula>"?????"</formula>
    </cfRule>
  </conditionalFormatting>
  <conditionalFormatting sqref="F1272:F1278 R1272:S1278 D1272:D1278 D1290:D1296 R1290:S1296 F1290:F1296">
    <cfRule type="cellIs" dxfId="847" priority="26" stopIfTrue="1" operator="equal">
      <formula>"?????"</formula>
    </cfRule>
  </conditionalFormatting>
  <conditionalFormatting sqref="F1271 R1271:S1271 D1271">
    <cfRule type="cellIs" dxfId="846" priority="25" stopIfTrue="1" operator="equal">
      <formula>"?????"</formula>
    </cfRule>
  </conditionalFormatting>
  <conditionalFormatting sqref="F1279:F1280 D1279:D1280">
    <cfRule type="cellIs" dxfId="845" priority="22" stopIfTrue="1" operator="equal">
      <formula>"?????"</formula>
    </cfRule>
  </conditionalFormatting>
  <conditionalFormatting sqref="D1289 R1289:S1289 F1289">
    <cfRule type="cellIs" dxfId="844" priority="21" stopIfTrue="1" operator="equal">
      <formula>"?????"</formula>
    </cfRule>
  </conditionalFormatting>
  <conditionalFormatting sqref="D1297:D1298 F1297:F1298">
    <cfRule type="cellIs" dxfId="843" priority="18" stopIfTrue="1" operator="equal">
      <formula>"?????"</formula>
    </cfRule>
  </conditionalFormatting>
  <conditionalFormatting sqref="D1288 R1288:S1288 F1288">
    <cfRule type="cellIs" dxfId="842" priority="15" stopIfTrue="1" operator="equal">
      <formula>"?????"</formula>
    </cfRule>
  </conditionalFormatting>
  <conditionalFormatting sqref="R1280:S1280">
    <cfRule type="cellIs" dxfId="841" priority="23" stopIfTrue="1" operator="equal">
      <formula>"?????"</formula>
    </cfRule>
  </conditionalFormatting>
  <conditionalFormatting sqref="F1281 R1281:S1281 D1281">
    <cfRule type="cellIs" dxfId="840" priority="14" stopIfTrue="1" operator="equal">
      <formula>"?????"</formula>
    </cfRule>
  </conditionalFormatting>
  <conditionalFormatting sqref="R1298:S1298">
    <cfRule type="cellIs" dxfId="839" priority="19" stopIfTrue="1" operator="equal">
      <formula>"?????"</formula>
    </cfRule>
  </conditionalFormatting>
  <conditionalFormatting sqref="R1279:S1279">
    <cfRule type="cellIs" dxfId="838" priority="24" stopIfTrue="1" operator="equal">
      <formula>"?????"</formula>
    </cfRule>
  </conditionalFormatting>
  <conditionalFormatting sqref="F1282:F1286 R1282:S1286 D1282:D1286">
    <cfRule type="cellIs" dxfId="837" priority="17" stopIfTrue="1" operator="equal">
      <formula>"?????"</formula>
    </cfRule>
  </conditionalFormatting>
  <conditionalFormatting sqref="R1297:S1297">
    <cfRule type="cellIs" dxfId="836" priority="20" stopIfTrue="1" operator="equal">
      <formula>"?????"</formula>
    </cfRule>
  </conditionalFormatting>
  <conditionalFormatting sqref="D1287 R1287:S1287 F1287">
    <cfRule type="cellIs" dxfId="835" priority="16" stopIfTrue="1" operator="equal">
      <formula>"?????"</formula>
    </cfRule>
  </conditionalFormatting>
  <conditionalFormatting sqref="F1306:F1309 R1306:S1309 D1306:D1309 D1313:D1323 R1312:S1323 F1313:F1323 F1299:F1303 R1299:S1303 D1299:D1303">
    <cfRule type="cellIs" dxfId="834" priority="13" stopIfTrue="1" operator="equal">
      <formula>"?????"</formula>
    </cfRule>
  </conditionalFormatting>
  <conditionalFormatting sqref="D1304 R1304:S1304 F1304">
    <cfRule type="cellIs" dxfId="833" priority="12" stopIfTrue="1" operator="equal">
      <formula>"?????"</formula>
    </cfRule>
  </conditionalFormatting>
  <conditionalFormatting sqref="D1305 R1305:S1305 F1305">
    <cfRule type="cellIs" dxfId="832" priority="11" stopIfTrue="1" operator="equal">
      <formula>"?????"</formula>
    </cfRule>
  </conditionalFormatting>
  <conditionalFormatting sqref="F1310 R1310:S1310 D1310">
    <cfRule type="cellIs" dxfId="831" priority="10" stopIfTrue="1" operator="equal">
      <formula>"?????"</formula>
    </cfRule>
  </conditionalFormatting>
  <conditionalFormatting sqref="F1311 R1311:S1311 D1311">
    <cfRule type="cellIs" dxfId="830" priority="9" stopIfTrue="1" operator="equal">
      <formula>"?????"</formula>
    </cfRule>
  </conditionalFormatting>
  <conditionalFormatting sqref="F1312 D1312">
    <cfRule type="cellIs" dxfId="829" priority="8" stopIfTrue="1" operator="equal">
      <formula>"?????"</formula>
    </cfRule>
  </conditionalFormatting>
  <conditionalFormatting sqref="D1324:D1353 R1324:S1353 F1324:F1353">
    <cfRule type="cellIs" dxfId="828" priority="7" stopIfTrue="1" operator="equal">
      <formula>"?????"</formula>
    </cfRule>
  </conditionalFormatting>
  <conditionalFormatting sqref="R1879:S1881 D1879:D1881 F1879:F1881">
    <cfRule type="cellIs" dxfId="827" priority="6" stopIfTrue="1" operator="equal">
      <formula>"?????"</formula>
    </cfRule>
  </conditionalFormatting>
  <conditionalFormatting sqref="R1884:S1885 D1884:D1885 F1884:F1885">
    <cfRule type="cellIs" dxfId="826" priority="5" stopIfTrue="1" operator="equal">
      <formula>"?????"</formula>
    </cfRule>
  </conditionalFormatting>
  <conditionalFormatting sqref="R1888:S1890 D1888:D1890 F1888:F1890">
    <cfRule type="cellIs" dxfId="825" priority="4" stopIfTrue="1" operator="equal">
      <formula>"?????"</formula>
    </cfRule>
  </conditionalFormatting>
  <conditionalFormatting sqref="R1892:S1894 D1892:D1894 F1892:F1894">
    <cfRule type="cellIs" dxfId="824" priority="3" stopIfTrue="1" operator="equal">
      <formula>"?????"</formula>
    </cfRule>
  </conditionalFormatting>
  <conditionalFormatting sqref="R1882:S1882 D1882 F1882">
    <cfRule type="cellIs" dxfId="823" priority="2" stopIfTrue="1" operator="equal">
      <formula>"?????"</formula>
    </cfRule>
  </conditionalFormatting>
  <conditionalFormatting sqref="R1886:S1886 D1886 F1886">
    <cfRule type="cellIs" dxfId="822" priority="1" stopIfTrue="1" operator="equal">
      <formula>"?????"</formula>
    </cfRule>
  </conditionalFormatting>
  <pageMargins left="0.78740157499999996" right="0.78740157499999996" top="0.984251969" bottom="0.984251969" header="0.49212598499999999" footer="0.49212598499999999"/>
  <pageSetup paperSize="9" orientation="portrait" verticalDpi="1200" r:id="rId1"/>
  <headerFooter alignWithMargins="0">
    <oddFooter>&amp;L
&amp;K808080&amp;"Trebuchet MS"CLASSIFICAÇÃO DO DOCUMENTO: INTERNO</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6">
    <tabColor theme="9" tint="-0.249977111117893"/>
    <pageSetUpPr fitToPage="1"/>
  </sheetPr>
  <dimension ref="A1:AB1280"/>
  <sheetViews>
    <sheetView showGridLines="0" tabSelected="1" zoomScale="85" zoomScaleNormal="85" workbookViewId="0">
      <pane xSplit="2" ySplit="1" topLeftCell="C2" activePane="bottomRight" state="frozen"/>
      <selection pane="topRight" activeCell="C1" sqref="C1"/>
      <selection pane="bottomLeft" activeCell="A2" sqref="A2"/>
      <selection pane="bottomRight" activeCell="Q12" sqref="Q12"/>
    </sheetView>
  </sheetViews>
  <sheetFormatPr defaultColWidth="9.33203125" defaultRowHeight="15" customHeight="1"/>
  <cols>
    <col min="1" max="1" width="4.33203125" style="214" customWidth="1"/>
    <col min="2" max="2" width="30.33203125" style="215" customWidth="1"/>
    <col min="3" max="3" width="8.6640625" style="215" customWidth="1"/>
    <col min="4" max="4" width="5.33203125" style="215" hidden="1" customWidth="1"/>
    <col min="5" max="5" width="9.33203125" style="215" hidden="1" customWidth="1"/>
    <col min="6" max="6" width="7" style="215" hidden="1" customWidth="1"/>
    <col min="7" max="7" width="8.6640625" style="215" hidden="1" customWidth="1"/>
    <col min="8" max="8" width="10.33203125" style="215" hidden="1" customWidth="1"/>
    <col min="9" max="9" width="12.33203125" style="215" hidden="1" customWidth="1"/>
    <col min="10" max="10" width="5.6640625" style="215" hidden="1" customWidth="1"/>
    <col min="11" max="11" width="14.44140625" style="215" hidden="1" customWidth="1"/>
    <col min="12" max="12" width="9.44140625" style="215" customWidth="1"/>
    <col min="13" max="13" width="12.33203125" style="215" customWidth="1"/>
    <col min="14" max="14" width="8.44140625" style="215" customWidth="1"/>
    <col min="15" max="15" width="11.6640625" style="215" customWidth="1"/>
    <col min="16" max="16" width="9" style="215" customWidth="1"/>
    <col min="17" max="17" width="9.5546875" style="215" customWidth="1"/>
    <col min="18" max="18" width="15.5546875" style="215" bestFit="1" customWidth="1"/>
    <col min="19" max="19" width="9.6640625" style="215" customWidth="1"/>
    <col min="20" max="20" width="8.6640625" style="215" customWidth="1"/>
    <col min="21" max="21" width="8" style="215" customWidth="1"/>
    <col min="22" max="22" width="10.33203125" style="215" bestFit="1" customWidth="1"/>
    <col min="23" max="23" width="8" style="216" bestFit="1" customWidth="1"/>
    <col min="24" max="24" width="22.6640625" style="216" customWidth="1"/>
    <col min="25" max="25" width="26.44140625" style="142" bestFit="1" customWidth="1"/>
    <col min="26" max="27" width="8.5546875" style="143" customWidth="1"/>
    <col min="28" max="28" width="33.44140625" style="142" customWidth="1"/>
    <col min="29" max="29" width="19.21875" style="142" customWidth="1"/>
    <col min="30" max="16384" width="9.33203125" style="142"/>
  </cols>
  <sheetData>
    <row r="1" spans="1:28" ht="30" customHeight="1" thickBot="1">
      <c r="A1" s="808" t="str">
        <f>'FRONT SHEET'!I1&amp;" - "&amp;'FRONT SHEET'!I3&amp;" - "&amp;'FRONT SHEET'!I7&amp;" - "&amp;'FRONT SHEET'!E10&amp;""</f>
        <v xml:space="preserve"> -  -  -  - CS - </v>
      </c>
      <c r="B1" s="809"/>
      <c r="C1" s="809"/>
      <c r="D1" s="809"/>
      <c r="E1" s="809"/>
      <c r="F1" s="809"/>
      <c r="G1" s="809"/>
      <c r="H1" s="809"/>
      <c r="I1" s="809"/>
      <c r="J1" s="809"/>
      <c r="K1" s="809"/>
      <c r="L1" s="809"/>
      <c r="M1" s="809"/>
      <c r="N1" s="809"/>
      <c r="O1" s="809"/>
      <c r="P1" s="809"/>
      <c r="Q1" s="809"/>
      <c r="R1" s="809"/>
      <c r="S1" s="809"/>
      <c r="T1" s="809"/>
      <c r="U1" s="809"/>
      <c r="V1" s="809"/>
      <c r="W1" s="809"/>
      <c r="X1" s="810"/>
    </row>
    <row r="2" spans="1:28" ht="38.4" customHeight="1" thickBot="1">
      <c r="A2" s="218"/>
      <c r="B2" s="219"/>
      <c r="C2" s="219"/>
      <c r="D2" s="219"/>
      <c r="E2" s="219"/>
      <c r="F2" s="219"/>
      <c r="G2" s="219"/>
      <c r="H2" s="219"/>
      <c r="I2" s="219"/>
      <c r="J2" s="219"/>
      <c r="K2" s="219"/>
      <c r="L2" s="219"/>
      <c r="M2" s="219"/>
      <c r="N2" s="219"/>
      <c r="O2" s="219"/>
      <c r="P2" s="219"/>
      <c r="Q2" s="219"/>
      <c r="R2" s="219"/>
      <c r="S2" s="219"/>
      <c r="T2" s="219"/>
      <c r="U2" s="219"/>
      <c r="V2" s="219"/>
      <c r="W2" s="219"/>
      <c r="X2" s="220"/>
      <c r="AB2" s="748" t="s">
        <v>2351</v>
      </c>
    </row>
    <row r="3" spans="1:28" ht="15" customHeight="1" thickBot="1">
      <c r="A3" s="738"/>
      <c r="B3" s="739" t="s">
        <v>2350</v>
      </c>
      <c r="C3" s="740"/>
      <c r="D3" s="740"/>
      <c r="E3" s="740"/>
      <c r="F3" s="740"/>
      <c r="G3" s="740"/>
      <c r="H3" s="740"/>
      <c r="I3" s="740"/>
      <c r="J3" s="740"/>
      <c r="K3" s="740"/>
      <c r="L3" s="740"/>
      <c r="M3" s="740"/>
      <c r="N3" s="740"/>
      <c r="O3" s="740"/>
      <c r="P3" s="740"/>
      <c r="Q3" s="740"/>
      <c r="R3" s="740"/>
      <c r="S3" s="740"/>
      <c r="T3" s="740"/>
      <c r="U3" s="741"/>
      <c r="V3" s="740"/>
      <c r="W3" s="739"/>
      <c r="X3" s="742"/>
      <c r="Y3" s="142" t="str">
        <f>B3</f>
        <v>REGIÃO DO EQUIPAMENTO</v>
      </c>
    </row>
    <row r="4" spans="1:28" ht="15" customHeight="1" thickBot="1">
      <c r="A4" s="726"/>
      <c r="B4" s="727"/>
      <c r="C4" s="728"/>
      <c r="D4" s="728"/>
      <c r="E4" s="728"/>
      <c r="F4" s="728"/>
      <c r="G4" s="728"/>
      <c r="H4" s="728"/>
      <c r="I4" s="728"/>
      <c r="J4" s="728"/>
      <c r="K4" s="728"/>
      <c r="L4" s="728"/>
      <c r="M4" s="728"/>
      <c r="N4" s="728"/>
      <c r="O4" s="728"/>
      <c r="P4" s="728"/>
      <c r="Q4" s="728"/>
      <c r="R4" s="728"/>
      <c r="S4" s="728"/>
      <c r="T4" s="728"/>
      <c r="U4" s="729"/>
      <c r="V4" s="728"/>
      <c r="W4" s="730"/>
      <c r="X4" s="731"/>
    </row>
    <row r="5" spans="1:28" ht="15" customHeight="1" thickBot="1">
      <c r="A5" s="737" t="s">
        <v>299</v>
      </c>
      <c r="B5" s="732"/>
      <c r="C5" s="733"/>
      <c r="D5" s="733"/>
      <c r="E5" s="733"/>
      <c r="F5" s="733"/>
      <c r="G5" s="733"/>
      <c r="H5" s="733"/>
      <c r="I5" s="733"/>
      <c r="J5" s="733"/>
      <c r="K5" s="733"/>
      <c r="L5" s="733"/>
      <c r="M5" s="733"/>
      <c r="N5" s="733"/>
      <c r="O5" s="733"/>
      <c r="P5" s="733"/>
      <c r="Q5" s="733"/>
      <c r="R5" s="733"/>
      <c r="S5" s="733"/>
      <c r="T5" s="733"/>
      <c r="U5" s="734"/>
      <c r="V5" s="733"/>
      <c r="W5" s="735"/>
      <c r="X5" s="736"/>
    </row>
    <row r="6" spans="1:28" ht="15" customHeight="1" thickBot="1">
      <c r="A6" s="726"/>
      <c r="B6" s="727"/>
      <c r="C6" s="728"/>
      <c r="D6" s="728"/>
      <c r="E6" s="728"/>
      <c r="F6" s="728"/>
      <c r="G6" s="728"/>
      <c r="H6" s="728"/>
      <c r="I6" s="728"/>
      <c r="J6" s="728"/>
      <c r="K6" s="728"/>
      <c r="L6" s="728"/>
      <c r="M6" s="728"/>
      <c r="N6" s="728"/>
      <c r="O6" s="728"/>
      <c r="P6" s="728"/>
      <c r="Q6" s="728"/>
      <c r="R6" s="728"/>
      <c r="S6" s="728"/>
      <c r="T6" s="728"/>
      <c r="U6" s="729"/>
      <c r="V6" s="728"/>
      <c r="W6" s="730"/>
      <c r="X6" s="731"/>
    </row>
    <row r="7" spans="1:28" ht="15" customHeight="1">
      <c r="A7" s="743"/>
      <c r="B7" s="744"/>
      <c r="C7" s="142"/>
      <c r="D7" s="142"/>
      <c r="E7" s="142"/>
      <c r="F7" s="142"/>
      <c r="G7" s="142"/>
      <c r="H7" s="142"/>
      <c r="I7" s="142"/>
      <c r="J7" s="142"/>
      <c r="K7" s="142"/>
      <c r="L7" s="142"/>
      <c r="M7" s="142"/>
      <c r="N7" s="142"/>
      <c r="O7" s="142"/>
      <c r="P7" s="142"/>
      <c r="Q7" s="142"/>
      <c r="R7" s="142"/>
      <c r="S7" s="142"/>
      <c r="T7" s="142"/>
      <c r="U7" s="745"/>
      <c r="V7" s="142"/>
      <c r="W7" s="746"/>
      <c r="X7" s="747"/>
    </row>
    <row r="8" spans="1:28" ht="15" customHeight="1">
      <c r="A8" s="743"/>
      <c r="B8" s="744"/>
      <c r="C8" s="142"/>
      <c r="D8" s="142"/>
      <c r="E8" s="142"/>
      <c r="F8" s="142"/>
      <c r="G8" s="142"/>
      <c r="H8" s="142"/>
      <c r="I8" s="142"/>
      <c r="J8" s="142"/>
      <c r="K8" s="142"/>
      <c r="L8" s="142"/>
      <c r="M8" s="142"/>
      <c r="N8" s="142"/>
      <c r="O8" s="142"/>
      <c r="P8" s="142"/>
      <c r="Q8" s="142"/>
      <c r="R8" s="142"/>
      <c r="S8" s="142"/>
      <c r="T8" s="142"/>
      <c r="U8" s="745"/>
      <c r="V8" s="142"/>
      <c r="W8" s="746"/>
      <c r="X8" s="747"/>
    </row>
    <row r="9" spans="1:28" ht="15" customHeight="1">
      <c r="A9" s="743"/>
      <c r="B9" s="744"/>
      <c r="C9" s="142"/>
      <c r="D9" s="142"/>
      <c r="E9" s="142"/>
      <c r="F9" s="142"/>
      <c r="G9" s="142"/>
      <c r="H9" s="142"/>
      <c r="I9" s="142"/>
      <c r="J9" s="142"/>
      <c r="K9" s="142"/>
      <c r="L9" s="142"/>
      <c r="M9" s="142"/>
      <c r="N9" s="142"/>
      <c r="O9" s="142"/>
      <c r="P9" s="142"/>
      <c r="Q9" s="142"/>
      <c r="R9" s="142"/>
      <c r="S9" s="142"/>
      <c r="T9" s="142"/>
      <c r="U9" s="745"/>
      <c r="V9" s="142"/>
      <c r="W9" s="746"/>
      <c r="X9" s="747"/>
    </row>
    <row r="10" spans="1:28" ht="15" customHeight="1">
      <c r="A10" s="743"/>
      <c r="B10" s="744"/>
      <c r="C10" s="142"/>
      <c r="D10" s="142"/>
      <c r="E10" s="142"/>
      <c r="F10" s="142"/>
      <c r="G10" s="142"/>
      <c r="H10" s="142"/>
      <c r="I10" s="142"/>
      <c r="J10" s="142"/>
      <c r="K10" s="142"/>
      <c r="L10" s="142"/>
      <c r="M10" s="142"/>
      <c r="N10" s="142"/>
      <c r="O10" s="142"/>
      <c r="P10" s="142"/>
      <c r="Q10" s="142"/>
      <c r="R10" s="142"/>
      <c r="S10" s="142"/>
      <c r="T10" s="142"/>
      <c r="U10" s="745"/>
      <c r="V10" s="142"/>
      <c r="W10" s="746"/>
      <c r="X10" s="747"/>
    </row>
    <row r="11" spans="1:28" ht="15" customHeight="1">
      <c r="A11" s="743"/>
      <c r="B11" s="744"/>
      <c r="C11" s="142"/>
      <c r="D11" s="142"/>
      <c r="E11" s="142"/>
      <c r="F11" s="142"/>
      <c r="G11" s="142"/>
      <c r="H11" s="142"/>
      <c r="I11" s="142"/>
      <c r="J11" s="142"/>
      <c r="K11" s="142"/>
      <c r="L11" s="142"/>
      <c r="M11" s="142"/>
      <c r="N11" s="142"/>
      <c r="O11" s="142"/>
      <c r="P11" s="142"/>
      <c r="Q11" s="142"/>
      <c r="R11" s="142"/>
      <c r="S11" s="142"/>
      <c r="T11" s="142"/>
      <c r="U11" s="745"/>
      <c r="V11" s="142"/>
      <c r="W11" s="746"/>
      <c r="X11" s="747"/>
    </row>
    <row r="12" spans="1:28" ht="15" customHeight="1">
      <c r="A12" s="743"/>
      <c r="B12" s="744"/>
      <c r="C12" s="142"/>
      <c r="D12" s="142"/>
      <c r="E12" s="142"/>
      <c r="F12" s="142"/>
      <c r="G12" s="142"/>
      <c r="H12" s="142"/>
      <c r="I12" s="142"/>
      <c r="J12" s="142"/>
      <c r="K12" s="142"/>
      <c r="L12" s="142"/>
      <c r="M12" s="142"/>
      <c r="N12" s="142"/>
      <c r="O12" s="142"/>
      <c r="P12" s="142"/>
      <c r="Q12" s="142"/>
      <c r="R12" s="142"/>
      <c r="S12" s="142"/>
      <c r="T12" s="142"/>
      <c r="U12" s="745"/>
      <c r="V12" s="142"/>
      <c r="W12" s="746"/>
      <c r="X12" s="747"/>
    </row>
    <row r="13" spans="1:28" ht="15" customHeight="1">
      <c r="A13" s="743"/>
      <c r="B13" s="744"/>
      <c r="C13" s="142"/>
      <c r="D13" s="142"/>
      <c r="E13" s="142"/>
      <c r="F13" s="142"/>
      <c r="G13" s="142"/>
      <c r="H13" s="142"/>
      <c r="I13" s="142"/>
      <c r="J13" s="142"/>
      <c r="K13" s="142"/>
      <c r="L13" s="142"/>
      <c r="M13" s="142"/>
      <c r="N13" s="142"/>
      <c r="O13" s="142"/>
      <c r="P13" s="142"/>
      <c r="Q13" s="142"/>
      <c r="R13" s="142"/>
      <c r="S13" s="142"/>
      <c r="T13" s="142"/>
      <c r="U13" s="745"/>
      <c r="V13" s="142"/>
      <c r="W13" s="746"/>
      <c r="X13" s="747"/>
    </row>
    <row r="14" spans="1:28" ht="15" customHeight="1">
      <c r="A14" s="743"/>
      <c r="B14" s="744"/>
      <c r="C14" s="142"/>
      <c r="D14" s="142"/>
      <c r="E14" s="142"/>
      <c r="F14" s="142"/>
      <c r="G14" s="142"/>
      <c r="H14" s="142"/>
      <c r="I14" s="142"/>
      <c r="J14" s="142"/>
      <c r="K14" s="142"/>
      <c r="L14" s="142"/>
      <c r="M14" s="142"/>
      <c r="N14" s="142"/>
      <c r="O14" s="142"/>
      <c r="P14" s="142"/>
      <c r="Q14" s="142"/>
      <c r="R14" s="142"/>
      <c r="S14" s="142"/>
      <c r="T14" s="142"/>
      <c r="U14" s="745"/>
      <c r="V14" s="142"/>
      <c r="W14" s="746"/>
      <c r="X14" s="747"/>
    </row>
    <row r="15" spans="1:28" ht="15" customHeight="1">
      <c r="A15" s="743"/>
      <c r="B15" s="744"/>
      <c r="C15" s="142"/>
      <c r="D15" s="142"/>
      <c r="E15" s="142"/>
      <c r="F15" s="142"/>
      <c r="G15" s="142"/>
      <c r="H15" s="142"/>
      <c r="I15" s="142"/>
      <c r="J15" s="142"/>
      <c r="K15" s="142"/>
      <c r="L15" s="142"/>
      <c r="M15" s="142"/>
      <c r="N15" s="142"/>
      <c r="O15" s="142"/>
      <c r="P15" s="142"/>
      <c r="Q15" s="142"/>
      <c r="R15" s="142"/>
      <c r="S15" s="142"/>
      <c r="T15" s="142"/>
      <c r="U15" s="745"/>
      <c r="V15" s="142"/>
      <c r="W15" s="746"/>
      <c r="X15" s="747"/>
    </row>
    <row r="16" spans="1:28" ht="15" customHeight="1">
      <c r="A16" s="743"/>
      <c r="B16" s="744"/>
      <c r="C16" s="142"/>
      <c r="D16" s="142"/>
      <c r="E16" s="142"/>
      <c r="F16" s="142"/>
      <c r="G16" s="142"/>
      <c r="H16" s="142"/>
      <c r="I16" s="142"/>
      <c r="J16" s="142"/>
      <c r="K16" s="142"/>
      <c r="L16" s="142"/>
      <c r="M16" s="142"/>
      <c r="N16" s="142"/>
      <c r="O16" s="142"/>
      <c r="P16" s="142"/>
      <c r="Q16" s="142"/>
      <c r="R16" s="142"/>
      <c r="S16" s="142"/>
      <c r="T16" s="142"/>
      <c r="U16" s="745"/>
      <c r="V16" s="142"/>
      <c r="W16" s="746"/>
      <c r="X16" s="747"/>
    </row>
    <row r="17" spans="1:27" ht="15" customHeight="1" thickBot="1">
      <c r="A17" s="290"/>
      <c r="B17" s="284" t="str">
        <f>IF(X18="","PLACA ISOLANTE",X18)</f>
        <v>PLACA ISOLANTE</v>
      </c>
      <c r="C17" s="285" t="s">
        <v>101</v>
      </c>
      <c r="D17" s="286" t="s">
        <v>102</v>
      </c>
      <c r="E17" s="286" t="s">
        <v>42</v>
      </c>
      <c r="F17" s="286" t="s">
        <v>42</v>
      </c>
      <c r="G17" s="286" t="s">
        <v>43</v>
      </c>
      <c r="H17" s="286" t="s">
        <v>44</v>
      </c>
      <c r="I17" s="286" t="s">
        <v>47</v>
      </c>
      <c r="J17" s="286" t="s">
        <v>103</v>
      </c>
      <c r="K17" s="286" t="s">
        <v>37</v>
      </c>
      <c r="L17" s="286" t="s">
        <v>39</v>
      </c>
      <c r="M17" s="286" t="s">
        <v>41</v>
      </c>
      <c r="N17" s="286" t="s">
        <v>46</v>
      </c>
      <c r="O17" s="286" t="s">
        <v>67</v>
      </c>
      <c r="P17" s="286" t="s">
        <v>113</v>
      </c>
      <c r="Q17" s="286"/>
      <c r="R17" s="286"/>
      <c r="S17" s="286" t="s">
        <v>70</v>
      </c>
      <c r="T17" s="286" t="s">
        <v>26</v>
      </c>
      <c r="U17" s="286" t="s">
        <v>38</v>
      </c>
      <c r="V17" s="287" t="s">
        <v>27</v>
      </c>
      <c r="W17" s="288"/>
      <c r="X17" s="289"/>
    </row>
    <row r="18" spans="1:27" ht="15" customHeight="1" thickBot="1">
      <c r="A18" s="225"/>
      <c r="B18" s="221"/>
      <c r="C18" s="144">
        <f>SUMIF(Densidades!A:A,'Memória TOTAL'!X18,Densidades!B:B)</f>
        <v>0</v>
      </c>
      <c r="D18" s="145">
        <f>SUMIF(Densidades!A:A,'Memória TOTAL'!X18,Densidades!C:C)</f>
        <v>0</v>
      </c>
      <c r="E18" s="146">
        <f>SUMIF(Formatos!A:A,'Memória TOTAL'!X19,Formatos!E:E)</f>
        <v>0</v>
      </c>
      <c r="F18" s="146">
        <f>SUMIF(Formatos!A:A,'Memória TOTAL'!X19,Formatos!F:F)</f>
        <v>0</v>
      </c>
      <c r="G18" s="146">
        <f>SUMIF(Formatos!A:A,'Memória TOTAL'!X19,Formatos!C:C)</f>
        <v>0</v>
      </c>
      <c r="H18" s="146">
        <f>SUMIF(Formatos!A:A,'Memória TOTAL'!X19,Formatos!D:D)</f>
        <v>0</v>
      </c>
      <c r="I18" s="146">
        <f>SUMIF(Densidades!A:A,'Memória TOTAL'!X18,Densidades!H:H)</f>
        <v>0</v>
      </c>
      <c r="J18" s="147">
        <f>SUMIF(Formatos!A:A,'Memória TOTAL'!X19,Formatos!G:G)</f>
        <v>0</v>
      </c>
      <c r="K18" s="148">
        <f>SUMIF(Densidades!A:A,'Memória TOTAL'!X18,Densidades!I:I)</f>
        <v>0</v>
      </c>
      <c r="L18" s="149">
        <v>0</v>
      </c>
      <c r="M18" s="150"/>
      <c r="N18" s="647"/>
      <c r="O18" s="150"/>
      <c r="P18" s="150"/>
      <c r="Q18" s="150"/>
      <c r="R18" s="150"/>
      <c r="S18" s="150"/>
      <c r="T18" s="150"/>
      <c r="U18" s="150"/>
      <c r="V18" s="156"/>
      <c r="W18" s="204" t="str">
        <f>IF(C18=0,"",ROUNDUP(SUM(V21:V23)*(1+L18),0))</f>
        <v/>
      </c>
      <c r="X18" s="274"/>
      <c r="Y18" s="197"/>
    </row>
    <row r="19" spans="1:27" ht="15" customHeight="1" thickBot="1">
      <c r="A19" s="225"/>
      <c r="B19" s="222"/>
      <c r="C19" s="153"/>
      <c r="D19" s="150"/>
      <c r="E19" s="146">
        <f t="shared" ref="E19:K19" si="0">E18</f>
        <v>0</v>
      </c>
      <c r="F19" s="146">
        <f t="shared" si="0"/>
        <v>0</v>
      </c>
      <c r="G19" s="146">
        <f t="shared" si="0"/>
        <v>0</v>
      </c>
      <c r="H19" s="146">
        <f t="shared" si="0"/>
        <v>0</v>
      </c>
      <c r="I19" s="146">
        <f t="shared" si="0"/>
        <v>0</v>
      </c>
      <c r="J19" s="146">
        <f t="shared" si="0"/>
        <v>0</v>
      </c>
      <c r="K19" s="148">
        <f t="shared" si="0"/>
        <v>0</v>
      </c>
      <c r="L19" s="155"/>
      <c r="M19" s="150"/>
      <c r="N19" s="146">
        <f>N18</f>
        <v>0</v>
      </c>
      <c r="O19" s="150"/>
      <c r="P19" s="150"/>
      <c r="Q19" s="150"/>
      <c r="R19" s="150"/>
      <c r="S19" s="150"/>
      <c r="T19" s="150"/>
      <c r="U19" s="150"/>
      <c r="V19" s="156"/>
      <c r="W19" s="157"/>
      <c r="X19" s="274"/>
      <c r="Y19" s="197"/>
    </row>
    <row r="20" spans="1:27" ht="15" customHeight="1" thickBot="1">
      <c r="A20" s="225"/>
      <c r="B20" s="223" t="s">
        <v>71</v>
      </c>
      <c r="C20" s="153"/>
      <c r="D20" s="150"/>
      <c r="E20" s="146">
        <f t="shared" ref="E20:K20" si="1">E19</f>
        <v>0</v>
      </c>
      <c r="F20" s="146">
        <f t="shared" si="1"/>
        <v>0</v>
      </c>
      <c r="G20" s="146">
        <f t="shared" si="1"/>
        <v>0</v>
      </c>
      <c r="H20" s="146">
        <f t="shared" si="1"/>
        <v>0</v>
      </c>
      <c r="I20" s="146">
        <f t="shared" si="1"/>
        <v>0</v>
      </c>
      <c r="J20" s="146">
        <f t="shared" si="1"/>
        <v>0</v>
      </c>
      <c r="K20" s="148">
        <f t="shared" si="1"/>
        <v>0</v>
      </c>
      <c r="L20" s="155"/>
      <c r="M20" s="150"/>
      <c r="N20" s="146">
        <f>N19</f>
        <v>0</v>
      </c>
      <c r="O20" s="150"/>
      <c r="P20" s="150"/>
      <c r="Q20" s="150"/>
      <c r="R20" s="150"/>
      <c r="S20" s="150"/>
      <c r="T20" s="150"/>
      <c r="U20" s="206" t="s">
        <v>673</v>
      </c>
      <c r="V20" s="156"/>
      <c r="W20" s="157"/>
      <c r="X20" s="158" t="s">
        <v>524</v>
      </c>
    </row>
    <row r="21" spans="1:27" ht="15" customHeight="1" thickBot="1">
      <c r="A21" s="225"/>
      <c r="B21" s="345"/>
      <c r="C21" s="170"/>
      <c r="D21" s="171"/>
      <c r="E21" s="187">
        <f t="shared" ref="E21:K21" si="2">E20</f>
        <v>0</v>
      </c>
      <c r="F21" s="187">
        <f t="shared" si="2"/>
        <v>0</v>
      </c>
      <c r="G21" s="187">
        <f t="shared" si="2"/>
        <v>0</v>
      </c>
      <c r="H21" s="187">
        <f t="shared" si="2"/>
        <v>0</v>
      </c>
      <c r="I21" s="187">
        <f t="shared" si="2"/>
        <v>0</v>
      </c>
      <c r="J21" s="187">
        <f t="shared" si="2"/>
        <v>0</v>
      </c>
      <c r="K21" s="188">
        <f t="shared" si="2"/>
        <v>0</v>
      </c>
      <c r="L21" s="173"/>
      <c r="M21" s="171"/>
      <c r="N21" s="187">
        <f>N20</f>
        <v>0</v>
      </c>
      <c r="O21" s="171"/>
      <c r="P21" s="268"/>
      <c r="Q21" s="171"/>
      <c r="R21" s="171"/>
      <c r="S21" s="268"/>
      <c r="T21" s="189" t="str">
        <f>IF(S21="","-",IF(COUNTIF(E21:H21,P21)&lt;1,"Esp. Errada",ROUNDUP(S21/((G21+N21)*(H21+N21)*((E21+N21)+(F21+N21))/2/(P21+N21)),0)))</f>
        <v>-</v>
      </c>
      <c r="U21" s="268"/>
      <c r="V21" s="190">
        <f>IF(S21="",0,IF(OR(P21=E21,P21=G21,P21=H21),T21*U21,"ESP. ERRADA"))</f>
        <v>0</v>
      </c>
      <c r="W21" s="191"/>
      <c r="X21" s="192"/>
    </row>
    <row r="22" spans="1:27" s="197" customFormat="1" ht="15" customHeight="1" thickBot="1">
      <c r="A22" s="225"/>
      <c r="B22" s="346"/>
      <c r="C22" s="235"/>
      <c r="D22" s="212"/>
      <c r="E22" s="187">
        <f t="shared" ref="E22:K22" si="3">E20</f>
        <v>0</v>
      </c>
      <c r="F22" s="187">
        <f t="shared" si="3"/>
        <v>0</v>
      </c>
      <c r="G22" s="187">
        <f t="shared" si="3"/>
        <v>0</v>
      </c>
      <c r="H22" s="187">
        <f t="shared" si="3"/>
        <v>0</v>
      </c>
      <c r="I22" s="187">
        <f t="shared" si="3"/>
        <v>0</v>
      </c>
      <c r="J22" s="187">
        <f t="shared" si="3"/>
        <v>0</v>
      </c>
      <c r="K22" s="236">
        <f t="shared" si="3"/>
        <v>0</v>
      </c>
      <c r="L22" s="173"/>
      <c r="M22" s="281"/>
      <c r="N22" s="187">
        <f>N20</f>
        <v>0</v>
      </c>
      <c r="O22" s="212"/>
      <c r="P22" s="268"/>
      <c r="Q22" s="212"/>
      <c r="R22" s="212"/>
      <c r="S22" s="212"/>
      <c r="T22" s="238" t="str">
        <f>IF(M22="","-",IF(COUNTIF(E22:H22,P22)&lt;1,"Esp. Errada",ROUNDUP(M22/IF(G22=P22,G22,(G22+N22))/IF(H22=P22,H22,(H22+N22))/IF(E22=P22,E22,(E22+N22)),0)))</f>
        <v>-</v>
      </c>
      <c r="U22" s="268"/>
      <c r="V22" s="190">
        <f>IF(M22="",0,IF(OR(P22=E22,P22=G22,P22=H22),T22*U22,"ESP. ERRADA"))</f>
        <v>0</v>
      </c>
      <c r="W22" s="240"/>
      <c r="X22" s="241"/>
      <c r="Z22" s="198"/>
      <c r="AA22" s="198"/>
    </row>
    <row r="23" spans="1:27" s="197" customFormat="1" ht="15" customHeight="1">
      <c r="A23" s="226"/>
      <c r="B23" s="221"/>
      <c r="C23" s="211"/>
      <c r="D23" s="206"/>
      <c r="E23" s="206"/>
      <c r="F23" s="206"/>
      <c r="G23" s="206"/>
      <c r="H23" s="206"/>
      <c r="I23" s="206"/>
      <c r="J23" s="207"/>
      <c r="K23" s="207"/>
      <c r="L23" s="155"/>
      <c r="M23" s="206"/>
      <c r="N23" s="206"/>
      <c r="O23" s="206"/>
      <c r="P23" s="206"/>
      <c r="Q23" s="206"/>
      <c r="R23" s="206"/>
      <c r="S23" s="206"/>
      <c r="T23" s="206"/>
      <c r="U23" s="206"/>
      <c r="V23" s="208"/>
      <c r="W23" s="196"/>
      <c r="X23" s="152"/>
      <c r="Z23" s="198"/>
      <c r="AA23" s="198"/>
    </row>
    <row r="24" spans="1:27" s="197" customFormat="1" ht="15" customHeight="1" thickBot="1">
      <c r="A24" s="226"/>
      <c r="B24" s="291" t="s">
        <v>1829</v>
      </c>
      <c r="C24" s="292"/>
      <c r="D24" s="293"/>
      <c r="E24" s="293"/>
      <c r="F24" s="293"/>
      <c r="G24" s="293"/>
      <c r="H24" s="293"/>
      <c r="I24" s="293"/>
      <c r="J24" s="294"/>
      <c r="K24" s="294"/>
      <c r="L24" s="295"/>
      <c r="M24" s="293"/>
      <c r="N24" s="293"/>
      <c r="O24" s="293"/>
      <c r="P24" s="293"/>
      <c r="Q24" s="293"/>
      <c r="R24" s="293"/>
      <c r="S24" s="296"/>
      <c r="T24" s="293" t="s">
        <v>638</v>
      </c>
      <c r="U24" s="293" t="s">
        <v>38</v>
      </c>
      <c r="V24" s="297" t="s">
        <v>27</v>
      </c>
      <c r="W24" s="298"/>
      <c r="X24" s="299"/>
      <c r="Z24" s="198"/>
      <c r="AA24" s="198"/>
    </row>
    <row r="25" spans="1:27" s="197" customFormat="1" ht="15" customHeight="1" thickBot="1">
      <c r="A25" s="226"/>
      <c r="B25" s="224" t="s">
        <v>1828</v>
      </c>
      <c r="C25" s="144">
        <f>SUMIF(Densidades!A:A,'Memória TOTAL'!X25,Densidades!B:B)</f>
        <v>0</v>
      </c>
      <c r="D25" s="145">
        <f>SUMIF(Densidades!A:A,'Memória TOTAL'!X25,Densidades!C:C)</f>
        <v>0</v>
      </c>
      <c r="E25" s="145" t="str">
        <f>IF(I25=15,"FIRECLAY MORTAR",IF(I25=16,"ALUMINA MORTAR",IF(I25=17,"BASIC MORTAR",IF(I25=18,"MORTAR","-"))))</f>
        <v>-</v>
      </c>
      <c r="F25" s="145" t="str">
        <f>IF(I25=15,"FIRECLAY MORTAR",IF(I25=16,"ALUMINA MORTAR",IF(I25=17,"BASIC MORTAR",IF(I25=18,"MORTAR","-"))))</f>
        <v>-</v>
      </c>
      <c r="G25" s="145" t="str">
        <f>IF(I25=15,"FIRECLAY MORTAR",IF(I25=16,"ALUMINA MORTAR",IF(I25=17,"BASIC MORTAR",IF(I25=18,"MORTAR","-"))))</f>
        <v>-</v>
      </c>
      <c r="H25" s="145" t="str">
        <f>IF(I25=15,"FIRECLAY MORTAR",IF(I25=16,"ALUMINA MORTAR",IF(I25=17,"BASIC MORTAR",IF(I25=18,"MORTAR","-"))))</f>
        <v>-</v>
      </c>
      <c r="I25" s="145">
        <f>SUMIF(Densidades!A:A,'Memória TOTAL'!X25,Densidades!G:G)</f>
        <v>0</v>
      </c>
      <c r="J25" s="147">
        <f>SUMIF(Formatos!A:A,'Memória TOTAL'!X26,Formatos!G:G)</f>
        <v>0</v>
      </c>
      <c r="K25" s="233">
        <f>SUMIF(Densidades!A:A,'Memória TOTAL'!X25,Densidades!I:I)</f>
        <v>0</v>
      </c>
      <c r="L25" s="199">
        <v>0</v>
      </c>
      <c r="M25" s="200"/>
      <c r="N25" s="200"/>
      <c r="O25" s="200"/>
      <c r="P25" s="200"/>
      <c r="Q25" s="200"/>
      <c r="R25" s="201"/>
      <c r="S25" s="200"/>
      <c r="T25" s="201" t="e">
        <f>(W18*G18*H18)/10^6*2</f>
        <v>#VALUE!</v>
      </c>
      <c r="U25" s="268"/>
      <c r="V25" s="203" t="e">
        <f>T25*U25</f>
        <v>#VALUE!</v>
      </c>
      <c r="W25" s="151" t="str">
        <f>IF(C25=0,"",ROUNDUP(SUM(V25:V26)*(1+L25)/D25,0)*D25)</f>
        <v/>
      </c>
      <c r="X25" s="274"/>
      <c r="Z25" s="198"/>
      <c r="AA25" s="198"/>
    </row>
    <row r="26" spans="1:27" s="197" customFormat="1" ht="15" customHeight="1">
      <c r="A26" s="226"/>
      <c r="B26" s="221"/>
      <c r="C26" s="144"/>
      <c r="D26" s="206"/>
      <c r="E26" s="206"/>
      <c r="F26" s="206"/>
      <c r="G26" s="206"/>
      <c r="H26" s="206"/>
      <c r="I26" s="206"/>
      <c r="J26" s="207"/>
      <c r="K26" s="207"/>
      <c r="L26" s="155"/>
      <c r="M26" s="206"/>
      <c r="N26" s="206"/>
      <c r="O26" s="206"/>
      <c r="P26" s="206"/>
      <c r="Q26" s="206"/>
      <c r="R26" s="206"/>
      <c r="S26" s="206"/>
      <c r="T26" s="206"/>
      <c r="U26" s="206"/>
      <c r="V26" s="208"/>
      <c r="W26" s="196"/>
      <c r="X26" s="152" t="str">
        <f>IF(AND(H25="-",G25="-",F25="-"),E25,IF(AND(H25="-",G25="-",E25="-"),F25,IF(AND(H25="-",F25="-",E25="-"),G25,H25)))</f>
        <v>-</v>
      </c>
      <c r="Z26" s="198"/>
      <c r="AA26" s="198"/>
    </row>
    <row r="27" spans="1:27" s="197" customFormat="1" ht="15" customHeight="1">
      <c r="A27" s="226"/>
      <c r="B27" s="224"/>
      <c r="C27" s="144"/>
      <c r="D27" s="206"/>
      <c r="E27" s="206"/>
      <c r="F27" s="206"/>
      <c r="G27" s="206"/>
      <c r="H27" s="206"/>
      <c r="I27" s="206"/>
      <c r="J27" s="207"/>
      <c r="K27" s="207"/>
      <c r="L27" s="155"/>
      <c r="M27" s="206"/>
      <c r="N27" s="206"/>
      <c r="O27" s="206"/>
      <c r="P27" s="206"/>
      <c r="Q27" s="206"/>
      <c r="R27" s="206"/>
      <c r="S27" s="206"/>
      <c r="T27" s="206"/>
      <c r="U27" s="206"/>
      <c r="V27" s="208"/>
      <c r="W27" s="196"/>
      <c r="X27" s="152" t="s">
        <v>2</v>
      </c>
      <c r="Z27" s="198"/>
      <c r="AA27" s="198"/>
    </row>
    <row r="28" spans="1:27" s="197" customFormat="1" ht="15" customHeight="1">
      <c r="A28" s="226"/>
      <c r="B28" s="224"/>
      <c r="C28" s="144"/>
      <c r="D28" s="206"/>
      <c r="E28" s="206"/>
      <c r="F28" s="206"/>
      <c r="G28" s="206"/>
      <c r="H28" s="206"/>
      <c r="I28" s="206"/>
      <c r="J28" s="207"/>
      <c r="K28" s="207"/>
      <c r="L28" s="155"/>
      <c r="M28" s="206"/>
      <c r="N28" s="206"/>
      <c r="O28" s="206"/>
      <c r="P28" s="206"/>
      <c r="Q28" s="206"/>
      <c r="R28" s="206"/>
      <c r="S28" s="206"/>
      <c r="T28" s="206"/>
      <c r="U28" s="206"/>
      <c r="V28" s="208"/>
      <c r="W28" s="196"/>
      <c r="X28" s="152"/>
      <c r="Z28" s="198"/>
      <c r="AA28" s="198"/>
    </row>
    <row r="29" spans="1:27" s="197" customFormat="1" ht="15" customHeight="1" thickBot="1">
      <c r="A29" s="226"/>
      <c r="B29" s="284" t="str">
        <f>IF(X30="","WATERPROOFING",X30)</f>
        <v>DIKASIL SK</v>
      </c>
      <c r="C29" s="292"/>
      <c r="D29" s="293"/>
      <c r="E29" s="293"/>
      <c r="F29" s="293"/>
      <c r="G29" s="293"/>
      <c r="H29" s="293"/>
      <c r="I29" s="293"/>
      <c r="J29" s="294"/>
      <c r="K29" s="294"/>
      <c r="L29" s="295"/>
      <c r="M29" s="293"/>
      <c r="N29" s="293"/>
      <c r="O29" s="293"/>
      <c r="P29" s="293"/>
      <c r="Q29" s="293"/>
      <c r="R29" s="293"/>
      <c r="S29" s="296"/>
      <c r="T29" s="293" t="s">
        <v>638</v>
      </c>
      <c r="U29" s="293" t="s">
        <v>38</v>
      </c>
      <c r="V29" s="297" t="s">
        <v>27</v>
      </c>
      <c r="W29" s="298"/>
      <c r="X29" s="299"/>
      <c r="Z29" s="198"/>
      <c r="AA29" s="198"/>
    </row>
    <row r="30" spans="1:27" s="197" customFormat="1" ht="15" customHeight="1" thickBot="1">
      <c r="A30" s="226"/>
      <c r="B30" s="224" t="s">
        <v>1830</v>
      </c>
      <c r="C30" s="144">
        <f>SUMIF(Densidades!A:A,'Memória TOTAL'!X30,Densidades!B:B)</f>
        <v>1.53</v>
      </c>
      <c r="D30" s="145">
        <f>SUMIF(Densidades!A:A,'Memória TOTAL'!X30,Densidades!C:C)</f>
        <v>20</v>
      </c>
      <c r="E30" s="145" t="str">
        <f>IF(I30=15,"FIRECLAY MORTAR",IF(I30=16,"ALUMINA MORTAR",IF(I30=17,"BASIC MORTAR",IF(I30=18,"MORTAR","-"))))</f>
        <v>-</v>
      </c>
      <c r="F30" s="145" t="str">
        <f>IF(I30=15,"FIRECLAY MORTAR",IF(I30=16,"ALUMINA MORTAR",IF(I30=17,"BASIC MORTAR",IF(I30=18,"MORTAR","-"))))</f>
        <v>-</v>
      </c>
      <c r="G30" s="145" t="str">
        <f>IF(I30=15,"FIRECLAY MORTAR",IF(I30=16,"ALUMINA MORTAR",IF(I30=17,"BASIC MORTAR",IF(I30=18,"MORTAR","-"))))</f>
        <v>-</v>
      </c>
      <c r="H30" s="145" t="str">
        <f>IF(I30=15,"FIRECLAY MORTAR",IF(I30=16,"ALUMINA MORTAR",IF(I30=17,"BASIC MORTAR",IF(I30=18,"MORTAR","-"))))</f>
        <v>-</v>
      </c>
      <c r="I30" s="145">
        <f>SUMIF(Densidades!A:A,'Memória TOTAL'!X30,Densidades!G:G)</f>
        <v>0</v>
      </c>
      <c r="J30" s="147">
        <f>SUMIF(Formatos!A:A,'Memória TOTAL'!X31,Formatos!G:G)</f>
        <v>0</v>
      </c>
      <c r="K30" s="233">
        <f>SUMIF(Densidades!A:A,'Memória TOTAL'!X30,Densidades!I:I)</f>
        <v>8</v>
      </c>
      <c r="L30" s="199">
        <v>0</v>
      </c>
      <c r="M30" s="200"/>
      <c r="N30" s="200"/>
      <c r="O30" s="200"/>
      <c r="P30" s="200"/>
      <c r="Q30" s="200"/>
      <c r="R30" s="201"/>
      <c r="S30" s="200"/>
      <c r="T30" s="201" t="e">
        <f>(W18*G18*H18)/10^6/2</f>
        <v>#VALUE!</v>
      </c>
      <c r="U30" s="268"/>
      <c r="V30" s="203" t="e">
        <f>T30*C30*U30</f>
        <v>#VALUE!</v>
      </c>
      <c r="W30" s="151" t="str">
        <f>IFERROR(IF(C30=0,"",ROUNDUP(SUM(V30:V31)*(1+L30)/D30,0)*D30),"")</f>
        <v/>
      </c>
      <c r="X30" s="274" t="s">
        <v>1827</v>
      </c>
      <c r="Z30" s="198"/>
      <c r="AA30" s="198"/>
    </row>
    <row r="31" spans="1:27" s="197" customFormat="1" ht="15" customHeight="1">
      <c r="A31" s="226"/>
      <c r="B31" s="221"/>
      <c r="C31" s="144"/>
      <c r="D31" s="206"/>
      <c r="E31" s="206"/>
      <c r="F31" s="206"/>
      <c r="G31" s="206"/>
      <c r="H31" s="206"/>
      <c r="I31" s="206"/>
      <c r="J31" s="207"/>
      <c r="K31" s="207"/>
      <c r="L31" s="155"/>
      <c r="M31" s="206"/>
      <c r="N31" s="206"/>
      <c r="O31" s="206"/>
      <c r="P31" s="206"/>
      <c r="Q31" s="206"/>
      <c r="R31" s="206"/>
      <c r="S31" s="206"/>
      <c r="T31" s="206"/>
      <c r="U31" s="206"/>
      <c r="V31" s="208"/>
      <c r="W31" s="196"/>
      <c r="X31" s="152" t="str">
        <f>IF(AND(H30="-",G30="-",F30="-"),E30,IF(AND(H30="-",G30="-",E30="-"),F30,IF(AND(H30="-",F30="-",E30="-"),G30,H30)))</f>
        <v>-</v>
      </c>
      <c r="Z31" s="198"/>
      <c r="AA31" s="198"/>
    </row>
    <row r="32" spans="1:27" s="197" customFormat="1" ht="15" customHeight="1">
      <c r="A32" s="226"/>
      <c r="B32" s="224"/>
      <c r="C32" s="144"/>
      <c r="D32" s="206"/>
      <c r="E32" s="206"/>
      <c r="F32" s="206"/>
      <c r="G32" s="206"/>
      <c r="H32" s="206"/>
      <c r="I32" s="206"/>
      <c r="J32" s="207"/>
      <c r="K32" s="207"/>
      <c r="L32" s="155"/>
      <c r="M32" s="206"/>
      <c r="N32" s="206"/>
      <c r="O32" s="206"/>
      <c r="P32" s="206"/>
      <c r="Q32" s="206"/>
      <c r="R32" s="206"/>
      <c r="S32" s="206"/>
      <c r="T32" s="206"/>
      <c r="U32" s="206"/>
      <c r="V32" s="208"/>
      <c r="W32" s="196"/>
      <c r="X32" s="152" t="s">
        <v>2</v>
      </c>
      <c r="Z32" s="198"/>
      <c r="AA32" s="198"/>
    </row>
    <row r="33" spans="1:27" s="197" customFormat="1" ht="15" customHeight="1">
      <c r="A33" s="226"/>
      <c r="B33" s="224"/>
      <c r="C33" s="144"/>
      <c r="D33" s="206"/>
      <c r="E33" s="206"/>
      <c r="F33" s="206"/>
      <c r="G33" s="206"/>
      <c r="H33" s="206"/>
      <c r="I33" s="206"/>
      <c r="J33" s="207"/>
      <c r="K33" s="207"/>
      <c r="L33" s="155"/>
      <c r="M33" s="206"/>
      <c r="N33" s="206"/>
      <c r="O33" s="206"/>
      <c r="P33" s="206"/>
      <c r="Q33" s="206"/>
      <c r="R33" s="206"/>
      <c r="S33" s="206"/>
      <c r="T33" s="206"/>
      <c r="U33" s="206"/>
      <c r="V33" s="208"/>
      <c r="W33" s="196"/>
      <c r="X33" s="152"/>
      <c r="Z33" s="198"/>
      <c r="AA33" s="198"/>
    </row>
    <row r="34" spans="1:27" s="197" customFormat="1" ht="15" customHeight="1" thickBot="1">
      <c r="A34" s="226"/>
      <c r="B34" s="284" t="str">
        <f>IF(X35="","WATERPROOFING",X35)</f>
        <v>LATEX PAINT</v>
      </c>
      <c r="C34" s="292"/>
      <c r="D34" s="293"/>
      <c r="E34" s="293"/>
      <c r="F34" s="293"/>
      <c r="G34" s="293"/>
      <c r="H34" s="293"/>
      <c r="I34" s="293"/>
      <c r="J34" s="294"/>
      <c r="K34" s="294"/>
      <c r="L34" s="295"/>
      <c r="M34" s="293"/>
      <c r="N34" s="293"/>
      <c r="O34" s="293"/>
      <c r="P34" s="293"/>
      <c r="Q34" s="293"/>
      <c r="R34" s="293"/>
      <c r="S34" s="296"/>
      <c r="T34" s="293" t="s">
        <v>638</v>
      </c>
      <c r="U34" s="293" t="s">
        <v>38</v>
      </c>
      <c r="V34" s="297" t="s">
        <v>27</v>
      </c>
      <c r="W34" s="298"/>
      <c r="X34" s="299"/>
      <c r="Z34" s="198"/>
      <c r="AA34" s="198"/>
    </row>
    <row r="35" spans="1:27" s="197" customFormat="1" ht="15" customHeight="1" thickBot="1">
      <c r="A35" s="226"/>
      <c r="B35" s="224" t="s">
        <v>1831</v>
      </c>
      <c r="C35" s="144">
        <f>SUMIF(Densidades!A:A,'Memória TOTAL'!X35,Densidades!B:B)</f>
        <v>1.5</v>
      </c>
      <c r="D35" s="145">
        <f>SUMIF(Densidades!A:A,'Memória TOTAL'!X35,Densidades!C:C)</f>
        <v>1</v>
      </c>
      <c r="E35" s="145" t="str">
        <f>IF(I35=15,"FIRECLAY MORTAR",IF(I35=16,"ALUMINA MORTAR",IF(I35=17,"BASIC MORTAR",IF(I35=18,"MORTAR","-"))))</f>
        <v>-</v>
      </c>
      <c r="F35" s="145" t="str">
        <f>IF(I35=15,"FIRECLAY MORTAR",IF(I35=16,"ALUMINA MORTAR",IF(I35=17,"BASIC MORTAR",IF(I35=18,"MORTAR","-"))))</f>
        <v>-</v>
      </c>
      <c r="G35" s="145" t="str">
        <f>IF(I35=15,"FIRECLAY MORTAR",IF(I35=16,"ALUMINA MORTAR",IF(I35=17,"BASIC MORTAR",IF(I35=18,"MORTAR","-"))))</f>
        <v>-</v>
      </c>
      <c r="H35" s="145" t="str">
        <f>IF(I35=15,"FIRECLAY MORTAR",IF(I35=16,"ALUMINA MORTAR",IF(I35=17,"BASIC MORTAR",IF(I35=18,"MORTAR","-"))))</f>
        <v>-</v>
      </c>
      <c r="I35" s="145">
        <f>SUMIF(Densidades!A:A,'Memória TOTAL'!X35,Densidades!G:G)</f>
        <v>24</v>
      </c>
      <c r="J35" s="147">
        <f>SUMIF(Formatos!A:A,'Memória TOTAL'!X36,Formatos!G:G)</f>
        <v>0</v>
      </c>
      <c r="K35" s="233">
        <f>SUMIF(Densidades!A:A,'Memória TOTAL'!X35,Densidades!I:I)</f>
        <v>9</v>
      </c>
      <c r="L35" s="199">
        <v>0</v>
      </c>
      <c r="M35" s="200"/>
      <c r="N35" s="200"/>
      <c r="O35" s="200"/>
      <c r="P35" s="200"/>
      <c r="Q35" s="200"/>
      <c r="R35" s="201"/>
      <c r="S35" s="200"/>
      <c r="T35" s="201" t="e">
        <f>(W18*G18*H18)/10^6/(200/18)</f>
        <v>#VALUE!</v>
      </c>
      <c r="U35" s="268"/>
      <c r="V35" s="203" t="e">
        <f>T35*U35</f>
        <v>#VALUE!</v>
      </c>
      <c r="W35" s="151" t="str">
        <f>IFERROR(IF(C35=0,"",ROUNDUP(SUM(V35:V36)*(1+L35)/D35,0)*D35),"")</f>
        <v/>
      </c>
      <c r="X35" s="274" t="s">
        <v>523</v>
      </c>
      <c r="Z35" s="198"/>
      <c r="AA35" s="198"/>
    </row>
    <row r="36" spans="1:27" s="197" customFormat="1" ht="15" customHeight="1">
      <c r="A36" s="226"/>
      <c r="B36" s="221"/>
      <c r="C36" s="144"/>
      <c r="D36" s="206"/>
      <c r="E36" s="206"/>
      <c r="F36" s="206"/>
      <c r="G36" s="206"/>
      <c r="H36" s="206"/>
      <c r="I36" s="206"/>
      <c r="J36" s="207"/>
      <c r="K36" s="207"/>
      <c r="L36" s="155"/>
      <c r="M36" s="206"/>
      <c r="N36" s="206"/>
      <c r="O36" s="206"/>
      <c r="P36" s="206"/>
      <c r="Q36" s="206"/>
      <c r="R36" s="206"/>
      <c r="S36" s="206"/>
      <c r="T36" s="206"/>
      <c r="U36" s="206"/>
      <c r="V36" s="208"/>
      <c r="W36" s="196"/>
      <c r="X36" s="152" t="str">
        <f>IF(AND(H35="-",G35="-",F35="-"),E35,IF(AND(H35="-",G35="-",E35="-"),F35,IF(AND(H35="-",F35="-",E35="-"),G35,H35)))</f>
        <v>-</v>
      </c>
      <c r="Z36" s="198"/>
      <c r="AA36" s="198"/>
    </row>
    <row r="37" spans="1:27" s="197" customFormat="1" ht="15" customHeight="1">
      <c r="A37" s="226"/>
      <c r="B37" s="224"/>
      <c r="C37" s="144"/>
      <c r="D37" s="206"/>
      <c r="E37" s="206"/>
      <c r="F37" s="206"/>
      <c r="G37" s="206"/>
      <c r="H37" s="206"/>
      <c r="I37" s="206"/>
      <c r="J37" s="207"/>
      <c r="K37" s="207"/>
      <c r="L37" s="155"/>
      <c r="M37" s="206"/>
      <c r="N37" s="206"/>
      <c r="O37" s="206"/>
      <c r="P37" s="206"/>
      <c r="Q37" s="206"/>
      <c r="R37" s="206"/>
      <c r="S37" s="206"/>
      <c r="T37" s="206"/>
      <c r="U37" s="206"/>
      <c r="V37" s="208"/>
      <c r="W37" s="196"/>
      <c r="X37" s="152" t="s">
        <v>75</v>
      </c>
      <c r="Z37" s="198"/>
      <c r="AA37" s="198"/>
    </row>
    <row r="38" spans="1:27" s="197" customFormat="1" ht="15" customHeight="1">
      <c r="A38" s="226"/>
      <c r="B38" s="224"/>
      <c r="C38" s="144"/>
      <c r="D38" s="206"/>
      <c r="E38" s="206"/>
      <c r="F38" s="206"/>
      <c r="G38" s="206"/>
      <c r="H38" s="206"/>
      <c r="I38" s="206"/>
      <c r="J38" s="207"/>
      <c r="K38" s="207"/>
      <c r="L38" s="155"/>
      <c r="M38" s="206"/>
      <c r="N38" s="206"/>
      <c r="O38" s="206"/>
      <c r="P38" s="206"/>
      <c r="Q38" s="206"/>
      <c r="R38" s="206"/>
      <c r="S38" s="206"/>
      <c r="T38" s="206"/>
      <c r="U38" s="206"/>
      <c r="V38" s="208"/>
      <c r="W38" s="196"/>
      <c r="X38" s="152"/>
      <c r="Z38" s="198"/>
      <c r="AA38" s="198"/>
    </row>
    <row r="39" spans="1:27" s="197" customFormat="1" ht="15" customHeight="1" thickBot="1">
      <c r="A39" s="226"/>
      <c r="B39" s="524"/>
      <c r="C39" s="524"/>
      <c r="D39" s="527"/>
      <c r="E39" s="527"/>
      <c r="F39" s="527"/>
      <c r="G39" s="527"/>
      <c r="H39" s="527"/>
      <c r="I39" s="527"/>
      <c r="J39" s="527"/>
      <c r="K39" s="527"/>
      <c r="L39" s="527"/>
      <c r="M39" s="527"/>
      <c r="N39" s="527"/>
      <c r="O39" s="527"/>
      <c r="P39" s="527"/>
      <c r="Q39" s="527"/>
      <c r="R39" s="527"/>
      <c r="S39" s="527"/>
      <c r="T39" s="527"/>
      <c r="U39" s="527"/>
      <c r="V39" s="527"/>
      <c r="W39" s="527"/>
      <c r="X39" s="528"/>
      <c r="Z39" s="198"/>
      <c r="AA39" s="198"/>
    </row>
    <row r="40" spans="1:27" ht="15" customHeight="1" thickBot="1">
      <c r="A40" s="225"/>
      <c r="B40" s="284" t="str">
        <f>IF(X41="","MONOLÍTICO",X41)</f>
        <v>MONOLÍTICO</v>
      </c>
      <c r="C40" s="285" t="s">
        <v>101</v>
      </c>
      <c r="D40" s="286" t="s">
        <v>102</v>
      </c>
      <c r="E40" s="286" t="s">
        <v>109</v>
      </c>
      <c r="F40" s="286"/>
      <c r="G40" s="286"/>
      <c r="H40" s="286"/>
      <c r="I40" s="286"/>
      <c r="J40" s="286" t="s">
        <v>103</v>
      </c>
      <c r="K40" s="286" t="s">
        <v>37</v>
      </c>
      <c r="L40" s="286" t="s">
        <v>39</v>
      </c>
      <c r="M40" s="286" t="s">
        <v>41</v>
      </c>
      <c r="N40" s="286"/>
      <c r="O40" s="286"/>
      <c r="P40" s="286" t="s">
        <v>17</v>
      </c>
      <c r="Q40" s="286"/>
      <c r="R40" s="286"/>
      <c r="S40" s="286" t="s">
        <v>40</v>
      </c>
      <c r="T40" s="286" t="s">
        <v>26</v>
      </c>
      <c r="U40" s="286" t="s">
        <v>38</v>
      </c>
      <c r="V40" s="287" t="s">
        <v>27</v>
      </c>
      <c r="W40" s="288"/>
      <c r="X40" s="289"/>
    </row>
    <row r="41" spans="1:27" ht="15" customHeight="1" thickBot="1">
      <c r="A41" s="225"/>
      <c r="B41" s="222"/>
      <c r="C41" s="144">
        <f>SUMIF(Densidades!A:A,'Memória TOTAL'!X41,Densidades!B:B)</f>
        <v>0</v>
      </c>
      <c r="D41" s="145">
        <f>SUMIF(Densidades!A:A,'Memória TOTAL'!X41,Densidades!C:C)</f>
        <v>0</v>
      </c>
      <c r="E41" s="145">
        <f>SUMIF(Densidades!A:A,'Memória TOTAL'!X41,Densidades!G:G)</f>
        <v>0</v>
      </c>
      <c r="F41" s="145" t="str">
        <f>IF(E41=1,"FIRECLAY CASTABLE",IF(E41=2,"ALUMINA CASTABLE",IF(E41=3,"ALUMINA MASS",IF(E41=4,"SILICA MASS","-"))))</f>
        <v>-</v>
      </c>
      <c r="G41" s="145" t="str">
        <f>IF(E41=5,"BASIC CASTABLE",IF(E41=6,"BASIC MASS",IF(E41=7,"CARBON MASS",IF(E41=8,"CHROMITE CASTABLE","-"))))</f>
        <v>-</v>
      </c>
      <c r="H41" s="145" t="str">
        <f>IF(E41=9,"INSULATING CASTABLE",IF(E41=10,"FIRECLAY MASS",IF(E41=11,"CHROMITE MASS",IF(E41=12,"FIRECLAY PLASTIC.","-"))))</f>
        <v>-</v>
      </c>
      <c r="I41" s="145" t="str">
        <f>IF(E41=13,"ALUMINA PLASTIC",IF(E41=14,"FILLING SAND",IF(E41=15,"FIRECLAY MORTAR",IF(E41=16,"ALUMINA MORTAR",IF(E41=17,"BASIC MORTAR",IF(E41=18,"MORTAR","-"))))))</f>
        <v>-</v>
      </c>
      <c r="J41" s="147">
        <f>SUMIF(Formatos!A:A,'Memória TOTAL'!X42,Formatos!G:G)</f>
        <v>0</v>
      </c>
      <c r="K41" s="148">
        <f>SUMIF(Densidades!A:A,'Memória TOTAL'!X41,Densidades!I:I)</f>
        <v>0</v>
      </c>
      <c r="L41" s="149">
        <v>0</v>
      </c>
      <c r="M41" s="150"/>
      <c r="N41" s="150"/>
      <c r="O41" s="150"/>
      <c r="P41" s="150"/>
      <c r="Q41" s="150"/>
      <c r="R41" s="150"/>
      <c r="S41" s="150"/>
      <c r="T41" s="150"/>
      <c r="U41" s="150"/>
      <c r="V41" s="156"/>
      <c r="W41" s="151" t="str">
        <f>IF(C41=0,"",ROUNDUP(SUM(V43:V46)*(1+L41)/D41,0)*D41)</f>
        <v/>
      </c>
      <c r="X41" s="274"/>
    </row>
    <row r="42" spans="1:27" ht="15" customHeight="1">
      <c r="A42" s="225"/>
      <c r="B42" s="222"/>
      <c r="C42" s="144"/>
      <c r="D42" s="150"/>
      <c r="E42" s="150"/>
      <c r="F42" s="150"/>
      <c r="G42" s="150"/>
      <c r="H42" s="150"/>
      <c r="I42" s="150"/>
      <c r="J42" s="154"/>
      <c r="K42" s="154"/>
      <c r="L42" s="155"/>
      <c r="M42" s="150"/>
      <c r="N42" s="150"/>
      <c r="O42" s="150"/>
      <c r="P42" s="150"/>
      <c r="Q42" s="150"/>
      <c r="R42" s="150"/>
      <c r="S42" s="150"/>
      <c r="T42" s="150"/>
      <c r="U42" s="150"/>
      <c r="V42" s="156"/>
      <c r="W42" s="157"/>
      <c r="X42" s="158" t="str">
        <f>IF(AND(I41="-",H41="-",G41="-"),F41,IF(AND(I41="-",H41="-",F41="-"),G41,IF(AND(I41="-",G41="-",F41="-"),H41,I41)))</f>
        <v>-</v>
      </c>
    </row>
    <row r="43" spans="1:27" ht="15" customHeight="1" thickBot="1">
      <c r="A43" s="225"/>
      <c r="B43" s="223" t="s">
        <v>71</v>
      </c>
      <c r="C43" s="144"/>
      <c r="D43" s="150"/>
      <c r="E43" s="150"/>
      <c r="F43" s="150"/>
      <c r="G43" s="150"/>
      <c r="H43" s="150"/>
      <c r="I43" s="150"/>
      <c r="J43" s="154"/>
      <c r="K43" s="154"/>
      <c r="L43" s="155"/>
      <c r="M43" s="150"/>
      <c r="N43" s="150"/>
      <c r="O43" s="150"/>
      <c r="P43" s="150"/>
      <c r="Q43" s="150"/>
      <c r="R43" s="150"/>
      <c r="S43" s="150"/>
      <c r="T43" s="150"/>
      <c r="U43" s="150"/>
      <c r="V43" s="156"/>
      <c r="W43" s="157"/>
      <c r="X43" s="158" t="s">
        <v>2</v>
      </c>
    </row>
    <row r="44" spans="1:27" ht="15" customHeight="1" thickBot="1">
      <c r="A44" s="225"/>
      <c r="B44" s="345"/>
      <c r="C44" s="209">
        <f>C41</f>
        <v>0</v>
      </c>
      <c r="D44" s="171"/>
      <c r="E44" s="171"/>
      <c r="F44" s="171"/>
      <c r="G44" s="171"/>
      <c r="H44" s="171"/>
      <c r="I44" s="171"/>
      <c r="J44" s="172"/>
      <c r="K44" s="172"/>
      <c r="L44" s="210">
        <v>0</v>
      </c>
      <c r="M44" s="268"/>
      <c r="N44" s="171"/>
      <c r="O44" s="171"/>
      <c r="P44" s="171"/>
      <c r="Q44" s="171"/>
      <c r="R44" s="171"/>
      <c r="S44" s="171"/>
      <c r="T44" s="189">
        <f>M44/10^6</f>
        <v>0</v>
      </c>
      <c r="U44" s="268"/>
      <c r="V44" s="190">
        <f>ROUNDUP(T44*C44*(1+L44),0)*U44</f>
        <v>0</v>
      </c>
      <c r="W44" s="191"/>
      <c r="X44" s="192"/>
    </row>
    <row r="45" spans="1:27" s="197" customFormat="1" ht="15" customHeight="1" thickBot="1">
      <c r="A45" s="226"/>
      <c r="B45" s="346"/>
      <c r="C45" s="209">
        <f>C44</f>
        <v>0</v>
      </c>
      <c r="D45" s="212"/>
      <c r="E45" s="212"/>
      <c r="F45" s="212"/>
      <c r="G45" s="212"/>
      <c r="H45" s="212"/>
      <c r="I45" s="212"/>
      <c r="J45" s="245"/>
      <c r="K45" s="245"/>
      <c r="L45" s="248">
        <v>0</v>
      </c>
      <c r="M45" s="212"/>
      <c r="N45" s="212"/>
      <c r="O45" s="212"/>
      <c r="P45" s="268"/>
      <c r="Q45" s="171"/>
      <c r="R45" s="171"/>
      <c r="S45" s="268"/>
      <c r="T45" s="238">
        <f>S45*P45/10^6</f>
        <v>0</v>
      </c>
      <c r="U45" s="268"/>
      <c r="V45" s="239">
        <f>ROUNDUP(T45*C45*(1+L45),0)*U45</f>
        <v>0</v>
      </c>
      <c r="W45" s="240"/>
      <c r="X45" s="241"/>
      <c r="Z45" s="198"/>
      <c r="AA45" s="198"/>
    </row>
    <row r="46" spans="1:27" ht="15" customHeight="1">
      <c r="A46" s="226"/>
      <c r="B46" s="222"/>
      <c r="C46" s="153"/>
      <c r="D46" s="150"/>
      <c r="E46" s="150"/>
      <c r="F46" s="150"/>
      <c r="G46" s="150"/>
      <c r="H46" s="150"/>
      <c r="I46" s="150"/>
      <c r="J46" s="154"/>
      <c r="K46" s="154"/>
      <c r="L46" s="155"/>
      <c r="M46" s="150"/>
      <c r="N46" s="206"/>
      <c r="O46" s="206"/>
      <c r="P46" s="206"/>
      <c r="Q46" s="206"/>
      <c r="R46" s="150"/>
      <c r="S46" s="150"/>
      <c r="T46" s="150"/>
      <c r="U46" s="150"/>
      <c r="V46" s="156"/>
      <c r="W46" s="157"/>
      <c r="X46" s="158"/>
    </row>
    <row r="47" spans="1:27" ht="15" customHeight="1">
      <c r="A47" s="226"/>
      <c r="B47" s="222"/>
      <c r="C47" s="153"/>
      <c r="D47" s="150"/>
      <c r="E47" s="150"/>
      <c r="F47" s="150"/>
      <c r="G47" s="150"/>
      <c r="H47" s="150"/>
      <c r="I47" s="150"/>
      <c r="J47" s="154"/>
      <c r="K47" s="154"/>
      <c r="L47" s="155"/>
      <c r="M47" s="150"/>
      <c r="N47" s="206"/>
      <c r="O47" s="206"/>
      <c r="P47" s="206"/>
      <c r="Q47" s="206"/>
      <c r="R47" s="150"/>
      <c r="S47" s="150"/>
      <c r="T47" s="150"/>
      <c r="U47" s="150"/>
      <c r="V47" s="156"/>
      <c r="W47" s="157"/>
      <c r="X47" s="158"/>
    </row>
    <row r="48" spans="1:27" ht="15" customHeight="1" thickBot="1">
      <c r="A48" s="225"/>
      <c r="B48" s="284" t="str">
        <f>IF(X49="","MONOLÍTICO+ADITIVO",X49)</f>
        <v>MONOLÍTICO+ADITIVO</v>
      </c>
      <c r="C48" s="285" t="s">
        <v>101</v>
      </c>
      <c r="D48" s="286" t="s">
        <v>102</v>
      </c>
      <c r="E48" s="286" t="s">
        <v>109</v>
      </c>
      <c r="F48" s="286"/>
      <c r="G48" s="286"/>
      <c r="H48" s="286"/>
      <c r="I48" s="286"/>
      <c r="J48" s="286" t="s">
        <v>103</v>
      </c>
      <c r="K48" s="286" t="s">
        <v>37</v>
      </c>
      <c r="L48" s="286" t="s">
        <v>39</v>
      </c>
      <c r="M48" s="286" t="s">
        <v>41</v>
      </c>
      <c r="N48" s="286"/>
      <c r="O48" s="286"/>
      <c r="P48" s="286" t="s">
        <v>17</v>
      </c>
      <c r="Q48" s="286"/>
      <c r="R48" s="286"/>
      <c r="S48" s="286" t="s">
        <v>40</v>
      </c>
      <c r="T48" s="286" t="s">
        <v>26</v>
      </c>
      <c r="U48" s="286" t="s">
        <v>38</v>
      </c>
      <c r="V48" s="287" t="s">
        <v>27</v>
      </c>
      <c r="W48" s="288"/>
      <c r="X48" s="289"/>
    </row>
    <row r="49" spans="1:27" ht="15" customHeight="1" thickBot="1">
      <c r="A49" s="225"/>
      <c r="B49" s="222"/>
      <c r="C49" s="144">
        <f>SUMIF(Densidades!A:A,'Memória TOTAL'!X49,Densidades!B:B)</f>
        <v>0</v>
      </c>
      <c r="D49" s="145">
        <f>SUMIF(Densidades!A:A,'Memória TOTAL'!X49,Densidades!C:C)</f>
        <v>0</v>
      </c>
      <c r="E49" s="145">
        <f>SUMIF(Densidades!A:A,'Memória TOTAL'!X49,Densidades!G:G)</f>
        <v>0</v>
      </c>
      <c r="F49" s="145" t="str">
        <f>IF(E49=1,"FIRECLAY CASTABLE",IF(E49=2,"ALUMINA CASTABLE",IF(E49=3,"ALUMINA MASS",IF(E49=4,"SILICA MASS","-"))))</f>
        <v>-</v>
      </c>
      <c r="G49" s="145" t="str">
        <f>IF(E49=5,"BASIC CASTABLE",IF(E49=6,"BASIC MASS",IF(E49=7,"CARBON MASS",IF(E49=8,"CHROMITE CASTABLE","-"))))</f>
        <v>-</v>
      </c>
      <c r="H49" s="145" t="str">
        <f>IF(E49=9,"INSULATING CASTABLE",IF(E49=10,"FIRECLAY MASS",IF(E49=11,"CHROMITE MASS",IF(E49=12,"FIRECLAY PLASTIC.","-"))))</f>
        <v>-</v>
      </c>
      <c r="I49" s="145" t="str">
        <f>IF(E49=13,"ALUMINA PLASTIC",IF(E49=14,"FILLING SAND",IF(E49=15,"FIRECLAY MORTAR",IF(E49=16,"ALUMINA MORTAR",IF(E49=17,"BASIC MORTAR",IF(E49=18,"MORTAR","-"))))))</f>
        <v>-</v>
      </c>
      <c r="J49" s="147">
        <f>SUMIF(Formatos!A:A,'Memória TOTAL'!X50,Formatos!G:G)</f>
        <v>0</v>
      </c>
      <c r="K49" s="148">
        <f>SUMIF(Densidades!A:A,'Memória TOTAL'!X49,Densidades!I:I)</f>
        <v>0</v>
      </c>
      <c r="L49" s="149">
        <v>0</v>
      </c>
      <c r="M49" s="150"/>
      <c r="N49" s="150"/>
      <c r="O49" s="150"/>
      <c r="P49" s="150"/>
      <c r="Q49" s="150"/>
      <c r="R49" s="150"/>
      <c r="S49" s="150"/>
      <c r="T49" s="150"/>
      <c r="U49" s="150"/>
      <c r="V49" s="156"/>
      <c r="W49" s="151" t="str">
        <f>IF(C49=0,"",ROUNDUP(SUM(V51:V54)*(1+L49)/D49,0)*D49)</f>
        <v/>
      </c>
      <c r="X49" s="274"/>
    </row>
    <row r="50" spans="1:27" ht="15" customHeight="1">
      <c r="A50" s="225"/>
      <c r="B50" s="222"/>
      <c r="C50" s="144"/>
      <c r="D50" s="150"/>
      <c r="E50" s="150"/>
      <c r="F50" s="150"/>
      <c r="G50" s="150"/>
      <c r="H50" s="150"/>
      <c r="I50" s="150"/>
      <c r="J50" s="154"/>
      <c r="K50" s="154"/>
      <c r="L50" s="155"/>
      <c r="M50" s="150"/>
      <c r="N50" s="150"/>
      <c r="O50" s="150"/>
      <c r="P50" s="150"/>
      <c r="Q50" s="150"/>
      <c r="R50" s="150"/>
      <c r="S50" s="150"/>
      <c r="T50" s="150"/>
      <c r="U50" s="150"/>
      <c r="V50" s="156"/>
      <c r="W50" s="157"/>
      <c r="X50" s="158" t="str">
        <f>IF(AND(I49="-",H49="-",G49="-"),F49,IF(AND(I49="-",H49="-",F49="-"),G49,IF(AND(I49="-",G49="-",F49="-"),H49,I49)))</f>
        <v>-</v>
      </c>
    </row>
    <row r="51" spans="1:27" ht="15" customHeight="1" thickBot="1">
      <c r="A51" s="225"/>
      <c r="B51" s="223" t="s">
        <v>71</v>
      </c>
      <c r="C51" s="144"/>
      <c r="D51" s="150"/>
      <c r="E51" s="150"/>
      <c r="F51" s="150"/>
      <c r="G51" s="150"/>
      <c r="H51" s="150"/>
      <c r="I51" s="150"/>
      <c r="J51" s="154"/>
      <c r="K51" s="154"/>
      <c r="L51" s="155"/>
      <c r="M51" s="150"/>
      <c r="N51" s="150"/>
      <c r="O51" s="150"/>
      <c r="P51" s="150"/>
      <c r="Q51" s="150"/>
      <c r="R51" s="150"/>
      <c r="S51" s="150"/>
      <c r="T51" s="150"/>
      <c r="U51" s="150"/>
      <c r="V51" s="156"/>
      <c r="W51" s="157"/>
      <c r="X51" s="158" t="s">
        <v>2</v>
      </c>
    </row>
    <row r="52" spans="1:27" ht="15" customHeight="1" thickBot="1">
      <c r="A52" s="225"/>
      <c r="B52" s="345"/>
      <c r="C52" s="209">
        <f>C49</f>
        <v>0</v>
      </c>
      <c r="D52" s="171"/>
      <c r="E52" s="171"/>
      <c r="F52" s="171"/>
      <c r="G52" s="171"/>
      <c r="H52" s="171"/>
      <c r="I52" s="171"/>
      <c r="J52" s="172"/>
      <c r="K52" s="172"/>
      <c r="L52" s="210">
        <v>0</v>
      </c>
      <c r="M52" s="268"/>
      <c r="N52" s="171"/>
      <c r="O52" s="171"/>
      <c r="P52" s="171"/>
      <c r="Q52" s="171"/>
      <c r="R52" s="171"/>
      <c r="S52" s="171"/>
      <c r="T52" s="189">
        <f>M52/10^6</f>
        <v>0</v>
      </c>
      <c r="U52" s="268"/>
      <c r="V52" s="190">
        <f>ROUNDUP(T52*C52*(1+L52),0)*U52</f>
        <v>0</v>
      </c>
      <c r="W52" s="191"/>
      <c r="X52" s="192"/>
    </row>
    <row r="53" spans="1:27" s="197" customFormat="1" ht="15" customHeight="1" thickBot="1">
      <c r="A53" s="226"/>
      <c r="B53" s="346"/>
      <c r="C53" s="209">
        <f>C52</f>
        <v>0</v>
      </c>
      <c r="D53" s="212"/>
      <c r="E53" s="212"/>
      <c r="F53" s="212"/>
      <c r="G53" s="212"/>
      <c r="H53" s="212"/>
      <c r="I53" s="212"/>
      <c r="J53" s="245"/>
      <c r="K53" s="245"/>
      <c r="L53" s="248">
        <v>0</v>
      </c>
      <c r="M53" s="212"/>
      <c r="N53" s="212"/>
      <c r="O53" s="212"/>
      <c r="P53" s="268"/>
      <c r="Q53" s="171"/>
      <c r="R53" s="171"/>
      <c r="S53" s="268"/>
      <c r="T53" s="238">
        <f>S53*P53/10^6</f>
        <v>0</v>
      </c>
      <c r="U53" s="268"/>
      <c r="V53" s="239">
        <f>ROUNDUP(T53*C53*(1+L53),0)*U53</f>
        <v>0</v>
      </c>
      <c r="W53" s="240"/>
      <c r="X53" s="241"/>
      <c r="Z53" s="198"/>
      <c r="AA53" s="198"/>
    </row>
    <row r="54" spans="1:27" ht="15" customHeight="1">
      <c r="A54" s="226"/>
      <c r="B54" s="222"/>
      <c r="C54" s="153"/>
      <c r="D54" s="150"/>
      <c r="E54" s="150"/>
      <c r="F54" s="150"/>
      <c r="G54" s="150"/>
      <c r="H54" s="150"/>
      <c r="I54" s="150"/>
      <c r="J54" s="154"/>
      <c r="K54" s="154"/>
      <c r="L54" s="155"/>
      <c r="M54" s="150"/>
      <c r="N54" s="206"/>
      <c r="O54" s="206"/>
      <c r="P54" s="206"/>
      <c r="Q54" s="206"/>
      <c r="R54" s="150"/>
      <c r="S54" s="150"/>
      <c r="T54" s="150"/>
      <c r="U54" s="150"/>
      <c r="V54" s="156"/>
      <c r="W54" s="157"/>
      <c r="X54" s="158"/>
    </row>
    <row r="55" spans="1:27" ht="15" customHeight="1">
      <c r="A55" s="226"/>
      <c r="B55" s="222"/>
      <c r="C55" s="153"/>
      <c r="D55" s="150"/>
      <c r="E55" s="150"/>
      <c r="F55" s="150"/>
      <c r="G55" s="150"/>
      <c r="H55" s="150"/>
      <c r="I55" s="150"/>
      <c r="J55" s="154"/>
      <c r="K55" s="154"/>
      <c r="L55" s="155"/>
      <c r="M55" s="150"/>
      <c r="N55" s="206"/>
      <c r="O55" s="206"/>
      <c r="P55" s="206"/>
      <c r="Q55" s="206"/>
      <c r="R55" s="150"/>
      <c r="S55" s="150"/>
      <c r="T55" s="150"/>
      <c r="U55" s="150"/>
      <c r="V55" s="156"/>
      <c r="W55" s="157"/>
      <c r="X55" s="158"/>
    </row>
    <row r="56" spans="1:27" ht="15" customHeight="1">
      <c r="A56" s="226"/>
      <c r="B56" s="222"/>
      <c r="C56" s="153"/>
      <c r="D56" s="150"/>
      <c r="E56" s="150"/>
      <c r="F56" s="150"/>
      <c r="G56" s="150"/>
      <c r="H56" s="150"/>
      <c r="I56" s="150"/>
      <c r="J56" s="154"/>
      <c r="K56" s="154"/>
      <c r="L56" s="155"/>
      <c r="M56" s="150"/>
      <c r="N56" s="206"/>
      <c r="O56" s="206"/>
      <c r="P56" s="206"/>
      <c r="Q56" s="206"/>
      <c r="R56" s="150"/>
      <c r="S56" s="150"/>
      <c r="T56" s="150"/>
      <c r="U56" s="150"/>
      <c r="V56" s="156"/>
      <c r="W56" s="157"/>
      <c r="X56" s="158"/>
    </row>
    <row r="57" spans="1:27" ht="15" customHeight="1">
      <c r="A57" s="226"/>
      <c r="B57" s="221"/>
      <c r="C57" s="153"/>
      <c r="D57" s="150"/>
      <c r="E57" s="150"/>
      <c r="F57" s="150"/>
      <c r="G57" s="150"/>
      <c r="H57" s="150"/>
      <c r="I57" s="150"/>
      <c r="J57" s="154"/>
      <c r="K57" s="154"/>
      <c r="L57" s="155"/>
      <c r="M57" s="150"/>
      <c r="N57" s="206"/>
      <c r="O57" s="206"/>
      <c r="P57" s="206"/>
      <c r="Q57" s="206"/>
      <c r="R57" s="150"/>
      <c r="S57" s="150"/>
      <c r="T57" s="150"/>
      <c r="U57" s="150"/>
      <c r="V57" s="156"/>
      <c r="W57" s="157"/>
      <c r="X57" s="158"/>
    </row>
    <row r="58" spans="1:27" ht="15" customHeight="1">
      <c r="A58" s="226"/>
      <c r="B58" s="222"/>
      <c r="C58" s="153"/>
      <c r="D58" s="150"/>
      <c r="E58" s="150"/>
      <c r="F58" s="150"/>
      <c r="G58" s="150"/>
      <c r="H58" s="150"/>
      <c r="I58" s="150"/>
      <c r="J58" s="154"/>
      <c r="K58" s="154"/>
      <c r="L58" s="155"/>
      <c r="M58" s="150"/>
      <c r="N58" s="206"/>
      <c r="O58" s="206"/>
      <c r="P58" s="206"/>
      <c r="Q58" s="206"/>
      <c r="R58" s="150"/>
      <c r="S58" s="150"/>
      <c r="T58" s="150"/>
      <c r="U58" s="150"/>
      <c r="V58" s="156"/>
      <c r="W58" s="157"/>
      <c r="X58" s="158"/>
    </row>
    <row r="59" spans="1:27" ht="15" customHeight="1" thickBot="1">
      <c r="A59" s="226"/>
      <c r="B59" s="222"/>
      <c r="C59" s="153"/>
      <c r="D59" s="150"/>
      <c r="E59" s="150"/>
      <c r="F59" s="150"/>
      <c r="G59" s="150"/>
      <c r="H59" s="150"/>
      <c r="I59" s="150"/>
      <c r="J59" s="154"/>
      <c r="K59" s="154"/>
      <c r="L59" s="155"/>
      <c r="M59" s="150"/>
      <c r="N59" s="206"/>
      <c r="O59" s="206"/>
      <c r="P59" s="206"/>
      <c r="Q59" s="206"/>
      <c r="R59" s="150"/>
      <c r="S59" s="150"/>
      <c r="T59" s="150"/>
      <c r="U59" s="150"/>
      <c r="V59" s="156"/>
      <c r="W59" s="157"/>
      <c r="X59" s="158"/>
    </row>
    <row r="60" spans="1:27" s="197" customFormat="1" ht="15" customHeight="1" thickBot="1">
      <c r="A60" s="290"/>
      <c r="B60" s="224" t="s">
        <v>1098</v>
      </c>
      <c r="C60" s="144">
        <f>SUMIF(Densidades!A:A,'Memória TOTAL'!X60,Densidades!B:B)</f>
        <v>1.3</v>
      </c>
      <c r="D60" s="145">
        <f>SUMIF(Densidades!A:A,'Memória TOTAL'!X60,Densidades!C:C)</f>
        <v>20</v>
      </c>
      <c r="E60" s="145"/>
      <c r="F60" s="145" t="str">
        <f>IF(E60=1,"FIRECLAY CASTABLE",IF(E60=2,"ALUMINA CASTABLE",IF(E60=3,"ALUMINA MASS",IF(E60=4,"SILICA MASS","-"))))</f>
        <v>-</v>
      </c>
      <c r="G60" s="145" t="str">
        <f>IF(E60=5,"BASIC CASTABLE",IF(E60=6,"BASIC MASS",IF(E60=7,"CARBON MASS",IF(E60=8,"CHROMITE CASTABLE","-"))))</f>
        <v>-</v>
      </c>
      <c r="H60" s="145" t="str">
        <f>IF(E60=9,"INSULATING CASTABLE",IF(E60=10,"FIRECLAY MASS",IF(E60=11,"CHROMITE MASS",IF(E60=12,"FIRECLAY PLASTIC.","-"))))</f>
        <v>-</v>
      </c>
      <c r="I60" s="145" t="str">
        <f>IF(E60=13,"ALUMINA PLASTIC",IF(E60=14,"FILLING SAND",IF(E60=15,"FIRECLAY MORTAR",IF(E60=16,"ALUMINA MORTAR",IF(E60=17,"BASIC MORTAR",IF(E60=18,"MORTAR","-"))))))</f>
        <v>-</v>
      </c>
      <c r="J60" s="147">
        <f>SUMIF(Formatos!A:A,'Memória TOTAL'!X61,Formatos!G:G)</f>
        <v>0</v>
      </c>
      <c r="K60" s="233">
        <f>SUMIF(Densidades!A:A,'Memória TOTAL'!X60,Densidades!I:I)</f>
        <v>8</v>
      </c>
      <c r="L60" s="234">
        <v>0</v>
      </c>
      <c r="M60" s="206"/>
      <c r="N60" s="206"/>
      <c r="O60" s="206"/>
      <c r="P60" s="206"/>
      <c r="Q60" s="206"/>
      <c r="R60" s="194" t="s">
        <v>1102</v>
      </c>
      <c r="S60" s="150"/>
      <c r="T60" s="194" t="s">
        <v>26</v>
      </c>
      <c r="U60" s="150"/>
      <c r="V60" s="195" t="s">
        <v>27</v>
      </c>
      <c r="W60" s="204" t="str">
        <f>IFERROR(IF(C60=0,"",ROUNDUP(SUM(V61:V61)*(1+L60),0)),"")</f>
        <v/>
      </c>
      <c r="X60" s="274" t="s">
        <v>1098</v>
      </c>
      <c r="Z60" s="198"/>
      <c r="AA60" s="198"/>
    </row>
    <row r="61" spans="1:27" s="197" customFormat="1" ht="15" customHeight="1" thickBot="1">
      <c r="A61" s="225"/>
      <c r="B61" s="205"/>
      <c r="C61" s="211"/>
      <c r="D61" s="206"/>
      <c r="E61" s="206"/>
      <c r="F61" s="206"/>
      <c r="G61" s="206"/>
      <c r="H61" s="206"/>
      <c r="I61" s="206"/>
      <c r="J61" s="207"/>
      <c r="K61" s="207"/>
      <c r="L61" s="155"/>
      <c r="M61" s="206"/>
      <c r="N61" s="206"/>
      <c r="O61" s="206"/>
      <c r="P61" s="206"/>
      <c r="Q61" s="206"/>
      <c r="R61" s="268"/>
      <c r="S61" s="150"/>
      <c r="T61" s="150" t="e">
        <f>W49/100*R61</f>
        <v>#VALUE!</v>
      </c>
      <c r="U61" s="150"/>
      <c r="V61" s="239" t="e">
        <f>ROUNDUP(T61*C60/D60,0)*D60</f>
        <v>#VALUE!</v>
      </c>
      <c r="W61" s="196"/>
      <c r="X61" s="158" t="str">
        <f>IF(AND(I60="-",H60="-",G60="-"),F60,IF(AND(I60="-",H60="-",F60="-"),G60,IF(AND(I60="-",G60="-",F60="-"),H60,I60)))</f>
        <v>-</v>
      </c>
      <c r="Z61" s="198"/>
      <c r="AA61" s="198"/>
    </row>
    <row r="62" spans="1:27" s="197" customFormat="1" ht="15" customHeight="1">
      <c r="A62" s="225"/>
      <c r="B62" s="803" t="s">
        <v>1888</v>
      </c>
      <c r="C62" s="211"/>
      <c r="D62" s="206"/>
      <c r="E62" s="206"/>
      <c r="F62" s="206"/>
      <c r="G62" s="206"/>
      <c r="H62" s="206"/>
      <c r="I62" s="206"/>
      <c r="J62" s="207"/>
      <c r="K62" s="207"/>
      <c r="L62" s="155"/>
      <c r="M62" s="206"/>
      <c r="N62" s="206"/>
      <c r="O62" s="206"/>
      <c r="P62" s="206"/>
      <c r="Q62" s="206"/>
      <c r="R62" s="206"/>
      <c r="S62" s="206"/>
      <c r="T62" s="206"/>
      <c r="U62" s="150"/>
      <c r="V62" s="208"/>
      <c r="W62" s="196"/>
      <c r="X62" s="152" t="s">
        <v>2</v>
      </c>
      <c r="Z62" s="198"/>
      <c r="AA62" s="198"/>
    </row>
    <row r="63" spans="1:27" s="197" customFormat="1" ht="15" customHeight="1">
      <c r="A63" s="225"/>
      <c r="B63" s="804"/>
      <c r="C63" s="211"/>
      <c r="D63" s="206"/>
      <c r="E63" s="206"/>
      <c r="F63" s="206"/>
      <c r="G63" s="206"/>
      <c r="H63" s="206"/>
      <c r="I63" s="206"/>
      <c r="J63" s="207"/>
      <c r="K63" s="207"/>
      <c r="L63" s="155"/>
      <c r="M63" s="206"/>
      <c r="N63" s="206"/>
      <c r="O63" s="206"/>
      <c r="P63" s="206"/>
      <c r="Q63" s="206"/>
      <c r="R63" s="206"/>
      <c r="S63" s="206"/>
      <c r="T63" s="206"/>
      <c r="U63" s="206"/>
      <c r="V63" s="208"/>
      <c r="W63" s="196"/>
      <c r="X63" s="152"/>
      <c r="Z63" s="198"/>
      <c r="AA63" s="198"/>
    </row>
    <row r="64" spans="1:27" ht="15" customHeight="1">
      <c r="A64" s="226"/>
      <c r="B64" s="222"/>
      <c r="C64" s="153"/>
      <c r="D64" s="150"/>
      <c r="E64" s="150"/>
      <c r="F64" s="150"/>
      <c r="G64" s="150"/>
      <c r="H64" s="150"/>
      <c r="I64" s="150"/>
      <c r="J64" s="154"/>
      <c r="K64" s="154"/>
      <c r="L64" s="155"/>
      <c r="M64" s="150"/>
      <c r="N64" s="206"/>
      <c r="O64" s="206"/>
      <c r="P64" s="206"/>
      <c r="Q64" s="206"/>
      <c r="R64" s="150"/>
      <c r="S64" s="150"/>
      <c r="T64" s="150"/>
      <c r="U64" s="150"/>
      <c r="V64" s="156"/>
      <c r="W64" s="157"/>
      <c r="X64" s="158"/>
    </row>
    <row r="65" spans="1:27" ht="15" customHeight="1" thickBot="1">
      <c r="A65" s="226"/>
      <c r="B65" s="524"/>
      <c r="C65" s="524"/>
      <c r="D65" s="527"/>
      <c r="E65" s="527"/>
      <c r="F65" s="527"/>
      <c r="G65" s="527"/>
      <c r="H65" s="527"/>
      <c r="I65" s="527"/>
      <c r="J65" s="527"/>
      <c r="K65" s="527"/>
      <c r="L65" s="527"/>
      <c r="M65" s="527"/>
      <c r="N65" s="527"/>
      <c r="O65" s="527"/>
      <c r="P65" s="527"/>
      <c r="Q65" s="527"/>
      <c r="R65" s="527"/>
      <c r="S65" s="527"/>
      <c r="T65" s="527"/>
      <c r="U65" s="527"/>
      <c r="V65" s="527"/>
      <c r="W65" s="527"/>
      <c r="X65" s="528"/>
    </row>
    <row r="66" spans="1:27" s="197" customFormat="1" ht="15" customHeight="1" thickBot="1">
      <c r="A66" s="290"/>
      <c r="B66" s="284" t="str">
        <f>IF(X67="","ÂNCORA METÁLICA",X67)</f>
        <v>ÂNCORA METÁLICA</v>
      </c>
      <c r="C66" s="230" t="s">
        <v>101</v>
      </c>
      <c r="D66" s="194" t="s">
        <v>102</v>
      </c>
      <c r="E66" s="194"/>
      <c r="F66" s="194"/>
      <c r="G66" s="194"/>
      <c r="H66" s="194"/>
      <c r="I66" s="194"/>
      <c r="J66" s="194" t="s">
        <v>103</v>
      </c>
      <c r="K66" s="194" t="s">
        <v>37</v>
      </c>
      <c r="L66" s="194" t="s">
        <v>39</v>
      </c>
      <c r="M66" s="194"/>
      <c r="N66" s="194" t="s">
        <v>106</v>
      </c>
      <c r="O66" s="194" t="s">
        <v>68</v>
      </c>
      <c r="P66" s="194" t="s">
        <v>69</v>
      </c>
      <c r="Q66" s="194" t="s">
        <v>107</v>
      </c>
      <c r="R66" s="194" t="s">
        <v>53</v>
      </c>
      <c r="S66" s="194" t="s">
        <v>40</v>
      </c>
      <c r="T66" s="194" t="s">
        <v>26</v>
      </c>
      <c r="U66" s="194" t="s">
        <v>38</v>
      </c>
      <c r="V66" s="195" t="s">
        <v>27</v>
      </c>
      <c r="W66" s="231"/>
      <c r="X66" s="232"/>
      <c r="Z66" s="198"/>
      <c r="AA66" s="198"/>
    </row>
    <row r="67" spans="1:27" s="197" customFormat="1" ht="15" customHeight="1" thickBot="1">
      <c r="A67" s="225"/>
      <c r="B67" s="205"/>
      <c r="C67" s="144">
        <f>SUMIF(Densidades!A:A,'Memória TOTAL'!X67,Densidades!B:B)</f>
        <v>0</v>
      </c>
      <c r="D67" s="145">
        <f>SUMIF(Densidades!A:A,'Memória TOTAL'!X67,Densidades!C:C)</f>
        <v>0</v>
      </c>
      <c r="E67" s="145"/>
      <c r="F67" s="145"/>
      <c r="G67" s="145"/>
      <c r="H67" s="145"/>
      <c r="I67" s="145"/>
      <c r="J67" s="147">
        <f>SUMIF(Formatos!A:A,'Memória TOTAL'!X68,Formatos!G:G)</f>
        <v>0</v>
      </c>
      <c r="K67" s="233">
        <f>SUMIF(Densidades!A:A,'Memória TOTAL'!X67,Densidades!I:I)</f>
        <v>0</v>
      </c>
      <c r="L67" s="234">
        <v>0</v>
      </c>
      <c r="M67" s="206"/>
      <c r="N67" s="206"/>
      <c r="O67" s="206"/>
      <c r="P67" s="206"/>
      <c r="Q67" s="206"/>
      <c r="R67" s="206"/>
      <c r="S67" s="206"/>
      <c r="T67" s="206"/>
      <c r="U67" s="206"/>
      <c r="V67" s="208"/>
      <c r="W67" s="204" t="str">
        <f>IF(C67=0,"",ROUNDUP(SUM(V69:V73)*(1+L67),0))</f>
        <v/>
      </c>
      <c r="X67" s="274"/>
      <c r="Z67" s="198"/>
      <c r="AA67" s="198"/>
    </row>
    <row r="68" spans="1:27" s="197" customFormat="1" ht="15" customHeight="1" thickBot="1">
      <c r="A68" s="225"/>
      <c r="B68" s="205"/>
      <c r="C68" s="211"/>
      <c r="D68" s="206"/>
      <c r="E68" s="206"/>
      <c r="F68" s="206"/>
      <c r="G68" s="206"/>
      <c r="H68" s="206"/>
      <c r="I68" s="206"/>
      <c r="J68" s="207"/>
      <c r="K68" s="207"/>
      <c r="L68" s="155"/>
      <c r="M68" s="206"/>
      <c r="N68" s="206"/>
      <c r="O68" s="206"/>
      <c r="P68" s="206"/>
      <c r="Q68" s="206"/>
      <c r="R68" s="206"/>
      <c r="S68" s="206"/>
      <c r="T68" s="206"/>
      <c r="U68" s="206"/>
      <c r="V68" s="208"/>
      <c r="W68" s="196"/>
      <c r="X68" s="274"/>
      <c r="Z68" s="198"/>
      <c r="AA68" s="198"/>
    </row>
    <row r="69" spans="1:27" s="197" customFormat="1" ht="15" customHeight="1" thickBot="1">
      <c r="A69" s="225"/>
      <c r="B69" s="179"/>
      <c r="C69" s="211"/>
      <c r="D69" s="206"/>
      <c r="E69" s="206"/>
      <c r="F69" s="206"/>
      <c r="G69" s="206"/>
      <c r="H69" s="206"/>
      <c r="I69" s="206"/>
      <c r="J69" s="207"/>
      <c r="K69" s="207"/>
      <c r="L69" s="155"/>
      <c r="M69" s="206"/>
      <c r="N69" s="206"/>
      <c r="O69" s="206"/>
      <c r="P69" s="206"/>
      <c r="Q69" s="206"/>
      <c r="R69" s="206"/>
      <c r="S69" s="206"/>
      <c r="T69" s="206"/>
      <c r="U69" s="206"/>
      <c r="V69" s="208"/>
      <c r="W69" s="196"/>
      <c r="X69" s="152" t="s">
        <v>524</v>
      </c>
      <c r="Z69" s="198"/>
      <c r="AA69" s="198"/>
    </row>
    <row r="70" spans="1:27" s="197" customFormat="1" ht="15" customHeight="1" thickBot="1">
      <c r="A70" s="225"/>
      <c r="B70" s="345"/>
      <c r="C70" s="235"/>
      <c r="D70" s="212"/>
      <c r="E70" s="212"/>
      <c r="F70" s="212"/>
      <c r="G70" s="212"/>
      <c r="H70" s="212"/>
      <c r="I70" s="212"/>
      <c r="J70" s="245"/>
      <c r="K70" s="245"/>
      <c r="L70" s="173"/>
      <c r="M70" s="212"/>
      <c r="N70" s="174"/>
      <c r="O70" s="174"/>
      <c r="P70" s="268"/>
      <c r="Q70" s="174"/>
      <c r="R70" s="212"/>
      <c r="S70" s="268"/>
      <c r="T70" s="238" t="str">
        <f>IF(P70="","-",ROUNDUP(S70/P70/P70,0))</f>
        <v>-</v>
      </c>
      <c r="U70" s="268"/>
      <c r="V70" s="239" t="str">
        <f>IF(T70="-","-",ROUNDUP(T70*U70,0))</f>
        <v>-</v>
      </c>
      <c r="W70" s="240"/>
      <c r="X70" s="241"/>
      <c r="Z70" s="198"/>
      <c r="AA70" s="198"/>
    </row>
    <row r="71" spans="1:27" s="197" customFormat="1" ht="15" customHeight="1" thickBot="1">
      <c r="A71" s="226"/>
      <c r="B71" s="345"/>
      <c r="C71" s="235"/>
      <c r="D71" s="212"/>
      <c r="E71" s="212"/>
      <c r="F71" s="212"/>
      <c r="G71" s="212"/>
      <c r="H71" s="212"/>
      <c r="I71" s="212"/>
      <c r="J71" s="245"/>
      <c r="K71" s="245"/>
      <c r="L71" s="173"/>
      <c r="M71" s="212" t="str">
        <f>IF(Q71="","",ROUND(Q71/P71,0))</f>
        <v/>
      </c>
      <c r="N71" s="268"/>
      <c r="O71" s="268"/>
      <c r="P71" s="171"/>
      <c r="Q71" s="171"/>
      <c r="R71" s="268">
        <v>360</v>
      </c>
      <c r="S71" s="212"/>
      <c r="T71" s="238" t="e">
        <f>ROUNDUP(N71*PI()/O71/360*R71,)</f>
        <v>#DIV/0!</v>
      </c>
      <c r="U71" s="268"/>
      <c r="V71" s="239" t="str">
        <f>IFERROR(IF(T71="-","-",ROUNDUP(T71*U71,0)),"-")</f>
        <v>-</v>
      </c>
      <c r="W71" s="240"/>
      <c r="X71" s="241"/>
      <c r="Z71" s="198"/>
      <c r="AA71" s="198"/>
    </row>
    <row r="72" spans="1:27" s="197" customFormat="1" ht="15" customHeight="1" thickBot="1">
      <c r="A72" s="225"/>
      <c r="B72" s="345"/>
      <c r="C72" s="235"/>
      <c r="D72" s="212"/>
      <c r="E72" s="212"/>
      <c r="F72" s="212"/>
      <c r="G72" s="212"/>
      <c r="H72" s="212"/>
      <c r="I72" s="212"/>
      <c r="J72" s="245"/>
      <c r="K72" s="245"/>
      <c r="L72" s="173"/>
      <c r="M72" s="212" t="str">
        <f>IF(Q72="","",ROUND(Q72/P72,0))</f>
        <v/>
      </c>
      <c r="N72" s="268"/>
      <c r="O72" s="268"/>
      <c r="P72" s="268"/>
      <c r="Q72" s="268"/>
      <c r="R72" s="268">
        <v>360</v>
      </c>
      <c r="S72" s="212"/>
      <c r="T72" s="238" t="str">
        <f>IF(P72="","-",(ROUND(PI()*N72/O72*R72/360,0))*(ROUND(Q72/P72,0)))</f>
        <v>-</v>
      </c>
      <c r="U72" s="268"/>
      <c r="V72" s="239" t="str">
        <f>IF(T72="-","-",ROUNDUP(T72*U72,0))</f>
        <v>-</v>
      </c>
      <c r="W72" s="240"/>
      <c r="X72" s="241"/>
      <c r="Z72" s="198"/>
      <c r="AA72" s="198"/>
    </row>
    <row r="73" spans="1:27" s="197" customFormat="1" ht="15" customHeight="1">
      <c r="A73" s="226"/>
      <c r="B73" s="178"/>
      <c r="C73" s="211"/>
      <c r="D73" s="206"/>
      <c r="E73" s="206"/>
      <c r="F73" s="206"/>
      <c r="G73" s="206"/>
      <c r="H73" s="206"/>
      <c r="I73" s="206"/>
      <c r="J73" s="207"/>
      <c r="K73" s="207"/>
      <c r="L73" s="155"/>
      <c r="M73" s="206"/>
      <c r="N73" s="206"/>
      <c r="O73" s="162"/>
      <c r="P73" s="168"/>
      <c r="Q73" s="162"/>
      <c r="R73" s="206"/>
      <c r="S73" s="206"/>
      <c r="T73" s="206"/>
      <c r="U73" s="206"/>
      <c r="V73" s="208"/>
      <c r="W73" s="196"/>
      <c r="X73" s="152"/>
      <c r="Z73" s="198"/>
      <c r="AA73" s="198"/>
    </row>
    <row r="74" spans="1:27" s="197" customFormat="1" ht="15" customHeight="1" thickBot="1">
      <c r="A74" s="225"/>
      <c r="B74" s="524"/>
      <c r="C74" s="524"/>
      <c r="D74" s="527"/>
      <c r="E74" s="527"/>
      <c r="F74" s="527"/>
      <c r="G74" s="527"/>
      <c r="H74" s="527"/>
      <c r="I74" s="527"/>
      <c r="J74" s="527"/>
      <c r="K74" s="527"/>
      <c r="L74" s="527"/>
      <c r="M74" s="527"/>
      <c r="N74" s="527"/>
      <c r="O74" s="527"/>
      <c r="P74" s="527"/>
      <c r="Q74" s="527"/>
      <c r="R74" s="527"/>
      <c r="S74" s="527"/>
      <c r="T74" s="527"/>
      <c r="U74" s="527"/>
      <c r="V74" s="527"/>
      <c r="W74" s="527"/>
      <c r="X74" s="528"/>
      <c r="Z74" s="198"/>
      <c r="AA74" s="198"/>
    </row>
    <row r="75" spans="1:27" s="197" customFormat="1" ht="15" customHeight="1" thickBot="1">
      <c r="A75" s="225"/>
      <c r="B75" s="284" t="str">
        <f>IF(X76="","ÂNCORA CERÂMICA",X76)</f>
        <v>ÂNCORA CERÂMICA</v>
      </c>
      <c r="C75" s="230" t="s">
        <v>101</v>
      </c>
      <c r="D75" s="195" t="s">
        <v>102</v>
      </c>
      <c r="E75" s="195"/>
      <c r="F75" s="195"/>
      <c r="G75" s="195"/>
      <c r="H75" s="195"/>
      <c r="I75" s="195"/>
      <c r="J75" s="195" t="s">
        <v>103</v>
      </c>
      <c r="K75" s="195" t="s">
        <v>37</v>
      </c>
      <c r="L75" s="195" t="s">
        <v>39</v>
      </c>
      <c r="M75" s="195"/>
      <c r="N75" s="195" t="s">
        <v>106</v>
      </c>
      <c r="O75" s="195" t="s">
        <v>68</v>
      </c>
      <c r="P75" s="195" t="s">
        <v>69</v>
      </c>
      <c r="Q75" s="195" t="s">
        <v>107</v>
      </c>
      <c r="R75" s="195" t="s">
        <v>53</v>
      </c>
      <c r="S75" s="195" t="s">
        <v>40</v>
      </c>
      <c r="T75" s="195" t="s">
        <v>26</v>
      </c>
      <c r="U75" s="195" t="s">
        <v>38</v>
      </c>
      <c r="V75" s="195" t="s">
        <v>27</v>
      </c>
      <c r="W75" s="231"/>
      <c r="X75" s="232"/>
      <c r="Z75" s="198"/>
      <c r="AA75" s="198"/>
    </row>
    <row r="76" spans="1:27" s="197" customFormat="1" ht="15" customHeight="1" thickBot="1">
      <c r="A76" s="226"/>
      <c r="B76" s="205"/>
      <c r="C76" s="144">
        <f>SUMIF(Densidades!A:A,'Memória TOTAL'!X76,Densidades!B:B)</f>
        <v>0</v>
      </c>
      <c r="D76" s="145">
        <f>SUMIF(Densidades!A:A,'Memória TOTAL'!X76,Densidades!C:C)</f>
        <v>0</v>
      </c>
      <c r="E76" s="145"/>
      <c r="F76" s="145"/>
      <c r="G76" s="145"/>
      <c r="H76" s="145"/>
      <c r="I76" s="145"/>
      <c r="J76" s="147">
        <f>SUMIF(Formatos!A:A,'Memória TOTAL'!X77,Formatos!G:G)</f>
        <v>0</v>
      </c>
      <c r="K76" s="233">
        <f>SUMIF(Densidades!A:A,'Memória TOTAL'!X76,Densidades!I:I)</f>
        <v>0</v>
      </c>
      <c r="L76" s="234">
        <v>0</v>
      </c>
      <c r="M76" s="206"/>
      <c r="N76" s="206"/>
      <c r="O76" s="206"/>
      <c r="P76" s="206"/>
      <c r="Q76" s="206"/>
      <c r="R76" s="206"/>
      <c r="S76" s="206"/>
      <c r="T76" s="206"/>
      <c r="U76" s="206"/>
      <c r="V76" s="208"/>
      <c r="W76" s="204" t="str">
        <f>IF(C76=0,"",ROUNDUP(SUM(V78:V82)*(1+L76),0))</f>
        <v/>
      </c>
      <c r="X76" s="274"/>
      <c r="Z76" s="198"/>
      <c r="AA76" s="198"/>
    </row>
    <row r="77" spans="1:27" s="197" customFormat="1" ht="15" customHeight="1" thickBot="1">
      <c r="A77" s="226"/>
      <c r="B77" s="205"/>
      <c r="C77" s="211"/>
      <c r="D77" s="206"/>
      <c r="E77" s="206"/>
      <c r="F77" s="206"/>
      <c r="G77" s="206"/>
      <c r="H77" s="206"/>
      <c r="I77" s="206"/>
      <c r="J77" s="207"/>
      <c r="K77" s="207"/>
      <c r="L77" s="155"/>
      <c r="M77" s="206"/>
      <c r="N77" s="206"/>
      <c r="O77" s="206"/>
      <c r="P77" s="206"/>
      <c r="Q77" s="206"/>
      <c r="R77" s="206"/>
      <c r="S77" s="206"/>
      <c r="T77" s="206"/>
      <c r="U77" s="206"/>
      <c r="V77" s="208"/>
      <c r="W77" s="196"/>
      <c r="X77" s="274"/>
      <c r="Z77" s="198"/>
      <c r="AA77" s="198"/>
    </row>
    <row r="78" spans="1:27" s="197" customFormat="1" ht="15" customHeight="1" thickBot="1">
      <c r="A78" s="290"/>
      <c r="B78" s="179"/>
      <c r="C78" s="211"/>
      <c r="D78" s="206"/>
      <c r="E78" s="206"/>
      <c r="F78" s="206"/>
      <c r="G78" s="206"/>
      <c r="H78" s="206"/>
      <c r="I78" s="206"/>
      <c r="J78" s="207"/>
      <c r="K78" s="207"/>
      <c r="L78" s="155"/>
      <c r="M78" s="206"/>
      <c r="N78" s="206"/>
      <c r="O78" s="206"/>
      <c r="P78" s="206"/>
      <c r="Q78" s="206"/>
      <c r="R78" s="206"/>
      <c r="S78" s="206"/>
      <c r="T78" s="206"/>
      <c r="U78" s="206"/>
      <c r="V78" s="208"/>
      <c r="W78" s="196"/>
      <c r="X78" s="152" t="s">
        <v>524</v>
      </c>
      <c r="Z78" s="198"/>
      <c r="AA78" s="198"/>
    </row>
    <row r="79" spans="1:27" s="197" customFormat="1" ht="15" customHeight="1" thickBot="1">
      <c r="A79" s="225"/>
      <c r="B79" s="345"/>
      <c r="C79" s="235"/>
      <c r="D79" s="212"/>
      <c r="E79" s="212"/>
      <c r="F79" s="212"/>
      <c r="G79" s="212"/>
      <c r="H79" s="212"/>
      <c r="I79" s="212"/>
      <c r="J79" s="245"/>
      <c r="K79" s="245"/>
      <c r="L79" s="173"/>
      <c r="M79" s="212"/>
      <c r="N79" s="174"/>
      <c r="O79" s="174"/>
      <c r="P79" s="268"/>
      <c r="Q79" s="174"/>
      <c r="R79" s="212"/>
      <c r="S79" s="268"/>
      <c r="T79" s="238" t="str">
        <f>IF(P79="","-",ROUNDUP(S79/P79/P79,0))</f>
        <v>-</v>
      </c>
      <c r="U79" s="268"/>
      <c r="V79" s="239" t="str">
        <f>IF(T79="-","-",ROUNDUP(T79*U79,0))</f>
        <v>-</v>
      </c>
      <c r="W79" s="240"/>
      <c r="X79" s="241"/>
      <c r="Z79" s="198"/>
      <c r="AA79" s="198"/>
    </row>
    <row r="80" spans="1:27" s="197" customFormat="1" ht="15" customHeight="1" thickBot="1">
      <c r="A80" s="226"/>
      <c r="B80" s="345"/>
      <c r="C80" s="235"/>
      <c r="D80" s="212"/>
      <c r="E80" s="212"/>
      <c r="F80" s="212"/>
      <c r="G80" s="212"/>
      <c r="H80" s="212"/>
      <c r="I80" s="212"/>
      <c r="J80" s="245"/>
      <c r="K80" s="245"/>
      <c r="L80" s="173"/>
      <c r="M80" s="212" t="str">
        <f>IF(Q80="","",ROUND(Q80/P80,0))</f>
        <v/>
      </c>
      <c r="N80" s="268"/>
      <c r="O80" s="268"/>
      <c r="P80" s="171"/>
      <c r="Q80" s="171"/>
      <c r="R80" s="268">
        <v>360</v>
      </c>
      <c r="S80" s="212"/>
      <c r="T80" s="238" t="e">
        <f>ROUNDUP(N80*PI()/O80/360*R80,)</f>
        <v>#DIV/0!</v>
      </c>
      <c r="U80" s="268"/>
      <c r="V80" s="239" t="str">
        <f>IFERROR(IF(T80="-","-",ROUNDUP(T80*U80,0)),"-")</f>
        <v>-</v>
      </c>
      <c r="W80" s="240"/>
      <c r="X80" s="241"/>
      <c r="Z80" s="198"/>
      <c r="AA80" s="198"/>
    </row>
    <row r="81" spans="1:27" s="197" customFormat="1" ht="15" customHeight="1" thickBot="1">
      <c r="A81" s="225"/>
      <c r="B81" s="345"/>
      <c r="C81" s="235"/>
      <c r="D81" s="212"/>
      <c r="E81" s="212"/>
      <c r="F81" s="212"/>
      <c r="G81" s="212"/>
      <c r="H81" s="212"/>
      <c r="I81" s="212"/>
      <c r="J81" s="245"/>
      <c r="K81" s="245"/>
      <c r="L81" s="173"/>
      <c r="M81" s="212" t="str">
        <f>IF(Q81="","",ROUND(Q81/P81,0))</f>
        <v/>
      </c>
      <c r="N81" s="268"/>
      <c r="O81" s="268"/>
      <c r="P81" s="268"/>
      <c r="Q81" s="268"/>
      <c r="R81" s="268">
        <v>360</v>
      </c>
      <c r="S81" s="212"/>
      <c r="T81" s="238" t="str">
        <f>IF(P81="","-",(ROUND(PI()*N81/O81*R81/360,0))*(ROUND(Q81/P81,0)))</f>
        <v>-</v>
      </c>
      <c r="U81" s="268"/>
      <c r="V81" s="239" t="str">
        <f>IF(T81="-","-",ROUNDUP(T81*U81,0))</f>
        <v>-</v>
      </c>
      <c r="W81" s="240"/>
      <c r="X81" s="241"/>
      <c r="Z81" s="198"/>
      <c r="AA81" s="198"/>
    </row>
    <row r="82" spans="1:27" s="197" customFormat="1" ht="15" customHeight="1">
      <c r="A82" s="225"/>
      <c r="B82" s="178"/>
      <c r="C82" s="211"/>
      <c r="D82" s="206"/>
      <c r="E82" s="206"/>
      <c r="F82" s="206"/>
      <c r="G82" s="206"/>
      <c r="H82" s="206"/>
      <c r="I82" s="206"/>
      <c r="J82" s="207"/>
      <c r="K82" s="207"/>
      <c r="L82" s="155"/>
      <c r="M82" s="206"/>
      <c r="N82" s="206"/>
      <c r="O82" s="162"/>
      <c r="P82" s="168"/>
      <c r="Q82" s="162"/>
      <c r="R82" s="206"/>
      <c r="S82" s="206"/>
      <c r="T82" s="206"/>
      <c r="U82" s="206"/>
      <c r="V82" s="208"/>
      <c r="W82" s="196"/>
      <c r="X82" s="152"/>
      <c r="Z82" s="198"/>
      <c r="AA82" s="198"/>
    </row>
    <row r="83" spans="1:27" s="197" customFormat="1" ht="15" customHeight="1" thickBot="1">
      <c r="A83" s="225"/>
      <c r="B83" s="178"/>
      <c r="C83" s="211"/>
      <c r="D83" s="206"/>
      <c r="E83" s="206"/>
      <c r="F83" s="206"/>
      <c r="G83" s="206"/>
      <c r="H83" s="206"/>
      <c r="I83" s="206"/>
      <c r="J83" s="207"/>
      <c r="K83" s="207"/>
      <c r="L83" s="155"/>
      <c r="M83" s="206"/>
      <c r="N83" s="206"/>
      <c r="O83" s="162"/>
      <c r="P83" s="168"/>
      <c r="Q83" s="162"/>
      <c r="R83" s="206"/>
      <c r="S83" s="206"/>
      <c r="T83" s="206"/>
      <c r="U83" s="206"/>
      <c r="V83" s="208"/>
      <c r="W83" s="196"/>
      <c r="X83" s="152"/>
      <c r="Z83" s="198"/>
      <c r="AA83" s="198"/>
    </row>
    <row r="84" spans="1:27" s="197" customFormat="1" ht="15" customHeight="1" thickBot="1">
      <c r="A84" s="226"/>
      <c r="B84" s="205"/>
      <c r="C84" s="144">
        <f>SUMIF(Densidades!A:A,'Memória TOTAL'!X84,Densidades!B:B)</f>
        <v>0</v>
      </c>
      <c r="D84" s="145">
        <f>SUMIF(Densidades!A:A,'Memória TOTAL'!X84,Densidades!C:C)</f>
        <v>0</v>
      </c>
      <c r="E84" s="145"/>
      <c r="F84" s="145"/>
      <c r="G84" s="145"/>
      <c r="H84" s="145"/>
      <c r="I84" s="145"/>
      <c r="J84" s="147">
        <f>SUMIF(Formatos!A:A,'Memória TOTAL'!X85,Formatos!G:G)</f>
        <v>0</v>
      </c>
      <c r="K84" s="233">
        <f>SUMIF(Densidades!A:A,'Memória TOTAL'!X84,Densidades!I:I)</f>
        <v>0</v>
      </c>
      <c r="L84" s="155"/>
      <c r="M84" s="206"/>
      <c r="N84" s="206"/>
      <c r="O84" s="206"/>
      <c r="P84" s="206"/>
      <c r="Q84" s="206"/>
      <c r="R84" s="206"/>
      <c r="S84" s="206"/>
      <c r="T84" s="206"/>
      <c r="U84" s="206"/>
      <c r="V84" s="244"/>
      <c r="W84" s="204" t="str">
        <f>W76</f>
        <v/>
      </c>
      <c r="X84" s="274"/>
      <c r="Z84" s="198"/>
      <c r="AA84" s="198"/>
    </row>
    <row r="85" spans="1:27" s="197" customFormat="1" ht="15" customHeight="1" thickBot="1">
      <c r="A85" s="226"/>
      <c r="B85" s="205"/>
      <c r="C85" s="211"/>
      <c r="D85" s="206"/>
      <c r="E85" s="206"/>
      <c r="F85" s="206"/>
      <c r="G85" s="206"/>
      <c r="H85" s="206"/>
      <c r="I85" s="206"/>
      <c r="J85" s="207"/>
      <c r="K85" s="207"/>
      <c r="L85" s="155"/>
      <c r="M85" s="206"/>
      <c r="N85" s="206"/>
      <c r="O85" s="206"/>
      <c r="P85" s="206"/>
      <c r="Q85" s="206"/>
      <c r="R85" s="206"/>
      <c r="S85" s="206"/>
      <c r="T85" s="206"/>
      <c r="U85" s="206"/>
      <c r="V85" s="208"/>
      <c r="W85" s="196"/>
      <c r="X85" s="274"/>
      <c r="Z85" s="198"/>
      <c r="AA85" s="198"/>
    </row>
    <row r="86" spans="1:27" s="197" customFormat="1" ht="15" customHeight="1">
      <c r="A86" s="290"/>
      <c r="B86" s="205"/>
      <c r="C86" s="211"/>
      <c r="D86" s="206"/>
      <c r="E86" s="206"/>
      <c r="F86" s="206"/>
      <c r="G86" s="206"/>
      <c r="H86" s="206"/>
      <c r="I86" s="206"/>
      <c r="J86" s="207"/>
      <c r="K86" s="207"/>
      <c r="L86" s="155"/>
      <c r="M86" s="206"/>
      <c r="N86" s="206"/>
      <c r="O86" s="206"/>
      <c r="P86" s="206"/>
      <c r="Q86" s="206"/>
      <c r="R86" s="206"/>
      <c r="S86" s="206"/>
      <c r="T86" s="206"/>
      <c r="U86" s="206"/>
      <c r="V86" s="208"/>
      <c r="W86" s="196"/>
      <c r="X86" s="152" t="s">
        <v>524</v>
      </c>
      <c r="Z86" s="198"/>
      <c r="AA86" s="198"/>
    </row>
    <row r="87" spans="1:27" s="197" customFormat="1" ht="15" customHeight="1" thickBot="1">
      <c r="A87" s="225"/>
      <c r="B87" s="205"/>
      <c r="C87" s="211"/>
      <c r="D87" s="206"/>
      <c r="E87" s="206"/>
      <c r="F87" s="206"/>
      <c r="G87" s="206"/>
      <c r="H87" s="206"/>
      <c r="I87" s="206"/>
      <c r="J87" s="207"/>
      <c r="K87" s="207"/>
      <c r="L87" s="155"/>
      <c r="M87" s="206"/>
      <c r="N87" s="206"/>
      <c r="O87" s="206"/>
      <c r="P87" s="206"/>
      <c r="Q87" s="206"/>
      <c r="R87" s="206"/>
      <c r="S87" s="206"/>
      <c r="T87" s="206"/>
      <c r="U87" s="206"/>
      <c r="V87" s="208"/>
      <c r="W87" s="196"/>
      <c r="X87" s="152"/>
      <c r="Z87" s="198"/>
      <c r="AA87" s="198"/>
    </row>
    <row r="88" spans="1:27" s="197" customFormat="1" ht="15" customHeight="1" thickBot="1">
      <c r="A88" s="225"/>
      <c r="B88" s="205"/>
      <c r="C88" s="144">
        <f>SUMIF(Densidades!A:A,'Memória TOTAL'!X88,Densidades!B:B)</f>
        <v>0</v>
      </c>
      <c r="D88" s="145">
        <f>SUMIF(Densidades!A:A,'Memória TOTAL'!X88,Densidades!C:C)</f>
        <v>0</v>
      </c>
      <c r="E88" s="145"/>
      <c r="F88" s="145"/>
      <c r="G88" s="145"/>
      <c r="H88" s="145"/>
      <c r="I88" s="145"/>
      <c r="J88" s="147">
        <f>SUMIF(Formatos!A:A,'Memória TOTAL'!X89,Formatos!G:G)</f>
        <v>0</v>
      </c>
      <c r="K88" s="233">
        <f>SUMIF(Densidades!A:A,'Memória TOTAL'!X88,Densidades!I:I)</f>
        <v>0</v>
      </c>
      <c r="L88" s="155"/>
      <c r="M88" s="206"/>
      <c r="N88" s="206"/>
      <c r="O88" s="206"/>
      <c r="P88" s="206"/>
      <c r="Q88" s="206"/>
      <c r="R88" s="206"/>
      <c r="S88" s="206"/>
      <c r="T88" s="206"/>
      <c r="U88" s="206"/>
      <c r="V88" s="244"/>
      <c r="W88" s="204" t="str">
        <f>W84</f>
        <v/>
      </c>
      <c r="X88" s="274"/>
      <c r="Z88" s="198"/>
      <c r="AA88" s="198"/>
    </row>
    <row r="89" spans="1:27" s="197" customFormat="1" ht="15" customHeight="1" thickBot="1">
      <c r="A89" s="225"/>
      <c r="B89" s="205"/>
      <c r="C89" s="211"/>
      <c r="D89" s="206"/>
      <c r="E89" s="206"/>
      <c r="F89" s="206"/>
      <c r="G89" s="206"/>
      <c r="H89" s="206"/>
      <c r="I89" s="206"/>
      <c r="J89" s="207"/>
      <c r="K89" s="207"/>
      <c r="L89" s="155"/>
      <c r="M89" s="206"/>
      <c r="N89" s="206"/>
      <c r="O89" s="206"/>
      <c r="P89" s="206"/>
      <c r="Q89" s="206"/>
      <c r="R89" s="206"/>
      <c r="S89" s="206"/>
      <c r="T89" s="206"/>
      <c r="U89" s="206"/>
      <c r="V89" s="208"/>
      <c r="W89" s="196"/>
      <c r="X89" s="274"/>
      <c r="Z89" s="198"/>
      <c r="AA89" s="198"/>
    </row>
    <row r="90" spans="1:27" s="197" customFormat="1" ht="15" customHeight="1">
      <c r="A90" s="225"/>
      <c r="B90" s="205"/>
      <c r="C90" s="211"/>
      <c r="D90" s="206"/>
      <c r="E90" s="206"/>
      <c r="F90" s="206"/>
      <c r="G90" s="206"/>
      <c r="H90" s="206"/>
      <c r="I90" s="206"/>
      <c r="J90" s="207"/>
      <c r="K90" s="207"/>
      <c r="L90" s="155"/>
      <c r="M90" s="206"/>
      <c r="N90" s="206"/>
      <c r="O90" s="206"/>
      <c r="P90" s="206"/>
      <c r="Q90" s="206"/>
      <c r="R90" s="206"/>
      <c r="S90" s="206"/>
      <c r="T90" s="206"/>
      <c r="U90" s="206"/>
      <c r="V90" s="208"/>
      <c r="W90" s="196"/>
      <c r="X90" s="152" t="s">
        <v>524</v>
      </c>
      <c r="Z90" s="198"/>
      <c r="AA90" s="198"/>
    </row>
    <row r="91" spans="1:27" s="197" customFormat="1" ht="15" customHeight="1">
      <c r="A91" s="226"/>
      <c r="B91" s="205"/>
      <c r="C91" s="211"/>
      <c r="D91" s="206"/>
      <c r="E91" s="206"/>
      <c r="F91" s="206"/>
      <c r="G91" s="206"/>
      <c r="H91" s="206"/>
      <c r="I91" s="206"/>
      <c r="J91" s="207"/>
      <c r="K91" s="207"/>
      <c r="L91" s="155"/>
      <c r="M91" s="206"/>
      <c r="N91" s="206"/>
      <c r="O91" s="206"/>
      <c r="P91" s="206"/>
      <c r="Q91" s="206"/>
      <c r="R91" s="206"/>
      <c r="S91" s="206"/>
      <c r="T91" s="206"/>
      <c r="U91" s="206"/>
      <c r="V91" s="208"/>
      <c r="W91" s="196"/>
      <c r="X91" s="152"/>
      <c r="Z91" s="198"/>
      <c r="AA91" s="198"/>
    </row>
    <row r="92" spans="1:27" s="197" customFormat="1" ht="15" customHeight="1" thickBot="1">
      <c r="A92" s="226"/>
      <c r="B92" s="205"/>
      <c r="C92" s="211"/>
      <c r="D92" s="206"/>
      <c r="E92" s="206"/>
      <c r="F92" s="206"/>
      <c r="G92" s="206"/>
      <c r="H92" s="206"/>
      <c r="I92" s="206"/>
      <c r="J92" s="207"/>
      <c r="K92" s="207"/>
      <c r="L92" s="155"/>
      <c r="M92" s="206"/>
      <c r="N92" s="206"/>
      <c r="O92" s="206"/>
      <c r="P92" s="206"/>
      <c r="Q92" s="206"/>
      <c r="R92" s="206"/>
      <c r="S92" s="206"/>
      <c r="T92" s="206"/>
      <c r="U92" s="206"/>
      <c r="V92" s="208"/>
      <c r="W92" s="196"/>
      <c r="X92" s="152"/>
      <c r="Z92" s="198"/>
      <c r="AA92" s="198"/>
    </row>
    <row r="93" spans="1:27" s="197" customFormat="1" ht="15" customHeight="1" thickBot="1">
      <c r="A93" s="290"/>
      <c r="B93" s="205"/>
      <c r="C93" s="144">
        <f>SUMIF(Densidades!A:A,'Memória TOTAL'!X93,Densidades!B:B)</f>
        <v>0.128</v>
      </c>
      <c r="D93" s="145">
        <f>SUMIF(Densidades!A:A,'Memória TOTAL'!X93,Densidades!C:C)</f>
        <v>1</v>
      </c>
      <c r="E93" s="146">
        <f>SUMIF(Formatos!A:A,'Memória TOTAL'!X94,Formatos!E:E)</f>
        <v>6</v>
      </c>
      <c r="F93" s="146">
        <f>SUMIF(Formatos!A:A,'Memória TOTAL'!X94,Formatos!F:F)</f>
        <v>6</v>
      </c>
      <c r="G93" s="146">
        <f>SUMIF(Formatos!A:A,'Memória TOTAL'!X94,Formatos!C:C)</f>
        <v>5500</v>
      </c>
      <c r="H93" s="146">
        <f>SUMIF(Formatos!A:A,'Memória TOTAL'!X94,Formatos!D:D)</f>
        <v>610</v>
      </c>
      <c r="I93" s="145"/>
      <c r="J93" s="147">
        <f>SUMIF(Formatos!A:A,'Memória TOTAL'!X94,Formatos!G:G)</f>
        <v>20.13</v>
      </c>
      <c r="K93" s="233">
        <f>SUMIF(Densidades!A:A,'Memória TOTAL'!X93,Densidades!I:I)</f>
        <v>4</v>
      </c>
      <c r="L93" s="234">
        <v>0</v>
      </c>
      <c r="M93" s="206"/>
      <c r="N93" s="206"/>
      <c r="O93" s="206"/>
      <c r="P93" s="195" t="s">
        <v>2209</v>
      </c>
      <c r="Q93" s="195" t="s">
        <v>2212</v>
      </c>
      <c r="R93" s="195" t="s">
        <v>2211</v>
      </c>
      <c r="S93" s="195" t="s">
        <v>40</v>
      </c>
      <c r="T93" s="195" t="s">
        <v>26</v>
      </c>
      <c r="U93" s="195" t="s">
        <v>38</v>
      </c>
      <c r="V93" s="195" t="s">
        <v>27</v>
      </c>
      <c r="W93" s="204">
        <f>IF(C93=0,"",ROUNDUP(SUM(V94:V94)*(1+L93),0))</f>
        <v>0</v>
      </c>
      <c r="X93" s="274" t="s">
        <v>1807</v>
      </c>
      <c r="Z93" s="198"/>
      <c r="AA93" s="198"/>
    </row>
    <row r="94" spans="1:27" s="197" customFormat="1" ht="15" customHeight="1" thickBot="1">
      <c r="A94" s="225"/>
      <c r="B94" s="205"/>
      <c r="C94" s="211"/>
      <c r="D94" s="206"/>
      <c r="E94" s="206"/>
      <c r="F94" s="206"/>
      <c r="G94" s="206"/>
      <c r="H94" s="206"/>
      <c r="I94" s="206"/>
      <c r="J94" s="207"/>
      <c r="K94" s="207"/>
      <c r="L94" s="155"/>
      <c r="M94" s="206"/>
      <c r="N94" s="206"/>
      <c r="O94" s="206"/>
      <c r="P94" s="268"/>
      <c r="Q94" s="238">
        <f>130*4</f>
        <v>520</v>
      </c>
      <c r="R94" s="268"/>
      <c r="S94" s="238">
        <f>Q94*R94</f>
        <v>0</v>
      </c>
      <c r="T94" s="238">
        <f>ROUNDUP(S94/10^6*(1+L93),2)</f>
        <v>0</v>
      </c>
      <c r="U94" s="237" t="str">
        <f>W76</f>
        <v/>
      </c>
      <c r="V94" s="239" t="str">
        <f>IF(U94="","-",IF(COUNTIF(E93:H93,P94)&lt;1,"Esp. Errada",ROUNDUP((S94*U94)/(IF(P94=E93,1,E93)*IF(P94=G93,1,G93)*IF(P94=H93,1,H93)),0)))</f>
        <v>-</v>
      </c>
      <c r="W94" s="196"/>
      <c r="X94" s="274" t="s">
        <v>2210</v>
      </c>
      <c r="Z94" s="198"/>
      <c r="AA94" s="198"/>
    </row>
    <row r="95" spans="1:27" s="197" customFormat="1" ht="15" customHeight="1">
      <c r="A95" s="225"/>
      <c r="B95" s="205"/>
      <c r="C95" s="211"/>
      <c r="D95" s="206"/>
      <c r="E95" s="206"/>
      <c r="F95" s="206"/>
      <c r="G95" s="206"/>
      <c r="H95" s="206"/>
      <c r="I95" s="206"/>
      <c r="J95" s="207"/>
      <c r="K95" s="207"/>
      <c r="L95" s="155"/>
      <c r="M95" s="206"/>
      <c r="N95" s="206"/>
      <c r="O95" s="206"/>
      <c r="P95" s="206"/>
      <c r="Q95" s="206"/>
      <c r="R95" s="206"/>
      <c r="S95" s="206"/>
      <c r="T95" s="206"/>
      <c r="U95" s="206"/>
      <c r="V95" s="208"/>
      <c r="W95" s="196"/>
      <c r="X95" s="152" t="s">
        <v>524</v>
      </c>
      <c r="Z95" s="198"/>
      <c r="AA95" s="198"/>
    </row>
    <row r="96" spans="1:27" s="197" customFormat="1" ht="15" customHeight="1">
      <c r="A96" s="225"/>
      <c r="B96" s="205"/>
      <c r="C96" s="211"/>
      <c r="D96" s="206"/>
      <c r="E96" s="206"/>
      <c r="F96" s="206"/>
      <c r="G96" s="206"/>
      <c r="H96" s="206"/>
      <c r="I96" s="206"/>
      <c r="J96" s="207"/>
      <c r="K96" s="207"/>
      <c r="L96" s="155"/>
      <c r="M96" s="206"/>
      <c r="N96" s="206"/>
      <c r="O96" s="206"/>
      <c r="P96" s="206"/>
      <c r="Q96" s="206"/>
      <c r="R96" s="206"/>
      <c r="S96" s="206"/>
      <c r="T96" s="206"/>
      <c r="U96" s="206"/>
      <c r="V96" s="208"/>
      <c r="W96" s="196"/>
      <c r="X96" s="152"/>
      <c r="Z96" s="198"/>
      <c r="AA96" s="198"/>
    </row>
    <row r="97" spans="1:27" s="166" customFormat="1" ht="15" customHeight="1" thickBot="1">
      <c r="A97" s="225"/>
      <c r="B97" s="524"/>
      <c r="C97" s="524"/>
      <c r="D97" s="527"/>
      <c r="E97" s="527"/>
      <c r="F97" s="527"/>
      <c r="G97" s="527"/>
      <c r="H97" s="527"/>
      <c r="I97" s="527"/>
      <c r="J97" s="527"/>
      <c r="K97" s="527"/>
      <c r="L97" s="527"/>
      <c r="M97" s="527"/>
      <c r="N97" s="527"/>
      <c r="O97" s="527"/>
      <c r="P97" s="527"/>
      <c r="Q97" s="527"/>
      <c r="R97" s="527"/>
      <c r="S97" s="527"/>
      <c r="T97" s="527"/>
      <c r="U97" s="527"/>
      <c r="V97" s="527"/>
      <c r="W97" s="527"/>
      <c r="X97" s="528"/>
      <c r="Z97" s="167"/>
      <c r="AA97" s="167"/>
    </row>
    <row r="98" spans="1:27" s="197" customFormat="1" ht="15" customHeight="1" thickBot="1">
      <c r="A98" s="290"/>
      <c r="B98" s="284" t="str">
        <f>IF(X99="","ELETRODO ÂNCORA",X99)</f>
        <v>SPECIAL ELECTRODE ST</v>
      </c>
      <c r="C98" s="230" t="s">
        <v>101</v>
      </c>
      <c r="D98" s="195" t="s">
        <v>102</v>
      </c>
      <c r="E98" s="195"/>
      <c r="F98" s="195"/>
      <c r="G98" s="195"/>
      <c r="H98" s="195"/>
      <c r="I98" s="195"/>
      <c r="J98" s="195" t="s">
        <v>103</v>
      </c>
      <c r="K98" s="195" t="s">
        <v>37</v>
      </c>
      <c r="L98" s="195" t="s">
        <v>39</v>
      </c>
      <c r="M98" s="195"/>
      <c r="N98" s="195"/>
      <c r="O98" s="195"/>
      <c r="P98" s="195"/>
      <c r="Q98" s="195"/>
      <c r="R98" s="195"/>
      <c r="S98" s="195"/>
      <c r="T98" s="195"/>
      <c r="U98" s="195" t="s">
        <v>38</v>
      </c>
      <c r="V98" s="195" t="s">
        <v>27</v>
      </c>
      <c r="W98" s="231"/>
      <c r="X98" s="232"/>
      <c r="Z98" s="198"/>
      <c r="AA98" s="198"/>
    </row>
    <row r="99" spans="1:27" s="197" customFormat="1" ht="15" customHeight="1" thickBot="1">
      <c r="A99" s="225"/>
      <c r="B99" s="205"/>
      <c r="C99" s="144">
        <f>SUMIF(Densidades!A:A,'Memória TOTAL'!X99,Densidades!B:B)</f>
        <v>1</v>
      </c>
      <c r="D99" s="145">
        <f>SUMIF(Densidades!A:A,'Memória TOTAL'!X99,Densidades!C:C)</f>
        <v>140</v>
      </c>
      <c r="E99" s="145"/>
      <c r="F99" s="145"/>
      <c r="G99" s="145"/>
      <c r="H99" s="145"/>
      <c r="I99" s="145"/>
      <c r="J99" s="147">
        <f>SUMIF(Formatos!A:A,'Memória TOTAL'!X100,Formatos!G:G)</f>
        <v>0</v>
      </c>
      <c r="K99" s="233">
        <f>SUMIF(Densidades!A:A,'Memória TOTAL'!X99,Densidades!I:I)</f>
        <v>9</v>
      </c>
      <c r="L99" s="234">
        <v>0</v>
      </c>
      <c r="M99" s="206"/>
      <c r="N99" s="206"/>
      <c r="O99" s="206"/>
      <c r="P99" s="206"/>
      <c r="Q99" s="206"/>
      <c r="R99" s="206"/>
      <c r="S99" s="206"/>
      <c r="T99" s="206"/>
      <c r="U99" s="206"/>
      <c r="V99" s="208"/>
      <c r="W99" s="204">
        <f>IF(C99=0,"",ROUNDUP(SUM(V102:V104)*(1+L99),0))</f>
        <v>0</v>
      </c>
      <c r="X99" s="274" t="s">
        <v>1084</v>
      </c>
      <c r="Z99" s="198"/>
      <c r="AA99" s="198"/>
    </row>
    <row r="100" spans="1:27" s="197" customFormat="1" ht="15" customHeight="1" thickBot="1">
      <c r="A100" s="225"/>
      <c r="B100" s="205"/>
      <c r="C100" s="211"/>
      <c r="D100" s="206"/>
      <c r="E100" s="206"/>
      <c r="F100" s="206"/>
      <c r="G100" s="206"/>
      <c r="H100" s="206"/>
      <c r="I100" s="206"/>
      <c r="J100" s="207"/>
      <c r="K100" s="207"/>
      <c r="L100" s="155"/>
      <c r="M100" s="206"/>
      <c r="N100" s="206"/>
      <c r="O100" s="206"/>
      <c r="P100" s="206"/>
      <c r="Q100" s="206"/>
      <c r="R100" s="206"/>
      <c r="S100" s="206"/>
      <c r="T100" s="206"/>
      <c r="U100" s="206"/>
      <c r="V100" s="208"/>
      <c r="W100" s="196"/>
      <c r="X100" s="274" t="s">
        <v>1079</v>
      </c>
      <c r="Z100" s="198"/>
      <c r="AA100" s="198"/>
    </row>
    <row r="101" spans="1:27" s="197" customFormat="1" ht="15" customHeight="1" thickBot="1">
      <c r="A101" s="225"/>
      <c r="B101" s="179"/>
      <c r="C101" s="211"/>
      <c r="D101" s="206"/>
      <c r="E101" s="206"/>
      <c r="F101" s="206"/>
      <c r="G101" s="206"/>
      <c r="H101" s="206"/>
      <c r="I101" s="206"/>
      <c r="J101" s="207"/>
      <c r="K101" s="207"/>
      <c r="L101" s="155"/>
      <c r="M101" s="206"/>
      <c r="N101" s="206"/>
      <c r="O101" s="206"/>
      <c r="P101" s="206"/>
      <c r="Q101" s="206"/>
      <c r="R101" s="206"/>
      <c r="S101" s="206"/>
      <c r="T101" s="206"/>
      <c r="U101" s="206"/>
      <c r="V101" s="208"/>
      <c r="W101" s="196"/>
      <c r="X101" s="152" t="s">
        <v>524</v>
      </c>
      <c r="Z101" s="198"/>
      <c r="AA101" s="198"/>
    </row>
    <row r="102" spans="1:27" s="197" customFormat="1" ht="15" customHeight="1" thickBot="1">
      <c r="A102" s="225"/>
      <c r="B102" s="169" t="s">
        <v>1081</v>
      </c>
      <c r="C102" s="235"/>
      <c r="D102" s="212"/>
      <c r="E102" s="212"/>
      <c r="F102" s="212"/>
      <c r="G102" s="212"/>
      <c r="H102" s="212"/>
      <c r="I102" s="212"/>
      <c r="J102" s="245"/>
      <c r="K102" s="245"/>
      <c r="L102" s="173"/>
      <c r="M102" s="212"/>
      <c r="N102" s="174"/>
      <c r="O102" s="212"/>
      <c r="P102" s="212"/>
      <c r="Q102" s="212"/>
      <c r="R102" s="212"/>
      <c r="S102" s="212"/>
      <c r="T102" s="238"/>
      <c r="U102" s="268"/>
      <c r="V102" s="351">
        <f>U102/2/D99</f>
        <v>0</v>
      </c>
      <c r="W102" s="240"/>
      <c r="X102" s="241"/>
      <c r="Z102" s="198"/>
      <c r="AA102" s="198"/>
    </row>
    <row r="103" spans="1:27" s="197" customFormat="1" ht="15" customHeight="1" thickBot="1">
      <c r="A103" s="226"/>
      <c r="B103" s="169" t="s">
        <v>1096</v>
      </c>
      <c r="C103" s="235"/>
      <c r="D103" s="212"/>
      <c r="E103" s="212"/>
      <c r="F103" s="212"/>
      <c r="G103" s="212"/>
      <c r="H103" s="212"/>
      <c r="I103" s="212"/>
      <c r="J103" s="245"/>
      <c r="K103" s="245"/>
      <c r="L103" s="173"/>
      <c r="M103" s="212" t="str">
        <f>IF(Q103="","",ROUND(Q103/P103,0))</f>
        <v/>
      </c>
      <c r="N103" s="174"/>
      <c r="O103" s="212"/>
      <c r="P103" s="212"/>
      <c r="Q103" s="212"/>
      <c r="R103" s="212"/>
      <c r="S103" s="212"/>
      <c r="T103" s="238"/>
      <c r="U103" s="268"/>
      <c r="V103" s="351">
        <f>U103/D99</f>
        <v>0</v>
      </c>
      <c r="W103" s="240"/>
      <c r="X103" s="241"/>
      <c r="Z103" s="198"/>
      <c r="AA103" s="198"/>
    </row>
    <row r="104" spans="1:27" s="197" customFormat="1" ht="15" customHeight="1">
      <c r="A104" s="226"/>
      <c r="B104" s="178"/>
      <c r="C104" s="211"/>
      <c r="D104" s="206"/>
      <c r="E104" s="206"/>
      <c r="F104" s="206"/>
      <c r="G104" s="206"/>
      <c r="H104" s="206"/>
      <c r="I104" s="206"/>
      <c r="J104" s="207"/>
      <c r="K104" s="207"/>
      <c r="L104" s="155"/>
      <c r="M104" s="206"/>
      <c r="N104" s="206"/>
      <c r="O104" s="162"/>
      <c r="P104" s="168"/>
      <c r="Q104" s="162"/>
      <c r="R104" s="206"/>
      <c r="S104" s="206"/>
      <c r="T104" s="206"/>
      <c r="U104" s="206"/>
      <c r="V104" s="208"/>
      <c r="W104" s="196"/>
      <c r="X104" s="152"/>
      <c r="Z104" s="198"/>
      <c r="AA104" s="198"/>
    </row>
    <row r="105" spans="1:27" s="197" customFormat="1" ht="15" customHeight="1" thickBot="1">
      <c r="A105" s="225"/>
      <c r="B105" s="524"/>
      <c r="C105" s="524"/>
      <c r="D105" s="527"/>
      <c r="E105" s="527"/>
      <c r="F105" s="527"/>
      <c r="G105" s="527"/>
      <c r="H105" s="527"/>
      <c r="I105" s="527"/>
      <c r="J105" s="527"/>
      <c r="K105" s="527"/>
      <c r="L105" s="527"/>
      <c r="M105" s="527"/>
      <c r="N105" s="527"/>
      <c r="O105" s="527"/>
      <c r="P105" s="527"/>
      <c r="Q105" s="527"/>
      <c r="R105" s="527"/>
      <c r="S105" s="527"/>
      <c r="T105" s="527"/>
      <c r="U105" s="527"/>
      <c r="V105" s="527"/>
      <c r="W105" s="527"/>
      <c r="X105" s="528"/>
      <c r="Z105" s="198"/>
      <c r="AA105" s="198"/>
    </row>
    <row r="106" spans="1:27" ht="15" customHeight="1" thickBot="1">
      <c r="A106" s="226"/>
      <c r="B106" s="284" t="str">
        <f>IF(X107="","TIJOLO PARALELO",X107)</f>
        <v>TIJOLO PARALELO</v>
      </c>
      <c r="C106" s="285" t="s">
        <v>101</v>
      </c>
      <c r="D106" s="286" t="s">
        <v>102</v>
      </c>
      <c r="E106" s="286" t="s">
        <v>42</v>
      </c>
      <c r="F106" s="286" t="s">
        <v>42</v>
      </c>
      <c r="G106" s="286" t="s">
        <v>43</v>
      </c>
      <c r="H106" s="286" t="s">
        <v>44</v>
      </c>
      <c r="I106" s="286" t="s">
        <v>47</v>
      </c>
      <c r="J106" s="286" t="s">
        <v>103</v>
      </c>
      <c r="K106" s="286" t="s">
        <v>37</v>
      </c>
      <c r="L106" s="286" t="s">
        <v>39</v>
      </c>
      <c r="M106" s="286" t="s">
        <v>41</v>
      </c>
      <c r="N106" s="286" t="s">
        <v>46</v>
      </c>
      <c r="O106" s="286" t="s">
        <v>67</v>
      </c>
      <c r="P106" s="286" t="s">
        <v>113</v>
      </c>
      <c r="Q106" s="286"/>
      <c r="R106" s="286"/>
      <c r="S106" s="286" t="s">
        <v>70</v>
      </c>
      <c r="T106" s="286" t="s">
        <v>26</v>
      </c>
      <c r="U106" s="286" t="s">
        <v>38</v>
      </c>
      <c r="V106" s="287" t="s">
        <v>27</v>
      </c>
      <c r="W106" s="288"/>
      <c r="X106" s="289"/>
    </row>
    <row r="107" spans="1:27" ht="15" customHeight="1" thickBot="1">
      <c r="A107" s="226"/>
      <c r="B107" s="221"/>
      <c r="C107" s="144">
        <f>SUMIF(Densidades!A:A,'Memória TOTAL'!X107,Densidades!B:B)</f>
        <v>0</v>
      </c>
      <c r="D107" s="145">
        <f>SUMIF(Densidades!A:A,'Memória TOTAL'!X107,Densidades!C:C)</f>
        <v>0</v>
      </c>
      <c r="E107" s="146">
        <f>SUMIF(Formatos!A:A,'Memória TOTAL'!X108,Formatos!E:E)</f>
        <v>0</v>
      </c>
      <c r="F107" s="146">
        <f>SUMIF(Formatos!A:A,'Memória TOTAL'!X108,Formatos!F:F)</f>
        <v>0</v>
      </c>
      <c r="G107" s="146">
        <f>SUMIF(Formatos!A:A,'Memória TOTAL'!X108,Formatos!C:C)</f>
        <v>0</v>
      </c>
      <c r="H107" s="146">
        <f>SUMIF(Formatos!A:A,'Memória TOTAL'!X108,Formatos!D:D)</f>
        <v>0</v>
      </c>
      <c r="I107" s="146">
        <f>SUMIF(Densidades!A:A,'Memória TOTAL'!X107,Densidades!H:H)</f>
        <v>0</v>
      </c>
      <c r="J107" s="147">
        <f>SUMIF(Formatos!A:A,'Memória TOTAL'!X108,Formatos!G:G)</f>
        <v>0</v>
      </c>
      <c r="K107" s="148">
        <f>SUMIF(Densidades!A:A,'Memória TOTAL'!X107,Densidades!I:I)</f>
        <v>0</v>
      </c>
      <c r="L107" s="149">
        <v>0</v>
      </c>
      <c r="M107" s="150"/>
      <c r="N107" s="268"/>
      <c r="O107" s="150"/>
      <c r="P107" s="150"/>
      <c r="Q107" s="150"/>
      <c r="R107" s="150"/>
      <c r="S107" s="150"/>
      <c r="T107" s="150"/>
      <c r="U107" s="150"/>
      <c r="V107" s="156"/>
      <c r="W107" s="204" t="str">
        <f>IF(C107=0,"",ROUNDUP(SUM(V110:V112)*(1+L107),0))</f>
        <v/>
      </c>
      <c r="X107" s="274"/>
      <c r="Y107" s="197"/>
    </row>
    <row r="108" spans="1:27" ht="15" customHeight="1" thickBot="1">
      <c r="A108" s="225"/>
      <c r="B108" s="222"/>
      <c r="C108" s="153"/>
      <c r="D108" s="150"/>
      <c r="E108" s="146">
        <f t="shared" ref="E108:K108" si="4">E107</f>
        <v>0</v>
      </c>
      <c r="F108" s="146">
        <f t="shared" si="4"/>
        <v>0</v>
      </c>
      <c r="G108" s="146">
        <f t="shared" si="4"/>
        <v>0</v>
      </c>
      <c r="H108" s="146">
        <f t="shared" si="4"/>
        <v>0</v>
      </c>
      <c r="I108" s="146">
        <f t="shared" si="4"/>
        <v>0</v>
      </c>
      <c r="J108" s="146">
        <f t="shared" si="4"/>
        <v>0</v>
      </c>
      <c r="K108" s="148">
        <f t="shared" si="4"/>
        <v>0</v>
      </c>
      <c r="L108" s="155"/>
      <c r="M108" s="150"/>
      <c r="N108" s="146">
        <f>N107</f>
        <v>0</v>
      </c>
      <c r="O108" s="150"/>
      <c r="P108" s="150"/>
      <c r="Q108" s="150"/>
      <c r="R108" s="150"/>
      <c r="S108" s="150"/>
      <c r="T108" s="150"/>
      <c r="U108" s="150"/>
      <c r="V108" s="156"/>
      <c r="W108" s="157"/>
      <c r="X108" s="274"/>
      <c r="Y108" s="197"/>
    </row>
    <row r="109" spans="1:27" ht="15" customHeight="1" thickBot="1">
      <c r="A109" s="225"/>
      <c r="B109" s="223" t="s">
        <v>71</v>
      </c>
      <c r="C109" s="153"/>
      <c r="D109" s="150"/>
      <c r="E109" s="146">
        <f t="shared" ref="E109:K109" si="5">E108</f>
        <v>0</v>
      </c>
      <c r="F109" s="146">
        <f t="shared" si="5"/>
        <v>0</v>
      </c>
      <c r="G109" s="146">
        <f t="shared" si="5"/>
        <v>0</v>
      </c>
      <c r="H109" s="146">
        <f t="shared" si="5"/>
        <v>0</v>
      </c>
      <c r="I109" s="146">
        <f t="shared" si="5"/>
        <v>0</v>
      </c>
      <c r="J109" s="146">
        <f t="shared" si="5"/>
        <v>0</v>
      </c>
      <c r="K109" s="148">
        <f t="shared" si="5"/>
        <v>0</v>
      </c>
      <c r="L109" s="155"/>
      <c r="M109" s="150"/>
      <c r="N109" s="146">
        <f>N108</f>
        <v>0</v>
      </c>
      <c r="O109" s="150"/>
      <c r="P109" s="150"/>
      <c r="Q109" s="150"/>
      <c r="R109" s="150"/>
      <c r="S109" s="150"/>
      <c r="T109" s="150"/>
      <c r="U109" s="206" t="s">
        <v>673</v>
      </c>
      <c r="V109" s="156"/>
      <c r="W109" s="157"/>
      <c r="X109" s="158" t="s">
        <v>524</v>
      </c>
    </row>
    <row r="110" spans="1:27" ht="15" customHeight="1" thickBot="1">
      <c r="A110" s="225"/>
      <c r="B110" s="345"/>
      <c r="C110" s="170"/>
      <c r="D110" s="171"/>
      <c r="E110" s="187">
        <f t="shared" ref="E110:K110" si="6">E109</f>
        <v>0</v>
      </c>
      <c r="F110" s="187">
        <f t="shared" si="6"/>
        <v>0</v>
      </c>
      <c r="G110" s="187">
        <f t="shared" si="6"/>
        <v>0</v>
      </c>
      <c r="H110" s="187">
        <f t="shared" si="6"/>
        <v>0</v>
      </c>
      <c r="I110" s="187">
        <f t="shared" si="6"/>
        <v>0</v>
      </c>
      <c r="J110" s="187">
        <f t="shared" si="6"/>
        <v>0</v>
      </c>
      <c r="K110" s="188">
        <f t="shared" si="6"/>
        <v>0</v>
      </c>
      <c r="L110" s="173"/>
      <c r="M110" s="171"/>
      <c r="N110" s="187">
        <f>N109</f>
        <v>0</v>
      </c>
      <c r="O110" s="171"/>
      <c r="P110" s="268"/>
      <c r="Q110" s="171"/>
      <c r="R110" s="171"/>
      <c r="S110" s="268"/>
      <c r="T110" s="189" t="str">
        <f>IF(S110="","-",IF(COUNTIF(E110:H110,P110)&lt;1,"Esp. Errada",ROUNDUP(S110/((G110+N110)*(H110+N110)*((E110+N110)+(F110+N110))/2/(P110+N110)),0)))</f>
        <v>-</v>
      </c>
      <c r="U110" s="268"/>
      <c r="V110" s="190">
        <f>IF(S110="",0,IF(OR(P110=E110,P110=G110,P110=H110),T110*U110,"ESP. ERRADA"))</f>
        <v>0</v>
      </c>
      <c r="W110" s="191"/>
      <c r="X110" s="192"/>
    </row>
    <row r="111" spans="1:27" s="197" customFormat="1" ht="15" customHeight="1" thickBot="1">
      <c r="A111" s="225"/>
      <c r="B111" s="346"/>
      <c r="C111" s="235"/>
      <c r="D111" s="212"/>
      <c r="E111" s="187">
        <f t="shared" ref="E111:K111" si="7">E109</f>
        <v>0</v>
      </c>
      <c r="F111" s="187">
        <f t="shared" si="7"/>
        <v>0</v>
      </c>
      <c r="G111" s="187">
        <f t="shared" si="7"/>
        <v>0</v>
      </c>
      <c r="H111" s="187">
        <f t="shared" si="7"/>
        <v>0</v>
      </c>
      <c r="I111" s="187">
        <f t="shared" si="7"/>
        <v>0</v>
      </c>
      <c r="J111" s="187">
        <f t="shared" si="7"/>
        <v>0</v>
      </c>
      <c r="K111" s="236">
        <f t="shared" si="7"/>
        <v>0</v>
      </c>
      <c r="L111" s="173"/>
      <c r="M111" s="281"/>
      <c r="N111" s="187">
        <f>N109</f>
        <v>0</v>
      </c>
      <c r="O111" s="212"/>
      <c r="P111" s="268"/>
      <c r="Q111" s="212"/>
      <c r="R111" s="212"/>
      <c r="S111" s="212"/>
      <c r="T111" s="238" t="str">
        <f>IF(M111="","-",IF(COUNTIF(E111:H111,P111)&lt;1,"Esp. Errada",ROUNDUP(M111/IF(G111=P111,G111,(G111+N111))/IF(H111=P111,H111,(H111+N111))/IF(E111=P111,E111,(E111+N111)),0)))</f>
        <v>-</v>
      </c>
      <c r="U111" s="268"/>
      <c r="V111" s="190">
        <f>IF(M111="",0,IF(OR(P111=E111,P111=G111,P111=H111),T111*U111,"ESP. ERRADA"))</f>
        <v>0</v>
      </c>
      <c r="W111" s="240"/>
      <c r="X111" s="241"/>
      <c r="Z111" s="198"/>
      <c r="AA111" s="198"/>
    </row>
    <row r="112" spans="1:27" s="197" customFormat="1" ht="15" customHeight="1">
      <c r="A112" s="226"/>
      <c r="B112" s="221"/>
      <c r="C112" s="211"/>
      <c r="D112" s="206"/>
      <c r="E112" s="206"/>
      <c r="F112" s="206"/>
      <c r="G112" s="206"/>
      <c r="H112" s="206"/>
      <c r="I112" s="206"/>
      <c r="J112" s="207"/>
      <c r="K112" s="207"/>
      <c r="L112" s="155"/>
      <c r="M112" s="206"/>
      <c r="N112" s="206"/>
      <c r="O112" s="206"/>
      <c r="P112" s="206"/>
      <c r="Q112" s="206"/>
      <c r="R112" s="206"/>
      <c r="S112" s="206"/>
      <c r="T112" s="206"/>
      <c r="U112" s="206"/>
      <c r="V112" s="208"/>
      <c r="W112" s="196"/>
      <c r="X112" s="152"/>
      <c r="Z112" s="198"/>
      <c r="AA112" s="198"/>
    </row>
    <row r="113" spans="1:27" s="197" customFormat="1" ht="15" customHeight="1" thickBot="1">
      <c r="A113" s="226"/>
      <c r="B113" s="291" t="s">
        <v>1010</v>
      </c>
      <c r="C113" s="292"/>
      <c r="D113" s="293"/>
      <c r="E113" s="293"/>
      <c r="F113" s="293"/>
      <c r="G113" s="293"/>
      <c r="H113" s="293"/>
      <c r="I113" s="293"/>
      <c r="J113" s="294"/>
      <c r="K113" s="294"/>
      <c r="L113" s="295"/>
      <c r="M113" s="293"/>
      <c r="N113" s="293"/>
      <c r="O113" s="293"/>
      <c r="P113" s="293"/>
      <c r="Q113" s="293"/>
      <c r="R113" s="293"/>
      <c r="S113" s="296"/>
      <c r="T113" s="293"/>
      <c r="U113" s="293" t="s">
        <v>678</v>
      </c>
      <c r="V113" s="297" t="s">
        <v>27</v>
      </c>
      <c r="W113" s="298"/>
      <c r="X113" s="299"/>
      <c r="Z113" s="198"/>
      <c r="AA113" s="198"/>
    </row>
    <row r="114" spans="1:27" s="197" customFormat="1" ht="15" customHeight="1" thickBot="1">
      <c r="A114" s="226"/>
      <c r="B114" s="221"/>
      <c r="C114" s="144">
        <f>SUMIF(Densidades!A:A,'Memória TOTAL'!X114,Densidades!B:B)</f>
        <v>0</v>
      </c>
      <c r="D114" s="145">
        <f>SUMIF(Densidades!A:A,'Memória TOTAL'!X114,Densidades!C:C)</f>
        <v>0</v>
      </c>
      <c r="E114" s="145" t="str">
        <f>IF(I114=15,"FIRECLAY MORTAR",IF(I114=16,"ALUMINA MORTAR",IF(I114=17,"BASIC MORTAR",IF(I114=18,"MORTAR","-"))))</f>
        <v>-</v>
      </c>
      <c r="F114" s="145" t="str">
        <f>IF(I114=15,"FIRECLAY MORTAR",IF(I114=16,"ALUMINA MORTAR",IF(I114=17,"BASIC MORTAR",IF(I114=18,"MORTAR","-"))))</f>
        <v>-</v>
      </c>
      <c r="G114" s="145" t="str">
        <f>IF(I114=15,"FIRECLAY MORTAR",IF(I114=16,"ALUMINA MORTAR",IF(I114=17,"BASIC MORTAR",IF(I114=18,"MORTAR","-"))))</f>
        <v>-</v>
      </c>
      <c r="H114" s="145" t="str">
        <f>IF(I114=15,"FIRECLAY MORTAR",IF(I114=16,"ALUMINA MORTAR",IF(I114=17,"BASIC MORTAR",IF(I114=18,"MORTAR","-"))))</f>
        <v>-</v>
      </c>
      <c r="I114" s="145">
        <f>SUMIF(Densidades!A:A,'Memória TOTAL'!X114,Densidades!G:G)</f>
        <v>0</v>
      </c>
      <c r="J114" s="147">
        <f>SUMIF(Formatos!A:A,'Memória TOTAL'!X115,Formatos!G:G)</f>
        <v>0</v>
      </c>
      <c r="K114" s="148">
        <f>SUMIF(Densidades!A:A,'Memória TOTAL'!X114,Densidades!I:I)</f>
        <v>0</v>
      </c>
      <c r="L114" s="199">
        <v>0</v>
      </c>
      <c r="M114" s="200"/>
      <c r="N114" s="200"/>
      <c r="O114" s="200"/>
      <c r="P114" s="200"/>
      <c r="Q114" s="200"/>
      <c r="R114" s="200"/>
      <c r="S114" s="200"/>
      <c r="T114" s="201"/>
      <c r="U114" s="302"/>
      <c r="V114" s="203" t="e">
        <f>(W107*J107*C114)*U114</f>
        <v>#VALUE!</v>
      </c>
      <c r="W114" s="204" t="str">
        <f>IF(C114=0,"",ROUNDUP(SUM(V114:V115)*(1+L114)/D114,0)*D114)</f>
        <v/>
      </c>
      <c r="X114" s="274"/>
      <c r="Z114" s="198"/>
      <c r="AA114" s="198"/>
    </row>
    <row r="115" spans="1:27" s="197" customFormat="1" ht="15" customHeight="1">
      <c r="A115" s="226"/>
      <c r="B115" s="221"/>
      <c r="C115" s="144"/>
      <c r="D115" s="206"/>
      <c r="E115" s="206"/>
      <c r="F115" s="206"/>
      <c r="G115" s="206"/>
      <c r="H115" s="206"/>
      <c r="I115" s="206"/>
      <c r="J115" s="207"/>
      <c r="K115" s="207"/>
      <c r="L115" s="155"/>
      <c r="M115" s="206"/>
      <c r="N115" s="206"/>
      <c r="O115" s="206"/>
      <c r="P115" s="206"/>
      <c r="Q115" s="206"/>
      <c r="R115" s="206"/>
      <c r="S115" s="206"/>
      <c r="T115" s="206"/>
      <c r="U115" s="206"/>
      <c r="V115" s="208"/>
      <c r="W115" s="196"/>
      <c r="X115" s="152" t="str">
        <f>IF(AND(H114="-",G114="-",F114="-"),E114,IF(AND(H114="-",G114="-",E114="-"),F114,IF(AND(H114="-",F114="-",E114="-"),G114,H114)))</f>
        <v>-</v>
      </c>
      <c r="Z115" s="198"/>
      <c r="AA115" s="198"/>
    </row>
    <row r="116" spans="1:27" s="197" customFormat="1" ht="15" customHeight="1">
      <c r="A116" s="226"/>
      <c r="B116" s="224"/>
      <c r="C116" s="144"/>
      <c r="D116" s="206"/>
      <c r="E116" s="206"/>
      <c r="F116" s="206"/>
      <c r="G116" s="206"/>
      <c r="H116" s="206"/>
      <c r="I116" s="206"/>
      <c r="J116" s="207"/>
      <c r="K116" s="207"/>
      <c r="L116" s="155"/>
      <c r="M116" s="206"/>
      <c r="N116" s="206"/>
      <c r="O116" s="206"/>
      <c r="P116" s="206"/>
      <c r="Q116" s="206"/>
      <c r="R116" s="206"/>
      <c r="S116" s="206"/>
      <c r="T116" s="206"/>
      <c r="U116" s="206"/>
      <c r="V116" s="208"/>
      <c r="W116" s="196"/>
      <c r="X116" s="152" t="s">
        <v>2</v>
      </c>
      <c r="Z116" s="198"/>
      <c r="AA116" s="198"/>
    </row>
    <row r="117" spans="1:27" ht="15" customHeight="1">
      <c r="A117" s="226"/>
      <c r="B117" s="142"/>
      <c r="C117" s="180"/>
      <c r="D117" s="181"/>
      <c r="E117" s="181"/>
      <c r="F117" s="181"/>
      <c r="G117" s="181"/>
      <c r="H117" s="181"/>
      <c r="I117" s="181"/>
      <c r="J117" s="182"/>
      <c r="K117" s="182"/>
      <c r="L117" s="183"/>
      <c r="M117" s="181"/>
      <c r="N117" s="181"/>
      <c r="O117" s="181"/>
      <c r="P117" s="181"/>
      <c r="Q117" s="181"/>
      <c r="R117" s="181"/>
      <c r="S117" s="181"/>
      <c r="T117" s="181"/>
      <c r="U117" s="181"/>
      <c r="V117" s="184"/>
      <c r="W117" s="185"/>
      <c r="X117" s="186"/>
    </row>
    <row r="118" spans="1:27" s="197" customFormat="1" ht="15" customHeight="1" thickBot="1">
      <c r="A118" s="226"/>
      <c r="B118" s="291" t="s">
        <v>1011</v>
      </c>
      <c r="C118" s="292"/>
      <c r="D118" s="293"/>
      <c r="E118" s="293"/>
      <c r="F118" s="293"/>
      <c r="G118" s="293"/>
      <c r="H118" s="293"/>
      <c r="I118" s="293"/>
      <c r="J118" s="294"/>
      <c r="K118" s="294"/>
      <c r="L118" s="295"/>
      <c r="M118" s="293"/>
      <c r="N118" s="293"/>
      <c r="O118" s="293"/>
      <c r="P118" s="293"/>
      <c r="Q118" s="293"/>
      <c r="R118" s="293" t="s">
        <v>636</v>
      </c>
      <c r="S118" s="296" t="s">
        <v>637</v>
      </c>
      <c r="T118" s="293" t="s">
        <v>638</v>
      </c>
      <c r="U118" s="293" t="s">
        <v>38</v>
      </c>
      <c r="V118" s="297" t="s">
        <v>27</v>
      </c>
      <c r="W118" s="298"/>
      <c r="X118" s="299"/>
      <c r="Z118" s="198"/>
      <c r="AA118" s="198"/>
    </row>
    <row r="119" spans="1:27" s="197" customFormat="1" ht="15" customHeight="1" thickBot="1">
      <c r="A119" s="226"/>
      <c r="B119" s="221"/>
      <c r="C119" s="144">
        <f>SUMIF(Densidades!A:A,'Memória TOTAL'!X119,Densidades!B:B)</f>
        <v>0</v>
      </c>
      <c r="D119" s="145">
        <f>SUMIF(Densidades!A:A,'Memória TOTAL'!X119,Densidades!C:C)</f>
        <v>0</v>
      </c>
      <c r="E119" s="145" t="str">
        <f>IF(I119=15,"FIRECLAY MORTAR",IF(I119=16,"ALUMINA MORTAR",IF(I119=17,"BASIC MORTAR",IF(I119=18,"MORTAR","-"))))</f>
        <v>-</v>
      </c>
      <c r="F119" s="145" t="str">
        <f>IF(I119=15,"FIRECLAY MORTAR",IF(I119=16,"ALUMINA MORTAR",IF(I119=17,"BASIC MORTAR",IF(I119=18,"MORTAR","-"))))</f>
        <v>-</v>
      </c>
      <c r="G119" s="145" t="str">
        <f>IF(I119=15,"FIRECLAY MORTAR",IF(I119=16,"ALUMINA MORTAR",IF(I119=17,"BASIC MORTAR",IF(I119=18,"MORTAR","-"))))</f>
        <v>-</v>
      </c>
      <c r="H119" s="145" t="str">
        <f>IF(I119=15,"FIRECLAY MORTAR",IF(I119=16,"ALUMINA MORTAR",IF(I119=17,"BASIC MORTAR",IF(I119=18,"MORTAR","-"))))</f>
        <v>-</v>
      </c>
      <c r="I119" s="145">
        <f>SUMIF(Densidades!A:A,'Memória TOTAL'!X119,Densidades!G:G)</f>
        <v>0</v>
      </c>
      <c r="J119" s="147">
        <f>SUMIF(Formatos!A:A,'Memória TOTAL'!X120,Formatos!G:G)</f>
        <v>0</v>
      </c>
      <c r="K119" s="233">
        <f>SUMIF(Densidades!A:A,'Memória TOTAL'!X119,Densidades!I:I)</f>
        <v>0</v>
      </c>
      <c r="L119" s="199">
        <v>0</v>
      </c>
      <c r="M119" s="200"/>
      <c r="N119" s="200"/>
      <c r="O119" s="200"/>
      <c r="P119" s="200"/>
      <c r="Q119" s="200"/>
      <c r="R119" s="201">
        <f>((G107*H107)+(G107*E107)+(H107*E107))/1000000</f>
        <v>0</v>
      </c>
      <c r="S119" s="270">
        <v>2</v>
      </c>
      <c r="T119" s="201">
        <f>R119*S119</f>
        <v>0</v>
      </c>
      <c r="U119" s="202">
        <f>SUM(W107:W108)</f>
        <v>0</v>
      </c>
      <c r="V119" s="203">
        <f>(T119*C119*(1+L119))*U119</f>
        <v>0</v>
      </c>
      <c r="W119" s="151" t="str">
        <f>IF(C119=0,"",ROUNDUP(SUM(V119:V120)*(1+L119)/D119,0)*D119)</f>
        <v/>
      </c>
      <c r="X119" s="274"/>
      <c r="Z119" s="198"/>
      <c r="AA119" s="198"/>
    </row>
    <row r="120" spans="1:27" s="197" customFormat="1" ht="15" customHeight="1">
      <c r="A120" s="226"/>
      <c r="B120" s="221"/>
      <c r="C120" s="144"/>
      <c r="D120" s="206"/>
      <c r="E120" s="206"/>
      <c r="F120" s="206"/>
      <c r="G120" s="206"/>
      <c r="H120" s="206"/>
      <c r="I120" s="206"/>
      <c r="J120" s="207"/>
      <c r="K120" s="207"/>
      <c r="L120" s="155"/>
      <c r="M120" s="206"/>
      <c r="N120" s="206"/>
      <c r="O120" s="206"/>
      <c r="P120" s="206"/>
      <c r="Q120" s="206"/>
      <c r="R120" s="206"/>
      <c r="S120" s="206"/>
      <c r="T120" s="206"/>
      <c r="U120" s="206"/>
      <c r="V120" s="208"/>
      <c r="W120" s="196"/>
      <c r="X120" s="152" t="str">
        <f>IF(AND(H119="-",G119="-",F119="-"),E119,IF(AND(H119="-",G119="-",E119="-"),F119,IF(AND(H119="-",F119="-",E119="-"),G119,H119)))</f>
        <v>-</v>
      </c>
      <c r="Z120" s="198"/>
      <c r="AA120" s="198"/>
    </row>
    <row r="121" spans="1:27" s="197" customFormat="1" ht="15" customHeight="1">
      <c r="A121" s="226"/>
      <c r="B121" s="224"/>
      <c r="C121" s="144"/>
      <c r="D121" s="206"/>
      <c r="E121" s="206"/>
      <c r="F121" s="206"/>
      <c r="G121" s="206"/>
      <c r="H121" s="206"/>
      <c r="I121" s="206"/>
      <c r="J121" s="207"/>
      <c r="K121" s="207"/>
      <c r="L121" s="155"/>
      <c r="M121" s="206"/>
      <c r="N121" s="206"/>
      <c r="O121" s="206"/>
      <c r="P121" s="206"/>
      <c r="Q121" s="206"/>
      <c r="R121" s="206"/>
      <c r="S121" s="206"/>
      <c r="T121" s="206"/>
      <c r="U121" s="206"/>
      <c r="V121" s="208"/>
      <c r="W121" s="196"/>
      <c r="X121" s="152" t="s">
        <v>2</v>
      </c>
      <c r="Z121" s="198"/>
      <c r="AA121" s="198"/>
    </row>
    <row r="122" spans="1:27" s="197" customFormat="1" ht="15" customHeight="1">
      <c r="A122" s="226"/>
      <c r="B122" s="224"/>
      <c r="C122" s="144"/>
      <c r="D122" s="206"/>
      <c r="E122" s="206"/>
      <c r="F122" s="206"/>
      <c r="G122" s="206"/>
      <c r="H122" s="206"/>
      <c r="I122" s="206"/>
      <c r="J122" s="207"/>
      <c r="K122" s="207"/>
      <c r="L122" s="155"/>
      <c r="M122" s="206"/>
      <c r="N122" s="206"/>
      <c r="O122" s="206"/>
      <c r="P122" s="206"/>
      <c r="Q122" s="206"/>
      <c r="R122" s="206"/>
      <c r="S122" s="206"/>
      <c r="T122" s="206"/>
      <c r="U122" s="206"/>
      <c r="V122" s="208"/>
      <c r="W122" s="196"/>
      <c r="X122" s="152"/>
      <c r="Z122" s="198"/>
      <c r="AA122" s="198"/>
    </row>
    <row r="123" spans="1:27" s="197" customFormat="1" ht="15" customHeight="1" thickBot="1">
      <c r="A123" s="226"/>
      <c r="B123" s="524"/>
      <c r="C123" s="524"/>
      <c r="D123" s="527"/>
      <c r="E123" s="527"/>
      <c r="F123" s="527"/>
      <c r="G123" s="527"/>
      <c r="H123" s="527"/>
      <c r="I123" s="527"/>
      <c r="J123" s="527"/>
      <c r="K123" s="527"/>
      <c r="L123" s="527"/>
      <c r="M123" s="527"/>
      <c r="N123" s="527"/>
      <c r="O123" s="527"/>
      <c r="P123" s="527"/>
      <c r="Q123" s="527"/>
      <c r="R123" s="527"/>
      <c r="S123" s="527"/>
      <c r="T123" s="527"/>
      <c r="U123" s="527"/>
      <c r="V123" s="527"/>
      <c r="W123" s="527"/>
      <c r="X123" s="528"/>
      <c r="Z123" s="198"/>
      <c r="AA123" s="198"/>
    </row>
    <row r="124" spans="1:27" ht="15" customHeight="1" thickBot="1">
      <c r="A124" s="226"/>
      <c r="B124" s="284" t="str">
        <f>IF(X125="","TIJOLO / COMPOSIÇÃO",X125)</f>
        <v>TIJOLO / COMPOSIÇÃO</v>
      </c>
      <c r="C124" s="285" t="s">
        <v>101</v>
      </c>
      <c r="D124" s="286" t="s">
        <v>102</v>
      </c>
      <c r="E124" s="286" t="s">
        <v>42</v>
      </c>
      <c r="F124" s="286" t="s">
        <v>42</v>
      </c>
      <c r="G124" s="286" t="s">
        <v>43</v>
      </c>
      <c r="H124" s="286" t="s">
        <v>44</v>
      </c>
      <c r="I124" s="286" t="s">
        <v>47</v>
      </c>
      <c r="J124" s="286" t="s">
        <v>103</v>
      </c>
      <c r="K124" s="286" t="s">
        <v>37</v>
      </c>
      <c r="L124" s="286" t="s">
        <v>39</v>
      </c>
      <c r="M124" s="286" t="s">
        <v>45</v>
      </c>
      <c r="N124" s="286" t="s">
        <v>46</v>
      </c>
      <c r="O124" s="286" t="s">
        <v>672</v>
      </c>
      <c r="P124" s="286" t="s">
        <v>51</v>
      </c>
      <c r="Q124" s="286" t="s">
        <v>52</v>
      </c>
      <c r="R124" s="286"/>
      <c r="S124" s="286"/>
      <c r="T124" s="286" t="s">
        <v>673</v>
      </c>
      <c r="U124" s="286" t="s">
        <v>677</v>
      </c>
      <c r="V124" s="287" t="s">
        <v>27</v>
      </c>
      <c r="W124" s="288"/>
      <c r="X124" s="289"/>
    </row>
    <row r="125" spans="1:27" ht="15" customHeight="1" thickBot="1">
      <c r="A125" s="255"/>
      <c r="B125" s="257" t="s">
        <v>674</v>
      </c>
      <c r="C125" s="256">
        <f>SUMIF(Densidades!A:A,'Memória TOTAL'!X125,Densidades!B:B)</f>
        <v>0</v>
      </c>
      <c r="D125" s="145">
        <f>SUMIF(Densidades!A:A,'Memória TOTAL'!X125,Densidades!C:C)</f>
        <v>0</v>
      </c>
      <c r="E125" s="146">
        <f>IF(AND(E131=1,E132=2),SUMIF(Formatos!A:A,'Memória TOTAL'!X126,Formatos!D:D),SUMIF(Formatos!A:A,'Memória TOTAL'!X126,Formatos!E:E))</f>
        <v>0</v>
      </c>
      <c r="F125" s="146">
        <f>IF(AND(E131=1,E132=2),SUMIF(Formatos!A:A,'Memória TOTAL'!X126,Formatos!R:R),SUMIF(Formatos!A:A,'Memória TOTAL'!X126,Formatos!F:F))</f>
        <v>0</v>
      </c>
      <c r="G125" s="146">
        <f>SUMIF(Formatos!A:A,'Memória TOTAL'!X126,Formatos!C:C)</f>
        <v>0</v>
      </c>
      <c r="H125" s="146">
        <f>SUMIF(Formatos!A:A,'Memória TOTAL'!X126,Formatos!D:D)</f>
        <v>0</v>
      </c>
      <c r="I125" s="146">
        <f>SUMIF(Densidades!A:A,'Memória TOTAL'!X125,Densidades!H:H)</f>
        <v>0</v>
      </c>
      <c r="J125" s="147">
        <f>SUMIF(Formatos!A:A,'Memória TOTAL'!X126,Formatos!G:G)</f>
        <v>4.1130000000000004</v>
      </c>
      <c r="K125" s="148">
        <f>SUMIF(Densidades!A:A,'Memória TOTAL'!X125,Densidades!I:I)</f>
        <v>0</v>
      </c>
      <c r="L125" s="264">
        <v>0</v>
      </c>
      <c r="M125" s="267"/>
      <c r="N125" s="267"/>
      <c r="O125" s="268"/>
      <c r="P125" s="266">
        <f>O125*2</f>
        <v>0</v>
      </c>
      <c r="Q125" s="150">
        <f>P125-(2*M125)</f>
        <v>0</v>
      </c>
      <c r="R125" s="150"/>
      <c r="S125" s="271"/>
      <c r="T125" s="272">
        <f>IF(AND(B127=0,B129=0),,IF(AND(B129=0,B127&lt;&gt;0),1,IF(OR(B129-B127&gt;=0,B129=0),(B129-B127)+1,"ERRO")))</f>
        <v>0</v>
      </c>
      <c r="U125" s="268"/>
      <c r="V125" s="267" t="str">
        <f>IF(M125="","",IF(OR(M125=E125,M125=G125,M125=H125),ROUND(P135,0),"ESP. ERRADA"))</f>
        <v/>
      </c>
      <c r="W125" s="273" t="str">
        <f>IFERROR(IF(C125=0,"",ROUNDUP(SUM(V125)*(1+L125),0))*T125*U125,"")</f>
        <v/>
      </c>
      <c r="X125" s="274"/>
    </row>
    <row r="126" spans="1:27" s="197" customFormat="1" ht="15" customHeight="1" thickBot="1">
      <c r="A126" s="275"/>
      <c r="B126" s="260" t="s">
        <v>112</v>
      </c>
      <c r="C126" s="247"/>
      <c r="D126" s="206"/>
      <c r="E126" s="206"/>
      <c r="F126" s="206"/>
      <c r="G126" s="206"/>
      <c r="H126" s="206"/>
      <c r="I126" s="206"/>
      <c r="J126" s="207"/>
      <c r="K126" s="207"/>
      <c r="L126" s="155"/>
      <c r="M126" s="206"/>
      <c r="N126" s="206"/>
      <c r="O126" s="206"/>
      <c r="P126" s="206"/>
      <c r="Q126" s="206"/>
      <c r="R126" s="206"/>
      <c r="S126" s="206"/>
      <c r="T126" s="206"/>
      <c r="U126" s="206"/>
      <c r="V126" s="208"/>
      <c r="W126" s="196"/>
      <c r="X126" s="152" t="str">
        <f>IF(B131="","",B131)</f>
        <v/>
      </c>
      <c r="Z126" s="198"/>
      <c r="AA126" s="198"/>
    </row>
    <row r="127" spans="1:27" s="197" customFormat="1" ht="15" customHeight="1" thickBot="1">
      <c r="A127" s="275"/>
      <c r="B127" s="276"/>
      <c r="C127" s="247"/>
      <c r="D127" s="206"/>
      <c r="E127" s="206"/>
      <c r="F127" s="206"/>
      <c r="G127" s="206"/>
      <c r="H127" s="206"/>
      <c r="I127" s="206"/>
      <c r="J127" s="207"/>
      <c r="K127" s="207"/>
      <c r="L127" s="155"/>
      <c r="M127" s="206"/>
      <c r="N127" s="206"/>
      <c r="O127" s="206"/>
      <c r="P127" s="206"/>
      <c r="Q127" s="206"/>
      <c r="R127" s="206"/>
      <c r="S127" s="206"/>
      <c r="T127" s="206"/>
      <c r="U127" s="206"/>
      <c r="V127" s="208"/>
      <c r="W127" s="196"/>
      <c r="X127" s="152" t="s">
        <v>524</v>
      </c>
      <c r="Z127" s="198"/>
      <c r="AA127" s="198"/>
    </row>
    <row r="128" spans="1:27" s="197" customFormat="1" ht="15" customHeight="1" thickBot="1">
      <c r="A128" s="275"/>
      <c r="B128" s="260" t="s">
        <v>22</v>
      </c>
      <c r="C128" s="247" t="str">
        <f t="shared" ref="C128:L128" si="8">C124</f>
        <v>Dens.</v>
      </c>
      <c r="D128" s="206" t="str">
        <f t="shared" si="8"/>
        <v>Emb.</v>
      </c>
      <c r="E128" s="249" t="str">
        <f t="shared" si="8"/>
        <v>Esp. Tij.</v>
      </c>
      <c r="F128" s="249" t="str">
        <f t="shared" si="8"/>
        <v>Esp. Tij.</v>
      </c>
      <c r="G128" s="249" t="str">
        <f t="shared" si="8"/>
        <v>Comp. Tij.</v>
      </c>
      <c r="H128" s="249" t="str">
        <f t="shared" si="8"/>
        <v>Larg. Tij.</v>
      </c>
      <c r="I128" s="249" t="str">
        <f t="shared" si="8"/>
        <v>Tipo Fator</v>
      </c>
      <c r="J128" s="249" t="str">
        <f t="shared" si="8"/>
        <v>Vol.</v>
      </c>
      <c r="K128" s="249" t="str">
        <f t="shared" si="8"/>
        <v>Class.</v>
      </c>
      <c r="L128" s="206" t="str">
        <f t="shared" si="8"/>
        <v>Coefic. (%)</v>
      </c>
      <c r="M128" s="206"/>
      <c r="N128" s="206"/>
      <c r="O128" s="206"/>
      <c r="P128" s="206"/>
      <c r="Q128" s="206"/>
      <c r="R128" s="206"/>
      <c r="S128" s="206"/>
      <c r="T128" s="206"/>
      <c r="U128" s="206"/>
      <c r="V128" s="253"/>
      <c r="W128" s="196"/>
      <c r="X128" s="152"/>
      <c r="Z128" s="198"/>
      <c r="AA128" s="198"/>
    </row>
    <row r="129" spans="1:27" s="197" customFormat="1" ht="15" customHeight="1" thickBot="1">
      <c r="A129" s="275"/>
      <c r="B129" s="276"/>
      <c r="C129" s="256">
        <f>SUMIF(Densidades!A:A,'Memória TOTAL'!X129,Densidades!B:B)</f>
        <v>0</v>
      </c>
      <c r="D129" s="145">
        <f>SUMIF(Densidades!A:A,'Memória TOTAL'!X129,Densidades!C:C)</f>
        <v>570</v>
      </c>
      <c r="E129" s="146">
        <f>SUMIF(Formatos!A:A,'Memória TOTAL'!X130,Formatos!E:E)</f>
        <v>0</v>
      </c>
      <c r="F129" s="146">
        <f>SUMIF(Formatos!A:A,'Memória TOTAL'!X130,Formatos!F:F)</f>
        <v>0</v>
      </c>
      <c r="G129" s="146">
        <f>SUMIF(Formatos!A:A,'Memória TOTAL'!X130,Formatos!C:C)</f>
        <v>0</v>
      </c>
      <c r="H129" s="146">
        <f>SUMIF(Formatos!A:A,'Memória TOTAL'!X130,Formatos!D:D)</f>
        <v>0</v>
      </c>
      <c r="I129" s="146">
        <f>SUMIF(Densidades!A:A,'Memória TOTAL'!X129,Densidades!H:H)</f>
        <v>0</v>
      </c>
      <c r="J129" s="147">
        <f>SUMIF(Formatos!A:A,'Memória TOTAL'!X130,Formatos!G:G)</f>
        <v>4.1130000000000004</v>
      </c>
      <c r="K129" s="233">
        <f>SUMIF(Densidades!A:A,'Memória TOTAL'!X129,Densidades!I:I)</f>
        <v>167</v>
      </c>
      <c r="L129" s="234">
        <v>0</v>
      </c>
      <c r="M129" s="206"/>
      <c r="N129" s="206"/>
      <c r="O129" s="206"/>
      <c r="P129" s="206"/>
      <c r="Q129" s="206"/>
      <c r="R129" s="206"/>
      <c r="S129" s="206"/>
      <c r="T129" s="243"/>
      <c r="U129" s="246"/>
      <c r="V129" s="267" t="str">
        <f>IF(M125="","",IF(OR(M125=E125,M125=G125,M125=H125),ROUND(Q135,0),"ESP. ERRADA"))</f>
        <v/>
      </c>
      <c r="W129" s="278" t="str">
        <f>IFERROR(IF(C129=0,"",ROUNDUP(SUM(V129)*(1+L129),0))*T125*U125,"")</f>
        <v/>
      </c>
      <c r="X129" s="152" t="str">
        <f>IF(X125="","",X125)</f>
        <v/>
      </c>
      <c r="Z129" s="198"/>
      <c r="AA129" s="198"/>
    </row>
    <row r="130" spans="1:27" s="197" customFormat="1" ht="15" customHeight="1" thickBot="1">
      <c r="A130" s="275"/>
      <c r="B130" s="258" t="s">
        <v>675</v>
      </c>
      <c r="C130" s="247"/>
      <c r="D130" s="206"/>
      <c r="E130" s="206"/>
      <c r="F130" s="206"/>
      <c r="G130" s="206"/>
      <c r="H130" s="206"/>
      <c r="I130" s="206"/>
      <c r="J130" s="207"/>
      <c r="K130" s="207"/>
      <c r="L130" s="155"/>
      <c r="M130" s="206"/>
      <c r="N130" s="206"/>
      <c r="O130" s="206"/>
      <c r="P130" s="206"/>
      <c r="Q130" s="206"/>
      <c r="R130" s="206"/>
      <c r="S130" s="206"/>
      <c r="T130" s="206"/>
      <c r="U130" s="206"/>
      <c r="V130" s="208"/>
      <c r="W130" s="196"/>
      <c r="X130" s="152" t="str">
        <f>IF(B132="","",B132)</f>
        <v/>
      </c>
      <c r="Z130" s="198"/>
      <c r="AA130" s="198"/>
    </row>
    <row r="131" spans="1:27" s="197" customFormat="1" ht="15" customHeight="1" thickBot="1">
      <c r="A131" s="275"/>
      <c r="B131" s="274"/>
      <c r="C131" s="254" t="s">
        <v>54</v>
      </c>
      <c r="D131" s="250"/>
      <c r="E131" s="206">
        <f>SUMIF(Formatos!A:A,'Memória TOTAL'!X126,Formatos!S:S)</f>
        <v>2</v>
      </c>
      <c r="F131" s="249"/>
      <c r="G131" s="249"/>
      <c r="H131" s="159" t="s">
        <v>54</v>
      </c>
      <c r="I131" s="159" t="s">
        <v>55</v>
      </c>
      <c r="J131" s="207"/>
      <c r="K131" s="207"/>
      <c r="L131" s="155"/>
      <c r="M131" s="206"/>
      <c r="N131" s="206" t="s">
        <v>22</v>
      </c>
      <c r="O131" s="160" t="s">
        <v>48</v>
      </c>
      <c r="P131" s="160" t="s">
        <v>49</v>
      </c>
      <c r="Q131" s="161" t="s">
        <v>50</v>
      </c>
      <c r="R131" s="160" t="s">
        <v>54</v>
      </c>
      <c r="S131" s="160" t="s">
        <v>55</v>
      </c>
      <c r="T131" s="206"/>
      <c r="U131" s="206"/>
      <c r="V131" s="208"/>
      <c r="W131" s="196"/>
      <c r="X131" s="152" t="s">
        <v>524</v>
      </c>
      <c r="Z131" s="198"/>
      <c r="AA131" s="198"/>
    </row>
    <row r="132" spans="1:27" s="197" customFormat="1" ht="15" customHeight="1" thickBot="1">
      <c r="A132" s="275"/>
      <c r="B132" s="274"/>
      <c r="C132" s="254" t="s">
        <v>55</v>
      </c>
      <c r="D132" s="250"/>
      <c r="E132" s="206">
        <f>SUMIF(Formatos!A:A,'Memória TOTAL'!X130,Formatos!S:S)</f>
        <v>2</v>
      </c>
      <c r="F132" s="206"/>
      <c r="G132" s="206"/>
      <c r="H132" s="251" t="e">
        <f>(1/(-(N132+N125)*(Q132+N125)+(O132+N125)*(P132+N125)))*3.1416*(-P125*(Q132+N125)+Q125*(P132+N125))</f>
        <v>#DIV/0!</v>
      </c>
      <c r="I132" s="251" t="e">
        <f>((P125*PI())-(H132*(N132+N125)))/(P132+N125)</f>
        <v>#DIV/0!</v>
      </c>
      <c r="J132" s="207"/>
      <c r="K132" s="207"/>
      <c r="L132" s="155"/>
      <c r="M132" s="206"/>
      <c r="N132" s="206">
        <f>E125</f>
        <v>0</v>
      </c>
      <c r="O132" s="162">
        <f>F125</f>
        <v>0</v>
      </c>
      <c r="P132" s="162">
        <f>E129</f>
        <v>0</v>
      </c>
      <c r="Q132" s="168">
        <f>F129</f>
        <v>0</v>
      </c>
      <c r="R132" s="162" t="e">
        <f>IF(ROUND(H132+0.4,0)&gt;=0,ROUND(H132+0.4,0),"ERRO")</f>
        <v>#DIV/0!</v>
      </c>
      <c r="S132" s="162" t="e">
        <f>IF(ROUND(I132+0.4,0)&gt;=0,ROUND(I132+0.4,0),"ERRO")</f>
        <v>#DIV/0!</v>
      </c>
      <c r="T132" s="206"/>
      <c r="U132" s="206"/>
      <c r="V132" s="208"/>
      <c r="W132" s="242"/>
      <c r="X132" s="152"/>
      <c r="Z132" s="198"/>
      <c r="AA132" s="198"/>
    </row>
    <row r="133" spans="1:27" s="166" customFormat="1" ht="15" customHeight="1" thickBot="1">
      <c r="A133" s="259"/>
      <c r="B133" s="258" t="s">
        <v>676</v>
      </c>
      <c r="C133" s="247"/>
      <c r="D133" s="206"/>
      <c r="E133" s="206"/>
      <c r="F133" s="206"/>
      <c r="G133" s="206"/>
      <c r="H133" s="206"/>
      <c r="I133" s="206"/>
      <c r="J133" s="207"/>
      <c r="K133" s="207"/>
      <c r="L133" s="206"/>
      <c r="M133" s="206"/>
      <c r="N133" s="206"/>
      <c r="O133" s="252"/>
      <c r="P133" s="206"/>
      <c r="Q133" s="206"/>
      <c r="R133" s="206"/>
      <c r="S133" s="206"/>
      <c r="T133" s="162"/>
      <c r="U133" s="162"/>
      <c r="V133" s="163"/>
      <c r="W133" s="164"/>
      <c r="X133" s="165"/>
      <c r="Z133" s="167"/>
      <c r="AA133" s="167"/>
    </row>
    <row r="134" spans="1:27" s="166" customFormat="1" ht="15" customHeight="1" thickBot="1">
      <c r="A134" s="259"/>
      <c r="B134" s="261"/>
      <c r="C134" s="247"/>
      <c r="D134" s="206"/>
      <c r="E134" s="206"/>
      <c r="F134" s="206"/>
      <c r="G134" s="206"/>
      <c r="H134" s="206"/>
      <c r="I134" s="206"/>
      <c r="J134" s="207"/>
      <c r="K134" s="207"/>
      <c r="L134" s="206"/>
      <c r="M134" s="206"/>
      <c r="N134" s="246"/>
      <c r="O134" s="627" t="s">
        <v>53</v>
      </c>
      <c r="P134" s="247" t="s">
        <v>54</v>
      </c>
      <c r="Q134" s="206" t="s">
        <v>55</v>
      </c>
      <c r="R134" s="206"/>
      <c r="S134" s="206"/>
      <c r="T134" s="162"/>
      <c r="U134" s="162"/>
      <c r="V134" s="163"/>
      <c r="W134" s="164"/>
      <c r="X134" s="165"/>
      <c r="Z134" s="167"/>
      <c r="AA134" s="167"/>
    </row>
    <row r="135" spans="1:27" s="166" customFormat="1" ht="15" customHeight="1" thickBot="1">
      <c r="A135" s="259"/>
      <c r="B135" s="262" t="str">
        <f>IF(AND(B129&lt;&gt;B127,B129&lt;&gt;0),"FIADAS "&amp;B127&amp;" a "&amp;B129,"FIADA "&amp;B127)</f>
        <v xml:space="preserve">FIADA </v>
      </c>
      <c r="C135" s="279"/>
      <c r="D135" s="212"/>
      <c r="E135" s="212"/>
      <c r="F135" s="212"/>
      <c r="G135" s="212"/>
      <c r="H135" s="212"/>
      <c r="I135" s="212"/>
      <c r="J135" s="245"/>
      <c r="K135" s="245"/>
      <c r="L135" s="173"/>
      <c r="M135" s="212"/>
      <c r="N135" s="175"/>
      <c r="O135" s="270">
        <v>360</v>
      </c>
      <c r="P135" s="269" t="e">
        <f>IF(H132/360*O135-ROUNDDOWN(H132/360*O135,0)&gt;I132/360*O135-ROUNDDOWN(I132/360*O135,0),ROUNDUP(H132/360*O135,0),ROUNDUP(SUM(H132/360*O135,I132/360*O135),0)-ROUNDUP(I132/360*O135,0))</f>
        <v>#DIV/0!</v>
      </c>
      <c r="Q135" s="263" t="e">
        <f>IF(I132/360*O135-ROUNDDOWN(I132/360*O135,0)&gt;H132/360*O135-ROUNDDOWN(H132/360*O135,0),ROUNDUP(I132/360*O135,0),ROUNDUP(SUM(H132/360*O135,I132/360*O135),0)-ROUNDUP(H132/360*O135,0))</f>
        <v>#DIV/0!</v>
      </c>
      <c r="R135" s="174"/>
      <c r="S135" s="174"/>
      <c r="T135" s="174"/>
      <c r="U135" s="174"/>
      <c r="V135" s="175"/>
      <c r="W135" s="176"/>
      <c r="X135" s="177"/>
      <c r="Z135" s="167"/>
      <c r="AA135" s="167"/>
    </row>
    <row r="136" spans="1:27" s="197" customFormat="1" ht="15" customHeight="1">
      <c r="A136" s="226"/>
      <c r="B136" s="221"/>
      <c r="C136" s="312"/>
      <c r="D136" s="206"/>
      <c r="E136" s="146"/>
      <c r="F136" s="146"/>
      <c r="G136" s="146"/>
      <c r="H136" s="146"/>
      <c r="I136" s="243"/>
      <c r="J136" s="243"/>
      <c r="K136" s="243"/>
      <c r="L136" s="206"/>
      <c r="M136" s="206"/>
      <c r="N136" s="206"/>
      <c r="O136" s="155"/>
      <c r="P136" s="206"/>
      <c r="Q136" s="206"/>
      <c r="R136" s="206"/>
      <c r="S136" s="206"/>
      <c r="T136" s="206"/>
      <c r="U136" s="206"/>
      <c r="V136" s="208"/>
      <c r="W136" s="196"/>
      <c r="X136" s="152"/>
      <c r="Z136" s="198"/>
      <c r="AA136" s="198"/>
    </row>
    <row r="137" spans="1:27" s="197" customFormat="1" ht="15" customHeight="1">
      <c r="A137" s="226"/>
      <c r="B137" s="221"/>
      <c r="C137" s="312"/>
      <c r="D137" s="206"/>
      <c r="E137" s="146"/>
      <c r="F137" s="146"/>
      <c r="G137" s="146"/>
      <c r="H137" s="146"/>
      <c r="I137" s="243"/>
      <c r="J137" s="243"/>
      <c r="K137" s="243"/>
      <c r="L137" s="206"/>
      <c r="M137" s="206"/>
      <c r="N137" s="206"/>
      <c r="O137" s="155"/>
      <c r="P137" s="206"/>
      <c r="Q137" s="206"/>
      <c r="R137" s="206"/>
      <c r="S137" s="206"/>
      <c r="T137" s="206"/>
      <c r="U137" s="206"/>
      <c r="V137" s="208"/>
      <c r="W137" s="196"/>
      <c r="X137" s="152"/>
      <c r="Z137" s="198"/>
      <c r="AA137" s="198"/>
    </row>
    <row r="138" spans="1:27" s="197" customFormat="1" ht="15" customHeight="1" thickBot="1">
      <c r="A138" s="226"/>
      <c r="B138" s="291" t="s">
        <v>1010</v>
      </c>
      <c r="C138" s="292"/>
      <c r="D138" s="293"/>
      <c r="E138" s="293"/>
      <c r="F138" s="293"/>
      <c r="G138" s="293"/>
      <c r="H138" s="293"/>
      <c r="I138" s="293"/>
      <c r="J138" s="294"/>
      <c r="K138" s="294"/>
      <c r="L138" s="295"/>
      <c r="M138" s="293"/>
      <c r="N138" s="293"/>
      <c r="O138" s="293"/>
      <c r="P138" s="293"/>
      <c r="Q138" s="293"/>
      <c r="R138" s="293"/>
      <c r="S138" s="296"/>
      <c r="T138" s="293"/>
      <c r="U138" s="293" t="s">
        <v>678</v>
      </c>
      <c r="V138" s="297" t="s">
        <v>27</v>
      </c>
      <c r="W138" s="298"/>
      <c r="X138" s="299"/>
      <c r="Z138" s="198"/>
      <c r="AA138" s="198"/>
    </row>
    <row r="139" spans="1:27" s="197" customFormat="1" ht="15" customHeight="1" thickBot="1">
      <c r="A139" s="226"/>
      <c r="B139" s="221"/>
      <c r="C139" s="144">
        <f>SUMIF(Densidades!A:A,'Memória TOTAL'!X139,Densidades!B:B)</f>
        <v>0</v>
      </c>
      <c r="D139" s="145">
        <f>SUMIF(Densidades!A:A,'Memória TOTAL'!X139,Densidades!C:C)</f>
        <v>0</v>
      </c>
      <c r="E139" s="145" t="str">
        <f>IF(I139=15,"FIRECLAY MORTAR",IF(I139=16,"ALUMINA MORTAR",IF(I139=17,"BASIC MORTAR",IF(I139=18,"MORTAR","-"))))</f>
        <v>-</v>
      </c>
      <c r="F139" s="145" t="str">
        <f>IF(I139=15,"FIRECLAY MORTAR",IF(I139=16,"ALUMINA MORTAR",IF(I139=17,"BASIC MORTAR",IF(I139=18,"MORTAR","-"))))</f>
        <v>-</v>
      </c>
      <c r="G139" s="145" t="str">
        <f>IF(I139=15,"FIRECLAY MORTAR",IF(I139=16,"ALUMINA MORTAR",IF(I139=17,"BASIC MORTAR",IF(I139=18,"MORTAR","-"))))</f>
        <v>-</v>
      </c>
      <c r="H139" s="145" t="str">
        <f>IF(I139=15,"FIRECLAY MORTAR",IF(I139=16,"ALUMINA MORTAR",IF(I139=17,"BASIC MORTAR",IF(I139=18,"MORTAR","-"))))</f>
        <v>-</v>
      </c>
      <c r="I139" s="145">
        <f>SUMIF(Densidades!A:A,'Memória TOTAL'!X139,Densidades!G:G)</f>
        <v>0</v>
      </c>
      <c r="J139" s="147">
        <f>SUMIF(Formatos!A:A,'Memória TOTAL'!X140,Formatos!G:G)</f>
        <v>0</v>
      </c>
      <c r="K139" s="148">
        <f>SUMIF(Densidades!A:A,'Memória TOTAL'!X139,Densidades!I:I)</f>
        <v>0</v>
      </c>
      <c r="L139" s="199">
        <v>0</v>
      </c>
      <c r="M139" s="200"/>
      <c r="N139" s="200"/>
      <c r="O139" s="200"/>
      <c r="P139" s="200"/>
      <c r="Q139" s="200"/>
      <c r="R139" s="200"/>
      <c r="S139" s="200"/>
      <c r="T139" s="201"/>
      <c r="U139" s="302">
        <v>0.06</v>
      </c>
      <c r="V139" s="203" t="e">
        <f>(W125*J125*C139+W129*J129*C139)*U139</f>
        <v>#VALUE!</v>
      </c>
      <c r="W139" s="204" t="str">
        <f>IF(C139=0,"",ROUNDUP(SUM(V139:V140)*(1+L139)/D139,0)*D139)</f>
        <v/>
      </c>
      <c r="X139" s="274"/>
      <c r="Z139" s="198"/>
      <c r="AA139" s="198"/>
    </row>
    <row r="140" spans="1:27" s="197" customFormat="1" ht="15" customHeight="1">
      <c r="A140" s="226"/>
      <c r="B140" s="221"/>
      <c r="C140" s="144"/>
      <c r="D140" s="206"/>
      <c r="E140" s="206"/>
      <c r="F140" s="206"/>
      <c r="G140" s="206"/>
      <c r="H140" s="206"/>
      <c r="I140" s="206"/>
      <c r="J140" s="207"/>
      <c r="K140" s="207"/>
      <c r="L140" s="155"/>
      <c r="M140" s="206"/>
      <c r="N140" s="206"/>
      <c r="O140" s="206"/>
      <c r="P140" s="206"/>
      <c r="Q140" s="206"/>
      <c r="R140" s="206"/>
      <c r="S140" s="206"/>
      <c r="T140" s="206"/>
      <c r="U140" s="206"/>
      <c r="V140" s="208"/>
      <c r="W140" s="196"/>
      <c r="X140" s="152" t="str">
        <f>IF(AND(H139="-",G139="-",F139="-"),E139,IF(AND(H139="-",G139="-",E139="-"),F139,IF(AND(H139="-",F139="-",E139="-"),G139,H139)))</f>
        <v>-</v>
      </c>
      <c r="Z140" s="198"/>
      <c r="AA140" s="198"/>
    </row>
    <row r="141" spans="1:27" s="197" customFormat="1" ht="15" customHeight="1">
      <c r="A141" s="226"/>
      <c r="B141" s="224"/>
      <c r="C141" s="144"/>
      <c r="D141" s="206"/>
      <c r="E141" s="206"/>
      <c r="F141" s="206"/>
      <c r="G141" s="206"/>
      <c r="H141" s="206"/>
      <c r="I141" s="206"/>
      <c r="J141" s="207"/>
      <c r="K141" s="207"/>
      <c r="L141" s="155"/>
      <c r="M141" s="206"/>
      <c r="N141" s="206"/>
      <c r="O141" s="206"/>
      <c r="P141" s="206"/>
      <c r="Q141" s="206"/>
      <c r="R141" s="206"/>
      <c r="S141" s="206"/>
      <c r="T141" s="206"/>
      <c r="U141" s="206"/>
      <c r="V141" s="208"/>
      <c r="W141" s="196"/>
      <c r="X141" s="152" t="s">
        <v>2</v>
      </c>
      <c r="Z141" s="198"/>
      <c r="AA141" s="198"/>
    </row>
    <row r="142" spans="1:27" ht="15" customHeight="1">
      <c r="A142" s="226"/>
      <c r="B142" s="142"/>
      <c r="C142" s="180"/>
      <c r="D142" s="181"/>
      <c r="E142" s="181"/>
      <c r="F142" s="181"/>
      <c r="G142" s="181"/>
      <c r="H142" s="181"/>
      <c r="I142" s="181"/>
      <c r="J142" s="182"/>
      <c r="K142" s="182"/>
      <c r="L142" s="183"/>
      <c r="M142" s="181"/>
      <c r="N142" s="181"/>
      <c r="O142" s="181"/>
      <c r="P142" s="181"/>
      <c r="Q142" s="181"/>
      <c r="R142" s="181"/>
      <c r="S142" s="181"/>
      <c r="T142" s="181"/>
      <c r="U142" s="181"/>
      <c r="V142" s="184"/>
      <c r="W142" s="185"/>
      <c r="X142" s="186"/>
    </row>
    <row r="143" spans="1:27" s="197" customFormat="1" ht="15" customHeight="1" thickBot="1">
      <c r="A143" s="226"/>
      <c r="B143" s="291" t="s">
        <v>1011</v>
      </c>
      <c r="C143" s="292"/>
      <c r="D143" s="293"/>
      <c r="E143" s="293"/>
      <c r="F143" s="293"/>
      <c r="G143" s="293"/>
      <c r="H143" s="293"/>
      <c r="I143" s="293"/>
      <c r="J143" s="294"/>
      <c r="K143" s="294"/>
      <c r="L143" s="295"/>
      <c r="M143" s="293"/>
      <c r="N143" s="293"/>
      <c r="O143" s="293"/>
      <c r="P143" s="293"/>
      <c r="Q143" s="293"/>
      <c r="R143" s="293" t="s">
        <v>636</v>
      </c>
      <c r="S143" s="296" t="s">
        <v>637</v>
      </c>
      <c r="T143" s="293" t="s">
        <v>638</v>
      </c>
      <c r="U143" s="293" t="s">
        <v>38</v>
      </c>
      <c r="V143" s="297" t="s">
        <v>27</v>
      </c>
      <c r="W143" s="298"/>
      <c r="X143" s="299"/>
      <c r="Z143" s="198"/>
      <c r="AA143" s="198"/>
    </row>
    <row r="144" spans="1:27" s="197" customFormat="1" ht="15" customHeight="1" thickBot="1">
      <c r="A144" s="226"/>
      <c r="B144" s="221"/>
      <c r="C144" s="144">
        <f>SUMIF(Densidades!A:A,'Memória TOTAL'!X144,Densidades!B:B)</f>
        <v>0</v>
      </c>
      <c r="D144" s="145">
        <f>SUMIF(Densidades!A:A,'Memória TOTAL'!X144,Densidades!C:C)</f>
        <v>0</v>
      </c>
      <c r="E144" s="145" t="str">
        <f>IF(I144=15,"FIRECLAY MORTAR",IF(I144=16,"ALUMINA MORTAR",IF(I144=17,"BASIC MORTAR",IF(I144=18,"MORTAR","-"))))</f>
        <v>-</v>
      </c>
      <c r="F144" s="145" t="str">
        <f>IF(I144=15,"FIRECLAY MORTAR",IF(I144=16,"ALUMINA MORTAR",IF(I144=17,"BASIC MORTAR",IF(I144=18,"MORTAR","-"))))</f>
        <v>-</v>
      </c>
      <c r="G144" s="145" t="str">
        <f>IF(I144=15,"FIRECLAY MORTAR",IF(I144=16,"ALUMINA MORTAR",IF(I144=17,"BASIC MORTAR",IF(I144=18,"MORTAR","-"))))</f>
        <v>-</v>
      </c>
      <c r="H144" s="145" t="str">
        <f>IF(I144=15,"FIRECLAY MORTAR",IF(I144=16,"ALUMINA MORTAR",IF(I144=17,"BASIC MORTAR",IF(I144=18,"MORTAR","-"))))</f>
        <v>-</v>
      </c>
      <c r="I144" s="145">
        <f>SUMIF(Densidades!A:A,'Memória TOTAL'!X144,Densidades!G:G)</f>
        <v>0</v>
      </c>
      <c r="J144" s="147">
        <f>SUMIF(Formatos!A:A,'Memória TOTAL'!X145,Formatos!G:G)</f>
        <v>0</v>
      </c>
      <c r="K144" s="233">
        <f>SUMIF(Densidades!A:A,'Memória TOTAL'!X144,Densidades!I:I)</f>
        <v>0</v>
      </c>
      <c r="L144" s="199">
        <v>0</v>
      </c>
      <c r="M144" s="200"/>
      <c r="N144" s="200"/>
      <c r="O144" s="200"/>
      <c r="P144" s="200"/>
      <c r="Q144" s="200"/>
      <c r="R144" s="201">
        <f>((G125*H125)+(G125*E125)+(H125*E125))/1000000</f>
        <v>0</v>
      </c>
      <c r="S144" s="270">
        <v>2</v>
      </c>
      <c r="T144" s="201">
        <f>R144*S144</f>
        <v>0</v>
      </c>
      <c r="U144" s="202">
        <f>SUM(W125:W130)</f>
        <v>0</v>
      </c>
      <c r="V144" s="203">
        <f>(T144*C144*(1+L144))*U144</f>
        <v>0</v>
      </c>
      <c r="W144" s="151" t="str">
        <f>IF(C144=0,"",ROUNDUP(SUM(V144:V145)*(1+L144)/D144,0)*D144)</f>
        <v/>
      </c>
      <c r="X144" s="274"/>
      <c r="Z144" s="198"/>
      <c r="AA144" s="198"/>
    </row>
    <row r="145" spans="1:27" s="197" customFormat="1" ht="15" customHeight="1">
      <c r="A145" s="226"/>
      <c r="B145" s="221"/>
      <c r="C145" s="144"/>
      <c r="D145" s="206"/>
      <c r="E145" s="206"/>
      <c r="F145" s="206"/>
      <c r="G145" s="206"/>
      <c r="H145" s="206"/>
      <c r="I145" s="206"/>
      <c r="J145" s="207"/>
      <c r="K145" s="207"/>
      <c r="L145" s="155"/>
      <c r="M145" s="206"/>
      <c r="N145" s="206"/>
      <c r="O145" s="206"/>
      <c r="P145" s="206"/>
      <c r="Q145" s="206"/>
      <c r="R145" s="206"/>
      <c r="S145" s="206"/>
      <c r="T145" s="206"/>
      <c r="U145" s="206"/>
      <c r="V145" s="208"/>
      <c r="W145" s="196"/>
      <c r="X145" s="152" t="str">
        <f>IF(AND(H144="-",G144="-",F144="-"),E144,IF(AND(H144="-",G144="-",E144="-"),F144,IF(AND(H144="-",F144="-",E144="-"),G144,H144)))</f>
        <v>-</v>
      </c>
      <c r="Z145" s="198"/>
      <c r="AA145" s="198"/>
    </row>
    <row r="146" spans="1:27" s="197" customFormat="1" ht="15" customHeight="1">
      <c r="A146" s="226"/>
      <c r="B146" s="224"/>
      <c r="C146" s="144"/>
      <c r="D146" s="206"/>
      <c r="E146" s="206"/>
      <c r="F146" s="206"/>
      <c r="G146" s="206"/>
      <c r="H146" s="206"/>
      <c r="I146" s="206"/>
      <c r="J146" s="207"/>
      <c r="K146" s="207"/>
      <c r="L146" s="155"/>
      <c r="M146" s="206"/>
      <c r="N146" s="206"/>
      <c r="O146" s="206"/>
      <c r="P146" s="206"/>
      <c r="Q146" s="206"/>
      <c r="R146" s="206"/>
      <c r="S146" s="206"/>
      <c r="T146" s="206"/>
      <c r="U146" s="206"/>
      <c r="V146" s="208"/>
      <c r="W146" s="196"/>
      <c r="X146" s="152" t="s">
        <v>2</v>
      </c>
      <c r="Z146" s="198"/>
      <c r="AA146" s="198"/>
    </row>
    <row r="147" spans="1:27" s="197" customFormat="1" ht="15" customHeight="1">
      <c r="A147" s="226"/>
      <c r="B147" s="224"/>
      <c r="C147" s="144"/>
      <c r="D147" s="206"/>
      <c r="E147" s="206"/>
      <c r="F147" s="206"/>
      <c r="G147" s="206"/>
      <c r="H147" s="206"/>
      <c r="I147" s="206"/>
      <c r="J147" s="207"/>
      <c r="K147" s="207"/>
      <c r="L147" s="155"/>
      <c r="M147" s="206"/>
      <c r="N147" s="206"/>
      <c r="O147" s="206"/>
      <c r="P147" s="206"/>
      <c r="Q147" s="206"/>
      <c r="R147" s="206"/>
      <c r="S147" s="206"/>
      <c r="T147" s="206"/>
      <c r="U147" s="206"/>
      <c r="V147" s="208"/>
      <c r="W147" s="196"/>
      <c r="X147" s="152"/>
      <c r="Z147" s="198"/>
      <c r="AA147" s="198"/>
    </row>
    <row r="148" spans="1:27" s="197" customFormat="1" ht="15" customHeight="1" thickBot="1">
      <c r="A148" s="226"/>
      <c r="B148" s="524"/>
      <c r="C148" s="524"/>
      <c r="D148" s="527"/>
      <c r="E148" s="527"/>
      <c r="F148" s="527"/>
      <c r="G148" s="527"/>
      <c r="H148" s="527"/>
      <c r="I148" s="527"/>
      <c r="J148" s="527"/>
      <c r="K148" s="527"/>
      <c r="L148" s="527"/>
      <c r="M148" s="527"/>
      <c r="N148" s="527"/>
      <c r="O148" s="527"/>
      <c r="P148" s="527"/>
      <c r="Q148" s="527"/>
      <c r="R148" s="527"/>
      <c r="S148" s="527"/>
      <c r="T148" s="527"/>
      <c r="U148" s="527"/>
      <c r="V148" s="527"/>
      <c r="W148" s="527"/>
      <c r="X148" s="528"/>
      <c r="Z148" s="198"/>
      <c r="AA148" s="198"/>
    </row>
    <row r="149" spans="1:27" ht="15" customHeight="1" thickBot="1">
      <c r="A149" s="226"/>
      <c r="B149" s="284" t="str">
        <f>IF(X150="","TIJOLO / COMPOSIÇÃO",X150)</f>
        <v>TIJOLO / COMPOSIÇÃO</v>
      </c>
      <c r="C149" s="285" t="s">
        <v>101</v>
      </c>
      <c r="D149" s="286" t="s">
        <v>102</v>
      </c>
      <c r="E149" s="286" t="s">
        <v>42</v>
      </c>
      <c r="F149" s="286" t="s">
        <v>42</v>
      </c>
      <c r="G149" s="286" t="s">
        <v>43</v>
      </c>
      <c r="H149" s="286" t="s">
        <v>44</v>
      </c>
      <c r="I149" s="286" t="s">
        <v>47</v>
      </c>
      <c r="J149" s="286" t="s">
        <v>103</v>
      </c>
      <c r="K149" s="286" t="s">
        <v>37</v>
      </c>
      <c r="L149" s="286" t="s">
        <v>39</v>
      </c>
      <c r="M149" s="286" t="s">
        <v>45</v>
      </c>
      <c r="N149" s="286" t="s">
        <v>46</v>
      </c>
      <c r="O149" s="286" t="s">
        <v>672</v>
      </c>
      <c r="P149" s="286" t="s">
        <v>51</v>
      </c>
      <c r="Q149" s="286" t="s">
        <v>52</v>
      </c>
      <c r="R149" s="286"/>
      <c r="S149" s="286"/>
      <c r="T149" s="286"/>
      <c r="U149" s="286" t="s">
        <v>677</v>
      </c>
      <c r="V149" s="287" t="s">
        <v>27</v>
      </c>
      <c r="W149" s="288"/>
      <c r="X149" s="289"/>
    </row>
    <row r="150" spans="1:27" ht="15" customHeight="1" thickBot="1">
      <c r="A150" s="255"/>
      <c r="B150" s="257" t="s">
        <v>674</v>
      </c>
      <c r="C150" s="256">
        <f>SUMIF(Densidades!A:A,'Memória TOTAL'!X150,Densidades!B:B)</f>
        <v>0</v>
      </c>
      <c r="D150" s="145">
        <f>SUMIF(Densidades!A:A,'Memória TOTAL'!X150,Densidades!C:C)</f>
        <v>0</v>
      </c>
      <c r="E150" s="146">
        <f>IF(AND(E156=1,E157=2),SUMIF(Formatos!A:A,'Memória TOTAL'!X151,Formatos!D:D),SUMIF(Formatos!A:A,'Memória TOTAL'!X151,Formatos!E:E))</f>
        <v>0</v>
      </c>
      <c r="F150" s="146">
        <f>IF(AND(E156=1,E157=2),SUMIF(Formatos!A:A,'Memória TOTAL'!X151,Formatos!R:R),SUMIF(Formatos!A:A,'Memória TOTAL'!X151,Formatos!F:F))</f>
        <v>0</v>
      </c>
      <c r="G150" s="146">
        <f>SUMIF(Formatos!A:A,'Memória TOTAL'!X151,Formatos!C:C)</f>
        <v>0</v>
      </c>
      <c r="H150" s="146">
        <f>SUMIF(Formatos!A:A,'Memória TOTAL'!X151,Formatos!D:D)</f>
        <v>0</v>
      </c>
      <c r="I150" s="146">
        <f>SUMIF(Densidades!A:A,'Memória TOTAL'!X150,Densidades!H:H)</f>
        <v>0</v>
      </c>
      <c r="J150" s="147">
        <f>SUMIF(Formatos!A:A,'Memória TOTAL'!X151,Formatos!G:G)</f>
        <v>4.1130000000000004</v>
      </c>
      <c r="K150" s="148">
        <f>SUMIF(Densidades!A:A,'Memória TOTAL'!X150,Densidades!I:I)</f>
        <v>0</v>
      </c>
      <c r="L150" s="264">
        <v>0</v>
      </c>
      <c r="M150" s="277"/>
      <c r="N150" s="267"/>
      <c r="O150" s="268"/>
      <c r="P150" s="266">
        <f>O150*2</f>
        <v>0</v>
      </c>
      <c r="Q150" s="150">
        <f>P150-(2*M150)</f>
        <v>0</v>
      </c>
      <c r="R150" s="150"/>
      <c r="S150" s="271"/>
      <c r="T150" s="271"/>
      <c r="U150" s="268"/>
      <c r="V150" s="267" t="str">
        <f>IF(M150="","",IF(OR(M150=E150,M150=G150,M150=H150),ROUND(SUM(P160:P210),0),"ESP. ERRADA"))</f>
        <v/>
      </c>
      <c r="W150" s="273" t="str">
        <f>IFERROR(IF(C150=0,"",ROUNDUP(SUM(V150)*(1+L150),0))*U150,"")</f>
        <v/>
      </c>
      <c r="X150" s="274"/>
    </row>
    <row r="151" spans="1:27" s="197" customFormat="1" ht="15" customHeight="1">
      <c r="A151" s="226"/>
      <c r="B151" s="504"/>
      <c r="C151" s="503"/>
      <c r="D151" s="206"/>
      <c r="E151" s="206"/>
      <c r="F151" s="206"/>
      <c r="G151" s="206"/>
      <c r="H151" s="206"/>
      <c r="I151" s="206"/>
      <c r="J151" s="207"/>
      <c r="K151" s="207"/>
      <c r="L151" s="155"/>
      <c r="M151" s="206"/>
      <c r="N151" s="206"/>
      <c r="O151" s="206"/>
      <c r="P151" s="206"/>
      <c r="Q151" s="206"/>
      <c r="R151" s="206"/>
      <c r="S151" s="206"/>
      <c r="T151" s="206"/>
      <c r="U151" s="206"/>
      <c r="V151" s="208"/>
      <c r="W151" s="196"/>
      <c r="X151" s="152" t="str">
        <f>IF(B156="","",B156)</f>
        <v/>
      </c>
      <c r="Z151" s="198"/>
      <c r="AA151" s="198"/>
    </row>
    <row r="152" spans="1:27" s="197" customFormat="1" ht="15" customHeight="1">
      <c r="A152" s="226"/>
      <c r="B152" s="505"/>
      <c r="C152" s="211"/>
      <c r="D152" s="206"/>
      <c r="E152" s="206"/>
      <c r="F152" s="206"/>
      <c r="G152" s="206"/>
      <c r="H152" s="206"/>
      <c r="I152" s="206"/>
      <c r="J152" s="207"/>
      <c r="K152" s="207"/>
      <c r="L152" s="155"/>
      <c r="M152" s="206"/>
      <c r="N152" s="206"/>
      <c r="O152" s="206"/>
      <c r="P152" s="206"/>
      <c r="Q152" s="206"/>
      <c r="R152" s="206"/>
      <c r="S152" s="206"/>
      <c r="T152" s="206"/>
      <c r="U152" s="206"/>
      <c r="V152" s="208"/>
      <c r="W152" s="196"/>
      <c r="X152" s="152" t="s">
        <v>524</v>
      </c>
      <c r="Z152" s="198"/>
      <c r="AA152" s="198"/>
    </row>
    <row r="153" spans="1:27" s="197" customFormat="1" ht="15" customHeight="1" thickBot="1">
      <c r="A153" s="226"/>
      <c r="B153" s="505"/>
      <c r="C153" s="211" t="str">
        <f t="shared" ref="C153:L153" si="9">C149</f>
        <v>Dens.</v>
      </c>
      <c r="D153" s="206" t="str">
        <f t="shared" si="9"/>
        <v>Emb.</v>
      </c>
      <c r="E153" s="249" t="str">
        <f t="shared" si="9"/>
        <v>Esp. Tij.</v>
      </c>
      <c r="F153" s="249" t="str">
        <f t="shared" si="9"/>
        <v>Esp. Tij.</v>
      </c>
      <c r="G153" s="249" t="str">
        <f t="shared" si="9"/>
        <v>Comp. Tij.</v>
      </c>
      <c r="H153" s="249" t="str">
        <f t="shared" si="9"/>
        <v>Larg. Tij.</v>
      </c>
      <c r="I153" s="249" t="str">
        <f t="shared" si="9"/>
        <v>Tipo Fator</v>
      </c>
      <c r="J153" s="249" t="str">
        <f t="shared" si="9"/>
        <v>Vol.</v>
      </c>
      <c r="K153" s="249" t="str">
        <f t="shared" si="9"/>
        <v>Class.</v>
      </c>
      <c r="L153" s="206" t="str">
        <f t="shared" si="9"/>
        <v>Coefic. (%)</v>
      </c>
      <c r="M153" s="206"/>
      <c r="N153" s="206"/>
      <c r="O153" s="206"/>
      <c r="P153" s="206"/>
      <c r="Q153" s="206"/>
      <c r="R153" s="206"/>
      <c r="S153" s="206"/>
      <c r="T153" s="206"/>
      <c r="U153" s="206"/>
      <c r="V153" s="253"/>
      <c r="W153" s="196"/>
      <c r="X153" s="152"/>
      <c r="Z153" s="198"/>
      <c r="AA153" s="198"/>
    </row>
    <row r="154" spans="1:27" s="197" customFormat="1" ht="15" customHeight="1" thickBot="1">
      <c r="A154" s="226"/>
      <c r="B154" s="506"/>
      <c r="C154" s="144">
        <f>SUMIF(Densidades!A:A,'Memória TOTAL'!X154,Densidades!B:B)</f>
        <v>0</v>
      </c>
      <c r="D154" s="145">
        <f>SUMIF(Densidades!A:A,'Memória TOTAL'!X154,Densidades!C:C)</f>
        <v>570</v>
      </c>
      <c r="E154" s="146">
        <f>SUMIF(Formatos!A:A,'Memória TOTAL'!X155,Formatos!E:E)</f>
        <v>0</v>
      </c>
      <c r="F154" s="146">
        <f>SUMIF(Formatos!A:A,'Memória TOTAL'!X155,Formatos!F:F)</f>
        <v>0</v>
      </c>
      <c r="G154" s="146">
        <f>SUMIF(Formatos!A:A,'Memória TOTAL'!X155,Formatos!C:C)</f>
        <v>0</v>
      </c>
      <c r="H154" s="146">
        <f>SUMIF(Formatos!A:A,'Memória TOTAL'!X155,Formatos!D:D)</f>
        <v>0</v>
      </c>
      <c r="I154" s="146">
        <f>SUMIF(Densidades!A:A,'Memória TOTAL'!X154,Densidades!H:H)</f>
        <v>0</v>
      </c>
      <c r="J154" s="147">
        <f>SUMIF(Formatos!A:A,'Memória TOTAL'!X155,Formatos!G:G)</f>
        <v>4.1130000000000004</v>
      </c>
      <c r="K154" s="233">
        <f>SUMIF(Densidades!A:A,'Memória TOTAL'!X154,Densidades!I:I)</f>
        <v>167</v>
      </c>
      <c r="L154" s="234">
        <v>0</v>
      </c>
      <c r="M154" s="206"/>
      <c r="N154" s="206"/>
      <c r="O154" s="206"/>
      <c r="P154" s="206"/>
      <c r="Q154" s="206"/>
      <c r="R154" s="206"/>
      <c r="S154" s="206"/>
      <c r="T154" s="243"/>
      <c r="U154" s="246"/>
      <c r="V154" s="267" t="str">
        <f>IF(M150="","",IF(OR(M150=E150,M150=G150,M150=H150),ROUND(SUM(Q160:Q210),0),"ESP. ERRADA"))</f>
        <v/>
      </c>
      <c r="W154" s="278" t="str">
        <f>IFERROR(IF(C154=0,"",ROUNDUP(SUM(V154)*(1+L154),0))*U150,"")</f>
        <v/>
      </c>
      <c r="X154" s="152" t="str">
        <f>IF(X150="","",X150)</f>
        <v/>
      </c>
      <c r="Z154" s="198"/>
      <c r="AA154" s="198"/>
    </row>
    <row r="155" spans="1:27" s="197" customFormat="1" ht="15" customHeight="1" thickBot="1">
      <c r="A155" s="226"/>
      <c r="B155" s="258" t="s">
        <v>675</v>
      </c>
      <c r="C155" s="247"/>
      <c r="D155" s="206"/>
      <c r="E155" s="206"/>
      <c r="F155" s="206"/>
      <c r="G155" s="206"/>
      <c r="H155" s="206"/>
      <c r="I155" s="206"/>
      <c r="J155" s="207"/>
      <c r="K155" s="207"/>
      <c r="L155" s="155"/>
      <c r="M155" s="206"/>
      <c r="N155" s="206"/>
      <c r="O155" s="206"/>
      <c r="P155" s="206"/>
      <c r="Q155" s="206"/>
      <c r="R155" s="206"/>
      <c r="S155" s="206"/>
      <c r="T155" s="206"/>
      <c r="U155" s="206"/>
      <c r="V155" s="208"/>
      <c r="W155" s="196"/>
      <c r="X155" s="152" t="str">
        <f>IF(B157="","",B157)</f>
        <v/>
      </c>
      <c r="Z155" s="198"/>
      <c r="AA155" s="198"/>
    </row>
    <row r="156" spans="1:27" s="197" customFormat="1" ht="15" customHeight="1" thickBot="1">
      <c r="A156" s="226"/>
      <c r="B156" s="274"/>
      <c r="C156" s="254" t="s">
        <v>54</v>
      </c>
      <c r="D156" s="250"/>
      <c r="E156" s="206">
        <f>SUMIF(Formatos!A:A,'Memória TOTAL'!X151,Formatos!S:S)</f>
        <v>2</v>
      </c>
      <c r="F156" s="249"/>
      <c r="G156" s="249"/>
      <c r="H156" s="159" t="s">
        <v>54</v>
      </c>
      <c r="I156" s="159" t="s">
        <v>55</v>
      </c>
      <c r="J156" s="207"/>
      <c r="K156" s="207"/>
      <c r="L156" s="155"/>
      <c r="M156" s="206"/>
      <c r="N156" s="206" t="s">
        <v>22</v>
      </c>
      <c r="O156" s="160" t="s">
        <v>48</v>
      </c>
      <c r="P156" s="160" t="s">
        <v>49</v>
      </c>
      <c r="Q156" s="161" t="s">
        <v>50</v>
      </c>
      <c r="R156" s="160" t="s">
        <v>54</v>
      </c>
      <c r="S156" s="160" t="s">
        <v>55</v>
      </c>
      <c r="T156" s="206"/>
      <c r="U156" s="206"/>
      <c r="V156" s="208"/>
      <c r="W156" s="196"/>
      <c r="X156" s="152" t="s">
        <v>524</v>
      </c>
      <c r="Z156" s="198"/>
      <c r="AA156" s="198"/>
    </row>
    <row r="157" spans="1:27" s="197" customFormat="1" ht="15" customHeight="1" thickBot="1">
      <c r="A157" s="226"/>
      <c r="B157" s="274"/>
      <c r="C157" s="254" t="s">
        <v>55</v>
      </c>
      <c r="D157" s="250"/>
      <c r="E157" s="206">
        <f>SUMIF(Formatos!A:A,'Memória TOTAL'!X155,Formatos!S:S)</f>
        <v>2</v>
      </c>
      <c r="F157" s="206"/>
      <c r="G157" s="206"/>
      <c r="H157" s="251" t="e">
        <f>(1/(-(N157+N150)*(Q157+N150)+(O157+N150)*(P157+N150)))*3.1416*(-P150*(Q157+N150)+Q150*(P157+N150))</f>
        <v>#DIV/0!</v>
      </c>
      <c r="I157" s="251" t="e">
        <f>((P150*PI())-(H157*(N157+N150)))/(P157+N150)</f>
        <v>#DIV/0!</v>
      </c>
      <c r="J157" s="207"/>
      <c r="K157" s="207"/>
      <c r="L157" s="155"/>
      <c r="M157" s="206"/>
      <c r="N157" s="206">
        <f>E150</f>
        <v>0</v>
      </c>
      <c r="O157" s="162">
        <f>F150</f>
        <v>0</v>
      </c>
      <c r="P157" s="162">
        <f>E154</f>
        <v>0</v>
      </c>
      <c r="Q157" s="168">
        <f>F154</f>
        <v>0</v>
      </c>
      <c r="R157" s="162" t="e">
        <f>IF(ROUND(H157+0.4,0)&gt;=0,ROUND(H157+0.4,0),"ERRO")</f>
        <v>#DIV/0!</v>
      </c>
      <c r="S157" s="162" t="e">
        <f>IF(ROUND(I157+0.4,0)&gt;=0,ROUND(I157+0.4,0),"ERRO")</f>
        <v>#DIV/0!</v>
      </c>
      <c r="T157" s="206"/>
      <c r="U157" s="206"/>
      <c r="V157" s="208"/>
      <c r="W157" s="242"/>
      <c r="X157" s="152"/>
      <c r="Z157" s="198"/>
      <c r="AA157" s="198"/>
    </row>
    <row r="158" spans="1:27" s="166" customFormat="1" ht="15" customHeight="1" thickBot="1">
      <c r="A158" s="226"/>
      <c r="B158" s="258" t="s">
        <v>676</v>
      </c>
      <c r="C158" s="247"/>
      <c r="D158" s="206"/>
      <c r="E158" s="206"/>
      <c r="F158" s="206"/>
      <c r="G158" s="206"/>
      <c r="H158" s="206"/>
      <c r="I158" s="206"/>
      <c r="J158" s="206"/>
      <c r="K158" s="206"/>
      <c r="L158" s="206"/>
      <c r="M158" s="206"/>
      <c r="N158" s="206"/>
      <c r="O158" s="252"/>
      <c r="P158" s="206"/>
      <c r="Q158" s="206"/>
      <c r="R158" s="206"/>
      <c r="S158" s="206"/>
      <c r="T158" s="162"/>
      <c r="U158" s="162"/>
      <c r="V158" s="163"/>
      <c r="W158" s="164"/>
      <c r="X158" s="165"/>
      <c r="Z158" s="167"/>
      <c r="AA158" s="167"/>
    </row>
    <row r="159" spans="1:27" s="166" customFormat="1" ht="15" customHeight="1" thickBot="1">
      <c r="A159" s="226"/>
      <c r="B159" s="261"/>
      <c r="C159" s="247"/>
      <c r="D159" s="206"/>
      <c r="E159" s="206"/>
      <c r="F159" s="206"/>
      <c r="G159" s="206"/>
      <c r="H159" s="247" t="s">
        <v>54</v>
      </c>
      <c r="I159" s="206" t="s">
        <v>55</v>
      </c>
      <c r="J159" s="206"/>
      <c r="K159" s="206"/>
      <c r="L159" s="206"/>
      <c r="M159" s="206"/>
      <c r="N159" s="246"/>
      <c r="O159" s="627" t="s">
        <v>53</v>
      </c>
      <c r="P159" s="247" t="s">
        <v>54</v>
      </c>
      <c r="Q159" s="206" t="s">
        <v>55</v>
      </c>
      <c r="R159" s="206"/>
      <c r="S159" s="206"/>
      <c r="T159" s="162"/>
      <c r="U159" s="162"/>
      <c r="V159" s="163"/>
      <c r="W159" s="164"/>
      <c r="X159" s="165"/>
      <c r="Z159" s="167"/>
      <c r="AA159" s="167"/>
    </row>
    <row r="160" spans="1:27" s="166" customFormat="1" ht="15" customHeight="1">
      <c r="A160" s="226"/>
      <c r="B160" s="224" t="s">
        <v>392</v>
      </c>
      <c r="C160" s="502"/>
      <c r="D160" s="212"/>
      <c r="E160" s="212"/>
      <c r="F160" s="212"/>
      <c r="G160" s="212"/>
      <c r="H160" s="212" t="e">
        <f>H157</f>
        <v>#DIV/0!</v>
      </c>
      <c r="I160" s="279" t="e">
        <f>I157</f>
        <v>#DIV/0!</v>
      </c>
      <c r="J160" s="245"/>
      <c r="K160" s="351"/>
      <c r="L160" s="173"/>
      <c r="M160" s="212"/>
      <c r="N160" s="175"/>
      <c r="O160" s="633">
        <v>360</v>
      </c>
      <c r="P160" s="269" t="e">
        <f>IF(H160/360*O160-ROUNDDOWN(H160/360*O160,0)&gt;I160/360*O160-ROUNDDOWN(I160/360*O160,0),ROUNDUP(H160/360*O160,0),ROUNDUP(SUM(H160/360*O160,I160/360*O160),0)-ROUNDUP(I160/360*O160,0))</f>
        <v>#DIV/0!</v>
      </c>
      <c r="Q160" s="263" t="e">
        <f>IF(I160/360*O160-ROUNDDOWN(I160/360*O160,0)&gt;H160/360*O160-ROUNDDOWN(H160/360*O160,0),ROUNDUP(I160/360*O160,0),ROUNDUP(SUM(H160/360*O160,I160/360*O160),0)-ROUNDUP(H160/360*O160,0))</f>
        <v>#DIV/0!</v>
      </c>
      <c r="R160" s="174"/>
      <c r="S160" s="174"/>
      <c r="T160" s="174"/>
      <c r="U160" s="174"/>
      <c r="V160" s="175"/>
      <c r="W160" s="176"/>
      <c r="X160" s="177"/>
      <c r="Z160" s="167"/>
      <c r="AA160" s="167"/>
    </row>
    <row r="161" spans="1:27" s="166" customFormat="1" ht="15" customHeight="1">
      <c r="A161" s="226"/>
      <c r="B161" s="224" t="s">
        <v>984</v>
      </c>
      <c r="C161" s="502"/>
      <c r="D161" s="212"/>
      <c r="E161" s="212"/>
      <c r="F161" s="212"/>
      <c r="G161" s="212"/>
      <c r="H161" s="212" t="e">
        <f>H160</f>
        <v>#DIV/0!</v>
      </c>
      <c r="I161" s="279" t="e">
        <f>I160</f>
        <v>#DIV/0!</v>
      </c>
      <c r="J161" s="245"/>
      <c r="K161" s="351"/>
      <c r="L161" s="173"/>
      <c r="M161" s="212"/>
      <c r="N161" s="175"/>
      <c r="O161" s="634">
        <f>O160</f>
        <v>360</v>
      </c>
      <c r="P161" s="269" t="e">
        <f t="shared" ref="P161:P209" si="10">IF(H161/360*O161-ROUNDDOWN(H161/360*O161,0)&gt;I161/360*O161-ROUNDDOWN(I161/360*O161,0),ROUNDUP(H161/360*O161,0),ROUNDUP(SUM(H161/360*O161,I161/360*O161),0)-ROUNDUP(I161/360*O161,0))</f>
        <v>#DIV/0!</v>
      </c>
      <c r="Q161" s="263" t="e">
        <f t="shared" ref="Q161:Q209" si="11">IF(I161/360*O161-ROUNDDOWN(I161/360*O161,0)&gt;H161/360*O161-ROUNDDOWN(H161/360*O161,0),ROUNDUP(I161/360*O161,0),ROUNDUP(SUM(H161/360*O161,I161/360*O161),0)-ROUNDUP(H161/360*O161,0))</f>
        <v>#DIV/0!</v>
      </c>
      <c r="R161" s="174"/>
      <c r="S161" s="174"/>
      <c r="T161" s="174"/>
      <c r="U161" s="174"/>
      <c r="V161" s="175"/>
      <c r="W161" s="176"/>
      <c r="X161" s="177"/>
      <c r="Z161" s="167"/>
      <c r="AA161" s="167"/>
    </row>
    <row r="162" spans="1:27" s="166" customFormat="1" ht="15" customHeight="1">
      <c r="A162" s="226"/>
      <c r="B162" s="224" t="s">
        <v>393</v>
      </c>
      <c r="C162" s="502"/>
      <c r="D162" s="212"/>
      <c r="E162" s="212"/>
      <c r="F162" s="212"/>
      <c r="G162" s="212"/>
      <c r="H162" s="212" t="e">
        <f t="shared" ref="H162:H208" si="12">H161</f>
        <v>#DIV/0!</v>
      </c>
      <c r="I162" s="279" t="e">
        <f t="shared" ref="I162:I208" si="13">I161</f>
        <v>#DIV/0!</v>
      </c>
      <c r="J162" s="245"/>
      <c r="K162" s="351"/>
      <c r="L162" s="173"/>
      <c r="M162" s="212"/>
      <c r="N162" s="175"/>
      <c r="O162" s="634">
        <f t="shared" ref="O162:O208" si="14">O161</f>
        <v>360</v>
      </c>
      <c r="P162" s="269" t="e">
        <f t="shared" si="10"/>
        <v>#DIV/0!</v>
      </c>
      <c r="Q162" s="263" t="e">
        <f t="shared" si="11"/>
        <v>#DIV/0!</v>
      </c>
      <c r="R162" s="174"/>
      <c r="S162" s="174"/>
      <c r="T162" s="174"/>
      <c r="U162" s="174"/>
      <c r="V162" s="175"/>
      <c r="W162" s="176"/>
      <c r="X162" s="177"/>
      <c r="Z162" s="167"/>
      <c r="AA162" s="167"/>
    </row>
    <row r="163" spans="1:27" s="166" customFormat="1" ht="15" customHeight="1">
      <c r="A163" s="226"/>
      <c r="B163" s="224" t="s">
        <v>394</v>
      </c>
      <c r="C163" s="502"/>
      <c r="D163" s="212"/>
      <c r="E163" s="212"/>
      <c r="F163" s="212"/>
      <c r="G163" s="212"/>
      <c r="H163" s="212" t="e">
        <f t="shared" si="12"/>
        <v>#DIV/0!</v>
      </c>
      <c r="I163" s="279" t="e">
        <f t="shared" si="13"/>
        <v>#DIV/0!</v>
      </c>
      <c r="J163" s="245"/>
      <c r="K163" s="351"/>
      <c r="L163" s="173"/>
      <c r="M163" s="212"/>
      <c r="N163" s="175"/>
      <c r="O163" s="634">
        <f t="shared" si="14"/>
        <v>360</v>
      </c>
      <c r="P163" s="269" t="e">
        <f t="shared" si="10"/>
        <v>#DIV/0!</v>
      </c>
      <c r="Q163" s="263" t="e">
        <f t="shared" si="11"/>
        <v>#DIV/0!</v>
      </c>
      <c r="R163" s="174"/>
      <c r="S163" s="174"/>
      <c r="T163" s="174"/>
      <c r="U163" s="174"/>
      <c r="V163" s="175"/>
      <c r="W163" s="176"/>
      <c r="X163" s="177"/>
      <c r="Z163" s="167"/>
      <c r="AA163" s="167"/>
    </row>
    <row r="164" spans="1:27" s="166" customFormat="1" ht="15" customHeight="1">
      <c r="A164" s="226"/>
      <c r="B164" s="224" t="s">
        <v>395</v>
      </c>
      <c r="C164" s="502"/>
      <c r="D164" s="212"/>
      <c r="E164" s="212"/>
      <c r="F164" s="212"/>
      <c r="G164" s="212"/>
      <c r="H164" s="212" t="e">
        <f t="shared" si="12"/>
        <v>#DIV/0!</v>
      </c>
      <c r="I164" s="279" t="e">
        <f t="shared" si="13"/>
        <v>#DIV/0!</v>
      </c>
      <c r="J164" s="245"/>
      <c r="K164" s="351"/>
      <c r="L164" s="173"/>
      <c r="M164" s="212"/>
      <c r="N164" s="175"/>
      <c r="O164" s="634">
        <f t="shared" si="14"/>
        <v>360</v>
      </c>
      <c r="P164" s="269" t="e">
        <f t="shared" si="10"/>
        <v>#DIV/0!</v>
      </c>
      <c r="Q164" s="263" t="e">
        <f t="shared" si="11"/>
        <v>#DIV/0!</v>
      </c>
      <c r="R164" s="174"/>
      <c r="S164" s="174"/>
      <c r="T164" s="174"/>
      <c r="U164" s="174"/>
      <c r="V164" s="175"/>
      <c r="W164" s="176"/>
      <c r="X164" s="177"/>
      <c r="Z164" s="167"/>
      <c r="AA164" s="167"/>
    </row>
    <row r="165" spans="1:27" s="166" customFormat="1" ht="15" customHeight="1">
      <c r="A165" s="226"/>
      <c r="B165" s="224" t="s">
        <v>396</v>
      </c>
      <c r="C165" s="502"/>
      <c r="D165" s="212"/>
      <c r="E165" s="212"/>
      <c r="F165" s="212"/>
      <c r="G165" s="212"/>
      <c r="H165" s="212" t="e">
        <f t="shared" si="12"/>
        <v>#DIV/0!</v>
      </c>
      <c r="I165" s="279" t="e">
        <f t="shared" si="13"/>
        <v>#DIV/0!</v>
      </c>
      <c r="J165" s="245"/>
      <c r="K165" s="351"/>
      <c r="L165" s="173"/>
      <c r="M165" s="212"/>
      <c r="N165" s="175"/>
      <c r="O165" s="634">
        <f t="shared" si="14"/>
        <v>360</v>
      </c>
      <c r="P165" s="269" t="e">
        <f t="shared" si="10"/>
        <v>#DIV/0!</v>
      </c>
      <c r="Q165" s="263" t="e">
        <f t="shared" si="11"/>
        <v>#DIV/0!</v>
      </c>
      <c r="R165" s="174"/>
      <c r="S165" s="174"/>
      <c r="T165" s="174"/>
      <c r="U165" s="174"/>
      <c r="V165" s="175"/>
      <c r="W165" s="176"/>
      <c r="X165" s="177"/>
      <c r="Z165" s="167"/>
      <c r="AA165" s="167"/>
    </row>
    <row r="166" spans="1:27" s="166" customFormat="1" ht="15" customHeight="1">
      <c r="A166" s="226"/>
      <c r="B166" s="224" t="s">
        <v>397</v>
      </c>
      <c r="C166" s="502"/>
      <c r="D166" s="212"/>
      <c r="E166" s="212"/>
      <c r="F166" s="212"/>
      <c r="G166" s="212"/>
      <c r="H166" s="212" t="e">
        <f t="shared" si="12"/>
        <v>#DIV/0!</v>
      </c>
      <c r="I166" s="279" t="e">
        <f t="shared" si="13"/>
        <v>#DIV/0!</v>
      </c>
      <c r="J166" s="245"/>
      <c r="K166" s="351"/>
      <c r="L166" s="173"/>
      <c r="M166" s="212"/>
      <c r="N166" s="175"/>
      <c r="O166" s="634">
        <f t="shared" si="14"/>
        <v>360</v>
      </c>
      <c r="P166" s="269" t="e">
        <f t="shared" si="10"/>
        <v>#DIV/0!</v>
      </c>
      <c r="Q166" s="263" t="e">
        <f t="shared" si="11"/>
        <v>#DIV/0!</v>
      </c>
      <c r="R166" s="174"/>
      <c r="S166" s="174"/>
      <c r="T166" s="174"/>
      <c r="U166" s="174"/>
      <c r="V166" s="175"/>
      <c r="W166" s="176"/>
      <c r="X166" s="177"/>
      <c r="Z166" s="167"/>
      <c r="AA166" s="167"/>
    </row>
    <row r="167" spans="1:27" s="166" customFormat="1" ht="15" customHeight="1">
      <c r="A167" s="226"/>
      <c r="B167" s="224" t="s">
        <v>398</v>
      </c>
      <c r="C167" s="502"/>
      <c r="D167" s="212"/>
      <c r="E167" s="212"/>
      <c r="F167" s="212"/>
      <c r="G167" s="212"/>
      <c r="H167" s="212" t="e">
        <f t="shared" si="12"/>
        <v>#DIV/0!</v>
      </c>
      <c r="I167" s="279" t="e">
        <f t="shared" si="13"/>
        <v>#DIV/0!</v>
      </c>
      <c r="J167" s="245"/>
      <c r="K167" s="351"/>
      <c r="L167" s="173"/>
      <c r="M167" s="212"/>
      <c r="N167" s="175"/>
      <c r="O167" s="634">
        <f t="shared" si="14"/>
        <v>360</v>
      </c>
      <c r="P167" s="269" t="e">
        <f t="shared" si="10"/>
        <v>#DIV/0!</v>
      </c>
      <c r="Q167" s="263" t="e">
        <f t="shared" si="11"/>
        <v>#DIV/0!</v>
      </c>
      <c r="R167" s="174"/>
      <c r="S167" s="174"/>
      <c r="T167" s="174"/>
      <c r="U167" s="174"/>
      <c r="V167" s="175"/>
      <c r="W167" s="176"/>
      <c r="X167" s="177"/>
      <c r="Z167" s="167"/>
      <c r="AA167" s="167"/>
    </row>
    <row r="168" spans="1:27" s="166" customFormat="1" ht="15" customHeight="1">
      <c r="A168" s="226"/>
      <c r="B168" s="224" t="s">
        <v>399</v>
      </c>
      <c r="C168" s="502"/>
      <c r="D168" s="212"/>
      <c r="E168" s="212"/>
      <c r="F168" s="212"/>
      <c r="G168" s="212"/>
      <c r="H168" s="212" t="e">
        <f t="shared" si="12"/>
        <v>#DIV/0!</v>
      </c>
      <c r="I168" s="279" t="e">
        <f t="shared" si="13"/>
        <v>#DIV/0!</v>
      </c>
      <c r="J168" s="245"/>
      <c r="K168" s="351"/>
      <c r="L168" s="173"/>
      <c r="M168" s="212"/>
      <c r="N168" s="175"/>
      <c r="O168" s="634">
        <f t="shared" si="14"/>
        <v>360</v>
      </c>
      <c r="P168" s="269" t="e">
        <f t="shared" si="10"/>
        <v>#DIV/0!</v>
      </c>
      <c r="Q168" s="263" t="e">
        <f t="shared" si="11"/>
        <v>#DIV/0!</v>
      </c>
      <c r="R168" s="174"/>
      <c r="S168" s="174"/>
      <c r="T168" s="174"/>
      <c r="U168" s="174"/>
      <c r="V168" s="175"/>
      <c r="W168" s="176"/>
      <c r="X168" s="177"/>
      <c r="Z168" s="167"/>
      <c r="AA168" s="167"/>
    </row>
    <row r="169" spans="1:27" s="166" customFormat="1" ht="15" customHeight="1">
      <c r="A169" s="226"/>
      <c r="B169" s="224" t="s">
        <v>400</v>
      </c>
      <c r="C169" s="502"/>
      <c r="D169" s="212"/>
      <c r="E169" s="212"/>
      <c r="F169" s="212"/>
      <c r="G169" s="212"/>
      <c r="H169" s="212" t="e">
        <f t="shared" si="12"/>
        <v>#DIV/0!</v>
      </c>
      <c r="I169" s="279" t="e">
        <f t="shared" si="13"/>
        <v>#DIV/0!</v>
      </c>
      <c r="J169" s="245"/>
      <c r="K169" s="351"/>
      <c r="L169" s="173"/>
      <c r="M169" s="212"/>
      <c r="N169" s="175"/>
      <c r="O169" s="634">
        <f t="shared" si="14"/>
        <v>360</v>
      </c>
      <c r="P169" s="269" t="e">
        <f t="shared" si="10"/>
        <v>#DIV/0!</v>
      </c>
      <c r="Q169" s="263" t="e">
        <f t="shared" si="11"/>
        <v>#DIV/0!</v>
      </c>
      <c r="R169" s="174"/>
      <c r="S169" s="174"/>
      <c r="T169" s="174"/>
      <c r="U169" s="174"/>
      <c r="V169" s="175"/>
      <c r="W169" s="176"/>
      <c r="X169" s="177"/>
      <c r="Z169" s="167"/>
      <c r="AA169" s="167"/>
    </row>
    <row r="170" spans="1:27" s="166" customFormat="1" ht="15" customHeight="1">
      <c r="A170" s="226"/>
      <c r="B170" s="224" t="s">
        <v>401</v>
      </c>
      <c r="C170" s="502"/>
      <c r="D170" s="212"/>
      <c r="E170" s="212"/>
      <c r="F170" s="212"/>
      <c r="G170" s="212"/>
      <c r="H170" s="212" t="e">
        <f t="shared" si="12"/>
        <v>#DIV/0!</v>
      </c>
      <c r="I170" s="279" t="e">
        <f t="shared" si="13"/>
        <v>#DIV/0!</v>
      </c>
      <c r="J170" s="245"/>
      <c r="K170" s="351"/>
      <c r="L170" s="173"/>
      <c r="M170" s="212"/>
      <c r="N170" s="175"/>
      <c r="O170" s="634">
        <f t="shared" si="14"/>
        <v>360</v>
      </c>
      <c r="P170" s="269" t="e">
        <f t="shared" si="10"/>
        <v>#DIV/0!</v>
      </c>
      <c r="Q170" s="263" t="e">
        <f t="shared" si="11"/>
        <v>#DIV/0!</v>
      </c>
      <c r="R170" s="174"/>
      <c r="S170" s="174"/>
      <c r="T170" s="174"/>
      <c r="U170" s="174"/>
      <c r="V170" s="175"/>
      <c r="W170" s="176"/>
      <c r="X170" s="177"/>
      <c r="Z170" s="167"/>
      <c r="AA170" s="167"/>
    </row>
    <row r="171" spans="1:27" s="166" customFormat="1" ht="15" customHeight="1">
      <c r="A171" s="226"/>
      <c r="B171" s="224" t="s">
        <v>402</v>
      </c>
      <c r="C171" s="502"/>
      <c r="D171" s="212"/>
      <c r="E171" s="212"/>
      <c r="F171" s="212"/>
      <c r="G171" s="212"/>
      <c r="H171" s="212" t="e">
        <f t="shared" si="12"/>
        <v>#DIV/0!</v>
      </c>
      <c r="I171" s="279" t="e">
        <f t="shared" si="13"/>
        <v>#DIV/0!</v>
      </c>
      <c r="J171" s="245"/>
      <c r="K171" s="351"/>
      <c r="L171" s="173"/>
      <c r="M171" s="212"/>
      <c r="N171" s="175"/>
      <c r="O171" s="634">
        <f t="shared" si="14"/>
        <v>360</v>
      </c>
      <c r="P171" s="269" t="e">
        <f t="shared" si="10"/>
        <v>#DIV/0!</v>
      </c>
      <c r="Q171" s="263" t="e">
        <f t="shared" si="11"/>
        <v>#DIV/0!</v>
      </c>
      <c r="R171" s="174"/>
      <c r="S171" s="174"/>
      <c r="T171" s="174"/>
      <c r="U171" s="174"/>
      <c r="V171" s="175"/>
      <c r="W171" s="176"/>
      <c r="X171" s="177"/>
      <c r="Z171" s="167"/>
      <c r="AA171" s="167"/>
    </row>
    <row r="172" spans="1:27" s="166" customFormat="1" ht="15" customHeight="1">
      <c r="A172" s="226"/>
      <c r="B172" s="224" t="s">
        <v>403</v>
      </c>
      <c r="C172" s="502"/>
      <c r="D172" s="212"/>
      <c r="E172" s="212"/>
      <c r="F172" s="212"/>
      <c r="G172" s="212"/>
      <c r="H172" s="212" t="e">
        <f t="shared" si="12"/>
        <v>#DIV/0!</v>
      </c>
      <c r="I172" s="279" t="e">
        <f t="shared" si="13"/>
        <v>#DIV/0!</v>
      </c>
      <c r="J172" s="245"/>
      <c r="K172" s="351"/>
      <c r="L172" s="173"/>
      <c r="M172" s="212"/>
      <c r="N172" s="175"/>
      <c r="O172" s="634">
        <f t="shared" si="14"/>
        <v>360</v>
      </c>
      <c r="P172" s="269" t="e">
        <f t="shared" si="10"/>
        <v>#DIV/0!</v>
      </c>
      <c r="Q172" s="263" t="e">
        <f t="shared" si="11"/>
        <v>#DIV/0!</v>
      </c>
      <c r="R172" s="174"/>
      <c r="S172" s="174"/>
      <c r="T172" s="174"/>
      <c r="U172" s="174"/>
      <c r="V172" s="175"/>
      <c r="W172" s="176"/>
      <c r="X172" s="177"/>
      <c r="Z172" s="167"/>
      <c r="AA172" s="167"/>
    </row>
    <row r="173" spans="1:27" s="166" customFormat="1" ht="15" customHeight="1">
      <c r="A173" s="226"/>
      <c r="B173" s="224" t="s">
        <v>404</v>
      </c>
      <c r="C173" s="502"/>
      <c r="D173" s="212"/>
      <c r="E173" s="212"/>
      <c r="F173" s="212"/>
      <c r="G173" s="212"/>
      <c r="H173" s="212" t="e">
        <f t="shared" si="12"/>
        <v>#DIV/0!</v>
      </c>
      <c r="I173" s="279" t="e">
        <f t="shared" si="13"/>
        <v>#DIV/0!</v>
      </c>
      <c r="J173" s="245"/>
      <c r="K173" s="351"/>
      <c r="L173" s="173"/>
      <c r="M173" s="212"/>
      <c r="N173" s="175"/>
      <c r="O173" s="634">
        <f t="shared" si="14"/>
        <v>360</v>
      </c>
      <c r="P173" s="269" t="e">
        <f t="shared" si="10"/>
        <v>#DIV/0!</v>
      </c>
      <c r="Q173" s="263" t="e">
        <f t="shared" si="11"/>
        <v>#DIV/0!</v>
      </c>
      <c r="R173" s="174"/>
      <c r="S173" s="174"/>
      <c r="T173" s="174"/>
      <c r="U173" s="174"/>
      <c r="V173" s="175"/>
      <c r="W173" s="176"/>
      <c r="X173" s="177"/>
      <c r="Z173" s="167"/>
      <c r="AA173" s="167"/>
    </row>
    <row r="174" spans="1:27" s="166" customFormat="1" ht="15" customHeight="1">
      <c r="A174" s="226"/>
      <c r="B174" s="224" t="s">
        <v>405</v>
      </c>
      <c r="C174" s="502"/>
      <c r="D174" s="212"/>
      <c r="E174" s="212"/>
      <c r="F174" s="212"/>
      <c r="G174" s="212"/>
      <c r="H174" s="212" t="e">
        <f t="shared" si="12"/>
        <v>#DIV/0!</v>
      </c>
      <c r="I174" s="279" t="e">
        <f t="shared" si="13"/>
        <v>#DIV/0!</v>
      </c>
      <c r="J174" s="245"/>
      <c r="K174" s="351"/>
      <c r="L174" s="173"/>
      <c r="M174" s="212"/>
      <c r="N174" s="175"/>
      <c r="O174" s="634">
        <f t="shared" si="14"/>
        <v>360</v>
      </c>
      <c r="P174" s="269" t="e">
        <f t="shared" si="10"/>
        <v>#DIV/0!</v>
      </c>
      <c r="Q174" s="263" t="e">
        <f t="shared" si="11"/>
        <v>#DIV/0!</v>
      </c>
      <c r="R174" s="174"/>
      <c r="S174" s="174"/>
      <c r="T174" s="174"/>
      <c r="U174" s="174"/>
      <c r="V174" s="175"/>
      <c r="W174" s="176"/>
      <c r="X174" s="177"/>
      <c r="Z174" s="167"/>
      <c r="AA174" s="167"/>
    </row>
    <row r="175" spans="1:27" s="166" customFormat="1" ht="15" customHeight="1">
      <c r="A175" s="226"/>
      <c r="B175" s="224" t="s">
        <v>406</v>
      </c>
      <c r="C175" s="502"/>
      <c r="D175" s="212"/>
      <c r="E175" s="212"/>
      <c r="F175" s="212"/>
      <c r="G175" s="212"/>
      <c r="H175" s="212" t="e">
        <f t="shared" si="12"/>
        <v>#DIV/0!</v>
      </c>
      <c r="I175" s="279" t="e">
        <f t="shared" si="13"/>
        <v>#DIV/0!</v>
      </c>
      <c r="J175" s="245"/>
      <c r="K175" s="351"/>
      <c r="L175" s="173"/>
      <c r="M175" s="212"/>
      <c r="N175" s="175"/>
      <c r="O175" s="634">
        <f t="shared" si="14"/>
        <v>360</v>
      </c>
      <c r="P175" s="269" t="e">
        <f t="shared" si="10"/>
        <v>#DIV/0!</v>
      </c>
      <c r="Q175" s="263" t="e">
        <f t="shared" si="11"/>
        <v>#DIV/0!</v>
      </c>
      <c r="R175" s="174"/>
      <c r="S175" s="174"/>
      <c r="T175" s="174"/>
      <c r="U175" s="174"/>
      <c r="V175" s="175"/>
      <c r="W175" s="176"/>
      <c r="X175" s="177"/>
      <c r="Z175" s="167"/>
      <c r="AA175" s="167"/>
    </row>
    <row r="176" spans="1:27" s="166" customFormat="1" ht="15" customHeight="1">
      <c r="A176" s="226"/>
      <c r="B176" s="224" t="s">
        <v>407</v>
      </c>
      <c r="C176" s="502"/>
      <c r="D176" s="212"/>
      <c r="E176" s="212"/>
      <c r="F176" s="212"/>
      <c r="G176" s="212"/>
      <c r="H176" s="212" t="e">
        <f t="shared" si="12"/>
        <v>#DIV/0!</v>
      </c>
      <c r="I176" s="279" t="e">
        <f t="shared" si="13"/>
        <v>#DIV/0!</v>
      </c>
      <c r="J176" s="245"/>
      <c r="K176" s="351"/>
      <c r="L176" s="173"/>
      <c r="M176" s="212"/>
      <c r="N176" s="175"/>
      <c r="O176" s="634">
        <f t="shared" si="14"/>
        <v>360</v>
      </c>
      <c r="P176" s="269" t="e">
        <f t="shared" si="10"/>
        <v>#DIV/0!</v>
      </c>
      <c r="Q176" s="263" t="e">
        <f t="shared" si="11"/>
        <v>#DIV/0!</v>
      </c>
      <c r="R176" s="174"/>
      <c r="S176" s="174"/>
      <c r="T176" s="174"/>
      <c r="U176" s="174"/>
      <c r="V176" s="175"/>
      <c r="W176" s="176"/>
      <c r="X176" s="177"/>
      <c r="Z176" s="167"/>
      <c r="AA176" s="167"/>
    </row>
    <row r="177" spans="1:27" s="166" customFormat="1" ht="15" customHeight="1">
      <c r="A177" s="226"/>
      <c r="B177" s="224" t="s">
        <v>408</v>
      </c>
      <c r="C177" s="502"/>
      <c r="D177" s="212"/>
      <c r="E177" s="212"/>
      <c r="F177" s="212"/>
      <c r="G177" s="212"/>
      <c r="H177" s="212" t="e">
        <f t="shared" si="12"/>
        <v>#DIV/0!</v>
      </c>
      <c r="I177" s="279" t="e">
        <f t="shared" si="13"/>
        <v>#DIV/0!</v>
      </c>
      <c r="J177" s="245"/>
      <c r="K177" s="351"/>
      <c r="L177" s="173"/>
      <c r="M177" s="212"/>
      <c r="N177" s="175"/>
      <c r="O177" s="634">
        <f t="shared" si="14"/>
        <v>360</v>
      </c>
      <c r="P177" s="269" t="e">
        <f t="shared" si="10"/>
        <v>#DIV/0!</v>
      </c>
      <c r="Q177" s="263" t="e">
        <f t="shared" si="11"/>
        <v>#DIV/0!</v>
      </c>
      <c r="R177" s="174"/>
      <c r="S177" s="174"/>
      <c r="T177" s="174"/>
      <c r="U177" s="174"/>
      <c r="V177" s="175"/>
      <c r="W177" s="176"/>
      <c r="X177" s="177"/>
      <c r="Z177" s="167"/>
      <c r="AA177" s="167"/>
    </row>
    <row r="178" spans="1:27" s="166" customFormat="1" ht="15" customHeight="1">
      <c r="A178" s="226"/>
      <c r="B178" s="224" t="s">
        <v>409</v>
      </c>
      <c r="C178" s="502"/>
      <c r="D178" s="212"/>
      <c r="E178" s="212"/>
      <c r="F178" s="212"/>
      <c r="G178" s="212"/>
      <c r="H178" s="212" t="e">
        <f t="shared" si="12"/>
        <v>#DIV/0!</v>
      </c>
      <c r="I178" s="279" t="e">
        <f t="shared" si="13"/>
        <v>#DIV/0!</v>
      </c>
      <c r="J178" s="245"/>
      <c r="K178" s="351"/>
      <c r="L178" s="173"/>
      <c r="M178" s="212"/>
      <c r="N178" s="175"/>
      <c r="O178" s="634">
        <f t="shared" si="14"/>
        <v>360</v>
      </c>
      <c r="P178" s="269" t="e">
        <f t="shared" si="10"/>
        <v>#DIV/0!</v>
      </c>
      <c r="Q178" s="263" t="e">
        <f t="shared" si="11"/>
        <v>#DIV/0!</v>
      </c>
      <c r="R178" s="174"/>
      <c r="S178" s="174"/>
      <c r="T178" s="174"/>
      <c r="U178" s="174"/>
      <c r="V178" s="175"/>
      <c r="W178" s="176"/>
      <c r="X178" s="177"/>
      <c r="Z178" s="167"/>
      <c r="AA178" s="167"/>
    </row>
    <row r="179" spans="1:27" s="166" customFormat="1" ht="15" customHeight="1">
      <c r="A179" s="226"/>
      <c r="B179" s="224" t="s">
        <v>410</v>
      </c>
      <c r="C179" s="502"/>
      <c r="D179" s="212"/>
      <c r="E179" s="212"/>
      <c r="F179" s="212"/>
      <c r="G179" s="212"/>
      <c r="H179" s="212" t="e">
        <f t="shared" si="12"/>
        <v>#DIV/0!</v>
      </c>
      <c r="I179" s="279" t="e">
        <f t="shared" si="13"/>
        <v>#DIV/0!</v>
      </c>
      <c r="J179" s="245"/>
      <c r="K179" s="351"/>
      <c r="L179" s="173"/>
      <c r="M179" s="212"/>
      <c r="N179" s="175"/>
      <c r="O179" s="634">
        <f t="shared" si="14"/>
        <v>360</v>
      </c>
      <c r="P179" s="269" t="e">
        <f t="shared" si="10"/>
        <v>#DIV/0!</v>
      </c>
      <c r="Q179" s="263" t="e">
        <f t="shared" si="11"/>
        <v>#DIV/0!</v>
      </c>
      <c r="R179" s="174"/>
      <c r="S179" s="174"/>
      <c r="T179" s="174"/>
      <c r="U179" s="174"/>
      <c r="V179" s="175"/>
      <c r="W179" s="176"/>
      <c r="X179" s="177"/>
      <c r="Z179" s="167"/>
      <c r="AA179" s="167"/>
    </row>
    <row r="180" spans="1:27" s="166" customFormat="1" ht="15" customHeight="1">
      <c r="A180" s="226"/>
      <c r="B180" s="224" t="s">
        <v>411</v>
      </c>
      <c r="C180" s="502"/>
      <c r="D180" s="212"/>
      <c r="E180" s="212"/>
      <c r="F180" s="212"/>
      <c r="G180" s="212"/>
      <c r="H180" s="212" t="e">
        <f t="shared" si="12"/>
        <v>#DIV/0!</v>
      </c>
      <c r="I180" s="279" t="e">
        <f t="shared" si="13"/>
        <v>#DIV/0!</v>
      </c>
      <c r="J180" s="245"/>
      <c r="K180" s="351"/>
      <c r="L180" s="173"/>
      <c r="M180" s="212"/>
      <c r="N180" s="175"/>
      <c r="O180" s="634">
        <f t="shared" si="14"/>
        <v>360</v>
      </c>
      <c r="P180" s="269" t="e">
        <f t="shared" si="10"/>
        <v>#DIV/0!</v>
      </c>
      <c r="Q180" s="263" t="e">
        <f t="shared" si="11"/>
        <v>#DIV/0!</v>
      </c>
      <c r="R180" s="174"/>
      <c r="S180" s="174"/>
      <c r="T180" s="174"/>
      <c r="U180" s="174"/>
      <c r="V180" s="175"/>
      <c r="W180" s="176"/>
      <c r="X180" s="177"/>
      <c r="Z180" s="167"/>
      <c r="AA180" s="167"/>
    </row>
    <row r="181" spans="1:27" s="166" customFormat="1" ht="15" customHeight="1">
      <c r="A181" s="226"/>
      <c r="B181" s="224" t="s">
        <v>412</v>
      </c>
      <c r="C181" s="502"/>
      <c r="D181" s="212"/>
      <c r="E181" s="212"/>
      <c r="F181" s="212"/>
      <c r="G181" s="212"/>
      <c r="H181" s="212" t="e">
        <f t="shared" si="12"/>
        <v>#DIV/0!</v>
      </c>
      <c r="I181" s="279" t="e">
        <f t="shared" si="13"/>
        <v>#DIV/0!</v>
      </c>
      <c r="J181" s="245"/>
      <c r="K181" s="351"/>
      <c r="L181" s="173"/>
      <c r="M181" s="212"/>
      <c r="N181" s="175"/>
      <c r="O181" s="634">
        <f t="shared" si="14"/>
        <v>360</v>
      </c>
      <c r="P181" s="269" t="e">
        <f t="shared" si="10"/>
        <v>#DIV/0!</v>
      </c>
      <c r="Q181" s="263" t="e">
        <f t="shared" si="11"/>
        <v>#DIV/0!</v>
      </c>
      <c r="R181" s="174"/>
      <c r="S181" s="174"/>
      <c r="T181" s="174"/>
      <c r="U181" s="174"/>
      <c r="V181" s="175"/>
      <c r="W181" s="176"/>
      <c r="X181" s="177"/>
      <c r="Z181" s="167"/>
      <c r="AA181" s="167"/>
    </row>
    <row r="182" spans="1:27" s="166" customFormat="1" ht="15" customHeight="1">
      <c r="A182" s="226"/>
      <c r="B182" s="224" t="s">
        <v>413</v>
      </c>
      <c r="C182" s="502"/>
      <c r="D182" s="212"/>
      <c r="E182" s="212"/>
      <c r="F182" s="212"/>
      <c r="G182" s="212"/>
      <c r="H182" s="212" t="e">
        <f t="shared" si="12"/>
        <v>#DIV/0!</v>
      </c>
      <c r="I182" s="279" t="e">
        <f t="shared" si="13"/>
        <v>#DIV/0!</v>
      </c>
      <c r="J182" s="245"/>
      <c r="K182" s="351"/>
      <c r="L182" s="173"/>
      <c r="M182" s="212"/>
      <c r="N182" s="175"/>
      <c r="O182" s="634">
        <f t="shared" si="14"/>
        <v>360</v>
      </c>
      <c r="P182" s="269" t="e">
        <f t="shared" si="10"/>
        <v>#DIV/0!</v>
      </c>
      <c r="Q182" s="263" t="e">
        <f t="shared" si="11"/>
        <v>#DIV/0!</v>
      </c>
      <c r="R182" s="174"/>
      <c r="S182" s="174"/>
      <c r="T182" s="174"/>
      <c r="U182" s="174"/>
      <c r="V182" s="175"/>
      <c r="W182" s="176"/>
      <c r="X182" s="177"/>
      <c r="Z182" s="167"/>
      <c r="AA182" s="167"/>
    </row>
    <row r="183" spans="1:27" s="166" customFormat="1" ht="15" customHeight="1">
      <c r="A183" s="226"/>
      <c r="B183" s="224" t="s">
        <v>414</v>
      </c>
      <c r="C183" s="502"/>
      <c r="D183" s="212"/>
      <c r="E183" s="212"/>
      <c r="F183" s="212"/>
      <c r="G183" s="212"/>
      <c r="H183" s="212" t="e">
        <f t="shared" si="12"/>
        <v>#DIV/0!</v>
      </c>
      <c r="I183" s="279" t="e">
        <f t="shared" si="13"/>
        <v>#DIV/0!</v>
      </c>
      <c r="J183" s="245"/>
      <c r="K183" s="351"/>
      <c r="L183" s="173"/>
      <c r="M183" s="212"/>
      <c r="N183" s="175"/>
      <c r="O183" s="634">
        <f t="shared" si="14"/>
        <v>360</v>
      </c>
      <c r="P183" s="269" t="e">
        <f t="shared" si="10"/>
        <v>#DIV/0!</v>
      </c>
      <c r="Q183" s="263" t="e">
        <f t="shared" si="11"/>
        <v>#DIV/0!</v>
      </c>
      <c r="R183" s="174"/>
      <c r="S183" s="174"/>
      <c r="T183" s="174"/>
      <c r="U183" s="174"/>
      <c r="V183" s="175"/>
      <c r="W183" s="176"/>
      <c r="X183" s="177"/>
      <c r="Z183" s="167"/>
      <c r="AA183" s="167"/>
    </row>
    <row r="184" spans="1:27" s="166" customFormat="1" ht="15" customHeight="1">
      <c r="A184" s="226"/>
      <c r="B184" s="224" t="s">
        <v>415</v>
      </c>
      <c r="C184" s="502"/>
      <c r="D184" s="212"/>
      <c r="E184" s="212"/>
      <c r="F184" s="212"/>
      <c r="G184" s="212"/>
      <c r="H184" s="212" t="e">
        <f t="shared" si="12"/>
        <v>#DIV/0!</v>
      </c>
      <c r="I184" s="279" t="e">
        <f t="shared" si="13"/>
        <v>#DIV/0!</v>
      </c>
      <c r="J184" s="245"/>
      <c r="K184" s="351"/>
      <c r="L184" s="173"/>
      <c r="M184" s="212"/>
      <c r="N184" s="175"/>
      <c r="O184" s="634">
        <f t="shared" si="14"/>
        <v>360</v>
      </c>
      <c r="P184" s="269" t="e">
        <f t="shared" si="10"/>
        <v>#DIV/0!</v>
      </c>
      <c r="Q184" s="263" t="e">
        <f t="shared" si="11"/>
        <v>#DIV/0!</v>
      </c>
      <c r="R184" s="174"/>
      <c r="S184" s="174"/>
      <c r="T184" s="174"/>
      <c r="U184" s="174"/>
      <c r="V184" s="175"/>
      <c r="W184" s="176"/>
      <c r="X184" s="177"/>
      <c r="Z184" s="167"/>
      <c r="AA184" s="167"/>
    </row>
    <row r="185" spans="1:27" s="166" customFormat="1" ht="15" customHeight="1">
      <c r="A185" s="226"/>
      <c r="B185" s="224" t="s">
        <v>416</v>
      </c>
      <c r="C185" s="502"/>
      <c r="D185" s="212"/>
      <c r="E185" s="212"/>
      <c r="F185" s="212"/>
      <c r="G185" s="212"/>
      <c r="H185" s="212" t="e">
        <f t="shared" si="12"/>
        <v>#DIV/0!</v>
      </c>
      <c r="I185" s="279" t="e">
        <f t="shared" si="13"/>
        <v>#DIV/0!</v>
      </c>
      <c r="J185" s="245"/>
      <c r="K185" s="351"/>
      <c r="L185" s="173"/>
      <c r="M185" s="212"/>
      <c r="N185" s="175"/>
      <c r="O185" s="634">
        <f t="shared" si="14"/>
        <v>360</v>
      </c>
      <c r="P185" s="269" t="e">
        <f t="shared" si="10"/>
        <v>#DIV/0!</v>
      </c>
      <c r="Q185" s="263" t="e">
        <f t="shared" si="11"/>
        <v>#DIV/0!</v>
      </c>
      <c r="R185" s="174"/>
      <c r="S185" s="174"/>
      <c r="T185" s="174"/>
      <c r="U185" s="174"/>
      <c r="V185" s="175"/>
      <c r="W185" s="176"/>
      <c r="X185" s="177"/>
      <c r="Z185" s="167"/>
      <c r="AA185" s="167"/>
    </row>
    <row r="186" spans="1:27" s="166" customFormat="1" ht="15" customHeight="1">
      <c r="A186" s="226"/>
      <c r="B186" s="224" t="s">
        <v>417</v>
      </c>
      <c r="C186" s="502"/>
      <c r="D186" s="212"/>
      <c r="E186" s="212"/>
      <c r="F186" s="212"/>
      <c r="G186" s="212"/>
      <c r="H186" s="212" t="e">
        <f t="shared" si="12"/>
        <v>#DIV/0!</v>
      </c>
      <c r="I186" s="279" t="e">
        <f t="shared" si="13"/>
        <v>#DIV/0!</v>
      </c>
      <c r="J186" s="245"/>
      <c r="K186" s="351"/>
      <c r="L186" s="173"/>
      <c r="M186" s="212"/>
      <c r="N186" s="175"/>
      <c r="O186" s="634">
        <f t="shared" si="14"/>
        <v>360</v>
      </c>
      <c r="P186" s="269" t="e">
        <f t="shared" si="10"/>
        <v>#DIV/0!</v>
      </c>
      <c r="Q186" s="263" t="e">
        <f t="shared" si="11"/>
        <v>#DIV/0!</v>
      </c>
      <c r="R186" s="174"/>
      <c r="S186" s="174"/>
      <c r="T186" s="174"/>
      <c r="U186" s="174"/>
      <c r="V186" s="175"/>
      <c r="W186" s="176"/>
      <c r="X186" s="177"/>
      <c r="Z186" s="167"/>
      <c r="AA186" s="167"/>
    </row>
    <row r="187" spans="1:27" s="166" customFormat="1" ht="15" customHeight="1">
      <c r="A187" s="226"/>
      <c r="B187" s="224" t="s">
        <v>418</v>
      </c>
      <c r="C187" s="502"/>
      <c r="D187" s="212"/>
      <c r="E187" s="212"/>
      <c r="F187" s="212"/>
      <c r="G187" s="212"/>
      <c r="H187" s="212" t="e">
        <f t="shared" si="12"/>
        <v>#DIV/0!</v>
      </c>
      <c r="I187" s="279" t="e">
        <f t="shared" si="13"/>
        <v>#DIV/0!</v>
      </c>
      <c r="J187" s="245"/>
      <c r="K187" s="351"/>
      <c r="L187" s="173"/>
      <c r="M187" s="212"/>
      <c r="N187" s="175"/>
      <c r="O187" s="634">
        <f t="shared" si="14"/>
        <v>360</v>
      </c>
      <c r="P187" s="269" t="e">
        <f t="shared" si="10"/>
        <v>#DIV/0!</v>
      </c>
      <c r="Q187" s="263" t="e">
        <f t="shared" si="11"/>
        <v>#DIV/0!</v>
      </c>
      <c r="R187" s="174"/>
      <c r="S187" s="174"/>
      <c r="T187" s="174"/>
      <c r="U187" s="174"/>
      <c r="V187" s="175"/>
      <c r="W187" s="176"/>
      <c r="X187" s="177"/>
      <c r="Z187" s="167"/>
      <c r="AA187" s="167"/>
    </row>
    <row r="188" spans="1:27" s="166" customFormat="1" ht="15" customHeight="1">
      <c r="A188" s="226"/>
      <c r="B188" s="224" t="s">
        <v>419</v>
      </c>
      <c r="C188" s="502"/>
      <c r="D188" s="212"/>
      <c r="E188" s="212"/>
      <c r="F188" s="212"/>
      <c r="G188" s="212"/>
      <c r="H188" s="212" t="e">
        <f t="shared" si="12"/>
        <v>#DIV/0!</v>
      </c>
      <c r="I188" s="279" t="e">
        <f t="shared" si="13"/>
        <v>#DIV/0!</v>
      </c>
      <c r="J188" s="245"/>
      <c r="K188" s="351"/>
      <c r="L188" s="173"/>
      <c r="M188" s="212"/>
      <c r="N188" s="175"/>
      <c r="O188" s="634">
        <f t="shared" si="14"/>
        <v>360</v>
      </c>
      <c r="P188" s="269" t="e">
        <f t="shared" si="10"/>
        <v>#DIV/0!</v>
      </c>
      <c r="Q188" s="263" t="e">
        <f t="shared" si="11"/>
        <v>#DIV/0!</v>
      </c>
      <c r="R188" s="174"/>
      <c r="S188" s="174"/>
      <c r="T188" s="174"/>
      <c r="U188" s="174"/>
      <c r="V188" s="175"/>
      <c r="W188" s="176"/>
      <c r="X188" s="177"/>
      <c r="Z188" s="167"/>
      <c r="AA188" s="167"/>
    </row>
    <row r="189" spans="1:27" s="166" customFormat="1" ht="15" customHeight="1">
      <c r="A189" s="226"/>
      <c r="B189" s="224" t="s">
        <v>420</v>
      </c>
      <c r="C189" s="502"/>
      <c r="D189" s="212"/>
      <c r="E189" s="212"/>
      <c r="F189" s="212"/>
      <c r="G189" s="212"/>
      <c r="H189" s="212" t="e">
        <f t="shared" si="12"/>
        <v>#DIV/0!</v>
      </c>
      <c r="I189" s="279" t="e">
        <f t="shared" si="13"/>
        <v>#DIV/0!</v>
      </c>
      <c r="J189" s="245"/>
      <c r="K189" s="351"/>
      <c r="L189" s="173"/>
      <c r="M189" s="212"/>
      <c r="N189" s="175"/>
      <c r="O189" s="634">
        <f t="shared" si="14"/>
        <v>360</v>
      </c>
      <c r="P189" s="269" t="e">
        <f t="shared" si="10"/>
        <v>#DIV/0!</v>
      </c>
      <c r="Q189" s="263" t="e">
        <f t="shared" si="11"/>
        <v>#DIV/0!</v>
      </c>
      <c r="R189" s="174"/>
      <c r="S189" s="174"/>
      <c r="T189" s="174"/>
      <c r="U189" s="174"/>
      <c r="V189" s="175"/>
      <c r="W189" s="176"/>
      <c r="X189" s="177"/>
      <c r="Z189" s="167"/>
      <c r="AA189" s="167"/>
    </row>
    <row r="190" spans="1:27" s="166" customFormat="1" ht="15" customHeight="1">
      <c r="A190" s="226"/>
      <c r="B190" s="224" t="s">
        <v>990</v>
      </c>
      <c r="C190" s="502"/>
      <c r="D190" s="212"/>
      <c r="E190" s="212"/>
      <c r="F190" s="212"/>
      <c r="G190" s="212"/>
      <c r="H190" s="212" t="e">
        <f t="shared" si="12"/>
        <v>#DIV/0!</v>
      </c>
      <c r="I190" s="279" t="e">
        <f t="shared" si="13"/>
        <v>#DIV/0!</v>
      </c>
      <c r="J190" s="245"/>
      <c r="K190" s="351"/>
      <c r="L190" s="173"/>
      <c r="M190" s="212"/>
      <c r="N190" s="175"/>
      <c r="O190" s="634">
        <f t="shared" si="14"/>
        <v>360</v>
      </c>
      <c r="P190" s="269" t="e">
        <f t="shared" si="10"/>
        <v>#DIV/0!</v>
      </c>
      <c r="Q190" s="263" t="e">
        <f t="shared" si="11"/>
        <v>#DIV/0!</v>
      </c>
      <c r="R190" s="174"/>
      <c r="S190" s="174"/>
      <c r="T190" s="174"/>
      <c r="U190" s="174"/>
      <c r="V190" s="175"/>
      <c r="W190" s="176"/>
      <c r="X190" s="177"/>
      <c r="Z190" s="167"/>
      <c r="AA190" s="167"/>
    </row>
    <row r="191" spans="1:27" s="166" customFormat="1" ht="15" customHeight="1">
      <c r="A191" s="226"/>
      <c r="B191" s="224" t="s">
        <v>991</v>
      </c>
      <c r="C191" s="502"/>
      <c r="D191" s="212"/>
      <c r="E191" s="212"/>
      <c r="F191" s="212"/>
      <c r="G191" s="212"/>
      <c r="H191" s="212" t="e">
        <f t="shared" si="12"/>
        <v>#DIV/0!</v>
      </c>
      <c r="I191" s="279" t="e">
        <f t="shared" si="13"/>
        <v>#DIV/0!</v>
      </c>
      <c r="J191" s="245"/>
      <c r="K191" s="351"/>
      <c r="L191" s="173"/>
      <c r="M191" s="212"/>
      <c r="N191" s="175"/>
      <c r="O191" s="634">
        <f t="shared" si="14"/>
        <v>360</v>
      </c>
      <c r="P191" s="269" t="e">
        <f t="shared" si="10"/>
        <v>#DIV/0!</v>
      </c>
      <c r="Q191" s="263" t="e">
        <f t="shared" si="11"/>
        <v>#DIV/0!</v>
      </c>
      <c r="R191" s="174"/>
      <c r="S191" s="174"/>
      <c r="T191" s="174"/>
      <c r="U191" s="174"/>
      <c r="V191" s="175"/>
      <c r="W191" s="176"/>
      <c r="X191" s="177"/>
      <c r="Z191" s="167"/>
      <c r="AA191" s="167"/>
    </row>
    <row r="192" spans="1:27" s="166" customFormat="1" ht="15" customHeight="1">
      <c r="A192" s="226"/>
      <c r="B192" s="224" t="s">
        <v>992</v>
      </c>
      <c r="C192" s="502"/>
      <c r="D192" s="212"/>
      <c r="E192" s="212"/>
      <c r="F192" s="212"/>
      <c r="G192" s="212"/>
      <c r="H192" s="212" t="e">
        <f t="shared" si="12"/>
        <v>#DIV/0!</v>
      </c>
      <c r="I192" s="279" t="e">
        <f t="shared" si="13"/>
        <v>#DIV/0!</v>
      </c>
      <c r="J192" s="245"/>
      <c r="K192" s="351"/>
      <c r="L192" s="173"/>
      <c r="M192" s="212"/>
      <c r="N192" s="175"/>
      <c r="O192" s="634">
        <f t="shared" si="14"/>
        <v>360</v>
      </c>
      <c r="P192" s="269" t="e">
        <f t="shared" si="10"/>
        <v>#DIV/0!</v>
      </c>
      <c r="Q192" s="263" t="e">
        <f t="shared" si="11"/>
        <v>#DIV/0!</v>
      </c>
      <c r="R192" s="174"/>
      <c r="S192" s="174"/>
      <c r="T192" s="174"/>
      <c r="U192" s="174"/>
      <c r="V192" s="175"/>
      <c r="W192" s="176"/>
      <c r="X192" s="177"/>
      <c r="Z192" s="167"/>
      <c r="AA192" s="167"/>
    </row>
    <row r="193" spans="1:27" s="166" customFormat="1" ht="15" customHeight="1">
      <c r="A193" s="226"/>
      <c r="B193" s="224" t="s">
        <v>993</v>
      </c>
      <c r="C193" s="502"/>
      <c r="D193" s="212"/>
      <c r="E193" s="212"/>
      <c r="F193" s="212"/>
      <c r="G193" s="212"/>
      <c r="H193" s="212" t="e">
        <f t="shared" si="12"/>
        <v>#DIV/0!</v>
      </c>
      <c r="I193" s="279" t="e">
        <f t="shared" si="13"/>
        <v>#DIV/0!</v>
      </c>
      <c r="J193" s="245"/>
      <c r="K193" s="351"/>
      <c r="L193" s="173"/>
      <c r="M193" s="212"/>
      <c r="N193" s="175"/>
      <c r="O193" s="634">
        <f t="shared" si="14"/>
        <v>360</v>
      </c>
      <c r="P193" s="269" t="e">
        <f t="shared" si="10"/>
        <v>#DIV/0!</v>
      </c>
      <c r="Q193" s="263" t="e">
        <f t="shared" si="11"/>
        <v>#DIV/0!</v>
      </c>
      <c r="R193" s="174"/>
      <c r="S193" s="174"/>
      <c r="T193" s="174"/>
      <c r="U193" s="174"/>
      <c r="V193" s="175"/>
      <c r="W193" s="176"/>
      <c r="X193" s="177"/>
      <c r="Z193" s="167"/>
    </row>
    <row r="194" spans="1:27" s="166" customFormat="1" ht="15" customHeight="1">
      <c r="A194" s="226"/>
      <c r="B194" s="224" t="s">
        <v>994</v>
      </c>
      <c r="C194" s="502"/>
      <c r="D194" s="212"/>
      <c r="E194" s="212"/>
      <c r="F194" s="212"/>
      <c r="G194" s="212"/>
      <c r="H194" s="212" t="e">
        <f t="shared" si="12"/>
        <v>#DIV/0!</v>
      </c>
      <c r="I194" s="279" t="e">
        <f t="shared" si="13"/>
        <v>#DIV/0!</v>
      </c>
      <c r="J194" s="245"/>
      <c r="K194" s="351"/>
      <c r="L194" s="173"/>
      <c r="M194" s="212"/>
      <c r="N194" s="175"/>
      <c r="O194" s="634">
        <f t="shared" si="14"/>
        <v>360</v>
      </c>
      <c r="P194" s="269" t="e">
        <f t="shared" si="10"/>
        <v>#DIV/0!</v>
      </c>
      <c r="Q194" s="263" t="e">
        <f t="shared" si="11"/>
        <v>#DIV/0!</v>
      </c>
      <c r="R194" s="174"/>
      <c r="S194" s="174"/>
      <c r="T194" s="174"/>
      <c r="U194" s="174"/>
      <c r="V194" s="175"/>
      <c r="W194" s="176"/>
      <c r="X194" s="177"/>
      <c r="Z194" s="167"/>
    </row>
    <row r="195" spans="1:27" s="166" customFormat="1" ht="15" customHeight="1">
      <c r="A195" s="226"/>
      <c r="B195" s="224" t="s">
        <v>995</v>
      </c>
      <c r="C195" s="502"/>
      <c r="D195" s="212"/>
      <c r="E195" s="212"/>
      <c r="F195" s="212"/>
      <c r="G195" s="212"/>
      <c r="H195" s="212" t="e">
        <f t="shared" si="12"/>
        <v>#DIV/0!</v>
      </c>
      <c r="I195" s="279" t="e">
        <f t="shared" si="13"/>
        <v>#DIV/0!</v>
      </c>
      <c r="J195" s="245"/>
      <c r="K195" s="351"/>
      <c r="L195" s="173"/>
      <c r="M195" s="212"/>
      <c r="N195" s="175"/>
      <c r="O195" s="634">
        <f t="shared" si="14"/>
        <v>360</v>
      </c>
      <c r="P195" s="269" t="e">
        <f t="shared" si="10"/>
        <v>#DIV/0!</v>
      </c>
      <c r="Q195" s="263" t="e">
        <f t="shared" si="11"/>
        <v>#DIV/0!</v>
      </c>
      <c r="R195" s="174"/>
      <c r="S195" s="174"/>
      <c r="T195" s="174"/>
      <c r="U195" s="174"/>
      <c r="V195" s="175"/>
      <c r="W195" s="176"/>
      <c r="X195" s="177"/>
      <c r="Z195" s="167"/>
    </row>
    <row r="196" spans="1:27" s="166" customFormat="1" ht="15" customHeight="1">
      <c r="A196" s="226"/>
      <c r="B196" s="224" t="s">
        <v>996</v>
      </c>
      <c r="C196" s="502"/>
      <c r="D196" s="212"/>
      <c r="E196" s="212"/>
      <c r="F196" s="212"/>
      <c r="G196" s="212"/>
      <c r="H196" s="212" t="e">
        <f t="shared" si="12"/>
        <v>#DIV/0!</v>
      </c>
      <c r="I196" s="279" t="e">
        <f t="shared" si="13"/>
        <v>#DIV/0!</v>
      </c>
      <c r="J196" s="245"/>
      <c r="K196" s="351"/>
      <c r="L196" s="173"/>
      <c r="M196" s="212"/>
      <c r="N196" s="175"/>
      <c r="O196" s="634">
        <f t="shared" si="14"/>
        <v>360</v>
      </c>
      <c r="P196" s="269" t="e">
        <f t="shared" si="10"/>
        <v>#DIV/0!</v>
      </c>
      <c r="Q196" s="263" t="e">
        <f t="shared" si="11"/>
        <v>#DIV/0!</v>
      </c>
      <c r="R196" s="174"/>
      <c r="S196" s="174"/>
      <c r="T196" s="174"/>
      <c r="U196" s="174"/>
      <c r="V196" s="175"/>
      <c r="W196" s="176"/>
      <c r="X196" s="177"/>
      <c r="Z196" s="167"/>
    </row>
    <row r="197" spans="1:27" s="166" customFormat="1" ht="15" customHeight="1">
      <c r="A197" s="226"/>
      <c r="B197" s="224" t="s">
        <v>997</v>
      </c>
      <c r="C197" s="502"/>
      <c r="D197" s="212"/>
      <c r="E197" s="212"/>
      <c r="F197" s="212"/>
      <c r="G197" s="212"/>
      <c r="H197" s="212" t="e">
        <f t="shared" si="12"/>
        <v>#DIV/0!</v>
      </c>
      <c r="I197" s="279" t="e">
        <f t="shared" si="13"/>
        <v>#DIV/0!</v>
      </c>
      <c r="J197" s="245"/>
      <c r="K197" s="351"/>
      <c r="L197" s="173"/>
      <c r="M197" s="212"/>
      <c r="N197" s="175"/>
      <c r="O197" s="634">
        <f t="shared" si="14"/>
        <v>360</v>
      </c>
      <c r="P197" s="269" t="e">
        <f t="shared" si="10"/>
        <v>#DIV/0!</v>
      </c>
      <c r="Q197" s="263" t="e">
        <f t="shared" si="11"/>
        <v>#DIV/0!</v>
      </c>
      <c r="R197" s="174"/>
      <c r="S197" s="174"/>
      <c r="T197" s="174"/>
      <c r="U197" s="174"/>
      <c r="V197" s="175"/>
      <c r="W197" s="176"/>
      <c r="X197" s="177"/>
      <c r="Z197" s="167"/>
    </row>
    <row r="198" spans="1:27" s="166" customFormat="1" ht="15" customHeight="1">
      <c r="A198" s="226"/>
      <c r="B198" s="224" t="s">
        <v>998</v>
      </c>
      <c r="C198" s="502"/>
      <c r="D198" s="212"/>
      <c r="E198" s="212"/>
      <c r="F198" s="212"/>
      <c r="G198" s="212"/>
      <c r="H198" s="212" t="e">
        <f t="shared" si="12"/>
        <v>#DIV/0!</v>
      </c>
      <c r="I198" s="279" t="e">
        <f t="shared" si="13"/>
        <v>#DIV/0!</v>
      </c>
      <c r="J198" s="245"/>
      <c r="K198" s="351"/>
      <c r="L198" s="173"/>
      <c r="M198" s="212"/>
      <c r="N198" s="175"/>
      <c r="O198" s="634">
        <f t="shared" si="14"/>
        <v>360</v>
      </c>
      <c r="P198" s="269" t="e">
        <f t="shared" si="10"/>
        <v>#DIV/0!</v>
      </c>
      <c r="Q198" s="263" t="e">
        <f t="shared" si="11"/>
        <v>#DIV/0!</v>
      </c>
      <c r="R198" s="174"/>
      <c r="S198" s="174"/>
      <c r="T198" s="174"/>
      <c r="U198" s="174"/>
      <c r="V198" s="175"/>
      <c r="W198" s="176"/>
      <c r="X198" s="177"/>
      <c r="Z198" s="167"/>
    </row>
    <row r="199" spans="1:27" s="166" customFormat="1" ht="15" customHeight="1">
      <c r="A199" s="226"/>
      <c r="B199" s="224" t="s">
        <v>999</v>
      </c>
      <c r="C199" s="502"/>
      <c r="D199" s="212"/>
      <c r="E199" s="212"/>
      <c r="F199" s="212"/>
      <c r="G199" s="212"/>
      <c r="H199" s="212" t="e">
        <f t="shared" si="12"/>
        <v>#DIV/0!</v>
      </c>
      <c r="I199" s="279" t="e">
        <f t="shared" si="13"/>
        <v>#DIV/0!</v>
      </c>
      <c r="J199" s="245"/>
      <c r="K199" s="351"/>
      <c r="L199" s="173"/>
      <c r="M199" s="212"/>
      <c r="N199" s="175"/>
      <c r="O199" s="634">
        <f t="shared" si="14"/>
        <v>360</v>
      </c>
      <c r="P199" s="269" t="e">
        <f t="shared" si="10"/>
        <v>#DIV/0!</v>
      </c>
      <c r="Q199" s="263" t="e">
        <f t="shared" si="11"/>
        <v>#DIV/0!</v>
      </c>
      <c r="R199" s="174"/>
      <c r="S199" s="174"/>
      <c r="T199" s="174"/>
      <c r="U199" s="174"/>
      <c r="V199" s="175"/>
      <c r="W199" s="176"/>
      <c r="X199" s="177"/>
      <c r="Z199" s="167"/>
    </row>
    <row r="200" spans="1:27" s="166" customFormat="1" ht="15" customHeight="1">
      <c r="A200" s="226"/>
      <c r="B200" s="224" t="s">
        <v>1000</v>
      </c>
      <c r="C200" s="502"/>
      <c r="D200" s="212"/>
      <c r="E200" s="212"/>
      <c r="F200" s="212"/>
      <c r="G200" s="212"/>
      <c r="H200" s="212" t="e">
        <f t="shared" si="12"/>
        <v>#DIV/0!</v>
      </c>
      <c r="I200" s="279" t="e">
        <f t="shared" si="13"/>
        <v>#DIV/0!</v>
      </c>
      <c r="J200" s="245"/>
      <c r="K200" s="351"/>
      <c r="L200" s="173"/>
      <c r="M200" s="212"/>
      <c r="N200" s="175"/>
      <c r="O200" s="634">
        <f t="shared" si="14"/>
        <v>360</v>
      </c>
      <c r="P200" s="269" t="e">
        <f t="shared" si="10"/>
        <v>#DIV/0!</v>
      </c>
      <c r="Q200" s="263" t="e">
        <f t="shared" si="11"/>
        <v>#DIV/0!</v>
      </c>
      <c r="R200" s="174"/>
      <c r="S200" s="174"/>
      <c r="T200" s="174"/>
      <c r="U200" s="174"/>
      <c r="V200" s="175"/>
      <c r="W200" s="176"/>
      <c r="X200" s="177"/>
      <c r="Z200" s="167"/>
    </row>
    <row r="201" spans="1:27" s="166" customFormat="1" ht="15" customHeight="1">
      <c r="A201" s="226"/>
      <c r="B201" s="224" t="s">
        <v>1001</v>
      </c>
      <c r="C201" s="502"/>
      <c r="D201" s="212"/>
      <c r="E201" s="212"/>
      <c r="F201" s="212"/>
      <c r="G201" s="212"/>
      <c r="H201" s="212" t="e">
        <f t="shared" si="12"/>
        <v>#DIV/0!</v>
      </c>
      <c r="I201" s="279" t="e">
        <f t="shared" si="13"/>
        <v>#DIV/0!</v>
      </c>
      <c r="J201" s="245"/>
      <c r="K201" s="351"/>
      <c r="L201" s="173"/>
      <c r="M201" s="212"/>
      <c r="N201" s="175"/>
      <c r="O201" s="634">
        <f t="shared" si="14"/>
        <v>360</v>
      </c>
      <c r="P201" s="269" t="e">
        <f t="shared" si="10"/>
        <v>#DIV/0!</v>
      </c>
      <c r="Q201" s="263" t="e">
        <f t="shared" si="11"/>
        <v>#DIV/0!</v>
      </c>
      <c r="R201" s="174"/>
      <c r="S201" s="174"/>
      <c r="T201" s="174"/>
      <c r="U201" s="174"/>
      <c r="V201" s="175"/>
      <c r="W201" s="176"/>
      <c r="X201" s="177"/>
      <c r="Z201" s="167"/>
    </row>
    <row r="202" spans="1:27" s="166" customFormat="1" ht="15" customHeight="1">
      <c r="A202" s="226"/>
      <c r="B202" s="224" t="s">
        <v>1002</v>
      </c>
      <c r="C202" s="502"/>
      <c r="D202" s="212"/>
      <c r="E202" s="212"/>
      <c r="F202" s="212"/>
      <c r="G202" s="212"/>
      <c r="H202" s="212" t="e">
        <f t="shared" si="12"/>
        <v>#DIV/0!</v>
      </c>
      <c r="I202" s="279" t="e">
        <f t="shared" si="13"/>
        <v>#DIV/0!</v>
      </c>
      <c r="J202" s="245"/>
      <c r="K202" s="351"/>
      <c r="L202" s="173"/>
      <c r="M202" s="212"/>
      <c r="N202" s="175"/>
      <c r="O202" s="634">
        <f t="shared" si="14"/>
        <v>360</v>
      </c>
      <c r="P202" s="269" t="e">
        <f t="shared" si="10"/>
        <v>#DIV/0!</v>
      </c>
      <c r="Q202" s="263" t="e">
        <f t="shared" si="11"/>
        <v>#DIV/0!</v>
      </c>
      <c r="R202" s="174"/>
      <c r="S202" s="174"/>
      <c r="T202" s="174"/>
      <c r="U202" s="174"/>
      <c r="V202" s="175"/>
      <c r="W202" s="176"/>
      <c r="X202" s="177"/>
      <c r="Z202" s="167"/>
    </row>
    <row r="203" spans="1:27" s="166" customFormat="1" ht="15" customHeight="1">
      <c r="A203" s="226"/>
      <c r="B203" s="224" t="s">
        <v>1003</v>
      </c>
      <c r="C203" s="502"/>
      <c r="D203" s="212"/>
      <c r="E203" s="212"/>
      <c r="F203" s="212"/>
      <c r="G203" s="212"/>
      <c r="H203" s="212" t="e">
        <f t="shared" si="12"/>
        <v>#DIV/0!</v>
      </c>
      <c r="I203" s="279" t="e">
        <f t="shared" si="13"/>
        <v>#DIV/0!</v>
      </c>
      <c r="J203" s="245"/>
      <c r="K203" s="351"/>
      <c r="L203" s="173"/>
      <c r="M203" s="212"/>
      <c r="N203" s="175"/>
      <c r="O203" s="634">
        <f t="shared" si="14"/>
        <v>360</v>
      </c>
      <c r="P203" s="269" t="e">
        <f t="shared" si="10"/>
        <v>#DIV/0!</v>
      </c>
      <c r="Q203" s="263" t="e">
        <f t="shared" si="11"/>
        <v>#DIV/0!</v>
      </c>
      <c r="R203" s="174"/>
      <c r="S203" s="174"/>
      <c r="T203" s="174"/>
      <c r="U203" s="174"/>
      <c r="V203" s="175"/>
      <c r="W203" s="176"/>
      <c r="X203" s="177"/>
      <c r="Z203" s="167"/>
    </row>
    <row r="204" spans="1:27" s="166" customFormat="1" ht="15" customHeight="1">
      <c r="A204" s="226"/>
      <c r="B204" s="224" t="s">
        <v>1004</v>
      </c>
      <c r="C204" s="502"/>
      <c r="D204" s="212"/>
      <c r="E204" s="212"/>
      <c r="F204" s="212"/>
      <c r="G204" s="212"/>
      <c r="H204" s="212" t="e">
        <f t="shared" si="12"/>
        <v>#DIV/0!</v>
      </c>
      <c r="I204" s="279" t="e">
        <f t="shared" si="13"/>
        <v>#DIV/0!</v>
      </c>
      <c r="J204" s="245"/>
      <c r="K204" s="351"/>
      <c r="L204" s="173"/>
      <c r="M204" s="212"/>
      <c r="N204" s="175"/>
      <c r="O204" s="634">
        <f t="shared" si="14"/>
        <v>360</v>
      </c>
      <c r="P204" s="269" t="e">
        <f t="shared" si="10"/>
        <v>#DIV/0!</v>
      </c>
      <c r="Q204" s="263" t="e">
        <f t="shared" si="11"/>
        <v>#DIV/0!</v>
      </c>
      <c r="R204" s="174"/>
      <c r="S204" s="174"/>
      <c r="T204" s="174"/>
      <c r="U204" s="174"/>
      <c r="V204" s="175"/>
      <c r="W204" s="176"/>
      <c r="X204" s="177"/>
      <c r="Z204" s="167"/>
      <c r="AA204" s="167"/>
    </row>
    <row r="205" spans="1:27" s="166" customFormat="1" ht="15" customHeight="1">
      <c r="A205" s="226"/>
      <c r="B205" s="224" t="s">
        <v>1005</v>
      </c>
      <c r="C205" s="502"/>
      <c r="D205" s="212"/>
      <c r="E205" s="212"/>
      <c r="F205" s="212"/>
      <c r="G205" s="212"/>
      <c r="H205" s="212" t="e">
        <f t="shared" si="12"/>
        <v>#DIV/0!</v>
      </c>
      <c r="I205" s="279" t="e">
        <f t="shared" si="13"/>
        <v>#DIV/0!</v>
      </c>
      <c r="J205" s="245"/>
      <c r="K205" s="351"/>
      <c r="L205" s="173"/>
      <c r="M205" s="212"/>
      <c r="N205" s="175"/>
      <c r="O205" s="634">
        <f t="shared" si="14"/>
        <v>360</v>
      </c>
      <c r="P205" s="269" t="e">
        <f t="shared" si="10"/>
        <v>#DIV/0!</v>
      </c>
      <c r="Q205" s="263" t="e">
        <f t="shared" si="11"/>
        <v>#DIV/0!</v>
      </c>
      <c r="R205" s="174"/>
      <c r="S205" s="174"/>
      <c r="T205" s="174"/>
      <c r="U205" s="174"/>
      <c r="V205" s="175"/>
      <c r="W205" s="176"/>
      <c r="X205" s="177"/>
      <c r="Z205" s="167"/>
      <c r="AA205" s="167"/>
    </row>
    <row r="206" spans="1:27" s="166" customFormat="1" ht="15" customHeight="1">
      <c r="A206" s="226"/>
      <c r="B206" s="224" t="s">
        <v>1006</v>
      </c>
      <c r="C206" s="502"/>
      <c r="D206" s="212"/>
      <c r="E206" s="212"/>
      <c r="F206" s="212"/>
      <c r="G206" s="212"/>
      <c r="H206" s="212" t="e">
        <f t="shared" si="12"/>
        <v>#DIV/0!</v>
      </c>
      <c r="I206" s="279" t="e">
        <f t="shared" si="13"/>
        <v>#DIV/0!</v>
      </c>
      <c r="J206" s="245"/>
      <c r="K206" s="351"/>
      <c r="L206" s="173"/>
      <c r="M206" s="212"/>
      <c r="N206" s="175"/>
      <c r="O206" s="634">
        <f t="shared" si="14"/>
        <v>360</v>
      </c>
      <c r="P206" s="269" t="e">
        <f t="shared" si="10"/>
        <v>#DIV/0!</v>
      </c>
      <c r="Q206" s="263" t="e">
        <f t="shared" si="11"/>
        <v>#DIV/0!</v>
      </c>
      <c r="R206" s="174"/>
      <c r="S206" s="174"/>
      <c r="T206" s="174"/>
      <c r="U206" s="174"/>
      <c r="V206" s="175"/>
      <c r="W206" s="176"/>
      <c r="X206" s="177"/>
      <c r="Z206" s="167"/>
      <c r="AA206" s="167"/>
    </row>
    <row r="207" spans="1:27" s="166" customFormat="1" ht="15" customHeight="1">
      <c r="A207" s="226"/>
      <c r="B207" s="224" t="s">
        <v>1007</v>
      </c>
      <c r="C207" s="502"/>
      <c r="D207" s="212"/>
      <c r="E207" s="212"/>
      <c r="F207" s="212"/>
      <c r="G207" s="212"/>
      <c r="H207" s="212" t="e">
        <f t="shared" si="12"/>
        <v>#DIV/0!</v>
      </c>
      <c r="I207" s="279" t="e">
        <f t="shared" si="13"/>
        <v>#DIV/0!</v>
      </c>
      <c r="J207" s="245"/>
      <c r="K207" s="351"/>
      <c r="L207" s="173"/>
      <c r="M207" s="212"/>
      <c r="N207" s="175"/>
      <c r="O207" s="634">
        <f t="shared" si="14"/>
        <v>360</v>
      </c>
      <c r="P207" s="269" t="e">
        <f t="shared" si="10"/>
        <v>#DIV/0!</v>
      </c>
      <c r="Q207" s="263" t="e">
        <f t="shared" si="11"/>
        <v>#DIV/0!</v>
      </c>
      <c r="R207" s="174"/>
      <c r="S207" s="174"/>
      <c r="T207" s="174"/>
      <c r="U207" s="174"/>
      <c r="V207" s="175"/>
      <c r="W207" s="176"/>
      <c r="X207" s="177"/>
      <c r="Z207" s="167"/>
      <c r="AA207" s="167"/>
    </row>
    <row r="208" spans="1:27" s="166" customFormat="1" ht="15" customHeight="1">
      <c r="A208" s="226"/>
      <c r="B208" s="224" t="s">
        <v>1008</v>
      </c>
      <c r="C208" s="502"/>
      <c r="D208" s="212"/>
      <c r="E208" s="212"/>
      <c r="F208" s="212"/>
      <c r="G208" s="212"/>
      <c r="H208" s="212" t="e">
        <f t="shared" si="12"/>
        <v>#DIV/0!</v>
      </c>
      <c r="I208" s="279" t="e">
        <f t="shared" si="13"/>
        <v>#DIV/0!</v>
      </c>
      <c r="J208" s="245"/>
      <c r="K208" s="351"/>
      <c r="L208" s="173"/>
      <c r="M208" s="212"/>
      <c r="N208" s="175"/>
      <c r="O208" s="634">
        <f t="shared" si="14"/>
        <v>360</v>
      </c>
      <c r="P208" s="269" t="e">
        <f t="shared" si="10"/>
        <v>#DIV/0!</v>
      </c>
      <c r="Q208" s="263" t="e">
        <f t="shared" si="11"/>
        <v>#DIV/0!</v>
      </c>
      <c r="R208" s="174"/>
      <c r="S208" s="174"/>
      <c r="T208" s="174"/>
      <c r="U208" s="174"/>
      <c r="V208" s="175"/>
      <c r="W208" s="176"/>
      <c r="X208" s="177"/>
      <c r="Z208" s="167"/>
      <c r="AA208" s="167"/>
    </row>
    <row r="209" spans="1:28" s="166" customFormat="1" ht="15" customHeight="1" thickBot="1">
      <c r="A209" s="226"/>
      <c r="B209" s="224" t="s">
        <v>1009</v>
      </c>
      <c r="C209" s="502"/>
      <c r="D209" s="212"/>
      <c r="E209" s="212"/>
      <c r="F209" s="212"/>
      <c r="G209" s="212"/>
      <c r="H209" s="212" t="e">
        <f>H208</f>
        <v>#DIV/0!</v>
      </c>
      <c r="I209" s="279" t="e">
        <f>I208</f>
        <v>#DIV/0!</v>
      </c>
      <c r="J209" s="643"/>
      <c r="K209" s="644"/>
      <c r="L209" s="173"/>
      <c r="M209" s="212"/>
      <c r="N209" s="175"/>
      <c r="O209" s="635">
        <f>O208</f>
        <v>360</v>
      </c>
      <c r="P209" s="269" t="e">
        <f t="shared" si="10"/>
        <v>#DIV/0!</v>
      </c>
      <c r="Q209" s="263" t="e">
        <f t="shared" si="11"/>
        <v>#DIV/0!</v>
      </c>
      <c r="R209" s="174"/>
      <c r="S209" s="174"/>
      <c r="T209" s="174"/>
      <c r="U209" s="174"/>
      <c r="V209" s="175"/>
      <c r="W209" s="176"/>
      <c r="X209" s="177"/>
      <c r="Z209" s="167"/>
      <c r="AA209" s="167"/>
    </row>
    <row r="210" spans="1:28" s="197" customFormat="1" ht="15" customHeight="1">
      <c r="A210" s="226"/>
      <c r="B210" s="221"/>
      <c r="C210" s="312"/>
      <c r="D210" s="206"/>
      <c r="E210" s="146"/>
      <c r="F210" s="146"/>
      <c r="G210" s="146"/>
      <c r="H210" s="146"/>
      <c r="I210" s="243"/>
      <c r="J210" s="243"/>
      <c r="K210" s="243"/>
      <c r="L210" s="206"/>
      <c r="M210" s="206"/>
      <c r="N210" s="206"/>
      <c r="O210" s="155"/>
      <c r="P210" s="206"/>
      <c r="Q210" s="206"/>
      <c r="R210" s="206"/>
      <c r="S210" s="206"/>
      <c r="T210" s="206"/>
      <c r="U210" s="206"/>
      <c r="V210" s="208"/>
      <c r="W210" s="196"/>
      <c r="X210" s="152"/>
      <c r="Z210" s="198"/>
      <c r="AA210" s="166"/>
      <c r="AB210" s="166"/>
    </row>
    <row r="211" spans="1:28" s="197" customFormat="1" ht="15" customHeight="1">
      <c r="A211" s="226"/>
      <c r="B211" s="221"/>
      <c r="C211" s="312"/>
      <c r="D211" s="206"/>
      <c r="E211" s="146"/>
      <c r="F211" s="146"/>
      <c r="G211" s="146"/>
      <c r="H211" s="146"/>
      <c r="I211" s="243"/>
      <c r="J211" s="243"/>
      <c r="K211" s="243"/>
      <c r="L211" s="206"/>
      <c r="M211" s="206"/>
      <c r="N211" s="206"/>
      <c r="O211" s="155"/>
      <c r="P211" s="206"/>
      <c r="Q211" s="206"/>
      <c r="R211" s="206"/>
      <c r="S211" s="206"/>
      <c r="T211" s="206"/>
      <c r="U211" s="206"/>
      <c r="V211" s="208"/>
      <c r="W211" s="196"/>
      <c r="X211" s="152"/>
      <c r="Z211" s="198"/>
      <c r="AA211" s="166"/>
      <c r="AB211" s="166"/>
    </row>
    <row r="212" spans="1:28" s="197" customFormat="1" ht="15" customHeight="1" thickBot="1">
      <c r="A212" s="226"/>
      <c r="B212" s="291" t="s">
        <v>1010</v>
      </c>
      <c r="C212" s="292"/>
      <c r="D212" s="293"/>
      <c r="E212" s="293"/>
      <c r="F212" s="293"/>
      <c r="G212" s="293"/>
      <c r="H212" s="293"/>
      <c r="I212" s="293"/>
      <c r="J212" s="294"/>
      <c r="K212" s="294"/>
      <c r="L212" s="295"/>
      <c r="M212" s="293"/>
      <c r="N212" s="293"/>
      <c r="O212" s="293"/>
      <c r="P212" s="293"/>
      <c r="Q212" s="293"/>
      <c r="R212" s="293"/>
      <c r="S212" s="296"/>
      <c r="T212" s="293"/>
      <c r="U212" s="293" t="s">
        <v>678</v>
      </c>
      <c r="V212" s="297" t="s">
        <v>27</v>
      </c>
      <c r="W212" s="298"/>
      <c r="X212" s="299"/>
      <c r="Z212" s="198"/>
      <c r="AA212" s="166"/>
      <c r="AB212" s="166"/>
    </row>
    <row r="213" spans="1:28" s="197" customFormat="1" ht="15" customHeight="1" thickBot="1">
      <c r="A213" s="226"/>
      <c r="B213" s="221"/>
      <c r="C213" s="144">
        <f>SUMIF(Densidades!A:A,'Memória TOTAL'!X213,Densidades!B:B)</f>
        <v>0</v>
      </c>
      <c r="D213" s="145">
        <f>SUMIF(Densidades!A:A,'Memória TOTAL'!X213,Densidades!C:C)</f>
        <v>0</v>
      </c>
      <c r="E213" s="145" t="str">
        <f>IF(I213=15,"FIRECLAY MORTAR",IF(I213=16,"ALUMINA MORTAR",IF(I213=17,"BASIC MORTAR",IF(I213=18,"MORTAR","-"))))</f>
        <v>-</v>
      </c>
      <c r="F213" s="145" t="str">
        <f>IF(I213=15,"FIRECLAY MORTAR",IF(I213=16,"ALUMINA MORTAR",IF(I213=17,"BASIC MORTAR",IF(I213=18,"MORTAR","-"))))</f>
        <v>-</v>
      </c>
      <c r="G213" s="145" t="str">
        <f>IF(I213=15,"FIRECLAY MORTAR",IF(I213=16,"ALUMINA MORTAR",IF(I213=17,"BASIC MORTAR",IF(I213=18,"MORTAR","-"))))</f>
        <v>-</v>
      </c>
      <c r="H213" s="145" t="str">
        <f>IF(I213=15,"FIRECLAY MORTAR",IF(I213=16,"ALUMINA MORTAR",IF(I213=17,"BASIC MORTAR",IF(I213=18,"MORTAR","-"))))</f>
        <v>-</v>
      </c>
      <c r="I213" s="145">
        <f>SUMIF(Densidades!A:A,'Memória TOTAL'!X213,Densidades!G:G)</f>
        <v>0</v>
      </c>
      <c r="J213" s="147">
        <f>SUMIF(Formatos!A:A,'Memória TOTAL'!X214,Formatos!G:G)</f>
        <v>0</v>
      </c>
      <c r="K213" s="148">
        <f>SUMIF(Densidades!A:A,'Memória TOTAL'!X213,Densidades!I:I)</f>
        <v>0</v>
      </c>
      <c r="L213" s="199">
        <v>0</v>
      </c>
      <c r="M213" s="200"/>
      <c r="N213" s="200"/>
      <c r="O213" s="200"/>
      <c r="P213" s="200"/>
      <c r="Q213" s="200"/>
      <c r="R213" s="200"/>
      <c r="S213" s="200"/>
      <c r="T213" s="201"/>
      <c r="U213" s="302">
        <v>0.06</v>
      </c>
      <c r="V213" s="203" t="e">
        <f>(W150*J150*C213+W154*J154*C213)*U213</f>
        <v>#VALUE!</v>
      </c>
      <c r="W213" s="204" t="str">
        <f>IF(C213=0,"",ROUNDUP(SUM(V213:V215)*(1+L213)/D213,0)*D213)</f>
        <v/>
      </c>
      <c r="X213" s="274"/>
      <c r="Z213" s="198"/>
      <c r="AA213" s="166"/>
      <c r="AB213" s="166"/>
    </row>
    <row r="214" spans="1:28" s="197" customFormat="1" ht="15" customHeight="1">
      <c r="A214" s="226"/>
      <c r="B214" s="221"/>
      <c r="C214" s="144"/>
      <c r="D214" s="206"/>
      <c r="E214" s="206"/>
      <c r="F214" s="206"/>
      <c r="G214" s="206"/>
      <c r="H214" s="206"/>
      <c r="I214" s="206"/>
      <c r="J214" s="207"/>
      <c r="K214" s="207"/>
      <c r="L214" s="155"/>
      <c r="M214" s="206"/>
      <c r="N214" s="206"/>
      <c r="O214" s="206"/>
      <c r="P214" s="206"/>
      <c r="Q214" s="206"/>
      <c r="R214" s="206"/>
      <c r="S214" s="206"/>
      <c r="T214" s="206"/>
      <c r="U214" s="206"/>
      <c r="V214" s="208"/>
      <c r="W214" s="196"/>
      <c r="X214" s="152" t="str">
        <f>IF(AND(H213="-",G213="-",F213="-"),E213,IF(AND(H213="-",G213="-",E213="-"),F213,IF(AND(H213="-",F213="-",E213="-"),G213,H213)))</f>
        <v>-</v>
      </c>
      <c r="Z214" s="198"/>
      <c r="AA214" s="166"/>
      <c r="AB214" s="166"/>
    </row>
    <row r="215" spans="1:28" s="197" customFormat="1" ht="15" customHeight="1">
      <c r="A215" s="226"/>
      <c r="B215" s="224"/>
      <c r="C215" s="144"/>
      <c r="D215" s="206"/>
      <c r="E215" s="206"/>
      <c r="F215" s="206"/>
      <c r="G215" s="206"/>
      <c r="H215" s="206"/>
      <c r="I215" s="206"/>
      <c r="J215" s="207"/>
      <c r="K215" s="207"/>
      <c r="L215" s="155"/>
      <c r="M215" s="206"/>
      <c r="N215" s="206"/>
      <c r="O215" s="206"/>
      <c r="P215" s="206"/>
      <c r="Q215" s="206"/>
      <c r="R215" s="206"/>
      <c r="S215" s="206"/>
      <c r="T215" s="206"/>
      <c r="U215" s="206"/>
      <c r="V215" s="208"/>
      <c r="W215" s="196"/>
      <c r="X215" s="152" t="s">
        <v>2</v>
      </c>
      <c r="Z215" s="198"/>
      <c r="AA215" s="167"/>
      <c r="AB215" s="166"/>
    </row>
    <row r="216" spans="1:28" ht="15" customHeight="1">
      <c r="A216" s="226"/>
      <c r="B216" s="142"/>
      <c r="C216" s="180"/>
      <c r="D216" s="181"/>
      <c r="E216" s="181"/>
      <c r="F216" s="181"/>
      <c r="G216" s="181"/>
      <c r="H216" s="181"/>
      <c r="I216" s="181"/>
      <c r="J216" s="182"/>
      <c r="K216" s="182"/>
      <c r="L216" s="183"/>
      <c r="M216" s="181"/>
      <c r="N216" s="181"/>
      <c r="O216" s="181"/>
      <c r="P216" s="181"/>
      <c r="Q216" s="181"/>
      <c r="R216" s="181"/>
      <c r="S216" s="181"/>
      <c r="T216" s="181"/>
      <c r="U216" s="181"/>
      <c r="V216" s="184"/>
      <c r="W216" s="185"/>
      <c r="X216" s="186"/>
    </row>
    <row r="217" spans="1:28" s="197" customFormat="1" ht="15" customHeight="1" thickBot="1">
      <c r="A217" s="226"/>
      <c r="B217" s="291" t="s">
        <v>1011</v>
      </c>
      <c r="C217" s="292"/>
      <c r="D217" s="293"/>
      <c r="E217" s="293"/>
      <c r="F217" s="293"/>
      <c r="G217" s="293"/>
      <c r="H217" s="293"/>
      <c r="I217" s="293"/>
      <c r="J217" s="294"/>
      <c r="K217" s="294"/>
      <c r="L217" s="295"/>
      <c r="M217" s="293"/>
      <c r="N217" s="293"/>
      <c r="O217" s="293"/>
      <c r="P217" s="293"/>
      <c r="Q217" s="293"/>
      <c r="R217" s="293" t="s">
        <v>636</v>
      </c>
      <c r="S217" s="296" t="s">
        <v>637</v>
      </c>
      <c r="T217" s="293" t="s">
        <v>638</v>
      </c>
      <c r="U217" s="293" t="s">
        <v>38</v>
      </c>
      <c r="V217" s="297" t="s">
        <v>27</v>
      </c>
      <c r="W217" s="298"/>
      <c r="X217" s="299"/>
      <c r="Z217" s="198"/>
      <c r="AA217" s="198"/>
    </row>
    <row r="218" spans="1:28" s="197" customFormat="1" ht="15" customHeight="1" thickBot="1">
      <c r="A218" s="226"/>
      <c r="B218" s="221"/>
      <c r="C218" s="144">
        <f>SUMIF(Densidades!A:A,'Memória TOTAL'!X218,Densidades!B:B)</f>
        <v>0</v>
      </c>
      <c r="D218" s="145">
        <f>SUMIF(Densidades!A:A,'Memória TOTAL'!X218,Densidades!C:C)</f>
        <v>0</v>
      </c>
      <c r="E218" s="145" t="str">
        <f>IF(I218=15,"FIRECLAY MORTAR",IF(I218=16,"ALUMINA MORTAR",IF(I218=17,"BASIC MORTAR",IF(I218=18,"MORTAR","-"))))</f>
        <v>-</v>
      </c>
      <c r="F218" s="145" t="str">
        <f>IF(I218=15,"FIRECLAY MORTAR",IF(I218=16,"ALUMINA MORTAR",IF(I218=17,"BASIC MORTAR",IF(I218=18,"MORTAR","-"))))</f>
        <v>-</v>
      </c>
      <c r="G218" s="145" t="str">
        <f>IF(I218=15,"FIRECLAY MORTAR",IF(I218=16,"ALUMINA MORTAR",IF(I218=17,"BASIC MORTAR",IF(I218=18,"MORTAR","-"))))</f>
        <v>-</v>
      </c>
      <c r="H218" s="145" t="str">
        <f>IF(I218=15,"FIRECLAY MORTAR",IF(I218=16,"ALUMINA MORTAR",IF(I218=17,"BASIC MORTAR",IF(I218=18,"MORTAR","-"))))</f>
        <v>-</v>
      </c>
      <c r="I218" s="145">
        <f>SUMIF(Densidades!A:A,'Memória TOTAL'!X218,Densidades!G:G)</f>
        <v>0</v>
      </c>
      <c r="J218" s="147">
        <f>SUMIF(Formatos!A:A,'Memória TOTAL'!X219,Formatos!G:G)</f>
        <v>0</v>
      </c>
      <c r="K218" s="233">
        <f>SUMIF(Densidades!A:A,'Memória TOTAL'!X218,Densidades!I:I)</f>
        <v>0</v>
      </c>
      <c r="L218" s="199">
        <v>0</v>
      </c>
      <c r="M218" s="200"/>
      <c r="N218" s="200"/>
      <c r="O218" s="200"/>
      <c r="P218" s="200"/>
      <c r="Q218" s="200"/>
      <c r="R218" s="201">
        <f>((G150*H150)+(G150*E150)+(H150*E150))/1000000</f>
        <v>0</v>
      </c>
      <c r="S218" s="270">
        <v>2</v>
      </c>
      <c r="T218" s="201">
        <f>R218*S218</f>
        <v>0</v>
      </c>
      <c r="U218" s="202">
        <f>SUM(W150:W155)</f>
        <v>0</v>
      </c>
      <c r="V218" s="203">
        <f>(T218*C218*(1+L218))*U218</f>
        <v>0</v>
      </c>
      <c r="W218" s="151" t="str">
        <f>IF(C218=0,"",ROUNDUP(SUM(V218:V220)*(1+L218)/D218,0)*D218)</f>
        <v/>
      </c>
      <c r="X218" s="274"/>
      <c r="Z218" s="198"/>
      <c r="AA218" s="198"/>
    </row>
    <row r="219" spans="1:28" s="197" customFormat="1" ht="15" customHeight="1">
      <c r="A219" s="226"/>
      <c r="B219" s="221"/>
      <c r="C219" s="144"/>
      <c r="D219" s="206"/>
      <c r="E219" s="206"/>
      <c r="F219" s="206"/>
      <c r="G219" s="206"/>
      <c r="H219" s="206"/>
      <c r="I219" s="206"/>
      <c r="J219" s="207"/>
      <c r="K219" s="207"/>
      <c r="L219" s="155"/>
      <c r="M219" s="206"/>
      <c r="N219" s="206"/>
      <c r="O219" s="206"/>
      <c r="P219" s="206"/>
      <c r="Q219" s="206"/>
      <c r="R219" s="206"/>
      <c r="S219" s="206"/>
      <c r="T219" s="206"/>
      <c r="U219" s="206"/>
      <c r="V219" s="208"/>
      <c r="W219" s="196"/>
      <c r="X219" s="152" t="str">
        <f>IF(AND(H218="-",G218="-",F218="-"),E218,IF(AND(H218="-",G218="-",E218="-"),F218,IF(AND(H218="-",F218="-",E218="-"),G218,H218)))</f>
        <v>-</v>
      </c>
      <c r="Z219" s="198"/>
      <c r="AA219" s="198"/>
    </row>
    <row r="220" spans="1:28" s="197" customFormat="1" ht="15" customHeight="1">
      <c r="A220" s="226"/>
      <c r="B220" s="224"/>
      <c r="C220" s="144"/>
      <c r="D220" s="206"/>
      <c r="E220" s="206"/>
      <c r="F220" s="206"/>
      <c r="G220" s="206"/>
      <c r="H220" s="206"/>
      <c r="I220" s="206"/>
      <c r="J220" s="207"/>
      <c r="K220" s="207"/>
      <c r="L220" s="155"/>
      <c r="M220" s="206"/>
      <c r="N220" s="206"/>
      <c r="O220" s="206"/>
      <c r="P220" s="206"/>
      <c r="Q220" s="206"/>
      <c r="R220" s="206"/>
      <c r="S220" s="206"/>
      <c r="T220" s="206"/>
      <c r="U220" s="206"/>
      <c r="V220" s="208"/>
      <c r="W220" s="196"/>
      <c r="X220" s="152" t="s">
        <v>2</v>
      </c>
      <c r="Z220" s="198"/>
      <c r="AA220" s="198"/>
    </row>
    <row r="221" spans="1:28" s="197" customFormat="1" ht="15" customHeight="1">
      <c r="A221" s="226"/>
      <c r="B221" s="224"/>
      <c r="C221" s="144"/>
      <c r="D221" s="206"/>
      <c r="E221" s="206"/>
      <c r="F221" s="206"/>
      <c r="G221" s="206"/>
      <c r="H221" s="206"/>
      <c r="I221" s="206"/>
      <c r="J221" s="207"/>
      <c r="K221" s="207"/>
      <c r="L221" s="155"/>
      <c r="M221" s="206"/>
      <c r="N221" s="206"/>
      <c r="O221" s="206"/>
      <c r="P221" s="206"/>
      <c r="Q221" s="206"/>
      <c r="R221" s="206"/>
      <c r="S221" s="206"/>
      <c r="T221" s="206"/>
      <c r="U221" s="206"/>
      <c r="V221" s="208"/>
      <c r="W221" s="196"/>
      <c r="X221" s="152"/>
      <c r="Z221" s="198"/>
      <c r="AA221" s="198"/>
    </row>
    <row r="222" spans="1:28" s="197" customFormat="1" ht="15" customHeight="1" thickBot="1">
      <c r="A222" s="226"/>
      <c r="B222" s="524"/>
      <c r="C222" s="524"/>
      <c r="D222" s="527"/>
      <c r="E222" s="527"/>
      <c r="F222" s="527"/>
      <c r="G222" s="527"/>
      <c r="H222" s="527"/>
      <c r="I222" s="527"/>
      <c r="J222" s="527"/>
      <c r="K222" s="527"/>
      <c r="L222" s="527"/>
      <c r="M222" s="527"/>
      <c r="N222" s="527"/>
      <c r="O222" s="527"/>
      <c r="P222" s="527"/>
      <c r="Q222" s="527"/>
      <c r="R222" s="527"/>
      <c r="S222" s="527"/>
      <c r="T222" s="527"/>
      <c r="U222" s="527"/>
      <c r="V222" s="527"/>
      <c r="W222" s="527"/>
      <c r="X222" s="528"/>
      <c r="Y222" s="526"/>
      <c r="Z222" s="198"/>
      <c r="AA222" s="198"/>
    </row>
    <row r="223" spans="1:28" ht="15" customHeight="1" thickBot="1">
      <c r="A223" s="290"/>
      <c r="B223" s="517" t="str">
        <f>IF(X224="","COMPOSIÇÃO CONE 2 TIJOLOS",X224)</f>
        <v>COMPOSIÇÃO CONE 2 TIJOLOS</v>
      </c>
      <c r="C223" s="518" t="s">
        <v>101</v>
      </c>
      <c r="D223" s="519" t="s">
        <v>102</v>
      </c>
      <c r="E223" s="519" t="s">
        <v>42</v>
      </c>
      <c r="F223" s="519" t="s">
        <v>42</v>
      </c>
      <c r="G223" s="519" t="s">
        <v>43</v>
      </c>
      <c r="H223" s="519" t="s">
        <v>44</v>
      </c>
      <c r="I223" s="519" t="s">
        <v>47</v>
      </c>
      <c r="J223" s="519" t="s">
        <v>103</v>
      </c>
      <c r="K223" s="519" t="s">
        <v>37</v>
      </c>
      <c r="L223" s="519" t="s">
        <v>39</v>
      </c>
      <c r="M223" s="519" t="s">
        <v>45</v>
      </c>
      <c r="N223" s="519" t="s">
        <v>46</v>
      </c>
      <c r="O223" s="520" t="s">
        <v>106</v>
      </c>
      <c r="P223" s="519" t="s">
        <v>52</v>
      </c>
      <c r="Q223" s="520" t="s">
        <v>53</v>
      </c>
      <c r="R223" s="520" t="s">
        <v>104</v>
      </c>
      <c r="S223" s="519"/>
      <c r="T223" s="519"/>
      <c r="U223" s="519" t="s">
        <v>677</v>
      </c>
      <c r="V223" s="521" t="s">
        <v>27</v>
      </c>
      <c r="W223" s="522"/>
      <c r="X223" s="523"/>
    </row>
    <row r="224" spans="1:28" ht="15" customHeight="1" thickBot="1">
      <c r="A224" s="226"/>
      <c r="B224" s="805" t="s">
        <v>1832</v>
      </c>
      <c r="C224" s="256">
        <f>SUMIF(Densidades!A:A,'Memória TOTAL'!X224,Densidades!B:B)</f>
        <v>0</v>
      </c>
      <c r="D224" s="145">
        <f>SUMIF(Densidades!A:A,'Memória TOTAL'!X224,Densidades!C:C)</f>
        <v>0</v>
      </c>
      <c r="E224" s="146">
        <f>IF(AND(E230=1,E231=2),SUMIF(Formatos!A:A,'Memória TOTAL'!X225,Formatos!D:D),SUMIF(Formatos!A:A,'Memória TOTAL'!X225,Formatos!E:E))</f>
        <v>0</v>
      </c>
      <c r="F224" s="146">
        <f>IF(AND(E230=1,E231=2),SUMIF(Formatos!A:A,'Memória TOTAL'!X225,Formatos!R:R),SUMIF(Formatos!A:A,'Memória TOTAL'!X225,Formatos!F:F))</f>
        <v>0</v>
      </c>
      <c r="G224" s="146">
        <f>SUMIF(Formatos!A:A,'Memória TOTAL'!X225,Formatos!C:C)</f>
        <v>0</v>
      </c>
      <c r="H224" s="146">
        <f>SUMIF(Formatos!A:A,'Memória TOTAL'!X225,Formatos!D:D)</f>
        <v>0</v>
      </c>
      <c r="I224" s="146">
        <f>SUMIF(Densidades!A:A,'Memória TOTAL'!X224,Densidades!H:H)</f>
        <v>0</v>
      </c>
      <c r="J224" s="147">
        <f>SUMIF(Formatos!A:A,'Memória TOTAL'!X225,Formatos!G:G)</f>
        <v>4.1130000000000004</v>
      </c>
      <c r="K224" s="148">
        <f>SUMIF(Densidades!A:A,'Memória TOTAL'!X224,Densidades!I:I)</f>
        <v>0</v>
      </c>
      <c r="L224" s="264">
        <v>0</v>
      </c>
      <c r="M224" s="625"/>
      <c r="N224" s="626"/>
      <c r="O224" s="626"/>
      <c r="P224" s="266"/>
      <c r="Q224" s="626"/>
      <c r="R224" s="629" t="s">
        <v>2204</v>
      </c>
      <c r="S224" s="628"/>
      <c r="T224" s="271"/>
      <c r="U224" s="515"/>
      <c r="V224" s="514" t="str">
        <f>IF(M224="","",IF(OR(M224=E224,M224=G224,M224=H224),ROUND(SUM(P235:P285),0),"ESP. ERRADA"))</f>
        <v/>
      </c>
      <c r="W224" s="273" t="str">
        <f>IFERROR(IF(C224=0,"",ROUNDUP(SUM(V224)*(1+L224),0))*U224,"")</f>
        <v/>
      </c>
      <c r="X224" s="516"/>
    </row>
    <row r="225" spans="1:27" s="197" customFormat="1" ht="15" customHeight="1" thickBot="1">
      <c r="A225" s="226"/>
      <c r="B225" s="791"/>
      <c r="C225" s="247"/>
      <c r="D225" s="206"/>
      <c r="E225" s="206"/>
      <c r="F225" s="206"/>
      <c r="G225" s="206"/>
      <c r="H225" s="206"/>
      <c r="I225" s="206"/>
      <c r="J225" s="207"/>
      <c r="K225" s="207"/>
      <c r="L225" s="155"/>
      <c r="M225" s="206"/>
      <c r="N225" s="206"/>
      <c r="O225" s="206"/>
      <c r="P225" s="206"/>
      <c r="Q225" s="206"/>
      <c r="R225" s="206"/>
      <c r="S225" s="206"/>
      <c r="T225" s="206"/>
      <c r="U225" s="206"/>
      <c r="V225" s="208"/>
      <c r="W225" s="196"/>
      <c r="X225" s="152" t="str">
        <f>IF(B230="","",B230)</f>
        <v/>
      </c>
      <c r="Z225" s="198"/>
      <c r="AA225" s="198"/>
    </row>
    <row r="226" spans="1:27" s="197" customFormat="1" ht="15" customHeight="1">
      <c r="A226" s="226"/>
      <c r="B226" s="315"/>
      <c r="C226" s="247"/>
      <c r="D226" s="206"/>
      <c r="E226" s="206"/>
      <c r="F226" s="206"/>
      <c r="G226" s="206"/>
      <c r="H226" s="206"/>
      <c r="I226" s="206"/>
      <c r="J226" s="207"/>
      <c r="K226" s="207"/>
      <c r="L226" s="155"/>
      <c r="M226" s="206"/>
      <c r="N226" s="206"/>
      <c r="O226" s="206"/>
      <c r="P226" s="206"/>
      <c r="Q226" s="206"/>
      <c r="R226" s="206"/>
      <c r="S226" s="206"/>
      <c r="T226" s="206"/>
      <c r="U226" s="206"/>
      <c r="V226" s="208"/>
      <c r="W226" s="196"/>
      <c r="X226" s="152" t="s">
        <v>524</v>
      </c>
      <c r="Z226" s="198"/>
      <c r="AA226" s="198"/>
    </row>
    <row r="227" spans="1:27" s="197" customFormat="1" ht="15" customHeight="1" thickBot="1">
      <c r="A227" s="226"/>
      <c r="B227" s="315"/>
      <c r="C227" s="313" t="str">
        <f t="shared" ref="C227:L227" si="15">C223</f>
        <v>Dens.</v>
      </c>
      <c r="D227" s="193" t="str">
        <f t="shared" si="15"/>
        <v>Emb.</v>
      </c>
      <c r="E227" s="193" t="str">
        <f t="shared" si="15"/>
        <v>Esp. Tij.</v>
      </c>
      <c r="F227" s="193" t="str">
        <f t="shared" si="15"/>
        <v>Esp. Tij.</v>
      </c>
      <c r="G227" s="193" t="str">
        <f t="shared" si="15"/>
        <v>Comp. Tij.</v>
      </c>
      <c r="H227" s="193" t="str">
        <f t="shared" si="15"/>
        <v>Larg. Tij.</v>
      </c>
      <c r="I227" s="193" t="str">
        <f t="shared" si="15"/>
        <v>Tipo Fator</v>
      </c>
      <c r="J227" s="193" t="str">
        <f t="shared" si="15"/>
        <v>Vol.</v>
      </c>
      <c r="K227" s="193" t="str">
        <f t="shared" si="15"/>
        <v>Class.</v>
      </c>
      <c r="L227" s="193" t="str">
        <f t="shared" si="15"/>
        <v>Coefic. (%)</v>
      </c>
      <c r="M227" s="206"/>
      <c r="N227" s="206"/>
      <c r="O227" s="206"/>
      <c r="P227" s="206"/>
      <c r="Q227" s="206"/>
      <c r="R227" s="206"/>
      <c r="S227" s="206"/>
      <c r="T227" s="206"/>
      <c r="U227" s="206"/>
      <c r="V227" s="253"/>
      <c r="W227" s="196"/>
      <c r="X227" s="152"/>
      <c r="Z227" s="198"/>
      <c r="AA227" s="198"/>
    </row>
    <row r="228" spans="1:27" s="197" customFormat="1" ht="15" customHeight="1" thickBot="1">
      <c r="A228" s="226"/>
      <c r="B228" s="316"/>
      <c r="C228" s="256">
        <f>SUMIF(Densidades!A:A,'Memória TOTAL'!X228,Densidades!B:B)</f>
        <v>0</v>
      </c>
      <c r="D228" s="145">
        <f>SUMIF(Densidades!A:A,'Memória TOTAL'!X228,Densidades!C:C)</f>
        <v>570</v>
      </c>
      <c r="E228" s="146">
        <f>SUMIF(Formatos!A:A,'Memória TOTAL'!X229,Formatos!E:E)</f>
        <v>0</v>
      </c>
      <c r="F228" s="146">
        <f>SUMIF(Formatos!A:A,'Memória TOTAL'!X229,Formatos!F:F)</f>
        <v>0</v>
      </c>
      <c r="G228" s="146">
        <f>SUMIF(Formatos!A:A,'Memória TOTAL'!X229,Formatos!C:C)</f>
        <v>0</v>
      </c>
      <c r="H228" s="146">
        <f>SUMIF(Formatos!A:A,'Memória TOTAL'!X229,Formatos!D:D)</f>
        <v>0</v>
      </c>
      <c r="I228" s="146">
        <f>SUMIF(Densidades!A:A,'Memória TOTAL'!X228,Densidades!H:H)</f>
        <v>0</v>
      </c>
      <c r="J228" s="147">
        <f>SUMIF(Formatos!A:A,'Memória TOTAL'!X229,Formatos!G:G)</f>
        <v>4.1130000000000004</v>
      </c>
      <c r="K228" s="233">
        <f>SUMIF(Densidades!A:A,'Memória TOTAL'!X228,Densidades!I:I)</f>
        <v>167</v>
      </c>
      <c r="L228" s="234">
        <v>0</v>
      </c>
      <c r="M228" s="206"/>
      <c r="N228" s="206"/>
      <c r="O228" s="206"/>
      <c r="P228" s="206"/>
      <c r="Q228" s="206"/>
      <c r="R228" s="206"/>
      <c r="S228" s="206"/>
      <c r="T228" s="243"/>
      <c r="U228" s="246"/>
      <c r="V228" s="267" t="str">
        <f>IF(M224="","",IF(OR(M224=E224,M224=G224,M224=H224),ROUND(SUM(Q235:Q285),0),"ESP. ERRADA"))</f>
        <v/>
      </c>
      <c r="W228" s="278" t="str">
        <f>IFERROR(IF(C228=0,"",ROUNDUP(SUM(V228)*(1+L228),0))*U224,"")</f>
        <v/>
      </c>
      <c r="X228" s="152" t="str">
        <f>IF(X224="","",X224)</f>
        <v/>
      </c>
      <c r="Z228" s="198"/>
      <c r="AA228" s="198"/>
    </row>
    <row r="229" spans="1:27" s="197" customFormat="1" ht="15" customHeight="1" thickBot="1">
      <c r="A229" s="275"/>
      <c r="B229" s="258" t="s">
        <v>675</v>
      </c>
      <c r="C229" s="247"/>
      <c r="D229" s="206"/>
      <c r="E229" s="206"/>
      <c r="F229" s="206"/>
      <c r="G229" s="206"/>
      <c r="H229" s="206"/>
      <c r="I229" s="206"/>
      <c r="J229" s="207"/>
      <c r="K229" s="207"/>
      <c r="L229" s="155"/>
      <c r="M229" s="206"/>
      <c r="N229" s="206"/>
      <c r="O229" s="206"/>
      <c r="P229" s="206"/>
      <c r="Q229" s="206"/>
      <c r="R229" s="206"/>
      <c r="S229" s="206"/>
      <c r="T229" s="206"/>
      <c r="U229" s="206"/>
      <c r="V229" s="208"/>
      <c r="W229" s="196"/>
      <c r="X229" s="152" t="str">
        <f>IF(B231="","",B231)</f>
        <v/>
      </c>
      <c r="Z229" s="198"/>
      <c r="AA229" s="198"/>
    </row>
    <row r="230" spans="1:27" s="197" customFormat="1" ht="15" customHeight="1" thickBot="1">
      <c r="A230" s="275"/>
      <c r="B230" s="274"/>
      <c r="C230" s="254" t="s">
        <v>54</v>
      </c>
      <c r="D230" s="250"/>
      <c r="E230" s="206">
        <f>SUMIF(Formatos!A:A,'Memória TOTAL'!X225,Formatos!S:S)</f>
        <v>2</v>
      </c>
      <c r="F230" s="206"/>
      <c r="G230" s="206"/>
      <c r="H230" s="251"/>
      <c r="I230" s="251"/>
      <c r="J230" s="207"/>
      <c r="K230" s="207"/>
      <c r="L230" s="155"/>
      <c r="M230" s="206"/>
      <c r="N230" s="206"/>
      <c r="O230" s="160"/>
      <c r="P230" s="160"/>
      <c r="Q230" s="161"/>
      <c r="R230" s="160"/>
      <c r="S230" s="160"/>
      <c r="T230" s="206"/>
      <c r="U230" s="206"/>
      <c r="V230" s="208"/>
      <c r="W230" s="196"/>
      <c r="X230" s="152" t="s">
        <v>524</v>
      </c>
      <c r="Z230" s="198"/>
      <c r="AA230" s="198"/>
    </row>
    <row r="231" spans="1:27" s="197" customFormat="1" ht="15" customHeight="1" thickBot="1">
      <c r="A231" s="275"/>
      <c r="B231" s="274"/>
      <c r="C231" s="254" t="s">
        <v>55</v>
      </c>
      <c r="D231" s="250"/>
      <c r="E231" s="206">
        <f>SUMIF(Formatos!A:A,'Memória TOTAL'!X229,Formatos!S:S)</f>
        <v>2</v>
      </c>
      <c r="F231" s="206"/>
      <c r="G231" s="206"/>
      <c r="H231" s="251"/>
      <c r="I231" s="251"/>
      <c r="J231" s="207"/>
      <c r="K231" s="207"/>
      <c r="L231" s="155"/>
      <c r="M231" s="206"/>
      <c r="N231" s="206"/>
      <c r="O231" s="162"/>
      <c r="P231" s="162"/>
      <c r="Q231" s="168"/>
      <c r="R231" s="162"/>
      <c r="S231" s="162"/>
      <c r="T231" s="206"/>
      <c r="U231" s="206"/>
      <c r="V231" s="208"/>
      <c r="W231" s="242"/>
      <c r="X231" s="152"/>
      <c r="Z231" s="198"/>
      <c r="AA231" s="198"/>
    </row>
    <row r="232" spans="1:27" s="166" customFormat="1" ht="15" customHeight="1" thickBot="1">
      <c r="A232" s="259"/>
      <c r="B232" s="258" t="s">
        <v>676</v>
      </c>
      <c r="C232" s="247"/>
      <c r="D232" s="206"/>
      <c r="E232" s="206"/>
      <c r="F232" s="206"/>
      <c r="G232" s="206"/>
      <c r="H232" s="206"/>
      <c r="I232" s="206"/>
      <c r="J232" s="207"/>
      <c r="K232" s="207"/>
      <c r="L232" s="206"/>
      <c r="M232" s="206"/>
      <c r="N232" s="206"/>
      <c r="O232" s="206"/>
      <c r="P232" s="206"/>
      <c r="Q232" s="206"/>
      <c r="R232" s="206"/>
      <c r="S232" s="206"/>
      <c r="T232" s="162"/>
      <c r="U232" s="162"/>
      <c r="V232" s="163"/>
      <c r="W232" s="164"/>
      <c r="X232" s="165"/>
      <c r="Z232" s="167"/>
      <c r="AA232" s="167"/>
    </row>
    <row r="233" spans="1:27" s="166" customFormat="1" ht="15" customHeight="1" thickBot="1">
      <c r="A233" s="259"/>
      <c r="B233" s="792"/>
      <c r="C233" s="247"/>
      <c r="D233" s="206"/>
      <c r="E233" s="206"/>
      <c r="F233" s="206"/>
      <c r="G233" s="206"/>
      <c r="H233" s="206"/>
      <c r="I233" s="206"/>
      <c r="J233" s="207"/>
      <c r="K233" s="207"/>
      <c r="L233" s="206"/>
      <c r="M233" s="206"/>
      <c r="N233" s="206"/>
      <c r="O233" s="252"/>
      <c r="P233" s="206"/>
      <c r="Q233" s="206"/>
      <c r="R233" s="206"/>
      <c r="S233" s="794" t="s">
        <v>1074</v>
      </c>
      <c r="T233" s="795"/>
      <c r="U233" s="162"/>
      <c r="V233" s="163"/>
      <c r="W233" s="164"/>
      <c r="X233" s="165"/>
      <c r="Z233" s="167"/>
      <c r="AA233" s="167"/>
    </row>
    <row r="234" spans="1:27" s="197" customFormat="1" ht="15" customHeight="1" thickBot="1">
      <c r="A234" s="226"/>
      <c r="B234" s="793"/>
      <c r="C234" s="311" t="s">
        <v>989</v>
      </c>
      <c r="D234" s="206" t="s">
        <v>2205</v>
      </c>
      <c r="E234" s="206" t="s">
        <v>22</v>
      </c>
      <c r="F234" s="206" t="s">
        <v>48</v>
      </c>
      <c r="G234" s="206" t="s">
        <v>986</v>
      </c>
      <c r="H234" s="206" t="s">
        <v>987</v>
      </c>
      <c r="I234" s="206" t="s">
        <v>985</v>
      </c>
      <c r="J234" s="207" t="s">
        <v>45</v>
      </c>
      <c r="K234" s="207" t="s">
        <v>46</v>
      </c>
      <c r="L234" s="206" t="s">
        <v>2207</v>
      </c>
      <c r="M234" s="207" t="s">
        <v>2208</v>
      </c>
      <c r="N234" s="206"/>
      <c r="O234" s="627" t="s">
        <v>53</v>
      </c>
      <c r="P234" s="247" t="s">
        <v>54</v>
      </c>
      <c r="Q234" s="206" t="s">
        <v>55</v>
      </c>
      <c r="R234" s="206"/>
      <c r="S234" s="311" t="s">
        <v>989</v>
      </c>
      <c r="T234" s="206" t="s">
        <v>988</v>
      </c>
      <c r="U234" s="206"/>
      <c r="V234" s="208"/>
      <c r="W234" s="196"/>
      <c r="X234" s="152"/>
      <c r="Z234" s="198"/>
      <c r="AA234" s="198"/>
    </row>
    <row r="235" spans="1:27" s="197" customFormat="1" ht="15" customHeight="1">
      <c r="A235" s="226"/>
      <c r="B235" s="224" t="s">
        <v>392</v>
      </c>
      <c r="C235" s="311">
        <f>O224</f>
        <v>0</v>
      </c>
      <c r="D235" s="645">
        <f>Q224</f>
        <v>0</v>
      </c>
      <c r="E235" s="645">
        <f>E224</f>
        <v>0</v>
      </c>
      <c r="F235" s="645">
        <f>F224</f>
        <v>0</v>
      </c>
      <c r="G235" s="645">
        <f>E228</f>
        <v>0</v>
      </c>
      <c r="H235" s="645">
        <f>F228</f>
        <v>0</v>
      </c>
      <c r="I235" s="645">
        <f>IF(M224=G224,H224,IF(M224=H224,G224,"Espessura Errada"))</f>
        <v>0</v>
      </c>
      <c r="J235" s="645">
        <f>M224</f>
        <v>0</v>
      </c>
      <c r="K235" s="645">
        <f>N224</f>
        <v>0</v>
      </c>
      <c r="L235" s="646" t="e">
        <f t="shared" ref="L235:L266" si="16">(1/(-(E235+K235)*(H235+K235)+(F235+K235)*(G235+K235)))*3.1416*(-C235*(H235+K235)+(C235-(J235*2))*(G235+K235))</f>
        <v>#DIV/0!</v>
      </c>
      <c r="M235" s="646" t="e">
        <f t="shared" ref="M235:M266" si="17">((C235*PI())-(L235*(E235+K235)))/(G235+K235)</f>
        <v>#DIV/0!</v>
      </c>
      <c r="N235" s="206"/>
      <c r="O235" s="630">
        <v>360</v>
      </c>
      <c r="P235" s="247" t="e">
        <f t="shared" ref="P235:P266" si="18">IF(L235/360*O235-ROUNDDOWN(L235/360*O235,0)&gt;M235/360*O235-ROUNDDOWN(M235/360*O235,0),ROUNDUP(L235/360*O235,0),ROUNDUP(SUM(L235/360*O235,M235/360*O235),0)-ROUNDUP(M235/360*O235,0))</f>
        <v>#DIV/0!</v>
      </c>
      <c r="Q235" s="206" t="e">
        <f t="shared" ref="Q235:Q266" si="19">IF(M235/360*O235-ROUNDDOWN(M235/360*O235,0)&gt;L235/360*O235-ROUNDDOWN(L235/360*O235,0),ROUNDUP(M235/360*O235,0),ROUNDUP(SUM(L235/360*O235,M235/360*O235),0)-ROUNDUP(L235/360*O235,0))</f>
        <v>#DIV/0!</v>
      </c>
      <c r="R235" s="206"/>
      <c r="S235" s="341" t="e">
        <f t="shared" ref="S235:S266" si="20">((E235*(L235+K235)+G235*(M235+K235))/PI()-C235)/(P235+Q235)</f>
        <v>#DIV/0!</v>
      </c>
      <c r="T235" s="341" t="e">
        <f t="shared" ref="T235:T266" si="21">((F235*(L235+K235)+H235*(M235+K235))/PI()-(C235-(J235*2)))/(P235+Q235)</f>
        <v>#DIV/0!</v>
      </c>
      <c r="U235" s="206"/>
      <c r="V235" s="208"/>
      <c r="W235" s="196"/>
      <c r="X235" s="152"/>
      <c r="Z235" s="198"/>
      <c r="AA235" s="198"/>
    </row>
    <row r="236" spans="1:27" s="197" customFormat="1" ht="15" customHeight="1">
      <c r="A236" s="226"/>
      <c r="B236" s="224" t="s">
        <v>984</v>
      </c>
      <c r="C236" s="312">
        <f>IF(R224="Inclinado",C235+2*SIN(RADIANS(Q224))*(I236+K236),C235+2*TAN(RADIANS(Q224))*(I236+K236))</f>
        <v>0</v>
      </c>
      <c r="D236" s="645">
        <f t="shared" ref="D236:K236" si="22">D235</f>
        <v>0</v>
      </c>
      <c r="E236" s="645">
        <f t="shared" si="22"/>
        <v>0</v>
      </c>
      <c r="F236" s="645">
        <f t="shared" si="22"/>
        <v>0</v>
      </c>
      <c r="G236" s="645">
        <f t="shared" si="22"/>
        <v>0</v>
      </c>
      <c r="H236" s="645">
        <f t="shared" si="22"/>
        <v>0</v>
      </c>
      <c r="I236" s="645">
        <f t="shared" si="22"/>
        <v>0</v>
      </c>
      <c r="J236" s="645">
        <f t="shared" si="22"/>
        <v>0</v>
      </c>
      <c r="K236" s="645">
        <f t="shared" si="22"/>
        <v>0</v>
      </c>
      <c r="L236" s="646" t="e">
        <f t="shared" si="16"/>
        <v>#DIV/0!</v>
      </c>
      <c r="M236" s="646" t="e">
        <f t="shared" si="17"/>
        <v>#DIV/0!</v>
      </c>
      <c r="N236" s="206"/>
      <c r="O236" s="631">
        <f>O235</f>
        <v>360</v>
      </c>
      <c r="P236" s="247" t="e">
        <f t="shared" si="18"/>
        <v>#DIV/0!</v>
      </c>
      <c r="Q236" s="206" t="e">
        <f t="shared" si="19"/>
        <v>#DIV/0!</v>
      </c>
      <c r="R236" s="206"/>
      <c r="S236" s="341" t="e">
        <f t="shared" si="20"/>
        <v>#DIV/0!</v>
      </c>
      <c r="T236" s="341" t="e">
        <f t="shared" si="21"/>
        <v>#DIV/0!</v>
      </c>
      <c r="U236" s="206"/>
      <c r="V236" s="208"/>
      <c r="W236" s="196"/>
      <c r="X236" s="152"/>
      <c r="Z236" s="198"/>
      <c r="AA236" s="198"/>
    </row>
    <row r="237" spans="1:27" s="197" customFormat="1" ht="15" customHeight="1">
      <c r="A237" s="226"/>
      <c r="B237" s="224" t="s">
        <v>393</v>
      </c>
      <c r="C237" s="312">
        <f>IF(R224="Inclinado",C236+2*SIN(RADIANS(Q224))*(I236+N224),C236+2*TAN(RADIANS(Q224))*(I236+N224))</f>
        <v>0</v>
      </c>
      <c r="D237" s="645">
        <f t="shared" ref="D237:D284" si="23">D236</f>
        <v>0</v>
      </c>
      <c r="E237" s="645">
        <f t="shared" ref="E237:E254" si="24">E236</f>
        <v>0</v>
      </c>
      <c r="F237" s="645">
        <f t="shared" ref="F237:F254" si="25">F236</f>
        <v>0</v>
      </c>
      <c r="G237" s="645">
        <f t="shared" ref="G237:G254" si="26">G236</f>
        <v>0</v>
      </c>
      <c r="H237" s="645">
        <f t="shared" ref="H237:H254" si="27">H236</f>
        <v>0</v>
      </c>
      <c r="I237" s="645">
        <f t="shared" ref="I237:I284" si="28">I236</f>
        <v>0</v>
      </c>
      <c r="J237" s="645">
        <f t="shared" ref="J237:J284" si="29">J236</f>
        <v>0</v>
      </c>
      <c r="K237" s="645">
        <f t="shared" ref="K237:K284" si="30">K236</f>
        <v>0</v>
      </c>
      <c r="L237" s="646" t="e">
        <f t="shared" si="16"/>
        <v>#DIV/0!</v>
      </c>
      <c r="M237" s="646" t="e">
        <f t="shared" si="17"/>
        <v>#DIV/0!</v>
      </c>
      <c r="N237" s="206"/>
      <c r="O237" s="631">
        <f t="shared" ref="O237:O284" si="31">O236</f>
        <v>360</v>
      </c>
      <c r="P237" s="247" t="e">
        <f t="shared" si="18"/>
        <v>#DIV/0!</v>
      </c>
      <c r="Q237" s="206" t="e">
        <f t="shared" si="19"/>
        <v>#DIV/0!</v>
      </c>
      <c r="R237" s="206"/>
      <c r="S237" s="341" t="e">
        <f t="shared" si="20"/>
        <v>#DIV/0!</v>
      </c>
      <c r="T237" s="341" t="e">
        <f t="shared" si="21"/>
        <v>#DIV/0!</v>
      </c>
      <c r="U237" s="206"/>
      <c r="V237" s="208"/>
      <c r="W237" s="196"/>
      <c r="X237" s="152"/>
      <c r="Z237" s="198"/>
      <c r="AA237" s="198"/>
    </row>
    <row r="238" spans="1:27" s="197" customFormat="1" ht="15" customHeight="1">
      <c r="A238" s="226"/>
      <c r="B238" s="224" t="s">
        <v>394</v>
      </c>
      <c r="C238" s="312">
        <f>IF(R224="Inclinado",C237+2*SIN(RADIANS(Q224))*(I237+N224),C237+2*TAN(RADIANS(Q224))*(I237+N224))</f>
        <v>0</v>
      </c>
      <c r="D238" s="645">
        <f t="shared" si="23"/>
        <v>0</v>
      </c>
      <c r="E238" s="645">
        <f t="shared" si="24"/>
        <v>0</v>
      </c>
      <c r="F238" s="645">
        <f t="shared" si="25"/>
        <v>0</v>
      </c>
      <c r="G238" s="645">
        <f t="shared" si="26"/>
        <v>0</v>
      </c>
      <c r="H238" s="645">
        <f t="shared" si="27"/>
        <v>0</v>
      </c>
      <c r="I238" s="645">
        <f t="shared" si="28"/>
        <v>0</v>
      </c>
      <c r="J238" s="645">
        <f t="shared" si="29"/>
        <v>0</v>
      </c>
      <c r="K238" s="645">
        <f t="shared" si="30"/>
        <v>0</v>
      </c>
      <c r="L238" s="646" t="e">
        <f t="shared" si="16"/>
        <v>#DIV/0!</v>
      </c>
      <c r="M238" s="646" t="e">
        <f t="shared" si="17"/>
        <v>#DIV/0!</v>
      </c>
      <c r="N238" s="206"/>
      <c r="O238" s="631">
        <f t="shared" si="31"/>
        <v>360</v>
      </c>
      <c r="P238" s="247" t="e">
        <f t="shared" si="18"/>
        <v>#DIV/0!</v>
      </c>
      <c r="Q238" s="206" t="e">
        <f t="shared" si="19"/>
        <v>#DIV/0!</v>
      </c>
      <c r="R238" s="206"/>
      <c r="S238" s="341" t="e">
        <f t="shared" si="20"/>
        <v>#DIV/0!</v>
      </c>
      <c r="T238" s="341" t="e">
        <f t="shared" si="21"/>
        <v>#DIV/0!</v>
      </c>
      <c r="U238" s="206"/>
      <c r="V238" s="208"/>
      <c r="W238" s="196"/>
      <c r="X238" s="152"/>
      <c r="Z238" s="198"/>
      <c r="AA238" s="198"/>
    </row>
    <row r="239" spans="1:27" s="197" customFormat="1" ht="15" customHeight="1">
      <c r="A239" s="226"/>
      <c r="B239" s="224" t="s">
        <v>395</v>
      </c>
      <c r="C239" s="312">
        <f>IF(R224="Inclinado",C238+2*SIN(RADIANS(Q224))*(I238+N224),C238+2*TAN(RADIANS(Q224))*(I238+N224))</f>
        <v>0</v>
      </c>
      <c r="D239" s="645">
        <f t="shared" si="23"/>
        <v>0</v>
      </c>
      <c r="E239" s="645">
        <f t="shared" si="24"/>
        <v>0</v>
      </c>
      <c r="F239" s="645">
        <f t="shared" si="25"/>
        <v>0</v>
      </c>
      <c r="G239" s="645">
        <f t="shared" si="26"/>
        <v>0</v>
      </c>
      <c r="H239" s="645">
        <f t="shared" si="27"/>
        <v>0</v>
      </c>
      <c r="I239" s="645">
        <f t="shared" si="28"/>
        <v>0</v>
      </c>
      <c r="J239" s="645">
        <f t="shared" si="29"/>
        <v>0</v>
      </c>
      <c r="K239" s="645">
        <f t="shared" si="30"/>
        <v>0</v>
      </c>
      <c r="L239" s="646" t="e">
        <f t="shared" si="16"/>
        <v>#DIV/0!</v>
      </c>
      <c r="M239" s="646" t="e">
        <f t="shared" si="17"/>
        <v>#DIV/0!</v>
      </c>
      <c r="N239" s="206"/>
      <c r="O239" s="631">
        <f t="shared" si="31"/>
        <v>360</v>
      </c>
      <c r="P239" s="247" t="e">
        <f t="shared" si="18"/>
        <v>#DIV/0!</v>
      </c>
      <c r="Q239" s="206" t="e">
        <f t="shared" si="19"/>
        <v>#DIV/0!</v>
      </c>
      <c r="R239" s="206"/>
      <c r="S239" s="341" t="e">
        <f t="shared" si="20"/>
        <v>#DIV/0!</v>
      </c>
      <c r="T239" s="341" t="e">
        <f t="shared" si="21"/>
        <v>#DIV/0!</v>
      </c>
      <c r="U239" s="206"/>
      <c r="V239" s="208"/>
      <c r="W239" s="196"/>
      <c r="X239" s="152"/>
      <c r="Z239" s="198"/>
      <c r="AA239" s="198"/>
    </row>
    <row r="240" spans="1:27" s="197" customFormat="1" ht="15" customHeight="1">
      <c r="A240" s="226"/>
      <c r="B240" s="224" t="s">
        <v>396</v>
      </c>
      <c r="C240" s="312">
        <f>IF(R224="Inclinado",C239+2*SIN(RADIANS(Q224))*(I239+N224),C239+2*TAN(RADIANS(Q224))*(I239+N224))</f>
        <v>0</v>
      </c>
      <c r="D240" s="645">
        <f t="shared" si="23"/>
        <v>0</v>
      </c>
      <c r="E240" s="645">
        <f t="shared" si="24"/>
        <v>0</v>
      </c>
      <c r="F240" s="645">
        <f t="shared" si="25"/>
        <v>0</v>
      </c>
      <c r="G240" s="645">
        <f t="shared" si="26"/>
        <v>0</v>
      </c>
      <c r="H240" s="645">
        <f t="shared" si="27"/>
        <v>0</v>
      </c>
      <c r="I240" s="645">
        <f t="shared" si="28"/>
        <v>0</v>
      </c>
      <c r="J240" s="645">
        <f t="shared" si="29"/>
        <v>0</v>
      </c>
      <c r="K240" s="645">
        <f t="shared" si="30"/>
        <v>0</v>
      </c>
      <c r="L240" s="646" t="e">
        <f t="shared" si="16"/>
        <v>#DIV/0!</v>
      </c>
      <c r="M240" s="646" t="e">
        <f t="shared" si="17"/>
        <v>#DIV/0!</v>
      </c>
      <c r="N240" s="206"/>
      <c r="O240" s="631">
        <f t="shared" si="31"/>
        <v>360</v>
      </c>
      <c r="P240" s="247" t="e">
        <f t="shared" si="18"/>
        <v>#DIV/0!</v>
      </c>
      <c r="Q240" s="206" t="e">
        <f t="shared" si="19"/>
        <v>#DIV/0!</v>
      </c>
      <c r="R240" s="206"/>
      <c r="S240" s="341" t="e">
        <f t="shared" si="20"/>
        <v>#DIV/0!</v>
      </c>
      <c r="T240" s="341" t="e">
        <f t="shared" si="21"/>
        <v>#DIV/0!</v>
      </c>
      <c r="U240" s="206"/>
      <c r="V240" s="208"/>
      <c r="W240" s="196"/>
      <c r="X240" s="152"/>
      <c r="Z240" s="198"/>
      <c r="AA240" s="198"/>
    </row>
    <row r="241" spans="1:27" s="197" customFormat="1" ht="15" customHeight="1">
      <c r="A241" s="226"/>
      <c r="B241" s="224" t="s">
        <v>397</v>
      </c>
      <c r="C241" s="312">
        <f>IF(R224="Inclinado",C240+2*SIN(RADIANS(Q224))*(I240+N224),C240+2*TAN(RADIANS(Q224))*(I240+N224))</f>
        <v>0</v>
      </c>
      <c r="D241" s="645">
        <f t="shared" si="23"/>
        <v>0</v>
      </c>
      <c r="E241" s="645">
        <f t="shared" si="24"/>
        <v>0</v>
      </c>
      <c r="F241" s="645">
        <f t="shared" si="25"/>
        <v>0</v>
      </c>
      <c r="G241" s="645">
        <f t="shared" si="26"/>
        <v>0</v>
      </c>
      <c r="H241" s="645">
        <f t="shared" si="27"/>
        <v>0</v>
      </c>
      <c r="I241" s="645">
        <f t="shared" si="28"/>
        <v>0</v>
      </c>
      <c r="J241" s="645">
        <f t="shared" si="29"/>
        <v>0</v>
      </c>
      <c r="K241" s="645">
        <f t="shared" si="30"/>
        <v>0</v>
      </c>
      <c r="L241" s="646" t="e">
        <f t="shared" si="16"/>
        <v>#DIV/0!</v>
      </c>
      <c r="M241" s="646" t="e">
        <f t="shared" si="17"/>
        <v>#DIV/0!</v>
      </c>
      <c r="N241" s="206"/>
      <c r="O241" s="631">
        <f t="shared" si="31"/>
        <v>360</v>
      </c>
      <c r="P241" s="247" t="e">
        <f t="shared" si="18"/>
        <v>#DIV/0!</v>
      </c>
      <c r="Q241" s="206" t="e">
        <f t="shared" si="19"/>
        <v>#DIV/0!</v>
      </c>
      <c r="R241" s="206"/>
      <c r="S241" s="341" t="e">
        <f t="shared" si="20"/>
        <v>#DIV/0!</v>
      </c>
      <c r="T241" s="341" t="e">
        <f t="shared" si="21"/>
        <v>#DIV/0!</v>
      </c>
      <c r="U241" s="206"/>
      <c r="V241" s="208"/>
      <c r="W241" s="196"/>
      <c r="X241" s="152"/>
      <c r="Z241" s="198"/>
      <c r="AA241" s="198"/>
    </row>
    <row r="242" spans="1:27" s="197" customFormat="1" ht="15" customHeight="1">
      <c r="A242" s="226"/>
      <c r="B242" s="224" t="s">
        <v>398</v>
      </c>
      <c r="C242" s="312">
        <f>IF(R224="Inclinado",C241+2*SIN(RADIANS(Q224))*(I241+N224),C241+2*TAN(RADIANS(Q224))*(I241+N224))</f>
        <v>0</v>
      </c>
      <c r="D242" s="645">
        <f t="shared" si="23"/>
        <v>0</v>
      </c>
      <c r="E242" s="645">
        <f t="shared" si="24"/>
        <v>0</v>
      </c>
      <c r="F242" s="645">
        <f t="shared" si="25"/>
        <v>0</v>
      </c>
      <c r="G242" s="645">
        <f t="shared" si="26"/>
        <v>0</v>
      </c>
      <c r="H242" s="645">
        <f t="shared" si="27"/>
        <v>0</v>
      </c>
      <c r="I242" s="645">
        <f t="shared" si="28"/>
        <v>0</v>
      </c>
      <c r="J242" s="645">
        <f t="shared" si="29"/>
        <v>0</v>
      </c>
      <c r="K242" s="645">
        <f t="shared" si="30"/>
        <v>0</v>
      </c>
      <c r="L242" s="646" t="e">
        <f t="shared" si="16"/>
        <v>#DIV/0!</v>
      </c>
      <c r="M242" s="646" t="e">
        <f t="shared" si="17"/>
        <v>#DIV/0!</v>
      </c>
      <c r="N242" s="206"/>
      <c r="O242" s="631">
        <f t="shared" si="31"/>
        <v>360</v>
      </c>
      <c r="P242" s="247" t="e">
        <f t="shared" si="18"/>
        <v>#DIV/0!</v>
      </c>
      <c r="Q242" s="206" t="e">
        <f t="shared" si="19"/>
        <v>#DIV/0!</v>
      </c>
      <c r="R242" s="206"/>
      <c r="S242" s="341" t="e">
        <f t="shared" si="20"/>
        <v>#DIV/0!</v>
      </c>
      <c r="T242" s="341" t="e">
        <f t="shared" si="21"/>
        <v>#DIV/0!</v>
      </c>
      <c r="U242" s="206"/>
      <c r="V242" s="208"/>
      <c r="W242" s="196"/>
      <c r="X242" s="152"/>
      <c r="Z242" s="198"/>
      <c r="AA242" s="198"/>
    </row>
    <row r="243" spans="1:27" s="197" customFormat="1" ht="15" customHeight="1">
      <c r="A243" s="226"/>
      <c r="B243" s="224" t="s">
        <v>399</v>
      </c>
      <c r="C243" s="312">
        <f>IF(R224="Inclinado",C242+2*SIN(RADIANS(Q224))*(I242+N224),C242+2*TAN(RADIANS(Q224))*(I242+N224))</f>
        <v>0</v>
      </c>
      <c r="D243" s="645">
        <f t="shared" si="23"/>
        <v>0</v>
      </c>
      <c r="E243" s="645">
        <f t="shared" si="24"/>
        <v>0</v>
      </c>
      <c r="F243" s="645">
        <f t="shared" si="25"/>
        <v>0</v>
      </c>
      <c r="G243" s="645">
        <f t="shared" si="26"/>
        <v>0</v>
      </c>
      <c r="H243" s="645">
        <f t="shared" si="27"/>
        <v>0</v>
      </c>
      <c r="I243" s="645">
        <f t="shared" si="28"/>
        <v>0</v>
      </c>
      <c r="J243" s="645">
        <f t="shared" si="29"/>
        <v>0</v>
      </c>
      <c r="K243" s="645">
        <f t="shared" si="30"/>
        <v>0</v>
      </c>
      <c r="L243" s="646" t="e">
        <f t="shared" si="16"/>
        <v>#DIV/0!</v>
      </c>
      <c r="M243" s="646" t="e">
        <f t="shared" si="17"/>
        <v>#DIV/0!</v>
      </c>
      <c r="N243" s="206"/>
      <c r="O243" s="631">
        <f t="shared" si="31"/>
        <v>360</v>
      </c>
      <c r="P243" s="247" t="e">
        <f t="shared" si="18"/>
        <v>#DIV/0!</v>
      </c>
      <c r="Q243" s="206" t="e">
        <f t="shared" si="19"/>
        <v>#DIV/0!</v>
      </c>
      <c r="R243" s="206"/>
      <c r="S243" s="341" t="e">
        <f t="shared" si="20"/>
        <v>#DIV/0!</v>
      </c>
      <c r="T243" s="341" t="e">
        <f t="shared" si="21"/>
        <v>#DIV/0!</v>
      </c>
      <c r="U243" s="206"/>
      <c r="V243" s="208"/>
      <c r="W243" s="196"/>
      <c r="X243" s="152"/>
      <c r="Z243" s="198"/>
      <c r="AA243" s="198"/>
    </row>
    <row r="244" spans="1:27" s="197" customFormat="1" ht="15" customHeight="1">
      <c r="A244" s="226"/>
      <c r="B244" s="224" t="s">
        <v>400</v>
      </c>
      <c r="C244" s="312">
        <f>IF(R224="Inclinado",C243+2*SIN(RADIANS(Q224))*(I243+N224),C243+2*TAN(RADIANS(Q224))*(I243+N224))</f>
        <v>0</v>
      </c>
      <c r="D244" s="645">
        <f t="shared" si="23"/>
        <v>0</v>
      </c>
      <c r="E244" s="645">
        <f t="shared" si="24"/>
        <v>0</v>
      </c>
      <c r="F244" s="645">
        <f t="shared" si="25"/>
        <v>0</v>
      </c>
      <c r="G244" s="645">
        <f t="shared" si="26"/>
        <v>0</v>
      </c>
      <c r="H244" s="645">
        <f t="shared" si="27"/>
        <v>0</v>
      </c>
      <c r="I244" s="645">
        <f t="shared" si="28"/>
        <v>0</v>
      </c>
      <c r="J244" s="645">
        <f t="shared" si="29"/>
        <v>0</v>
      </c>
      <c r="K244" s="645">
        <f t="shared" si="30"/>
        <v>0</v>
      </c>
      <c r="L244" s="646" t="e">
        <f t="shared" si="16"/>
        <v>#DIV/0!</v>
      </c>
      <c r="M244" s="646" t="e">
        <f t="shared" si="17"/>
        <v>#DIV/0!</v>
      </c>
      <c r="N244" s="206"/>
      <c r="O244" s="631">
        <f t="shared" si="31"/>
        <v>360</v>
      </c>
      <c r="P244" s="247" t="e">
        <f t="shared" si="18"/>
        <v>#DIV/0!</v>
      </c>
      <c r="Q244" s="206" t="e">
        <f t="shared" si="19"/>
        <v>#DIV/0!</v>
      </c>
      <c r="R244" s="206"/>
      <c r="S244" s="341" t="e">
        <f t="shared" si="20"/>
        <v>#DIV/0!</v>
      </c>
      <c r="T244" s="341" t="e">
        <f t="shared" si="21"/>
        <v>#DIV/0!</v>
      </c>
      <c r="U244" s="206"/>
      <c r="V244" s="208"/>
      <c r="W244" s="196"/>
      <c r="X244" s="152"/>
      <c r="Z244" s="198"/>
      <c r="AA244" s="198"/>
    </row>
    <row r="245" spans="1:27" s="197" customFormat="1" ht="15" customHeight="1">
      <c r="A245" s="226"/>
      <c r="B245" s="224" t="s">
        <v>401</v>
      </c>
      <c r="C245" s="312">
        <f>IF(R224="Inclinado",C244+2*SIN(RADIANS(Q224))*(I244+N224),C244+2*TAN(RADIANS(Q224))*(I244+N224))</f>
        <v>0</v>
      </c>
      <c r="D245" s="645">
        <f t="shared" si="23"/>
        <v>0</v>
      </c>
      <c r="E245" s="645">
        <f t="shared" si="24"/>
        <v>0</v>
      </c>
      <c r="F245" s="645">
        <f t="shared" si="25"/>
        <v>0</v>
      </c>
      <c r="G245" s="645">
        <f t="shared" si="26"/>
        <v>0</v>
      </c>
      <c r="H245" s="645">
        <f t="shared" si="27"/>
        <v>0</v>
      </c>
      <c r="I245" s="645">
        <f t="shared" si="28"/>
        <v>0</v>
      </c>
      <c r="J245" s="645">
        <f t="shared" si="29"/>
        <v>0</v>
      </c>
      <c r="K245" s="645">
        <f t="shared" si="30"/>
        <v>0</v>
      </c>
      <c r="L245" s="646" t="e">
        <f t="shared" si="16"/>
        <v>#DIV/0!</v>
      </c>
      <c r="M245" s="646" t="e">
        <f t="shared" si="17"/>
        <v>#DIV/0!</v>
      </c>
      <c r="N245" s="206"/>
      <c r="O245" s="631">
        <f t="shared" si="31"/>
        <v>360</v>
      </c>
      <c r="P245" s="247" t="e">
        <f t="shared" si="18"/>
        <v>#DIV/0!</v>
      </c>
      <c r="Q245" s="206" t="e">
        <f t="shared" si="19"/>
        <v>#DIV/0!</v>
      </c>
      <c r="R245" s="206"/>
      <c r="S245" s="341" t="e">
        <f t="shared" si="20"/>
        <v>#DIV/0!</v>
      </c>
      <c r="T245" s="341" t="e">
        <f t="shared" si="21"/>
        <v>#DIV/0!</v>
      </c>
      <c r="U245" s="206"/>
      <c r="V245" s="208"/>
      <c r="W245" s="196"/>
      <c r="X245" s="152"/>
      <c r="Z245" s="198"/>
      <c r="AA245" s="198"/>
    </row>
    <row r="246" spans="1:27" s="197" customFormat="1" ht="15" customHeight="1">
      <c r="A246" s="226"/>
      <c r="B246" s="224" t="s">
        <v>402</v>
      </c>
      <c r="C246" s="312">
        <f>IF(R224="Inclinado",C245+2*SIN(RADIANS(Q224))*(I245+N224),C245+2*TAN(RADIANS(Q224))*(I245+N224))</f>
        <v>0</v>
      </c>
      <c r="D246" s="645">
        <f t="shared" si="23"/>
        <v>0</v>
      </c>
      <c r="E246" s="645">
        <f t="shared" si="24"/>
        <v>0</v>
      </c>
      <c r="F246" s="645">
        <f t="shared" si="25"/>
        <v>0</v>
      </c>
      <c r="G246" s="645">
        <f t="shared" si="26"/>
        <v>0</v>
      </c>
      <c r="H246" s="645">
        <f t="shared" si="27"/>
        <v>0</v>
      </c>
      <c r="I246" s="645">
        <f t="shared" si="28"/>
        <v>0</v>
      </c>
      <c r="J246" s="645">
        <f t="shared" si="29"/>
        <v>0</v>
      </c>
      <c r="K246" s="645">
        <f t="shared" si="30"/>
        <v>0</v>
      </c>
      <c r="L246" s="646" t="e">
        <f t="shared" si="16"/>
        <v>#DIV/0!</v>
      </c>
      <c r="M246" s="646" t="e">
        <f t="shared" si="17"/>
        <v>#DIV/0!</v>
      </c>
      <c r="N246" s="206"/>
      <c r="O246" s="631">
        <f t="shared" si="31"/>
        <v>360</v>
      </c>
      <c r="P246" s="247" t="e">
        <f t="shared" si="18"/>
        <v>#DIV/0!</v>
      </c>
      <c r="Q246" s="206" t="e">
        <f t="shared" si="19"/>
        <v>#DIV/0!</v>
      </c>
      <c r="R246" s="206"/>
      <c r="S246" s="341" t="e">
        <f t="shared" si="20"/>
        <v>#DIV/0!</v>
      </c>
      <c r="T246" s="341" t="e">
        <f t="shared" si="21"/>
        <v>#DIV/0!</v>
      </c>
      <c r="U246" s="206"/>
      <c r="V246" s="208"/>
      <c r="W246" s="196"/>
      <c r="X246" s="152"/>
      <c r="Z246" s="198"/>
      <c r="AA246" s="198"/>
    </row>
    <row r="247" spans="1:27" s="197" customFormat="1" ht="15" customHeight="1">
      <c r="A247" s="226"/>
      <c r="B247" s="224" t="s">
        <v>403</v>
      </c>
      <c r="C247" s="312">
        <f>IF(R224="Inclinado",C246+2*SIN(RADIANS(Q224))*(I246+N224),C246+2*TAN(RADIANS(Q224))*(I246+N224))</f>
        <v>0</v>
      </c>
      <c r="D247" s="645">
        <f t="shared" si="23"/>
        <v>0</v>
      </c>
      <c r="E247" s="645">
        <f t="shared" si="24"/>
        <v>0</v>
      </c>
      <c r="F247" s="645">
        <f t="shared" si="25"/>
        <v>0</v>
      </c>
      <c r="G247" s="645">
        <f t="shared" si="26"/>
        <v>0</v>
      </c>
      <c r="H247" s="645">
        <f t="shared" si="27"/>
        <v>0</v>
      </c>
      <c r="I247" s="645">
        <f t="shared" si="28"/>
        <v>0</v>
      </c>
      <c r="J247" s="645">
        <f t="shared" si="29"/>
        <v>0</v>
      </c>
      <c r="K247" s="645">
        <f t="shared" si="30"/>
        <v>0</v>
      </c>
      <c r="L247" s="646" t="e">
        <f t="shared" si="16"/>
        <v>#DIV/0!</v>
      </c>
      <c r="M247" s="646" t="e">
        <f t="shared" si="17"/>
        <v>#DIV/0!</v>
      </c>
      <c r="N247" s="206"/>
      <c r="O247" s="631">
        <f t="shared" si="31"/>
        <v>360</v>
      </c>
      <c r="P247" s="247" t="e">
        <f t="shared" si="18"/>
        <v>#DIV/0!</v>
      </c>
      <c r="Q247" s="206" t="e">
        <f t="shared" si="19"/>
        <v>#DIV/0!</v>
      </c>
      <c r="R247" s="206"/>
      <c r="S247" s="341" t="e">
        <f t="shared" si="20"/>
        <v>#DIV/0!</v>
      </c>
      <c r="T247" s="341" t="e">
        <f t="shared" si="21"/>
        <v>#DIV/0!</v>
      </c>
      <c r="U247" s="206"/>
      <c r="V247" s="208"/>
      <c r="W247" s="196"/>
      <c r="X247" s="152"/>
      <c r="Z247" s="198"/>
      <c r="AA247" s="198"/>
    </row>
    <row r="248" spans="1:27" s="197" customFormat="1" ht="15" customHeight="1">
      <c r="A248" s="226"/>
      <c r="B248" s="224" t="s">
        <v>404</v>
      </c>
      <c r="C248" s="312">
        <f>IF(R224="Inclinado",C247+2*SIN(RADIANS(Q224))*(I247+N224),C247+2*TAN(RADIANS(Q224))*(I247+N224))</f>
        <v>0</v>
      </c>
      <c r="D248" s="645">
        <f t="shared" si="23"/>
        <v>0</v>
      </c>
      <c r="E248" s="645">
        <f t="shared" si="24"/>
        <v>0</v>
      </c>
      <c r="F248" s="645">
        <f t="shared" si="25"/>
        <v>0</v>
      </c>
      <c r="G248" s="645">
        <f t="shared" si="26"/>
        <v>0</v>
      </c>
      <c r="H248" s="645">
        <f t="shared" si="27"/>
        <v>0</v>
      </c>
      <c r="I248" s="645">
        <f t="shared" si="28"/>
        <v>0</v>
      </c>
      <c r="J248" s="645">
        <f t="shared" si="29"/>
        <v>0</v>
      </c>
      <c r="K248" s="645">
        <f t="shared" si="30"/>
        <v>0</v>
      </c>
      <c r="L248" s="646" t="e">
        <f t="shared" si="16"/>
        <v>#DIV/0!</v>
      </c>
      <c r="M248" s="646" t="e">
        <f t="shared" si="17"/>
        <v>#DIV/0!</v>
      </c>
      <c r="N248" s="206"/>
      <c r="O248" s="631">
        <f t="shared" si="31"/>
        <v>360</v>
      </c>
      <c r="P248" s="247" t="e">
        <f t="shared" si="18"/>
        <v>#DIV/0!</v>
      </c>
      <c r="Q248" s="206" t="e">
        <f t="shared" si="19"/>
        <v>#DIV/0!</v>
      </c>
      <c r="R248" s="206"/>
      <c r="S248" s="341" t="e">
        <f t="shared" si="20"/>
        <v>#DIV/0!</v>
      </c>
      <c r="T248" s="341" t="e">
        <f t="shared" si="21"/>
        <v>#DIV/0!</v>
      </c>
      <c r="U248" s="206"/>
      <c r="V248" s="208"/>
      <c r="W248" s="196"/>
      <c r="X248" s="152"/>
      <c r="Z248" s="198"/>
      <c r="AA248" s="198"/>
    </row>
    <row r="249" spans="1:27" s="197" customFormat="1" ht="15" customHeight="1">
      <c r="A249" s="226"/>
      <c r="B249" s="224" t="s">
        <v>405</v>
      </c>
      <c r="C249" s="312">
        <f>IF(R224="Inclinado",C248+2*SIN(RADIANS(Q224))*(I248+N224),C248+2*TAN(RADIANS(Q224))*(I248+N224))</f>
        <v>0</v>
      </c>
      <c r="D249" s="645">
        <f t="shared" si="23"/>
        <v>0</v>
      </c>
      <c r="E249" s="645">
        <f t="shared" si="24"/>
        <v>0</v>
      </c>
      <c r="F249" s="645">
        <f t="shared" si="25"/>
        <v>0</v>
      </c>
      <c r="G249" s="645">
        <f t="shared" si="26"/>
        <v>0</v>
      </c>
      <c r="H249" s="645">
        <f t="shared" si="27"/>
        <v>0</v>
      </c>
      <c r="I249" s="645">
        <f t="shared" si="28"/>
        <v>0</v>
      </c>
      <c r="J249" s="645">
        <f t="shared" si="29"/>
        <v>0</v>
      </c>
      <c r="K249" s="645">
        <f t="shared" si="30"/>
        <v>0</v>
      </c>
      <c r="L249" s="646" t="e">
        <f t="shared" si="16"/>
        <v>#DIV/0!</v>
      </c>
      <c r="M249" s="646" t="e">
        <f t="shared" si="17"/>
        <v>#DIV/0!</v>
      </c>
      <c r="N249" s="206"/>
      <c r="O249" s="631">
        <f t="shared" si="31"/>
        <v>360</v>
      </c>
      <c r="P249" s="247" t="e">
        <f t="shared" si="18"/>
        <v>#DIV/0!</v>
      </c>
      <c r="Q249" s="206" t="e">
        <f t="shared" si="19"/>
        <v>#DIV/0!</v>
      </c>
      <c r="R249" s="206"/>
      <c r="S249" s="341" t="e">
        <f t="shared" si="20"/>
        <v>#DIV/0!</v>
      </c>
      <c r="T249" s="341" t="e">
        <f t="shared" si="21"/>
        <v>#DIV/0!</v>
      </c>
      <c r="U249" s="206"/>
      <c r="V249" s="208"/>
      <c r="W249" s="196"/>
      <c r="X249" s="152"/>
      <c r="Z249" s="198"/>
      <c r="AA249" s="198"/>
    </row>
    <row r="250" spans="1:27" s="197" customFormat="1" ht="15" customHeight="1">
      <c r="A250" s="226"/>
      <c r="B250" s="224" t="s">
        <v>406</v>
      </c>
      <c r="C250" s="312">
        <f>IF(R224="Inclinado",C249+2*SIN(RADIANS(Q224))*(I249+N224),C249+2*TAN(RADIANS(Q224))*(I249+N224))</f>
        <v>0</v>
      </c>
      <c r="D250" s="645">
        <f t="shared" si="23"/>
        <v>0</v>
      </c>
      <c r="E250" s="645">
        <f t="shared" si="24"/>
        <v>0</v>
      </c>
      <c r="F250" s="645">
        <f t="shared" si="25"/>
        <v>0</v>
      </c>
      <c r="G250" s="645">
        <f t="shared" si="26"/>
        <v>0</v>
      </c>
      <c r="H250" s="645">
        <f t="shared" si="27"/>
        <v>0</v>
      </c>
      <c r="I250" s="645">
        <f t="shared" si="28"/>
        <v>0</v>
      </c>
      <c r="J250" s="645">
        <f t="shared" si="29"/>
        <v>0</v>
      </c>
      <c r="K250" s="645">
        <f t="shared" si="30"/>
        <v>0</v>
      </c>
      <c r="L250" s="646" t="e">
        <f t="shared" si="16"/>
        <v>#DIV/0!</v>
      </c>
      <c r="M250" s="646" t="e">
        <f t="shared" si="17"/>
        <v>#DIV/0!</v>
      </c>
      <c r="N250" s="206"/>
      <c r="O250" s="631">
        <f t="shared" si="31"/>
        <v>360</v>
      </c>
      <c r="P250" s="247" t="e">
        <f t="shared" si="18"/>
        <v>#DIV/0!</v>
      </c>
      <c r="Q250" s="206" t="e">
        <f t="shared" si="19"/>
        <v>#DIV/0!</v>
      </c>
      <c r="R250" s="206"/>
      <c r="S250" s="341" t="e">
        <f t="shared" si="20"/>
        <v>#DIV/0!</v>
      </c>
      <c r="T250" s="341" t="e">
        <f t="shared" si="21"/>
        <v>#DIV/0!</v>
      </c>
      <c r="U250" s="206"/>
      <c r="V250" s="208"/>
      <c r="W250" s="196"/>
      <c r="X250" s="152"/>
      <c r="Z250" s="198"/>
      <c r="AA250" s="198"/>
    </row>
    <row r="251" spans="1:27" s="197" customFormat="1" ht="15" customHeight="1">
      <c r="A251" s="226"/>
      <c r="B251" s="224" t="s">
        <v>407</v>
      </c>
      <c r="C251" s="312">
        <f>IF(R224="Inclinado",C250+2*SIN(RADIANS(Q224))*(I250+N224),C250+2*TAN(RADIANS(Q224))*(I250+N224))</f>
        <v>0</v>
      </c>
      <c r="D251" s="645">
        <f t="shared" si="23"/>
        <v>0</v>
      </c>
      <c r="E251" s="645">
        <f t="shared" si="24"/>
        <v>0</v>
      </c>
      <c r="F251" s="645">
        <f t="shared" si="25"/>
        <v>0</v>
      </c>
      <c r="G251" s="645">
        <f t="shared" si="26"/>
        <v>0</v>
      </c>
      <c r="H251" s="645">
        <f t="shared" si="27"/>
        <v>0</v>
      </c>
      <c r="I251" s="645">
        <f t="shared" si="28"/>
        <v>0</v>
      </c>
      <c r="J251" s="645">
        <f t="shared" si="29"/>
        <v>0</v>
      </c>
      <c r="K251" s="645">
        <f t="shared" si="30"/>
        <v>0</v>
      </c>
      <c r="L251" s="646" t="e">
        <f t="shared" si="16"/>
        <v>#DIV/0!</v>
      </c>
      <c r="M251" s="646" t="e">
        <f t="shared" si="17"/>
        <v>#DIV/0!</v>
      </c>
      <c r="N251" s="206"/>
      <c r="O251" s="631">
        <f t="shared" si="31"/>
        <v>360</v>
      </c>
      <c r="P251" s="247" t="e">
        <f t="shared" si="18"/>
        <v>#DIV/0!</v>
      </c>
      <c r="Q251" s="206" t="e">
        <f t="shared" si="19"/>
        <v>#DIV/0!</v>
      </c>
      <c r="R251" s="206"/>
      <c r="S251" s="341" t="e">
        <f t="shared" si="20"/>
        <v>#DIV/0!</v>
      </c>
      <c r="T251" s="341" t="e">
        <f t="shared" si="21"/>
        <v>#DIV/0!</v>
      </c>
      <c r="U251" s="206"/>
      <c r="V251" s="208"/>
      <c r="W251" s="196"/>
      <c r="X251" s="152"/>
      <c r="Z251" s="198"/>
      <c r="AA251" s="198"/>
    </row>
    <row r="252" spans="1:27" s="197" customFormat="1" ht="15" customHeight="1">
      <c r="A252" s="226"/>
      <c r="B252" s="224" t="s">
        <v>408</v>
      </c>
      <c r="C252" s="312">
        <f>IF(R224="Inclinado",C251+2*SIN(RADIANS(Q224))*(I251+N224),C251+2*TAN(RADIANS(Q224))*(I251+N224))</f>
        <v>0</v>
      </c>
      <c r="D252" s="645">
        <f t="shared" si="23"/>
        <v>0</v>
      </c>
      <c r="E252" s="645">
        <f t="shared" si="24"/>
        <v>0</v>
      </c>
      <c r="F252" s="645">
        <f t="shared" si="25"/>
        <v>0</v>
      </c>
      <c r="G252" s="645">
        <f t="shared" si="26"/>
        <v>0</v>
      </c>
      <c r="H252" s="645">
        <f t="shared" si="27"/>
        <v>0</v>
      </c>
      <c r="I252" s="645">
        <f t="shared" si="28"/>
        <v>0</v>
      </c>
      <c r="J252" s="645">
        <f t="shared" si="29"/>
        <v>0</v>
      </c>
      <c r="K252" s="645">
        <f t="shared" si="30"/>
        <v>0</v>
      </c>
      <c r="L252" s="646" t="e">
        <f t="shared" si="16"/>
        <v>#DIV/0!</v>
      </c>
      <c r="M252" s="646" t="e">
        <f t="shared" si="17"/>
        <v>#DIV/0!</v>
      </c>
      <c r="N252" s="206"/>
      <c r="O252" s="631">
        <f t="shared" si="31"/>
        <v>360</v>
      </c>
      <c r="P252" s="247" t="e">
        <f t="shared" si="18"/>
        <v>#DIV/0!</v>
      </c>
      <c r="Q252" s="206" t="e">
        <f t="shared" si="19"/>
        <v>#DIV/0!</v>
      </c>
      <c r="R252" s="206"/>
      <c r="S252" s="341" t="e">
        <f t="shared" si="20"/>
        <v>#DIV/0!</v>
      </c>
      <c r="T252" s="341" t="e">
        <f t="shared" si="21"/>
        <v>#DIV/0!</v>
      </c>
      <c r="U252" s="206"/>
      <c r="V252" s="208"/>
      <c r="W252" s="196"/>
      <c r="X252" s="152"/>
      <c r="Z252" s="198"/>
      <c r="AA252" s="198"/>
    </row>
    <row r="253" spans="1:27" s="197" customFormat="1" ht="15" customHeight="1">
      <c r="A253" s="226"/>
      <c r="B253" s="224" t="s">
        <v>409</v>
      </c>
      <c r="C253" s="312">
        <f>IF(R224="Inclinado",C252+2*SIN(RADIANS(Q224))*(I252+N224),C252+2*TAN(RADIANS(Q224))*(I252+N224))</f>
        <v>0</v>
      </c>
      <c r="D253" s="645">
        <f t="shared" si="23"/>
        <v>0</v>
      </c>
      <c r="E253" s="645">
        <f t="shared" si="24"/>
        <v>0</v>
      </c>
      <c r="F253" s="645">
        <f t="shared" si="25"/>
        <v>0</v>
      </c>
      <c r="G253" s="645">
        <f t="shared" si="26"/>
        <v>0</v>
      </c>
      <c r="H253" s="645">
        <f t="shared" si="27"/>
        <v>0</v>
      </c>
      <c r="I253" s="645">
        <f t="shared" si="28"/>
        <v>0</v>
      </c>
      <c r="J253" s="645">
        <f t="shared" si="29"/>
        <v>0</v>
      </c>
      <c r="K253" s="645">
        <f t="shared" si="30"/>
        <v>0</v>
      </c>
      <c r="L253" s="646" t="e">
        <f t="shared" si="16"/>
        <v>#DIV/0!</v>
      </c>
      <c r="M253" s="646" t="e">
        <f t="shared" si="17"/>
        <v>#DIV/0!</v>
      </c>
      <c r="N253" s="206"/>
      <c r="O253" s="631">
        <f t="shared" si="31"/>
        <v>360</v>
      </c>
      <c r="P253" s="247" t="e">
        <f t="shared" si="18"/>
        <v>#DIV/0!</v>
      </c>
      <c r="Q253" s="206" t="e">
        <f t="shared" si="19"/>
        <v>#DIV/0!</v>
      </c>
      <c r="R253" s="206"/>
      <c r="S253" s="341" t="e">
        <f t="shared" si="20"/>
        <v>#DIV/0!</v>
      </c>
      <c r="T253" s="341" t="e">
        <f t="shared" si="21"/>
        <v>#DIV/0!</v>
      </c>
      <c r="U253" s="206"/>
      <c r="V253" s="208"/>
      <c r="W253" s="196"/>
      <c r="X253" s="152"/>
      <c r="Z253" s="198"/>
      <c r="AA253" s="198"/>
    </row>
    <row r="254" spans="1:27" s="197" customFormat="1" ht="15" customHeight="1">
      <c r="A254" s="226"/>
      <c r="B254" s="224" t="s">
        <v>410</v>
      </c>
      <c r="C254" s="312">
        <f>IF(R224="Inclinado",C253+2*SIN(RADIANS(Q224))*(I253+N224),C253+2*TAN(RADIANS(Q224))*(I253+N224))</f>
        <v>0</v>
      </c>
      <c r="D254" s="645">
        <f t="shared" si="23"/>
        <v>0</v>
      </c>
      <c r="E254" s="645">
        <f t="shared" si="24"/>
        <v>0</v>
      </c>
      <c r="F254" s="645">
        <f t="shared" si="25"/>
        <v>0</v>
      </c>
      <c r="G254" s="645">
        <f t="shared" si="26"/>
        <v>0</v>
      </c>
      <c r="H254" s="645">
        <f t="shared" si="27"/>
        <v>0</v>
      </c>
      <c r="I254" s="645">
        <f t="shared" si="28"/>
        <v>0</v>
      </c>
      <c r="J254" s="645">
        <f t="shared" si="29"/>
        <v>0</v>
      </c>
      <c r="K254" s="645">
        <f t="shared" si="30"/>
        <v>0</v>
      </c>
      <c r="L254" s="646" t="e">
        <f t="shared" si="16"/>
        <v>#DIV/0!</v>
      </c>
      <c r="M254" s="646" t="e">
        <f t="shared" si="17"/>
        <v>#DIV/0!</v>
      </c>
      <c r="N254" s="206"/>
      <c r="O254" s="631">
        <f t="shared" si="31"/>
        <v>360</v>
      </c>
      <c r="P254" s="247" t="e">
        <f t="shared" si="18"/>
        <v>#DIV/0!</v>
      </c>
      <c r="Q254" s="206" t="e">
        <f t="shared" si="19"/>
        <v>#DIV/0!</v>
      </c>
      <c r="R254" s="206"/>
      <c r="S254" s="341" t="e">
        <f t="shared" si="20"/>
        <v>#DIV/0!</v>
      </c>
      <c r="T254" s="341" t="e">
        <f t="shared" si="21"/>
        <v>#DIV/0!</v>
      </c>
      <c r="U254" s="206"/>
      <c r="V254" s="208"/>
      <c r="W254" s="196"/>
      <c r="X254" s="152"/>
      <c r="Z254" s="198"/>
      <c r="AA254" s="198"/>
    </row>
    <row r="255" spans="1:27" s="197" customFormat="1" ht="15" customHeight="1">
      <c r="A255" s="226"/>
      <c r="B255" s="224" t="s">
        <v>411</v>
      </c>
      <c r="C255" s="312">
        <f>IF(R224="Inclinado",C254+2*SIN(RADIANS(Q224))*(I254+N224),C254+2*TAN(RADIANS(Q224))*(I254+N224))</f>
        <v>0</v>
      </c>
      <c r="D255" s="645">
        <f t="shared" si="23"/>
        <v>0</v>
      </c>
      <c r="E255" s="645">
        <f t="shared" ref="E255:E269" si="32">E254</f>
        <v>0</v>
      </c>
      <c r="F255" s="645">
        <f t="shared" ref="F255:F269" si="33">F254</f>
        <v>0</v>
      </c>
      <c r="G255" s="645">
        <f t="shared" ref="G255:G269" si="34">G254</f>
        <v>0</v>
      </c>
      <c r="H255" s="645">
        <f t="shared" ref="H255:H269" si="35">H254</f>
        <v>0</v>
      </c>
      <c r="I255" s="645">
        <f t="shared" si="28"/>
        <v>0</v>
      </c>
      <c r="J255" s="645">
        <f t="shared" si="29"/>
        <v>0</v>
      </c>
      <c r="K255" s="645">
        <f t="shared" si="30"/>
        <v>0</v>
      </c>
      <c r="L255" s="646" t="e">
        <f t="shared" si="16"/>
        <v>#DIV/0!</v>
      </c>
      <c r="M255" s="646" t="e">
        <f t="shared" si="17"/>
        <v>#DIV/0!</v>
      </c>
      <c r="N255" s="206"/>
      <c r="O255" s="631">
        <f t="shared" si="31"/>
        <v>360</v>
      </c>
      <c r="P255" s="247" t="e">
        <f t="shared" si="18"/>
        <v>#DIV/0!</v>
      </c>
      <c r="Q255" s="206" t="e">
        <f t="shared" si="19"/>
        <v>#DIV/0!</v>
      </c>
      <c r="R255" s="206"/>
      <c r="S255" s="341" t="e">
        <f t="shared" si="20"/>
        <v>#DIV/0!</v>
      </c>
      <c r="T255" s="341" t="e">
        <f t="shared" si="21"/>
        <v>#DIV/0!</v>
      </c>
      <c r="U255" s="206"/>
      <c r="V255" s="208"/>
      <c r="W255" s="196"/>
      <c r="X255" s="152"/>
      <c r="Z255" s="198"/>
      <c r="AA255" s="198"/>
    </row>
    <row r="256" spans="1:27" s="197" customFormat="1" ht="15" customHeight="1">
      <c r="A256" s="226"/>
      <c r="B256" s="224" t="s">
        <v>412</v>
      </c>
      <c r="C256" s="312">
        <f>IF(R224="Inclinado",C255+2*SIN(RADIANS(Q224))*(I255+N224),C255+2*TAN(RADIANS(Q224))*(I255+N224))</f>
        <v>0</v>
      </c>
      <c r="D256" s="645">
        <f t="shared" si="23"/>
        <v>0</v>
      </c>
      <c r="E256" s="645">
        <f t="shared" si="32"/>
        <v>0</v>
      </c>
      <c r="F256" s="645">
        <f t="shared" si="33"/>
        <v>0</v>
      </c>
      <c r="G256" s="645">
        <f t="shared" si="34"/>
        <v>0</v>
      </c>
      <c r="H256" s="645">
        <f t="shared" si="35"/>
        <v>0</v>
      </c>
      <c r="I256" s="645">
        <f t="shared" si="28"/>
        <v>0</v>
      </c>
      <c r="J256" s="645">
        <f t="shared" si="29"/>
        <v>0</v>
      </c>
      <c r="K256" s="645">
        <f t="shared" si="30"/>
        <v>0</v>
      </c>
      <c r="L256" s="646" t="e">
        <f t="shared" si="16"/>
        <v>#DIV/0!</v>
      </c>
      <c r="M256" s="646" t="e">
        <f t="shared" si="17"/>
        <v>#DIV/0!</v>
      </c>
      <c r="N256" s="206"/>
      <c r="O256" s="631">
        <f t="shared" si="31"/>
        <v>360</v>
      </c>
      <c r="P256" s="247" t="e">
        <f t="shared" si="18"/>
        <v>#DIV/0!</v>
      </c>
      <c r="Q256" s="206" t="e">
        <f t="shared" si="19"/>
        <v>#DIV/0!</v>
      </c>
      <c r="R256" s="206"/>
      <c r="S256" s="341" t="e">
        <f t="shared" si="20"/>
        <v>#DIV/0!</v>
      </c>
      <c r="T256" s="341" t="e">
        <f t="shared" si="21"/>
        <v>#DIV/0!</v>
      </c>
      <c r="U256" s="206"/>
      <c r="V256" s="208"/>
      <c r="W256" s="196"/>
      <c r="X256" s="152"/>
      <c r="Z256" s="198"/>
      <c r="AA256" s="198"/>
    </row>
    <row r="257" spans="1:27" s="197" customFormat="1" ht="15" customHeight="1">
      <c r="A257" s="226"/>
      <c r="B257" s="224" t="s">
        <v>413</v>
      </c>
      <c r="C257" s="312">
        <f>IF(R224="Inclinado",C256+2*SIN(RADIANS(Q224))*(I256+N224),C256+2*TAN(RADIANS(Q224))*(I256+N224))</f>
        <v>0</v>
      </c>
      <c r="D257" s="645">
        <f t="shared" si="23"/>
        <v>0</v>
      </c>
      <c r="E257" s="645">
        <f t="shared" si="32"/>
        <v>0</v>
      </c>
      <c r="F257" s="645">
        <f t="shared" si="33"/>
        <v>0</v>
      </c>
      <c r="G257" s="645">
        <f t="shared" si="34"/>
        <v>0</v>
      </c>
      <c r="H257" s="645">
        <f t="shared" si="35"/>
        <v>0</v>
      </c>
      <c r="I257" s="645">
        <f t="shared" si="28"/>
        <v>0</v>
      </c>
      <c r="J257" s="645">
        <f t="shared" si="29"/>
        <v>0</v>
      </c>
      <c r="K257" s="645">
        <f t="shared" si="30"/>
        <v>0</v>
      </c>
      <c r="L257" s="646" t="e">
        <f t="shared" si="16"/>
        <v>#DIV/0!</v>
      </c>
      <c r="M257" s="646" t="e">
        <f t="shared" si="17"/>
        <v>#DIV/0!</v>
      </c>
      <c r="N257" s="206"/>
      <c r="O257" s="631">
        <f t="shared" si="31"/>
        <v>360</v>
      </c>
      <c r="P257" s="247" t="e">
        <f t="shared" si="18"/>
        <v>#DIV/0!</v>
      </c>
      <c r="Q257" s="206" t="e">
        <f t="shared" si="19"/>
        <v>#DIV/0!</v>
      </c>
      <c r="R257" s="206"/>
      <c r="S257" s="341" t="e">
        <f t="shared" si="20"/>
        <v>#DIV/0!</v>
      </c>
      <c r="T257" s="341" t="e">
        <f t="shared" si="21"/>
        <v>#DIV/0!</v>
      </c>
      <c r="U257" s="206"/>
      <c r="V257" s="208"/>
      <c r="W257" s="196"/>
      <c r="X257" s="152"/>
      <c r="Z257" s="198"/>
      <c r="AA257" s="198"/>
    </row>
    <row r="258" spans="1:27" s="197" customFormat="1" ht="15" customHeight="1">
      <c r="A258" s="226"/>
      <c r="B258" s="224" t="s">
        <v>414</v>
      </c>
      <c r="C258" s="312">
        <f>IF(R224="Inclinado",C257+2*SIN(RADIANS(Q224))*(I257+N224),C257+2*TAN(RADIANS(Q224))*(I257+N224))</f>
        <v>0</v>
      </c>
      <c r="D258" s="645">
        <f t="shared" si="23"/>
        <v>0</v>
      </c>
      <c r="E258" s="645">
        <f t="shared" si="32"/>
        <v>0</v>
      </c>
      <c r="F258" s="645">
        <f t="shared" si="33"/>
        <v>0</v>
      </c>
      <c r="G258" s="645">
        <f t="shared" si="34"/>
        <v>0</v>
      </c>
      <c r="H258" s="645">
        <f t="shared" si="35"/>
        <v>0</v>
      </c>
      <c r="I258" s="645">
        <f t="shared" si="28"/>
        <v>0</v>
      </c>
      <c r="J258" s="645">
        <f t="shared" si="29"/>
        <v>0</v>
      </c>
      <c r="K258" s="645">
        <f t="shared" si="30"/>
        <v>0</v>
      </c>
      <c r="L258" s="646" t="e">
        <f t="shared" si="16"/>
        <v>#DIV/0!</v>
      </c>
      <c r="M258" s="646" t="e">
        <f t="shared" si="17"/>
        <v>#DIV/0!</v>
      </c>
      <c r="N258" s="206"/>
      <c r="O258" s="631">
        <f t="shared" si="31"/>
        <v>360</v>
      </c>
      <c r="P258" s="247" t="e">
        <f t="shared" si="18"/>
        <v>#DIV/0!</v>
      </c>
      <c r="Q258" s="206" t="e">
        <f t="shared" si="19"/>
        <v>#DIV/0!</v>
      </c>
      <c r="R258" s="206"/>
      <c r="S258" s="341" t="e">
        <f t="shared" si="20"/>
        <v>#DIV/0!</v>
      </c>
      <c r="T258" s="341" t="e">
        <f t="shared" si="21"/>
        <v>#DIV/0!</v>
      </c>
      <c r="U258" s="206"/>
      <c r="V258" s="208"/>
      <c r="W258" s="196"/>
      <c r="X258" s="152"/>
      <c r="Z258" s="198"/>
      <c r="AA258" s="198"/>
    </row>
    <row r="259" spans="1:27" s="197" customFormat="1" ht="15" customHeight="1">
      <c r="A259" s="226"/>
      <c r="B259" s="224" t="s">
        <v>415</v>
      </c>
      <c r="C259" s="312">
        <f>IF(R224="Inclinado",C258+2*SIN(RADIANS(Q224))*(I258+N224),C258+2*TAN(RADIANS(Q224))*(I258+N224))</f>
        <v>0</v>
      </c>
      <c r="D259" s="645">
        <f t="shared" si="23"/>
        <v>0</v>
      </c>
      <c r="E259" s="645">
        <f t="shared" si="32"/>
        <v>0</v>
      </c>
      <c r="F259" s="645">
        <f t="shared" si="33"/>
        <v>0</v>
      </c>
      <c r="G259" s="645">
        <f t="shared" si="34"/>
        <v>0</v>
      </c>
      <c r="H259" s="645">
        <f t="shared" si="35"/>
        <v>0</v>
      </c>
      <c r="I259" s="645">
        <f t="shared" si="28"/>
        <v>0</v>
      </c>
      <c r="J259" s="645">
        <f t="shared" si="29"/>
        <v>0</v>
      </c>
      <c r="K259" s="645">
        <f t="shared" si="30"/>
        <v>0</v>
      </c>
      <c r="L259" s="646" t="e">
        <f t="shared" si="16"/>
        <v>#DIV/0!</v>
      </c>
      <c r="M259" s="646" t="e">
        <f t="shared" si="17"/>
        <v>#DIV/0!</v>
      </c>
      <c r="N259" s="206"/>
      <c r="O259" s="631">
        <f t="shared" si="31"/>
        <v>360</v>
      </c>
      <c r="P259" s="247" t="e">
        <f t="shared" si="18"/>
        <v>#DIV/0!</v>
      </c>
      <c r="Q259" s="206" t="e">
        <f t="shared" si="19"/>
        <v>#DIV/0!</v>
      </c>
      <c r="R259" s="206"/>
      <c r="S259" s="341" t="e">
        <f t="shared" si="20"/>
        <v>#DIV/0!</v>
      </c>
      <c r="T259" s="341" t="e">
        <f t="shared" si="21"/>
        <v>#DIV/0!</v>
      </c>
      <c r="U259" s="206"/>
      <c r="V259" s="208"/>
      <c r="W259" s="196"/>
      <c r="X259" s="152"/>
      <c r="Z259" s="198"/>
      <c r="AA259" s="198"/>
    </row>
    <row r="260" spans="1:27" s="197" customFormat="1" ht="15" customHeight="1">
      <c r="A260" s="226"/>
      <c r="B260" s="224" t="s">
        <v>416</v>
      </c>
      <c r="C260" s="312">
        <f>IF(R224="Inclinado",C259+2*SIN(RADIANS(Q224))*(I259+N224),C259+2*TAN(RADIANS(Q224))*(I259+N224))</f>
        <v>0</v>
      </c>
      <c r="D260" s="645">
        <f t="shared" si="23"/>
        <v>0</v>
      </c>
      <c r="E260" s="645">
        <f t="shared" si="32"/>
        <v>0</v>
      </c>
      <c r="F260" s="645">
        <f t="shared" si="33"/>
        <v>0</v>
      </c>
      <c r="G260" s="645">
        <f t="shared" si="34"/>
        <v>0</v>
      </c>
      <c r="H260" s="645">
        <f t="shared" si="35"/>
        <v>0</v>
      </c>
      <c r="I260" s="645">
        <f t="shared" si="28"/>
        <v>0</v>
      </c>
      <c r="J260" s="645">
        <f t="shared" si="29"/>
        <v>0</v>
      </c>
      <c r="K260" s="645">
        <f t="shared" si="30"/>
        <v>0</v>
      </c>
      <c r="L260" s="646" t="e">
        <f t="shared" si="16"/>
        <v>#DIV/0!</v>
      </c>
      <c r="M260" s="646" t="e">
        <f t="shared" si="17"/>
        <v>#DIV/0!</v>
      </c>
      <c r="N260" s="206"/>
      <c r="O260" s="631">
        <f t="shared" si="31"/>
        <v>360</v>
      </c>
      <c r="P260" s="247" t="e">
        <f t="shared" si="18"/>
        <v>#DIV/0!</v>
      </c>
      <c r="Q260" s="206" t="e">
        <f t="shared" si="19"/>
        <v>#DIV/0!</v>
      </c>
      <c r="R260" s="206"/>
      <c r="S260" s="341" t="e">
        <f t="shared" si="20"/>
        <v>#DIV/0!</v>
      </c>
      <c r="T260" s="341" t="e">
        <f t="shared" si="21"/>
        <v>#DIV/0!</v>
      </c>
      <c r="U260" s="206"/>
      <c r="V260" s="208"/>
      <c r="W260" s="196"/>
      <c r="X260" s="152"/>
      <c r="Z260" s="198"/>
      <c r="AA260" s="198"/>
    </row>
    <row r="261" spans="1:27" s="197" customFormat="1" ht="15" customHeight="1">
      <c r="A261" s="226"/>
      <c r="B261" s="224" t="s">
        <v>417</v>
      </c>
      <c r="C261" s="312">
        <f>IF(R224="Inclinado",C260+2*SIN(RADIANS(Q224))*(I260+N224),C260+2*TAN(RADIANS(Q224))*(I260+N224))</f>
        <v>0</v>
      </c>
      <c r="D261" s="645">
        <f t="shared" si="23"/>
        <v>0</v>
      </c>
      <c r="E261" s="645">
        <f t="shared" si="32"/>
        <v>0</v>
      </c>
      <c r="F261" s="645">
        <f t="shared" si="33"/>
        <v>0</v>
      </c>
      <c r="G261" s="645">
        <f t="shared" si="34"/>
        <v>0</v>
      </c>
      <c r="H261" s="645">
        <f t="shared" si="35"/>
        <v>0</v>
      </c>
      <c r="I261" s="645">
        <f t="shared" si="28"/>
        <v>0</v>
      </c>
      <c r="J261" s="645">
        <f t="shared" si="29"/>
        <v>0</v>
      </c>
      <c r="K261" s="645">
        <f t="shared" si="30"/>
        <v>0</v>
      </c>
      <c r="L261" s="646" t="e">
        <f t="shared" si="16"/>
        <v>#DIV/0!</v>
      </c>
      <c r="M261" s="646" t="e">
        <f t="shared" si="17"/>
        <v>#DIV/0!</v>
      </c>
      <c r="N261" s="206"/>
      <c r="O261" s="631">
        <f t="shared" si="31"/>
        <v>360</v>
      </c>
      <c r="P261" s="247" t="e">
        <f t="shared" si="18"/>
        <v>#DIV/0!</v>
      </c>
      <c r="Q261" s="206" t="e">
        <f t="shared" si="19"/>
        <v>#DIV/0!</v>
      </c>
      <c r="R261" s="206"/>
      <c r="S261" s="341" t="e">
        <f t="shared" si="20"/>
        <v>#DIV/0!</v>
      </c>
      <c r="T261" s="341" t="e">
        <f t="shared" si="21"/>
        <v>#DIV/0!</v>
      </c>
      <c r="U261" s="206"/>
      <c r="V261" s="208"/>
      <c r="W261" s="196"/>
      <c r="X261" s="152"/>
      <c r="Z261" s="198"/>
      <c r="AA261" s="198"/>
    </row>
    <row r="262" spans="1:27" s="197" customFormat="1" ht="15" customHeight="1">
      <c r="A262" s="226"/>
      <c r="B262" s="224" t="s">
        <v>418</v>
      </c>
      <c r="C262" s="312">
        <f>IF(R224="Inclinado",C261+2*SIN(RADIANS(Q224))*(I261+N224),C261+2*TAN(RADIANS(Q224))*(I261+N224))</f>
        <v>0</v>
      </c>
      <c r="D262" s="645">
        <f t="shared" si="23"/>
        <v>0</v>
      </c>
      <c r="E262" s="645">
        <f t="shared" si="32"/>
        <v>0</v>
      </c>
      <c r="F262" s="645">
        <f t="shared" si="33"/>
        <v>0</v>
      </c>
      <c r="G262" s="645">
        <f t="shared" si="34"/>
        <v>0</v>
      </c>
      <c r="H262" s="645">
        <f t="shared" si="35"/>
        <v>0</v>
      </c>
      <c r="I262" s="645">
        <f t="shared" si="28"/>
        <v>0</v>
      </c>
      <c r="J262" s="645">
        <f t="shared" si="29"/>
        <v>0</v>
      </c>
      <c r="K262" s="645">
        <f t="shared" si="30"/>
        <v>0</v>
      </c>
      <c r="L262" s="646" t="e">
        <f t="shared" si="16"/>
        <v>#DIV/0!</v>
      </c>
      <c r="M262" s="646" t="e">
        <f t="shared" si="17"/>
        <v>#DIV/0!</v>
      </c>
      <c r="N262" s="206"/>
      <c r="O262" s="631">
        <f t="shared" si="31"/>
        <v>360</v>
      </c>
      <c r="P262" s="247" t="e">
        <f t="shared" si="18"/>
        <v>#DIV/0!</v>
      </c>
      <c r="Q262" s="206" t="e">
        <f t="shared" si="19"/>
        <v>#DIV/0!</v>
      </c>
      <c r="R262" s="206"/>
      <c r="S262" s="341" t="e">
        <f t="shared" si="20"/>
        <v>#DIV/0!</v>
      </c>
      <c r="T262" s="341" t="e">
        <f t="shared" si="21"/>
        <v>#DIV/0!</v>
      </c>
      <c r="U262" s="206"/>
      <c r="V262" s="208"/>
      <c r="W262" s="196"/>
      <c r="X262" s="152"/>
      <c r="Z262" s="198"/>
      <c r="AA262" s="198"/>
    </row>
    <row r="263" spans="1:27" s="197" customFormat="1" ht="15" customHeight="1">
      <c r="A263" s="226"/>
      <c r="B263" s="224" t="s">
        <v>419</v>
      </c>
      <c r="C263" s="312">
        <f>IF(R224="Inclinado",C262+2*SIN(RADIANS(Q224))*(I262+N224),C262+2*TAN(RADIANS(Q224))*(I262+N224))</f>
        <v>0</v>
      </c>
      <c r="D263" s="645">
        <f t="shared" si="23"/>
        <v>0</v>
      </c>
      <c r="E263" s="645">
        <f t="shared" si="32"/>
        <v>0</v>
      </c>
      <c r="F263" s="645">
        <f t="shared" si="33"/>
        <v>0</v>
      </c>
      <c r="G263" s="645">
        <f t="shared" si="34"/>
        <v>0</v>
      </c>
      <c r="H263" s="645">
        <f t="shared" si="35"/>
        <v>0</v>
      </c>
      <c r="I263" s="645">
        <f t="shared" si="28"/>
        <v>0</v>
      </c>
      <c r="J263" s="645">
        <f t="shared" si="29"/>
        <v>0</v>
      </c>
      <c r="K263" s="645">
        <f t="shared" si="30"/>
        <v>0</v>
      </c>
      <c r="L263" s="646" t="e">
        <f t="shared" si="16"/>
        <v>#DIV/0!</v>
      </c>
      <c r="M263" s="646" t="e">
        <f t="shared" si="17"/>
        <v>#DIV/0!</v>
      </c>
      <c r="N263" s="206"/>
      <c r="O263" s="631">
        <f t="shared" si="31"/>
        <v>360</v>
      </c>
      <c r="P263" s="247" t="e">
        <f t="shared" si="18"/>
        <v>#DIV/0!</v>
      </c>
      <c r="Q263" s="206" t="e">
        <f t="shared" si="19"/>
        <v>#DIV/0!</v>
      </c>
      <c r="R263" s="206"/>
      <c r="S263" s="341" t="e">
        <f t="shared" si="20"/>
        <v>#DIV/0!</v>
      </c>
      <c r="T263" s="341" t="e">
        <f t="shared" si="21"/>
        <v>#DIV/0!</v>
      </c>
      <c r="U263" s="206"/>
      <c r="V263" s="208"/>
      <c r="W263" s="196"/>
      <c r="X263" s="152"/>
      <c r="Z263" s="198"/>
      <c r="AA263" s="198"/>
    </row>
    <row r="264" spans="1:27" s="197" customFormat="1" ht="15" customHeight="1">
      <c r="A264" s="226"/>
      <c r="B264" s="224" t="s">
        <v>420</v>
      </c>
      <c r="C264" s="312">
        <f>IF(R224="Inclinado",C263+2*SIN(RADIANS(Q224))*(I263+N224),C263+2*TAN(RADIANS(Q224))*(I263+N224))</f>
        <v>0</v>
      </c>
      <c r="D264" s="645">
        <f t="shared" si="23"/>
        <v>0</v>
      </c>
      <c r="E264" s="645">
        <f t="shared" si="32"/>
        <v>0</v>
      </c>
      <c r="F264" s="645">
        <f t="shared" si="33"/>
        <v>0</v>
      </c>
      <c r="G264" s="645">
        <f t="shared" si="34"/>
        <v>0</v>
      </c>
      <c r="H264" s="645">
        <f t="shared" si="35"/>
        <v>0</v>
      </c>
      <c r="I264" s="645">
        <f t="shared" si="28"/>
        <v>0</v>
      </c>
      <c r="J264" s="645">
        <f t="shared" si="29"/>
        <v>0</v>
      </c>
      <c r="K264" s="645">
        <f t="shared" si="30"/>
        <v>0</v>
      </c>
      <c r="L264" s="646" t="e">
        <f t="shared" si="16"/>
        <v>#DIV/0!</v>
      </c>
      <c r="M264" s="646" t="e">
        <f t="shared" si="17"/>
        <v>#DIV/0!</v>
      </c>
      <c r="N264" s="206"/>
      <c r="O264" s="631">
        <f t="shared" si="31"/>
        <v>360</v>
      </c>
      <c r="P264" s="247" t="e">
        <f t="shared" si="18"/>
        <v>#DIV/0!</v>
      </c>
      <c r="Q264" s="206" t="e">
        <f t="shared" si="19"/>
        <v>#DIV/0!</v>
      </c>
      <c r="R264" s="206"/>
      <c r="S264" s="341" t="e">
        <f t="shared" si="20"/>
        <v>#DIV/0!</v>
      </c>
      <c r="T264" s="341" t="e">
        <f t="shared" si="21"/>
        <v>#DIV/0!</v>
      </c>
      <c r="U264" s="206"/>
      <c r="V264" s="208"/>
      <c r="W264" s="196"/>
      <c r="X264" s="152"/>
      <c r="Z264" s="198"/>
      <c r="AA264" s="198"/>
    </row>
    <row r="265" spans="1:27" s="197" customFormat="1" ht="15" customHeight="1">
      <c r="A265" s="226"/>
      <c r="B265" s="224" t="s">
        <v>990</v>
      </c>
      <c r="C265" s="312">
        <f>IF(R224="Inclinado",C264+2*SIN(RADIANS(Q224))*(I264+N224),C264+2*TAN(RADIANS(Q224))*(I264+N224))</f>
        <v>0</v>
      </c>
      <c r="D265" s="645">
        <f t="shared" si="23"/>
        <v>0</v>
      </c>
      <c r="E265" s="645">
        <f t="shared" si="32"/>
        <v>0</v>
      </c>
      <c r="F265" s="645">
        <f t="shared" si="33"/>
        <v>0</v>
      </c>
      <c r="G265" s="645">
        <f t="shared" si="34"/>
        <v>0</v>
      </c>
      <c r="H265" s="645">
        <f t="shared" si="35"/>
        <v>0</v>
      </c>
      <c r="I265" s="645">
        <f t="shared" si="28"/>
        <v>0</v>
      </c>
      <c r="J265" s="645">
        <f t="shared" si="29"/>
        <v>0</v>
      </c>
      <c r="K265" s="645">
        <f t="shared" si="30"/>
        <v>0</v>
      </c>
      <c r="L265" s="646" t="e">
        <f t="shared" si="16"/>
        <v>#DIV/0!</v>
      </c>
      <c r="M265" s="646" t="e">
        <f t="shared" si="17"/>
        <v>#DIV/0!</v>
      </c>
      <c r="N265" s="206"/>
      <c r="O265" s="631">
        <f t="shared" si="31"/>
        <v>360</v>
      </c>
      <c r="P265" s="247" t="e">
        <f t="shared" si="18"/>
        <v>#DIV/0!</v>
      </c>
      <c r="Q265" s="206" t="e">
        <f t="shared" si="19"/>
        <v>#DIV/0!</v>
      </c>
      <c r="R265" s="206"/>
      <c r="S265" s="341" t="e">
        <f t="shared" si="20"/>
        <v>#DIV/0!</v>
      </c>
      <c r="T265" s="341" t="e">
        <f t="shared" si="21"/>
        <v>#DIV/0!</v>
      </c>
      <c r="U265" s="206"/>
      <c r="V265" s="208"/>
      <c r="W265" s="196"/>
      <c r="X265" s="152"/>
      <c r="Z265" s="198"/>
      <c r="AA265" s="198"/>
    </row>
    <row r="266" spans="1:27" s="197" customFormat="1" ht="15" customHeight="1">
      <c r="A266" s="226"/>
      <c r="B266" s="224" t="s">
        <v>991</v>
      </c>
      <c r="C266" s="312">
        <f>IF(R224="Inclinado",C265+2*SIN(RADIANS(Q224))*(I265+N224),C265+2*TAN(RADIANS(Q224))*(I265+N224))</f>
        <v>0</v>
      </c>
      <c r="D266" s="645">
        <f t="shared" si="23"/>
        <v>0</v>
      </c>
      <c r="E266" s="645">
        <f t="shared" si="32"/>
        <v>0</v>
      </c>
      <c r="F266" s="645">
        <f t="shared" si="33"/>
        <v>0</v>
      </c>
      <c r="G266" s="645">
        <f t="shared" si="34"/>
        <v>0</v>
      </c>
      <c r="H266" s="645">
        <f t="shared" si="35"/>
        <v>0</v>
      </c>
      <c r="I266" s="645">
        <f t="shared" si="28"/>
        <v>0</v>
      </c>
      <c r="J266" s="645">
        <f t="shared" si="29"/>
        <v>0</v>
      </c>
      <c r="K266" s="645">
        <f t="shared" si="30"/>
        <v>0</v>
      </c>
      <c r="L266" s="646" t="e">
        <f t="shared" si="16"/>
        <v>#DIV/0!</v>
      </c>
      <c r="M266" s="646" t="e">
        <f t="shared" si="17"/>
        <v>#DIV/0!</v>
      </c>
      <c r="N266" s="206"/>
      <c r="O266" s="631">
        <f t="shared" si="31"/>
        <v>360</v>
      </c>
      <c r="P266" s="247" t="e">
        <f t="shared" si="18"/>
        <v>#DIV/0!</v>
      </c>
      <c r="Q266" s="206" t="e">
        <f t="shared" si="19"/>
        <v>#DIV/0!</v>
      </c>
      <c r="R266" s="206"/>
      <c r="S266" s="341" t="e">
        <f t="shared" si="20"/>
        <v>#DIV/0!</v>
      </c>
      <c r="T266" s="341" t="e">
        <f t="shared" si="21"/>
        <v>#DIV/0!</v>
      </c>
      <c r="U266" s="206"/>
      <c r="V266" s="208"/>
      <c r="W266" s="196"/>
      <c r="X266" s="152"/>
      <c r="Z266" s="198"/>
      <c r="AA266" s="198"/>
    </row>
    <row r="267" spans="1:27" s="197" customFormat="1" ht="15" customHeight="1">
      <c r="A267" s="226"/>
      <c r="B267" s="224" t="s">
        <v>992</v>
      </c>
      <c r="C267" s="312">
        <f>IF(R224="Inclinado",C266+2*SIN(RADIANS(Q224))*(I266+N224),C266+2*TAN(RADIANS(Q224))*(I266+N224))</f>
        <v>0</v>
      </c>
      <c r="D267" s="645">
        <f t="shared" si="23"/>
        <v>0</v>
      </c>
      <c r="E267" s="645">
        <f t="shared" si="32"/>
        <v>0</v>
      </c>
      <c r="F267" s="645">
        <f t="shared" si="33"/>
        <v>0</v>
      </c>
      <c r="G267" s="645">
        <f t="shared" si="34"/>
        <v>0</v>
      </c>
      <c r="H267" s="645">
        <f t="shared" si="35"/>
        <v>0</v>
      </c>
      <c r="I267" s="645">
        <f t="shared" si="28"/>
        <v>0</v>
      </c>
      <c r="J267" s="645">
        <f t="shared" si="29"/>
        <v>0</v>
      </c>
      <c r="K267" s="645">
        <f t="shared" si="30"/>
        <v>0</v>
      </c>
      <c r="L267" s="646" t="e">
        <f t="shared" ref="L267:L284" si="36">(1/(-(E267+K267)*(H267+K267)+(F267+K267)*(G267+K267)))*3.1416*(-C267*(H267+K267)+(C267-(J267*2))*(G267+K267))</f>
        <v>#DIV/0!</v>
      </c>
      <c r="M267" s="646" t="e">
        <f t="shared" ref="M267:M284" si="37">((C267*PI())-(L267*(E267+K267)))/(G267+K267)</f>
        <v>#DIV/0!</v>
      </c>
      <c r="N267" s="206"/>
      <c r="O267" s="631">
        <f t="shared" si="31"/>
        <v>360</v>
      </c>
      <c r="P267" s="247" t="e">
        <f t="shared" ref="P267:P284" si="38">IF(L267/360*O267-ROUNDDOWN(L267/360*O267,0)&gt;M267/360*O267-ROUNDDOWN(M267/360*O267,0),ROUNDUP(L267/360*O267,0),ROUNDUP(SUM(L267/360*O267,M267/360*O267),0)-ROUNDUP(M267/360*O267,0))</f>
        <v>#DIV/0!</v>
      </c>
      <c r="Q267" s="206" t="e">
        <f t="shared" ref="Q267:Q284" si="39">IF(M267/360*O267-ROUNDDOWN(M267/360*O267,0)&gt;L267/360*O267-ROUNDDOWN(L267/360*O267,0),ROUNDUP(M267/360*O267,0),ROUNDUP(SUM(L267/360*O267,M267/360*O267),0)-ROUNDUP(L267/360*O267,0))</f>
        <v>#DIV/0!</v>
      </c>
      <c r="R267" s="206"/>
      <c r="S267" s="341" t="e">
        <f t="shared" ref="S267:S284" si="40">((E267*(L267+K267)+G267*(M267+K267))/PI()-C267)/(P267+Q267)</f>
        <v>#DIV/0!</v>
      </c>
      <c r="T267" s="341" t="e">
        <f t="shared" ref="T267:T284" si="41">((F267*(L267+K267)+H267*(M267+K267))/PI()-(C267-(J267*2)))/(P267+Q267)</f>
        <v>#DIV/0!</v>
      </c>
      <c r="U267" s="206"/>
      <c r="V267" s="208"/>
      <c r="W267" s="196"/>
      <c r="X267" s="152"/>
      <c r="Z267" s="198"/>
      <c r="AA267" s="198"/>
    </row>
    <row r="268" spans="1:27" s="197" customFormat="1" ht="15" customHeight="1">
      <c r="A268" s="226"/>
      <c r="B268" s="224" t="s">
        <v>993</v>
      </c>
      <c r="C268" s="312">
        <f>IF(R224="Inclinado",C267+2*SIN(RADIANS(Q224))*(I267+N224),C267+2*TAN(RADIANS(Q224))*(I267+N224))</f>
        <v>0</v>
      </c>
      <c r="D268" s="645">
        <f t="shared" si="23"/>
        <v>0</v>
      </c>
      <c r="E268" s="645">
        <f t="shared" si="32"/>
        <v>0</v>
      </c>
      <c r="F268" s="645">
        <f t="shared" si="33"/>
        <v>0</v>
      </c>
      <c r="G268" s="645">
        <f t="shared" si="34"/>
        <v>0</v>
      </c>
      <c r="H268" s="645">
        <f t="shared" si="35"/>
        <v>0</v>
      </c>
      <c r="I268" s="645">
        <f t="shared" si="28"/>
        <v>0</v>
      </c>
      <c r="J268" s="645">
        <f t="shared" si="29"/>
        <v>0</v>
      </c>
      <c r="K268" s="645">
        <f t="shared" si="30"/>
        <v>0</v>
      </c>
      <c r="L268" s="646" t="e">
        <f t="shared" si="36"/>
        <v>#DIV/0!</v>
      </c>
      <c r="M268" s="646" t="e">
        <f t="shared" si="37"/>
        <v>#DIV/0!</v>
      </c>
      <c r="N268" s="206"/>
      <c r="O268" s="631">
        <f t="shared" si="31"/>
        <v>360</v>
      </c>
      <c r="P268" s="247" t="e">
        <f t="shared" si="38"/>
        <v>#DIV/0!</v>
      </c>
      <c r="Q268" s="206" t="e">
        <f t="shared" si="39"/>
        <v>#DIV/0!</v>
      </c>
      <c r="R268" s="206"/>
      <c r="S268" s="341" t="e">
        <f t="shared" si="40"/>
        <v>#DIV/0!</v>
      </c>
      <c r="T268" s="341" t="e">
        <f t="shared" si="41"/>
        <v>#DIV/0!</v>
      </c>
      <c r="U268" s="206"/>
      <c r="V268" s="208"/>
      <c r="W268" s="196"/>
      <c r="X268" s="152"/>
      <c r="Z268" s="198"/>
      <c r="AA268" s="198"/>
    </row>
    <row r="269" spans="1:27" s="197" customFormat="1" ht="15" customHeight="1">
      <c r="A269" s="226"/>
      <c r="B269" s="224" t="s">
        <v>994</v>
      </c>
      <c r="C269" s="312">
        <f>IF(R224="Inclinado",C268+2*SIN(RADIANS(Q224))*(I268+N224),C268+2*TAN(RADIANS(Q224))*(I268+N224))</f>
        <v>0</v>
      </c>
      <c r="D269" s="645">
        <f t="shared" si="23"/>
        <v>0</v>
      </c>
      <c r="E269" s="645">
        <f t="shared" si="32"/>
        <v>0</v>
      </c>
      <c r="F269" s="645">
        <f t="shared" si="33"/>
        <v>0</v>
      </c>
      <c r="G269" s="645">
        <f t="shared" si="34"/>
        <v>0</v>
      </c>
      <c r="H269" s="645">
        <f t="shared" si="35"/>
        <v>0</v>
      </c>
      <c r="I269" s="645">
        <f t="shared" si="28"/>
        <v>0</v>
      </c>
      <c r="J269" s="645">
        <f t="shared" si="29"/>
        <v>0</v>
      </c>
      <c r="K269" s="645">
        <f t="shared" si="30"/>
        <v>0</v>
      </c>
      <c r="L269" s="646" t="e">
        <f t="shared" si="36"/>
        <v>#DIV/0!</v>
      </c>
      <c r="M269" s="646" t="e">
        <f t="shared" si="37"/>
        <v>#DIV/0!</v>
      </c>
      <c r="N269" s="206"/>
      <c r="O269" s="631">
        <f t="shared" si="31"/>
        <v>360</v>
      </c>
      <c r="P269" s="247" t="e">
        <f t="shared" si="38"/>
        <v>#DIV/0!</v>
      </c>
      <c r="Q269" s="206" t="e">
        <f t="shared" si="39"/>
        <v>#DIV/0!</v>
      </c>
      <c r="R269" s="206"/>
      <c r="S269" s="341" t="e">
        <f t="shared" si="40"/>
        <v>#DIV/0!</v>
      </c>
      <c r="T269" s="341" t="e">
        <f t="shared" si="41"/>
        <v>#DIV/0!</v>
      </c>
      <c r="U269" s="206"/>
      <c r="V269" s="208"/>
      <c r="W269" s="196"/>
      <c r="X269" s="152"/>
      <c r="Z269" s="198"/>
      <c r="AA269" s="198"/>
    </row>
    <row r="270" spans="1:27" s="197" customFormat="1" ht="15" customHeight="1">
      <c r="A270" s="226"/>
      <c r="B270" s="224" t="s">
        <v>995</v>
      </c>
      <c r="C270" s="312">
        <f>IF(R224="Inclinado",C269+2*SIN(RADIANS(Q224))*(I269+N224),C269+2*TAN(RADIANS(Q224))*(I269+N224))</f>
        <v>0</v>
      </c>
      <c r="D270" s="645">
        <f t="shared" si="23"/>
        <v>0</v>
      </c>
      <c r="E270" s="645">
        <f t="shared" ref="E270:E274" si="42">E269</f>
        <v>0</v>
      </c>
      <c r="F270" s="645">
        <f t="shared" ref="F270:F274" si="43">F269</f>
        <v>0</v>
      </c>
      <c r="G270" s="645">
        <f t="shared" ref="G270:G274" si="44">G269</f>
        <v>0</v>
      </c>
      <c r="H270" s="645">
        <f t="shared" ref="H270:H274" si="45">H269</f>
        <v>0</v>
      </c>
      <c r="I270" s="645">
        <f t="shared" si="28"/>
        <v>0</v>
      </c>
      <c r="J270" s="645">
        <f t="shared" si="29"/>
        <v>0</v>
      </c>
      <c r="K270" s="645">
        <f t="shared" si="30"/>
        <v>0</v>
      </c>
      <c r="L270" s="646" t="e">
        <f t="shared" si="36"/>
        <v>#DIV/0!</v>
      </c>
      <c r="M270" s="646" t="e">
        <f t="shared" si="37"/>
        <v>#DIV/0!</v>
      </c>
      <c r="N270" s="206"/>
      <c r="O270" s="631">
        <f t="shared" si="31"/>
        <v>360</v>
      </c>
      <c r="P270" s="247" t="e">
        <f t="shared" si="38"/>
        <v>#DIV/0!</v>
      </c>
      <c r="Q270" s="206" t="e">
        <f t="shared" si="39"/>
        <v>#DIV/0!</v>
      </c>
      <c r="R270" s="206"/>
      <c r="S270" s="341" t="e">
        <f t="shared" si="40"/>
        <v>#DIV/0!</v>
      </c>
      <c r="T270" s="341" t="e">
        <f t="shared" si="41"/>
        <v>#DIV/0!</v>
      </c>
      <c r="U270" s="206"/>
      <c r="V270" s="208"/>
      <c r="W270" s="196"/>
      <c r="X270" s="152"/>
      <c r="Z270" s="198"/>
      <c r="AA270" s="198"/>
    </row>
    <row r="271" spans="1:27" s="197" customFormat="1" ht="15" customHeight="1">
      <c r="A271" s="226"/>
      <c r="B271" s="224" t="s">
        <v>996</v>
      </c>
      <c r="C271" s="312">
        <f>IF(R224="Inclinado",C270+2*SIN(RADIANS(Q224))*(I270+N224),C270+2*TAN(RADIANS(Q224))*(I270+N224))</f>
        <v>0</v>
      </c>
      <c r="D271" s="645">
        <f t="shared" si="23"/>
        <v>0</v>
      </c>
      <c r="E271" s="645">
        <f t="shared" si="42"/>
        <v>0</v>
      </c>
      <c r="F271" s="645">
        <f t="shared" si="43"/>
        <v>0</v>
      </c>
      <c r="G271" s="645">
        <f t="shared" si="44"/>
        <v>0</v>
      </c>
      <c r="H271" s="645">
        <f t="shared" si="45"/>
        <v>0</v>
      </c>
      <c r="I271" s="645">
        <f t="shared" si="28"/>
        <v>0</v>
      </c>
      <c r="J271" s="645">
        <f t="shared" si="29"/>
        <v>0</v>
      </c>
      <c r="K271" s="645">
        <f t="shared" si="30"/>
        <v>0</v>
      </c>
      <c r="L271" s="646" t="e">
        <f t="shared" si="36"/>
        <v>#DIV/0!</v>
      </c>
      <c r="M271" s="646" t="e">
        <f t="shared" si="37"/>
        <v>#DIV/0!</v>
      </c>
      <c r="N271" s="206"/>
      <c r="O271" s="631">
        <f t="shared" si="31"/>
        <v>360</v>
      </c>
      <c r="P271" s="247" t="e">
        <f t="shared" si="38"/>
        <v>#DIV/0!</v>
      </c>
      <c r="Q271" s="206" t="e">
        <f t="shared" si="39"/>
        <v>#DIV/0!</v>
      </c>
      <c r="R271" s="206"/>
      <c r="S271" s="341" t="e">
        <f t="shared" si="40"/>
        <v>#DIV/0!</v>
      </c>
      <c r="T271" s="341" t="e">
        <f t="shared" si="41"/>
        <v>#DIV/0!</v>
      </c>
      <c r="U271" s="206"/>
      <c r="V271" s="208"/>
      <c r="W271" s="196"/>
      <c r="X271" s="152"/>
      <c r="Z271" s="198"/>
      <c r="AA271" s="198"/>
    </row>
    <row r="272" spans="1:27" s="197" customFormat="1" ht="15" customHeight="1">
      <c r="A272" s="226"/>
      <c r="B272" s="224" t="s">
        <v>997</v>
      </c>
      <c r="C272" s="312">
        <f>IF(R224="Inclinado",C271+2*SIN(RADIANS(Q224))*(I271+N224),C271+2*TAN(RADIANS(Q224))*(I271+N224))</f>
        <v>0</v>
      </c>
      <c r="D272" s="645">
        <f t="shared" si="23"/>
        <v>0</v>
      </c>
      <c r="E272" s="645">
        <f t="shared" si="42"/>
        <v>0</v>
      </c>
      <c r="F272" s="645">
        <f t="shared" si="43"/>
        <v>0</v>
      </c>
      <c r="G272" s="645">
        <f t="shared" si="44"/>
        <v>0</v>
      </c>
      <c r="H272" s="645">
        <f t="shared" si="45"/>
        <v>0</v>
      </c>
      <c r="I272" s="645">
        <f t="shared" si="28"/>
        <v>0</v>
      </c>
      <c r="J272" s="645">
        <f t="shared" si="29"/>
        <v>0</v>
      </c>
      <c r="K272" s="645">
        <f t="shared" si="30"/>
        <v>0</v>
      </c>
      <c r="L272" s="646" t="e">
        <f t="shared" si="36"/>
        <v>#DIV/0!</v>
      </c>
      <c r="M272" s="646" t="e">
        <f t="shared" si="37"/>
        <v>#DIV/0!</v>
      </c>
      <c r="N272" s="206"/>
      <c r="O272" s="631">
        <f t="shared" si="31"/>
        <v>360</v>
      </c>
      <c r="P272" s="247" t="e">
        <f t="shared" si="38"/>
        <v>#DIV/0!</v>
      </c>
      <c r="Q272" s="206" t="e">
        <f t="shared" si="39"/>
        <v>#DIV/0!</v>
      </c>
      <c r="R272" s="206"/>
      <c r="S272" s="341" t="e">
        <f t="shared" si="40"/>
        <v>#DIV/0!</v>
      </c>
      <c r="T272" s="341" t="e">
        <f t="shared" si="41"/>
        <v>#DIV/0!</v>
      </c>
      <c r="U272" s="206"/>
      <c r="V272" s="208"/>
      <c r="W272" s="196"/>
      <c r="X272" s="152"/>
      <c r="Z272" s="198"/>
      <c r="AA272" s="198"/>
    </row>
    <row r="273" spans="1:27" s="197" customFormat="1" ht="15" customHeight="1">
      <c r="A273" s="226"/>
      <c r="B273" s="224" t="s">
        <v>998</v>
      </c>
      <c r="C273" s="312">
        <f>IF(R224="Inclinado",C272+2*SIN(RADIANS(Q224))*(I272+N224),C272+2*TAN(RADIANS(Q224))*(I272+N224))</f>
        <v>0</v>
      </c>
      <c r="D273" s="645">
        <f t="shared" si="23"/>
        <v>0</v>
      </c>
      <c r="E273" s="645">
        <f t="shared" si="42"/>
        <v>0</v>
      </c>
      <c r="F273" s="645">
        <f t="shared" si="43"/>
        <v>0</v>
      </c>
      <c r="G273" s="645">
        <f t="shared" si="44"/>
        <v>0</v>
      </c>
      <c r="H273" s="645">
        <f t="shared" si="45"/>
        <v>0</v>
      </c>
      <c r="I273" s="645">
        <f t="shared" si="28"/>
        <v>0</v>
      </c>
      <c r="J273" s="645">
        <f t="shared" si="29"/>
        <v>0</v>
      </c>
      <c r="K273" s="645">
        <f t="shared" si="30"/>
        <v>0</v>
      </c>
      <c r="L273" s="646" t="e">
        <f t="shared" si="36"/>
        <v>#DIV/0!</v>
      </c>
      <c r="M273" s="646" t="e">
        <f t="shared" si="37"/>
        <v>#DIV/0!</v>
      </c>
      <c r="N273" s="206"/>
      <c r="O273" s="631">
        <f t="shared" si="31"/>
        <v>360</v>
      </c>
      <c r="P273" s="247" t="e">
        <f t="shared" si="38"/>
        <v>#DIV/0!</v>
      </c>
      <c r="Q273" s="206" t="e">
        <f t="shared" si="39"/>
        <v>#DIV/0!</v>
      </c>
      <c r="R273" s="206"/>
      <c r="S273" s="341" t="e">
        <f t="shared" si="40"/>
        <v>#DIV/0!</v>
      </c>
      <c r="T273" s="341" t="e">
        <f t="shared" si="41"/>
        <v>#DIV/0!</v>
      </c>
      <c r="U273" s="206"/>
      <c r="V273" s="208"/>
      <c r="W273" s="196"/>
      <c r="X273" s="152"/>
      <c r="Z273" s="198"/>
      <c r="AA273" s="198"/>
    </row>
    <row r="274" spans="1:27" s="197" customFormat="1" ht="15" customHeight="1">
      <c r="A274" s="226"/>
      <c r="B274" s="224" t="s">
        <v>999</v>
      </c>
      <c r="C274" s="312">
        <f>IF(R224="Inclinado",C273+2*SIN(RADIANS(Q224))*(I273+N224),C273+2*TAN(RADIANS(Q224))*(I273+N224))</f>
        <v>0</v>
      </c>
      <c r="D274" s="645">
        <f t="shared" si="23"/>
        <v>0</v>
      </c>
      <c r="E274" s="645">
        <f t="shared" si="42"/>
        <v>0</v>
      </c>
      <c r="F274" s="645">
        <f t="shared" si="43"/>
        <v>0</v>
      </c>
      <c r="G274" s="645">
        <f t="shared" si="44"/>
        <v>0</v>
      </c>
      <c r="H274" s="645">
        <f t="shared" si="45"/>
        <v>0</v>
      </c>
      <c r="I274" s="645">
        <f t="shared" si="28"/>
        <v>0</v>
      </c>
      <c r="J274" s="645">
        <f t="shared" si="29"/>
        <v>0</v>
      </c>
      <c r="K274" s="645">
        <f t="shared" si="30"/>
        <v>0</v>
      </c>
      <c r="L274" s="646" t="e">
        <f t="shared" si="36"/>
        <v>#DIV/0!</v>
      </c>
      <c r="M274" s="646" t="e">
        <f t="shared" si="37"/>
        <v>#DIV/0!</v>
      </c>
      <c r="N274" s="206"/>
      <c r="O274" s="631">
        <f t="shared" si="31"/>
        <v>360</v>
      </c>
      <c r="P274" s="247" t="e">
        <f t="shared" si="38"/>
        <v>#DIV/0!</v>
      </c>
      <c r="Q274" s="206" t="e">
        <f t="shared" si="39"/>
        <v>#DIV/0!</v>
      </c>
      <c r="R274" s="206"/>
      <c r="S274" s="341" t="e">
        <f t="shared" si="40"/>
        <v>#DIV/0!</v>
      </c>
      <c r="T274" s="341" t="e">
        <f t="shared" si="41"/>
        <v>#DIV/0!</v>
      </c>
      <c r="U274" s="206"/>
      <c r="V274" s="208"/>
      <c r="W274" s="196"/>
      <c r="X274" s="152"/>
      <c r="Z274" s="198"/>
      <c r="AA274" s="198"/>
    </row>
    <row r="275" spans="1:27" s="197" customFormat="1" ht="15" customHeight="1">
      <c r="A275" s="226"/>
      <c r="B275" s="224" t="s">
        <v>1000</v>
      </c>
      <c r="C275" s="312">
        <f>IF(R224="Inclinado",C274+2*SIN(RADIANS(Q224))*(I274+N224),C274+2*TAN(RADIANS(Q224))*(I274+N224))</f>
        <v>0</v>
      </c>
      <c r="D275" s="645">
        <f t="shared" si="23"/>
        <v>0</v>
      </c>
      <c r="E275" s="645">
        <f t="shared" ref="E275:E284" si="46">E274</f>
        <v>0</v>
      </c>
      <c r="F275" s="645">
        <f t="shared" ref="F275:F284" si="47">F274</f>
        <v>0</v>
      </c>
      <c r="G275" s="645">
        <f t="shared" ref="G275:G284" si="48">G274</f>
        <v>0</v>
      </c>
      <c r="H275" s="645">
        <f t="shared" ref="H275:H284" si="49">H274</f>
        <v>0</v>
      </c>
      <c r="I275" s="645">
        <f t="shared" si="28"/>
        <v>0</v>
      </c>
      <c r="J275" s="645">
        <f t="shared" si="29"/>
        <v>0</v>
      </c>
      <c r="K275" s="645">
        <f t="shared" si="30"/>
        <v>0</v>
      </c>
      <c r="L275" s="646" t="e">
        <f t="shared" si="36"/>
        <v>#DIV/0!</v>
      </c>
      <c r="M275" s="646" t="e">
        <f t="shared" si="37"/>
        <v>#DIV/0!</v>
      </c>
      <c r="N275" s="206"/>
      <c r="O275" s="631">
        <f t="shared" si="31"/>
        <v>360</v>
      </c>
      <c r="P275" s="247" t="e">
        <f t="shared" si="38"/>
        <v>#DIV/0!</v>
      </c>
      <c r="Q275" s="206" t="e">
        <f t="shared" si="39"/>
        <v>#DIV/0!</v>
      </c>
      <c r="R275" s="206"/>
      <c r="S275" s="341" t="e">
        <f t="shared" si="40"/>
        <v>#DIV/0!</v>
      </c>
      <c r="T275" s="341" t="e">
        <f t="shared" si="41"/>
        <v>#DIV/0!</v>
      </c>
      <c r="U275" s="206"/>
      <c r="V275" s="208"/>
      <c r="W275" s="196"/>
      <c r="X275" s="152"/>
      <c r="Z275" s="198"/>
      <c r="AA275" s="198"/>
    </row>
    <row r="276" spans="1:27" s="197" customFormat="1" ht="15" customHeight="1">
      <c r="A276" s="226"/>
      <c r="B276" s="224" t="s">
        <v>1001</v>
      </c>
      <c r="C276" s="312">
        <f>IF(R224="Inclinado",C275+2*SIN(RADIANS(Q224))*(I275+N224),C275+2*TAN(RADIANS(Q224))*(I275+N224))</f>
        <v>0</v>
      </c>
      <c r="D276" s="645">
        <f t="shared" si="23"/>
        <v>0</v>
      </c>
      <c r="E276" s="645">
        <f t="shared" si="46"/>
        <v>0</v>
      </c>
      <c r="F276" s="645">
        <f t="shared" si="47"/>
        <v>0</v>
      </c>
      <c r="G276" s="645">
        <f t="shared" si="48"/>
        <v>0</v>
      </c>
      <c r="H276" s="645">
        <f t="shared" si="49"/>
        <v>0</v>
      </c>
      <c r="I276" s="645">
        <f t="shared" si="28"/>
        <v>0</v>
      </c>
      <c r="J276" s="645">
        <f t="shared" si="29"/>
        <v>0</v>
      </c>
      <c r="K276" s="645">
        <f t="shared" si="30"/>
        <v>0</v>
      </c>
      <c r="L276" s="646" t="e">
        <f t="shared" si="36"/>
        <v>#DIV/0!</v>
      </c>
      <c r="M276" s="646" t="e">
        <f t="shared" si="37"/>
        <v>#DIV/0!</v>
      </c>
      <c r="N276" s="206"/>
      <c r="O276" s="631">
        <f t="shared" si="31"/>
        <v>360</v>
      </c>
      <c r="P276" s="247" t="e">
        <f t="shared" si="38"/>
        <v>#DIV/0!</v>
      </c>
      <c r="Q276" s="206" t="e">
        <f t="shared" si="39"/>
        <v>#DIV/0!</v>
      </c>
      <c r="R276" s="206"/>
      <c r="S276" s="341" t="e">
        <f t="shared" si="40"/>
        <v>#DIV/0!</v>
      </c>
      <c r="T276" s="341" t="e">
        <f t="shared" si="41"/>
        <v>#DIV/0!</v>
      </c>
      <c r="U276" s="206"/>
      <c r="V276" s="208"/>
      <c r="W276" s="196"/>
      <c r="X276" s="152"/>
      <c r="Z276" s="198"/>
      <c r="AA276" s="198"/>
    </row>
    <row r="277" spans="1:27" s="197" customFormat="1" ht="15" customHeight="1">
      <c r="A277" s="226"/>
      <c r="B277" s="224" t="s">
        <v>1002</v>
      </c>
      <c r="C277" s="312">
        <f>IF(R224="Inclinado",C276+2*SIN(RADIANS(Q224))*(I276+N224),C276+2*TAN(RADIANS(Q224))*(I276+N224))</f>
        <v>0</v>
      </c>
      <c r="D277" s="645">
        <f t="shared" si="23"/>
        <v>0</v>
      </c>
      <c r="E277" s="645">
        <f t="shared" si="46"/>
        <v>0</v>
      </c>
      <c r="F277" s="645">
        <f t="shared" si="47"/>
        <v>0</v>
      </c>
      <c r="G277" s="645">
        <f t="shared" si="48"/>
        <v>0</v>
      </c>
      <c r="H277" s="645">
        <f t="shared" si="49"/>
        <v>0</v>
      </c>
      <c r="I277" s="645">
        <f t="shared" si="28"/>
        <v>0</v>
      </c>
      <c r="J277" s="645">
        <f t="shared" si="29"/>
        <v>0</v>
      </c>
      <c r="K277" s="645">
        <f t="shared" si="30"/>
        <v>0</v>
      </c>
      <c r="L277" s="646" t="e">
        <f t="shared" si="36"/>
        <v>#DIV/0!</v>
      </c>
      <c r="M277" s="646" t="e">
        <f t="shared" si="37"/>
        <v>#DIV/0!</v>
      </c>
      <c r="N277" s="206"/>
      <c r="O277" s="631">
        <f t="shared" si="31"/>
        <v>360</v>
      </c>
      <c r="P277" s="247" t="e">
        <f t="shared" si="38"/>
        <v>#DIV/0!</v>
      </c>
      <c r="Q277" s="206" t="e">
        <f t="shared" si="39"/>
        <v>#DIV/0!</v>
      </c>
      <c r="R277" s="206"/>
      <c r="S277" s="341" t="e">
        <f t="shared" si="40"/>
        <v>#DIV/0!</v>
      </c>
      <c r="T277" s="341" t="e">
        <f t="shared" si="41"/>
        <v>#DIV/0!</v>
      </c>
      <c r="U277" s="206"/>
      <c r="V277" s="208"/>
      <c r="W277" s="196"/>
      <c r="X277" s="152"/>
      <c r="Z277" s="198"/>
      <c r="AA277" s="198"/>
    </row>
    <row r="278" spans="1:27" s="197" customFormat="1" ht="15" customHeight="1">
      <c r="A278" s="226"/>
      <c r="B278" s="224" t="s">
        <v>1003</v>
      </c>
      <c r="C278" s="312">
        <f>IF(R224="Inclinado",C277+2*SIN(RADIANS(Q224))*(I277+N224),C277+2*TAN(RADIANS(Q224))*(I277+N224))</f>
        <v>0</v>
      </c>
      <c r="D278" s="645">
        <f t="shared" si="23"/>
        <v>0</v>
      </c>
      <c r="E278" s="645">
        <f t="shared" si="46"/>
        <v>0</v>
      </c>
      <c r="F278" s="645">
        <f t="shared" si="47"/>
        <v>0</v>
      </c>
      <c r="G278" s="645">
        <f t="shared" si="48"/>
        <v>0</v>
      </c>
      <c r="H278" s="645">
        <f t="shared" si="49"/>
        <v>0</v>
      </c>
      <c r="I278" s="645">
        <f t="shared" si="28"/>
        <v>0</v>
      </c>
      <c r="J278" s="645">
        <f t="shared" si="29"/>
        <v>0</v>
      </c>
      <c r="K278" s="645">
        <f t="shared" si="30"/>
        <v>0</v>
      </c>
      <c r="L278" s="646" t="e">
        <f t="shared" si="36"/>
        <v>#DIV/0!</v>
      </c>
      <c r="M278" s="646" t="e">
        <f t="shared" si="37"/>
        <v>#DIV/0!</v>
      </c>
      <c r="N278" s="206"/>
      <c r="O278" s="631">
        <f t="shared" si="31"/>
        <v>360</v>
      </c>
      <c r="P278" s="247" t="e">
        <f t="shared" si="38"/>
        <v>#DIV/0!</v>
      </c>
      <c r="Q278" s="206" t="e">
        <f t="shared" si="39"/>
        <v>#DIV/0!</v>
      </c>
      <c r="R278" s="206"/>
      <c r="S278" s="341" t="e">
        <f t="shared" si="40"/>
        <v>#DIV/0!</v>
      </c>
      <c r="T278" s="341" t="e">
        <f t="shared" si="41"/>
        <v>#DIV/0!</v>
      </c>
      <c r="U278" s="206"/>
      <c r="V278" s="208"/>
      <c r="W278" s="196"/>
      <c r="X278" s="152"/>
      <c r="Z278" s="198"/>
      <c r="AA278" s="198"/>
    </row>
    <row r="279" spans="1:27" s="197" customFormat="1" ht="15" customHeight="1">
      <c r="A279" s="226"/>
      <c r="B279" s="224" t="s">
        <v>1004</v>
      </c>
      <c r="C279" s="312">
        <f>IF(R224="Inclinado",C278+2*SIN(RADIANS(Q224))*(I278+N224),C278+2*TAN(RADIANS(Q224))*(I278+N224))</f>
        <v>0</v>
      </c>
      <c r="D279" s="645">
        <f t="shared" si="23"/>
        <v>0</v>
      </c>
      <c r="E279" s="645">
        <f t="shared" si="46"/>
        <v>0</v>
      </c>
      <c r="F279" s="645">
        <f t="shared" si="47"/>
        <v>0</v>
      </c>
      <c r="G279" s="645">
        <f t="shared" si="48"/>
        <v>0</v>
      </c>
      <c r="H279" s="645">
        <f t="shared" si="49"/>
        <v>0</v>
      </c>
      <c r="I279" s="645">
        <f t="shared" si="28"/>
        <v>0</v>
      </c>
      <c r="J279" s="645">
        <f t="shared" si="29"/>
        <v>0</v>
      </c>
      <c r="K279" s="645">
        <f t="shared" si="30"/>
        <v>0</v>
      </c>
      <c r="L279" s="646" t="e">
        <f t="shared" si="36"/>
        <v>#DIV/0!</v>
      </c>
      <c r="M279" s="646" t="e">
        <f t="shared" si="37"/>
        <v>#DIV/0!</v>
      </c>
      <c r="N279" s="206"/>
      <c r="O279" s="631">
        <f t="shared" si="31"/>
        <v>360</v>
      </c>
      <c r="P279" s="247" t="e">
        <f t="shared" si="38"/>
        <v>#DIV/0!</v>
      </c>
      <c r="Q279" s="206" t="e">
        <f t="shared" si="39"/>
        <v>#DIV/0!</v>
      </c>
      <c r="R279" s="206"/>
      <c r="S279" s="341" t="e">
        <f t="shared" si="40"/>
        <v>#DIV/0!</v>
      </c>
      <c r="T279" s="341" t="e">
        <f t="shared" si="41"/>
        <v>#DIV/0!</v>
      </c>
      <c r="U279" s="206"/>
      <c r="V279" s="208"/>
      <c r="W279" s="196"/>
      <c r="X279" s="152"/>
      <c r="Z279" s="198"/>
      <c r="AA279" s="198"/>
    </row>
    <row r="280" spans="1:27" s="197" customFormat="1" ht="15" customHeight="1">
      <c r="A280" s="226"/>
      <c r="B280" s="224" t="s">
        <v>1005</v>
      </c>
      <c r="C280" s="312">
        <f>IF(R224="Inclinado",C279+2*SIN(RADIANS(Q224))*(I279+N224),C279+2*TAN(RADIANS(Q224))*(I279+N224))</f>
        <v>0</v>
      </c>
      <c r="D280" s="645">
        <f t="shared" si="23"/>
        <v>0</v>
      </c>
      <c r="E280" s="645">
        <f t="shared" si="46"/>
        <v>0</v>
      </c>
      <c r="F280" s="645">
        <f t="shared" si="47"/>
        <v>0</v>
      </c>
      <c r="G280" s="645">
        <f t="shared" si="48"/>
        <v>0</v>
      </c>
      <c r="H280" s="645">
        <f t="shared" si="49"/>
        <v>0</v>
      </c>
      <c r="I280" s="645">
        <f t="shared" si="28"/>
        <v>0</v>
      </c>
      <c r="J280" s="645">
        <f t="shared" si="29"/>
        <v>0</v>
      </c>
      <c r="K280" s="645">
        <f t="shared" si="30"/>
        <v>0</v>
      </c>
      <c r="L280" s="646" t="e">
        <f t="shared" si="36"/>
        <v>#DIV/0!</v>
      </c>
      <c r="M280" s="646" t="e">
        <f t="shared" si="37"/>
        <v>#DIV/0!</v>
      </c>
      <c r="N280" s="206"/>
      <c r="O280" s="631">
        <f t="shared" si="31"/>
        <v>360</v>
      </c>
      <c r="P280" s="247" t="e">
        <f t="shared" si="38"/>
        <v>#DIV/0!</v>
      </c>
      <c r="Q280" s="206" t="e">
        <f t="shared" si="39"/>
        <v>#DIV/0!</v>
      </c>
      <c r="R280" s="206"/>
      <c r="S280" s="341" t="e">
        <f t="shared" si="40"/>
        <v>#DIV/0!</v>
      </c>
      <c r="T280" s="341" t="e">
        <f t="shared" si="41"/>
        <v>#DIV/0!</v>
      </c>
      <c r="U280" s="206"/>
      <c r="V280" s="208"/>
      <c r="W280" s="196"/>
      <c r="X280" s="152"/>
      <c r="Z280" s="198"/>
      <c r="AA280" s="198"/>
    </row>
    <row r="281" spans="1:27" s="197" customFormat="1" ht="15" customHeight="1">
      <c r="A281" s="226"/>
      <c r="B281" s="224" t="s">
        <v>1006</v>
      </c>
      <c r="C281" s="312">
        <f>IF(R224="Inclinado",C280+2*SIN(RADIANS(Q224))*(I280+N224),C280+2*TAN(RADIANS(Q224))*(I280+N224))</f>
        <v>0</v>
      </c>
      <c r="D281" s="645">
        <f t="shared" si="23"/>
        <v>0</v>
      </c>
      <c r="E281" s="645">
        <f t="shared" si="46"/>
        <v>0</v>
      </c>
      <c r="F281" s="645">
        <f t="shared" si="47"/>
        <v>0</v>
      </c>
      <c r="G281" s="645">
        <f t="shared" si="48"/>
        <v>0</v>
      </c>
      <c r="H281" s="645">
        <f t="shared" si="49"/>
        <v>0</v>
      </c>
      <c r="I281" s="645">
        <f t="shared" si="28"/>
        <v>0</v>
      </c>
      <c r="J281" s="645">
        <f t="shared" si="29"/>
        <v>0</v>
      </c>
      <c r="K281" s="645">
        <f t="shared" si="30"/>
        <v>0</v>
      </c>
      <c r="L281" s="646" t="e">
        <f t="shared" si="36"/>
        <v>#DIV/0!</v>
      </c>
      <c r="M281" s="646" t="e">
        <f t="shared" si="37"/>
        <v>#DIV/0!</v>
      </c>
      <c r="N281" s="206"/>
      <c r="O281" s="631">
        <f t="shared" si="31"/>
        <v>360</v>
      </c>
      <c r="P281" s="247" t="e">
        <f t="shared" si="38"/>
        <v>#DIV/0!</v>
      </c>
      <c r="Q281" s="206" t="e">
        <f t="shared" si="39"/>
        <v>#DIV/0!</v>
      </c>
      <c r="R281" s="206"/>
      <c r="S281" s="341" t="e">
        <f t="shared" si="40"/>
        <v>#DIV/0!</v>
      </c>
      <c r="T281" s="341" t="e">
        <f t="shared" si="41"/>
        <v>#DIV/0!</v>
      </c>
      <c r="U281" s="206"/>
      <c r="V281" s="208"/>
      <c r="W281" s="196"/>
      <c r="X281" s="152"/>
      <c r="Z281" s="198"/>
      <c r="AA281" s="198"/>
    </row>
    <row r="282" spans="1:27" s="197" customFormat="1" ht="15" customHeight="1">
      <c r="A282" s="226"/>
      <c r="B282" s="224" t="s">
        <v>1007</v>
      </c>
      <c r="C282" s="312">
        <f>IF(R224="Inclinado",C281+2*SIN(RADIANS(Q224))*(I281+N224),C281+2*TAN(RADIANS(Q224))*(I281+N224))</f>
        <v>0</v>
      </c>
      <c r="D282" s="645">
        <f t="shared" si="23"/>
        <v>0</v>
      </c>
      <c r="E282" s="645">
        <f t="shared" si="46"/>
        <v>0</v>
      </c>
      <c r="F282" s="645">
        <f t="shared" si="47"/>
        <v>0</v>
      </c>
      <c r="G282" s="645">
        <f t="shared" si="48"/>
        <v>0</v>
      </c>
      <c r="H282" s="645">
        <f t="shared" si="49"/>
        <v>0</v>
      </c>
      <c r="I282" s="645">
        <f t="shared" si="28"/>
        <v>0</v>
      </c>
      <c r="J282" s="645">
        <f t="shared" si="29"/>
        <v>0</v>
      </c>
      <c r="K282" s="645">
        <f t="shared" si="30"/>
        <v>0</v>
      </c>
      <c r="L282" s="646" t="e">
        <f t="shared" si="36"/>
        <v>#DIV/0!</v>
      </c>
      <c r="M282" s="646" t="e">
        <f t="shared" si="37"/>
        <v>#DIV/0!</v>
      </c>
      <c r="N282" s="206"/>
      <c r="O282" s="631">
        <f t="shared" si="31"/>
        <v>360</v>
      </c>
      <c r="P282" s="247" t="e">
        <f t="shared" si="38"/>
        <v>#DIV/0!</v>
      </c>
      <c r="Q282" s="206" t="e">
        <f t="shared" si="39"/>
        <v>#DIV/0!</v>
      </c>
      <c r="R282" s="206"/>
      <c r="S282" s="341" t="e">
        <f t="shared" si="40"/>
        <v>#DIV/0!</v>
      </c>
      <c r="T282" s="341" t="e">
        <f t="shared" si="41"/>
        <v>#DIV/0!</v>
      </c>
      <c r="U282" s="206"/>
      <c r="V282" s="208"/>
      <c r="W282" s="196"/>
      <c r="X282" s="152"/>
      <c r="Z282" s="198"/>
      <c r="AA282" s="198"/>
    </row>
    <row r="283" spans="1:27" s="197" customFormat="1" ht="15" customHeight="1">
      <c r="A283" s="226"/>
      <c r="B283" s="224" t="s">
        <v>1008</v>
      </c>
      <c r="C283" s="312">
        <f>IF(R224="Inclinado",C282+2*SIN(RADIANS(Q224))*(I282+N224),C282+2*TAN(RADIANS(Q224))*(I282+N224))</f>
        <v>0</v>
      </c>
      <c r="D283" s="645">
        <f t="shared" si="23"/>
        <v>0</v>
      </c>
      <c r="E283" s="645">
        <f t="shared" si="46"/>
        <v>0</v>
      </c>
      <c r="F283" s="645">
        <f t="shared" si="47"/>
        <v>0</v>
      </c>
      <c r="G283" s="645">
        <f t="shared" si="48"/>
        <v>0</v>
      </c>
      <c r="H283" s="645">
        <f t="shared" si="49"/>
        <v>0</v>
      </c>
      <c r="I283" s="645">
        <f t="shared" si="28"/>
        <v>0</v>
      </c>
      <c r="J283" s="645">
        <f t="shared" si="29"/>
        <v>0</v>
      </c>
      <c r="K283" s="645">
        <f t="shared" si="30"/>
        <v>0</v>
      </c>
      <c r="L283" s="646" t="e">
        <f t="shared" si="36"/>
        <v>#DIV/0!</v>
      </c>
      <c r="M283" s="646" t="e">
        <f t="shared" si="37"/>
        <v>#DIV/0!</v>
      </c>
      <c r="N283" s="206"/>
      <c r="O283" s="631">
        <f t="shared" si="31"/>
        <v>360</v>
      </c>
      <c r="P283" s="247" t="e">
        <f t="shared" si="38"/>
        <v>#DIV/0!</v>
      </c>
      <c r="Q283" s="206" t="e">
        <f t="shared" si="39"/>
        <v>#DIV/0!</v>
      </c>
      <c r="R283" s="206"/>
      <c r="S283" s="341" t="e">
        <f t="shared" si="40"/>
        <v>#DIV/0!</v>
      </c>
      <c r="T283" s="341" t="e">
        <f t="shared" si="41"/>
        <v>#DIV/0!</v>
      </c>
      <c r="U283" s="206"/>
      <c r="V283" s="208"/>
      <c r="W283" s="196"/>
      <c r="X283" s="152"/>
      <c r="Z283" s="198"/>
      <c r="AA283" s="198"/>
    </row>
    <row r="284" spans="1:27" s="197" customFormat="1" ht="15" customHeight="1" thickBot="1">
      <c r="A284" s="226"/>
      <c r="B284" s="224" t="s">
        <v>1009</v>
      </c>
      <c r="C284" s="312">
        <f>IF(R224="Inclinado",C283+2*SIN(RADIANS(Q224))*(I283+N224),C283+2*TAN(RADIANS(Q224))*(I283+N224))</f>
        <v>0</v>
      </c>
      <c r="D284" s="645">
        <f t="shared" si="23"/>
        <v>0</v>
      </c>
      <c r="E284" s="645">
        <f t="shared" si="46"/>
        <v>0</v>
      </c>
      <c r="F284" s="645">
        <f t="shared" si="47"/>
        <v>0</v>
      </c>
      <c r="G284" s="645">
        <f t="shared" si="48"/>
        <v>0</v>
      </c>
      <c r="H284" s="645">
        <f t="shared" si="49"/>
        <v>0</v>
      </c>
      <c r="I284" s="645">
        <f t="shared" si="28"/>
        <v>0</v>
      </c>
      <c r="J284" s="645">
        <f t="shared" si="29"/>
        <v>0</v>
      </c>
      <c r="K284" s="645">
        <f t="shared" si="30"/>
        <v>0</v>
      </c>
      <c r="L284" s="646" t="e">
        <f t="shared" si="36"/>
        <v>#DIV/0!</v>
      </c>
      <c r="M284" s="646" t="e">
        <f t="shared" si="37"/>
        <v>#DIV/0!</v>
      </c>
      <c r="N284" s="206"/>
      <c r="O284" s="632">
        <f t="shared" si="31"/>
        <v>360</v>
      </c>
      <c r="P284" s="247" t="e">
        <f t="shared" si="38"/>
        <v>#DIV/0!</v>
      </c>
      <c r="Q284" s="206" t="e">
        <f t="shared" si="39"/>
        <v>#DIV/0!</v>
      </c>
      <c r="R284" s="206"/>
      <c r="S284" s="341" t="e">
        <f t="shared" si="40"/>
        <v>#DIV/0!</v>
      </c>
      <c r="T284" s="341" t="e">
        <f t="shared" si="41"/>
        <v>#DIV/0!</v>
      </c>
      <c r="U284" s="206"/>
      <c r="V284" s="208"/>
      <c r="W284" s="196"/>
      <c r="X284" s="152"/>
      <c r="Z284" s="198"/>
      <c r="AA284" s="198"/>
    </row>
    <row r="285" spans="1:27" s="197" customFormat="1" ht="15" customHeight="1">
      <c r="A285" s="226"/>
      <c r="B285" s="221"/>
      <c r="C285" s="312"/>
      <c r="D285" s="206"/>
      <c r="E285" s="146"/>
      <c r="F285" s="146"/>
      <c r="G285" s="146"/>
      <c r="H285" s="146"/>
      <c r="I285" s="243"/>
      <c r="J285" s="243"/>
      <c r="K285" s="243"/>
      <c r="L285" s="206"/>
      <c r="M285" s="206"/>
      <c r="N285" s="206"/>
      <c r="O285" s="155"/>
      <c r="P285" s="206"/>
      <c r="Q285" s="206"/>
      <c r="R285" s="206"/>
      <c r="S285" s="206"/>
      <c r="T285" s="206"/>
      <c r="U285" s="206"/>
      <c r="V285" s="208"/>
      <c r="W285" s="196"/>
      <c r="X285" s="152"/>
      <c r="Z285" s="198"/>
      <c r="AA285" s="198"/>
    </row>
    <row r="286" spans="1:27" s="197" customFormat="1" ht="15" customHeight="1" thickBot="1">
      <c r="A286" s="226"/>
      <c r="B286" s="291" t="s">
        <v>1010</v>
      </c>
      <c r="C286" s="292"/>
      <c r="D286" s="293"/>
      <c r="E286" s="293"/>
      <c r="F286" s="293"/>
      <c r="G286" s="293"/>
      <c r="H286" s="293"/>
      <c r="I286" s="293"/>
      <c r="J286" s="294"/>
      <c r="K286" s="294"/>
      <c r="L286" s="295"/>
      <c r="M286" s="293"/>
      <c r="N286" s="293"/>
      <c r="O286" s="293"/>
      <c r="P286" s="293"/>
      <c r="Q286" s="293"/>
      <c r="R286" s="293"/>
      <c r="S286" s="296"/>
      <c r="T286" s="293"/>
      <c r="U286" s="293" t="s">
        <v>678</v>
      </c>
      <c r="V286" s="297" t="s">
        <v>27</v>
      </c>
      <c r="W286" s="298"/>
      <c r="X286" s="299"/>
      <c r="Z286" s="198"/>
      <c r="AA286" s="198"/>
    </row>
    <row r="287" spans="1:27" s="197" customFormat="1" ht="15" customHeight="1" thickBot="1">
      <c r="A287" s="226"/>
      <c r="B287" s="221"/>
      <c r="C287" s="144">
        <f>SUMIF(Densidades!A:A,'Memória TOTAL'!X287,Densidades!B:B)</f>
        <v>0</v>
      </c>
      <c r="D287" s="145">
        <f>SUMIF(Densidades!A:A,'Memória TOTAL'!X287,Densidades!C:C)</f>
        <v>0</v>
      </c>
      <c r="E287" s="145" t="str">
        <f>IF(I287=15,"FIRECLAY MORTAR",IF(I287=16,"ALUMINA MORTAR",IF(I287=17,"BASIC MORTAR",IF(I287=18,"MORTAR","-"))))</f>
        <v>-</v>
      </c>
      <c r="F287" s="145" t="str">
        <f>IF(I287=15,"FIRECLAY MORTAR",IF(I287=16,"ALUMINA MORTAR",IF(I287=17,"BASIC MORTAR",IF(I287=18,"MORTAR","-"))))</f>
        <v>-</v>
      </c>
      <c r="G287" s="145" t="str">
        <f>IF(I287=15,"FIRECLAY MORTAR",IF(I287=16,"ALUMINA MORTAR",IF(I287=17,"BASIC MORTAR",IF(I287=18,"MORTAR","-"))))</f>
        <v>-</v>
      </c>
      <c r="H287" s="145" t="str">
        <f>IF(I287=15,"FIRECLAY MORTAR",IF(I287=16,"ALUMINA MORTAR",IF(I287=17,"BASIC MORTAR",IF(I287=18,"MORTAR","-"))))</f>
        <v>-</v>
      </c>
      <c r="I287" s="145">
        <f>SUMIF(Densidades!A:A,'Memória TOTAL'!X287,Densidades!G:G)</f>
        <v>0</v>
      </c>
      <c r="J287" s="147">
        <f>SUMIF(Formatos!A:A,'Memória TOTAL'!X288,Formatos!G:G)</f>
        <v>0</v>
      </c>
      <c r="K287" s="148">
        <f>SUMIF(Densidades!A:A,'Memória TOTAL'!X287,Densidades!I:I)</f>
        <v>0</v>
      </c>
      <c r="L287" s="199">
        <v>0</v>
      </c>
      <c r="M287" s="200"/>
      <c r="N287" s="200"/>
      <c r="O287" s="200"/>
      <c r="P287" s="200"/>
      <c r="Q287" s="200"/>
      <c r="R287" s="200"/>
      <c r="S287" s="200"/>
      <c r="T287" s="201"/>
      <c r="U287" s="302">
        <v>0.06</v>
      </c>
      <c r="V287" s="203" t="e">
        <f>(W224*J224*C287+W228*J228*C287)*U287</f>
        <v>#VALUE!</v>
      </c>
      <c r="W287" s="204" t="str">
        <f>IF(C287=0,"",ROUNDUP(SUM(V287:V289)*(1+L287)/D287,0)*D287)</f>
        <v/>
      </c>
      <c r="X287" s="274"/>
      <c r="Z287" s="198"/>
      <c r="AA287" s="198"/>
    </row>
    <row r="288" spans="1:27" s="197" customFormat="1" ht="15" customHeight="1">
      <c r="A288" s="226"/>
      <c r="B288" s="221"/>
      <c r="C288" s="144"/>
      <c r="D288" s="206"/>
      <c r="E288" s="206"/>
      <c r="F288" s="206"/>
      <c r="G288" s="206"/>
      <c r="H288" s="206"/>
      <c r="I288" s="206"/>
      <c r="J288" s="207"/>
      <c r="K288" s="207"/>
      <c r="L288" s="155"/>
      <c r="M288" s="206"/>
      <c r="N288" s="206"/>
      <c r="O288" s="206"/>
      <c r="P288" s="206"/>
      <c r="Q288" s="206"/>
      <c r="R288" s="206"/>
      <c r="S288" s="206"/>
      <c r="T288" s="206"/>
      <c r="U288" s="206"/>
      <c r="V288" s="208"/>
      <c r="W288" s="196"/>
      <c r="X288" s="152" t="str">
        <f>IF(AND(H287="-",G287="-",F287="-"),E287,IF(AND(H287="-",G287="-",E287="-"),F287,IF(AND(H287="-",F287="-",E287="-"),G287,H287)))</f>
        <v>-</v>
      </c>
      <c r="Z288" s="198"/>
      <c r="AA288" s="198"/>
    </row>
    <row r="289" spans="1:27" s="197" customFormat="1" ht="15" customHeight="1">
      <c r="A289" s="226"/>
      <c r="B289" s="224"/>
      <c r="C289" s="144"/>
      <c r="D289" s="206"/>
      <c r="E289" s="206"/>
      <c r="F289" s="206"/>
      <c r="G289" s="206"/>
      <c r="H289" s="206"/>
      <c r="I289" s="206"/>
      <c r="J289" s="207"/>
      <c r="K289" s="207"/>
      <c r="L289" s="155"/>
      <c r="M289" s="206"/>
      <c r="N289" s="206"/>
      <c r="O289" s="206"/>
      <c r="P289" s="206"/>
      <c r="Q289" s="206"/>
      <c r="R289" s="206"/>
      <c r="S289" s="206"/>
      <c r="T289" s="206"/>
      <c r="U289" s="206"/>
      <c r="V289" s="208"/>
      <c r="W289" s="196"/>
      <c r="X289" s="152" t="s">
        <v>2</v>
      </c>
      <c r="Z289" s="198"/>
      <c r="AA289" s="198"/>
    </row>
    <row r="290" spans="1:27" ht="15" customHeight="1">
      <c r="A290" s="226"/>
      <c r="B290" s="142"/>
      <c r="C290" s="180"/>
      <c r="D290" s="181"/>
      <c r="E290" s="181"/>
      <c r="F290" s="181"/>
      <c r="G290" s="181"/>
      <c r="H290" s="181"/>
      <c r="I290" s="181"/>
      <c r="J290" s="182"/>
      <c r="K290" s="182"/>
      <c r="L290" s="183"/>
      <c r="M290" s="181"/>
      <c r="N290" s="181"/>
      <c r="O290" s="181"/>
      <c r="P290" s="181"/>
      <c r="Q290" s="181"/>
      <c r="R290" s="181"/>
      <c r="S290" s="181"/>
      <c r="T290" s="181"/>
      <c r="U290" s="181"/>
      <c r="V290" s="184"/>
      <c r="W290" s="185"/>
      <c r="X290" s="186"/>
    </row>
    <row r="291" spans="1:27" s="197" customFormat="1" ht="15" customHeight="1" thickBot="1">
      <c r="A291" s="226"/>
      <c r="B291" s="291" t="s">
        <v>1011</v>
      </c>
      <c r="C291" s="292"/>
      <c r="D291" s="293"/>
      <c r="E291" s="293"/>
      <c r="F291" s="293"/>
      <c r="G291" s="293"/>
      <c r="H291" s="293"/>
      <c r="I291" s="293"/>
      <c r="J291" s="294"/>
      <c r="K291" s="294"/>
      <c r="L291" s="295"/>
      <c r="M291" s="293"/>
      <c r="N291" s="293"/>
      <c r="O291" s="293"/>
      <c r="P291" s="293"/>
      <c r="Q291" s="293"/>
      <c r="R291" s="293" t="s">
        <v>636</v>
      </c>
      <c r="S291" s="296" t="s">
        <v>637</v>
      </c>
      <c r="T291" s="293" t="s">
        <v>638</v>
      </c>
      <c r="U291" s="293" t="s">
        <v>38</v>
      </c>
      <c r="V291" s="297" t="s">
        <v>27</v>
      </c>
      <c r="W291" s="298"/>
      <c r="X291" s="299"/>
      <c r="Z291" s="198"/>
      <c r="AA291" s="198"/>
    </row>
    <row r="292" spans="1:27" s="197" customFormat="1" ht="15" customHeight="1" thickBot="1">
      <c r="A292" s="226"/>
      <c r="B292" s="221"/>
      <c r="C292" s="144">
        <f>SUMIF(Densidades!A:A,'Memória TOTAL'!X292,Densidades!B:B)</f>
        <v>0</v>
      </c>
      <c r="D292" s="145">
        <f>SUMIF(Densidades!A:A,'Memória TOTAL'!X292,Densidades!C:C)</f>
        <v>0</v>
      </c>
      <c r="E292" s="145" t="str">
        <f>IF(I292=15,"FIRECLAY MORTAR",IF(I292=16,"ALUMINA MORTAR",IF(I292=17,"BASIC MORTAR",IF(I292=18,"MORTAR","-"))))</f>
        <v>-</v>
      </c>
      <c r="F292" s="145" t="str">
        <f>IF(I292=15,"FIRECLAY MORTAR",IF(I292=16,"ALUMINA MORTAR",IF(I292=17,"BASIC MORTAR",IF(I292=18,"MORTAR","-"))))</f>
        <v>-</v>
      </c>
      <c r="G292" s="145" t="str">
        <f>IF(I292=15,"FIRECLAY MORTAR",IF(I292=16,"ALUMINA MORTAR",IF(I292=17,"BASIC MORTAR",IF(I292=18,"MORTAR","-"))))</f>
        <v>-</v>
      </c>
      <c r="H292" s="145" t="str">
        <f>IF(I292=15,"FIRECLAY MORTAR",IF(I292=16,"ALUMINA MORTAR",IF(I292=17,"BASIC MORTAR",IF(I292=18,"MORTAR","-"))))</f>
        <v>-</v>
      </c>
      <c r="I292" s="145">
        <f>SUMIF(Densidades!A:A,'Memória TOTAL'!X292,Densidades!G:G)</f>
        <v>0</v>
      </c>
      <c r="J292" s="147">
        <f>SUMIF(Formatos!A:A,'Memória TOTAL'!X293,Formatos!G:G)</f>
        <v>0</v>
      </c>
      <c r="K292" s="233">
        <f>SUMIF(Densidades!A:A,'Memória TOTAL'!X292,Densidades!I:I)</f>
        <v>0</v>
      </c>
      <c r="L292" s="199">
        <v>0</v>
      </c>
      <c r="M292" s="200"/>
      <c r="N292" s="200"/>
      <c r="O292" s="200"/>
      <c r="P292" s="200"/>
      <c r="Q292" s="200"/>
      <c r="R292" s="201">
        <f>((G224*H224)+(G224*E224)+(H224*E224))/1000000</f>
        <v>0</v>
      </c>
      <c r="S292" s="270">
        <v>2</v>
      </c>
      <c r="T292" s="201">
        <f>R292*S292</f>
        <v>0</v>
      </c>
      <c r="U292" s="202">
        <f>SUM(W224:W229)</f>
        <v>0</v>
      </c>
      <c r="V292" s="203">
        <f>(T292*C292*(1+L292))*U292</f>
        <v>0</v>
      </c>
      <c r="W292" s="151" t="str">
        <f>IF(C292=0,"",ROUNDUP(SUM(V292:V294)*(1+L292)/D292,0)*D292)</f>
        <v/>
      </c>
      <c r="X292" s="274"/>
      <c r="Z292" s="198"/>
      <c r="AA292" s="198"/>
    </row>
    <row r="293" spans="1:27" s="197" customFormat="1" ht="15" customHeight="1">
      <c r="A293" s="226"/>
      <c r="B293" s="221"/>
      <c r="C293" s="144"/>
      <c r="D293" s="206"/>
      <c r="E293" s="206"/>
      <c r="F293" s="206"/>
      <c r="G293" s="206"/>
      <c r="H293" s="206"/>
      <c r="I293" s="206"/>
      <c r="J293" s="207"/>
      <c r="K293" s="207"/>
      <c r="L293" s="155"/>
      <c r="M293" s="206"/>
      <c r="N293" s="206"/>
      <c r="O293" s="206"/>
      <c r="P293" s="206"/>
      <c r="Q293" s="206"/>
      <c r="R293" s="206"/>
      <c r="S293" s="206"/>
      <c r="T293" s="206"/>
      <c r="U293" s="206"/>
      <c r="V293" s="208"/>
      <c r="W293" s="196"/>
      <c r="X293" s="152" t="str">
        <f>IF(AND(H292="-",G292="-",F292="-"),E292,IF(AND(H292="-",G292="-",E292="-"),F292,IF(AND(H292="-",F292="-",E292="-"),G292,H292)))</f>
        <v>-</v>
      </c>
      <c r="Z293" s="198"/>
      <c r="AA293" s="198"/>
    </row>
    <row r="294" spans="1:27" s="197" customFormat="1" ht="15" customHeight="1">
      <c r="A294" s="226"/>
      <c r="B294" s="224"/>
      <c r="C294" s="144"/>
      <c r="D294" s="206"/>
      <c r="E294" s="206"/>
      <c r="F294" s="206"/>
      <c r="G294" s="206"/>
      <c r="H294" s="206"/>
      <c r="I294" s="206"/>
      <c r="J294" s="207"/>
      <c r="K294" s="207"/>
      <c r="L294" s="155"/>
      <c r="M294" s="206"/>
      <c r="N294" s="206"/>
      <c r="O294" s="206"/>
      <c r="P294" s="206"/>
      <c r="Q294" s="206"/>
      <c r="R294" s="206"/>
      <c r="S294" s="206"/>
      <c r="T294" s="206"/>
      <c r="U294" s="206"/>
      <c r="V294" s="208"/>
      <c r="W294" s="196"/>
      <c r="X294" s="152" t="s">
        <v>2</v>
      </c>
      <c r="Z294" s="198"/>
      <c r="AA294" s="198"/>
    </row>
    <row r="295" spans="1:27" s="197" customFormat="1" ht="15" customHeight="1">
      <c r="A295" s="226"/>
      <c r="B295" s="221"/>
      <c r="C295" s="312"/>
      <c r="D295" s="206"/>
      <c r="E295" s="206"/>
      <c r="F295" s="206"/>
      <c r="G295" s="206"/>
      <c r="H295" s="206"/>
      <c r="I295" s="206"/>
      <c r="J295" s="207"/>
      <c r="K295" s="207"/>
      <c r="L295" s="155"/>
      <c r="M295" s="206"/>
      <c r="N295" s="206"/>
      <c r="O295" s="206"/>
      <c r="P295" s="206"/>
      <c r="Q295" s="206"/>
      <c r="R295" s="206"/>
      <c r="S295" s="206"/>
      <c r="T295" s="206"/>
      <c r="U295" s="206"/>
      <c r="V295" s="208"/>
      <c r="W295" s="196"/>
      <c r="X295" s="152"/>
      <c r="Z295" s="198"/>
      <c r="AA295" s="198"/>
    </row>
    <row r="296" spans="1:27" s="197" customFormat="1" ht="15" customHeight="1" thickBot="1">
      <c r="A296" s="226"/>
      <c r="B296" s="524"/>
      <c r="C296" s="524"/>
      <c r="D296" s="527"/>
      <c r="E296" s="527"/>
      <c r="F296" s="527"/>
      <c r="G296" s="527"/>
      <c r="H296" s="527"/>
      <c r="I296" s="527"/>
      <c r="J296" s="527"/>
      <c r="K296" s="527"/>
      <c r="L296" s="527"/>
      <c r="M296" s="527"/>
      <c r="N296" s="527"/>
      <c r="O296" s="527"/>
      <c r="P296" s="527"/>
      <c r="Q296" s="527"/>
      <c r="R296" s="527"/>
      <c r="S296" s="527"/>
      <c r="T296" s="527"/>
      <c r="U296" s="527"/>
      <c r="V296" s="527"/>
      <c r="W296" s="527"/>
      <c r="X296" s="528"/>
      <c r="Z296" s="198"/>
      <c r="AA296" s="198"/>
    </row>
    <row r="297" spans="1:27" s="197" customFormat="1" ht="15" customHeight="1" thickBot="1">
      <c r="A297" s="226"/>
      <c r="B297" s="529" t="str">
        <f>IF(X298="","TIJOLO / TRONCO DE CONE - 3 TIJOLOS",X298)</f>
        <v>TIJOLO / TRONCO DE CONE - 3 TIJOLOS</v>
      </c>
      <c r="C297" s="530" t="s">
        <v>101</v>
      </c>
      <c r="D297" s="193" t="s">
        <v>102</v>
      </c>
      <c r="E297" s="193" t="s">
        <v>42</v>
      </c>
      <c r="F297" s="193" t="s">
        <v>42</v>
      </c>
      <c r="G297" s="193" t="s">
        <v>43</v>
      </c>
      <c r="H297" s="193" t="s">
        <v>44</v>
      </c>
      <c r="I297" s="193" t="s">
        <v>47</v>
      </c>
      <c r="J297" s="193" t="s">
        <v>103</v>
      </c>
      <c r="K297" s="193" t="s">
        <v>37</v>
      </c>
      <c r="L297" s="193" t="s">
        <v>39</v>
      </c>
      <c r="M297" s="193"/>
      <c r="N297" s="193"/>
      <c r="O297" s="193"/>
      <c r="P297" s="193"/>
      <c r="Q297" s="193"/>
      <c r="R297" s="193"/>
      <c r="S297" s="193"/>
      <c r="T297" s="193"/>
      <c r="U297" s="193"/>
      <c r="V297" s="531" t="s">
        <v>27</v>
      </c>
      <c r="W297" s="532"/>
      <c r="X297" s="533"/>
      <c r="Z297" s="198"/>
      <c r="AA297" s="198"/>
    </row>
    <row r="298" spans="1:27" s="197" customFormat="1" ht="15" customHeight="1" thickBot="1">
      <c r="A298" s="226"/>
      <c r="B298" s="806" t="s">
        <v>1833</v>
      </c>
      <c r="C298" s="144">
        <f>SUMIF(Densidades!A:A,'Memória TOTAL'!X298,Densidades!B:B)</f>
        <v>0</v>
      </c>
      <c r="D298" s="145">
        <f>SUMIF(Densidades!A:A,'Memória TOTAL'!X298,Densidades!C:C)</f>
        <v>0</v>
      </c>
      <c r="E298" s="146">
        <f>SUMIF(Formatos!A:A,'Memória TOTAL'!X299,Formatos!E:E)</f>
        <v>0</v>
      </c>
      <c r="F298" s="146">
        <f>SUMIF(Formatos!A:A,'Memória TOTAL'!X299,Formatos!F:F)</f>
        <v>0</v>
      </c>
      <c r="G298" s="146">
        <f>SUMIF(Formatos!A:A,'Memória TOTAL'!X299,Formatos!C:C)</f>
        <v>0</v>
      </c>
      <c r="H298" s="146">
        <f>SUMIF(Formatos!A:A,'Memória TOTAL'!X299,Formatos!D:D)</f>
        <v>0</v>
      </c>
      <c r="I298" s="146">
        <f>SUMIF(Densidades!A:A,'Memória TOTAL'!X298,Densidades!H:H)</f>
        <v>0</v>
      </c>
      <c r="J298" s="147">
        <f>SUMIF(Formatos!A:A,'Memória TOTAL'!X299,Formatos!G:G)</f>
        <v>4.1130000000000004</v>
      </c>
      <c r="K298" s="233">
        <f>SUMIF(Densidades!A:A,'Memória TOTAL'!X298,Densidades!I:I)</f>
        <v>0</v>
      </c>
      <c r="L298" s="234">
        <v>0</v>
      </c>
      <c r="M298" s="206"/>
      <c r="N298" s="206"/>
      <c r="O298" s="206"/>
      <c r="P298" s="206"/>
      <c r="Q298" s="206"/>
      <c r="R298" s="206"/>
      <c r="S298" s="206"/>
      <c r="T298" s="243"/>
      <c r="U298" s="206"/>
      <c r="V298" s="244">
        <f>IF(H339="","-",SUM(H339))</f>
        <v>0</v>
      </c>
      <c r="W298" s="204">
        <f>IF(V298="-","",ROUNDUP(SUM(V298)*(1+L298),0))</f>
        <v>0</v>
      </c>
      <c r="X298" s="274"/>
      <c r="Z298" s="198"/>
      <c r="AA298" s="198"/>
    </row>
    <row r="299" spans="1:27" s="197" customFormat="1" ht="15" customHeight="1" thickBot="1">
      <c r="A299" s="226"/>
      <c r="B299" s="807"/>
      <c r="C299" s="211"/>
      <c r="D299" s="206"/>
      <c r="E299" s="206"/>
      <c r="F299" s="206"/>
      <c r="G299" s="206"/>
      <c r="H299" s="206"/>
      <c r="I299" s="206"/>
      <c r="J299" s="207"/>
      <c r="K299" s="207"/>
      <c r="L299" s="155"/>
      <c r="M299" s="206"/>
      <c r="N299" s="206"/>
      <c r="O299" s="206"/>
      <c r="P299" s="206"/>
      <c r="Q299" s="206"/>
      <c r="R299" s="206"/>
      <c r="S299" s="206"/>
      <c r="T299" s="206"/>
      <c r="U299" s="206"/>
      <c r="V299" s="208"/>
      <c r="W299" s="196"/>
      <c r="X299" s="152" t="str">
        <f>IF(X298="","",G339)</f>
        <v/>
      </c>
      <c r="Z299" s="198"/>
      <c r="AA299" s="198"/>
    </row>
    <row r="300" spans="1:27" s="197" customFormat="1" ht="15" customHeight="1">
      <c r="A300" s="226"/>
      <c r="B300" s="205"/>
      <c r="C300" s="211"/>
      <c r="D300" s="206"/>
      <c r="E300" s="206"/>
      <c r="F300" s="206"/>
      <c r="G300" s="206"/>
      <c r="H300" s="206"/>
      <c r="I300" s="206"/>
      <c r="J300" s="207"/>
      <c r="K300" s="207"/>
      <c r="L300" s="155"/>
      <c r="M300" s="206"/>
      <c r="N300" s="206"/>
      <c r="O300" s="206"/>
      <c r="P300" s="206"/>
      <c r="Q300" s="206"/>
      <c r="R300" s="206"/>
      <c r="S300" s="206"/>
      <c r="T300" s="206"/>
      <c r="U300" s="206"/>
      <c r="V300" s="208"/>
      <c r="W300" s="196"/>
      <c r="X300" s="152" t="s">
        <v>524</v>
      </c>
      <c r="Z300" s="198"/>
      <c r="AA300" s="198"/>
    </row>
    <row r="301" spans="1:27" s="197" customFormat="1" ht="15" customHeight="1">
      <c r="A301" s="226"/>
      <c r="B301" s="205"/>
      <c r="C301" s="211" t="str">
        <f t="shared" ref="C301:L301" si="50">C297</f>
        <v>Dens.</v>
      </c>
      <c r="D301" s="206" t="str">
        <f t="shared" si="50"/>
        <v>Emb.</v>
      </c>
      <c r="E301" s="249" t="str">
        <f t="shared" si="50"/>
        <v>Esp. Tij.</v>
      </c>
      <c r="F301" s="249" t="str">
        <f t="shared" si="50"/>
        <v>Esp. Tij.</v>
      </c>
      <c r="G301" s="249" t="str">
        <f t="shared" si="50"/>
        <v>Comp. Tij.</v>
      </c>
      <c r="H301" s="249" t="str">
        <f t="shared" si="50"/>
        <v>Larg. Tij.</v>
      </c>
      <c r="I301" s="249" t="str">
        <f t="shared" si="50"/>
        <v>Tipo Fator</v>
      </c>
      <c r="J301" s="249" t="str">
        <f t="shared" si="50"/>
        <v>Vol.</v>
      </c>
      <c r="K301" s="249" t="str">
        <f t="shared" si="50"/>
        <v>Class.</v>
      </c>
      <c r="L301" s="206" t="str">
        <f t="shared" si="50"/>
        <v>Coefic. (%)</v>
      </c>
      <c r="M301" s="206"/>
      <c r="N301" s="206"/>
      <c r="O301" s="206"/>
      <c r="P301" s="206"/>
      <c r="Q301" s="206"/>
      <c r="R301" s="206"/>
      <c r="S301" s="206"/>
      <c r="T301" s="206"/>
      <c r="U301" s="206"/>
      <c r="V301" s="208"/>
      <c r="W301" s="196"/>
      <c r="X301" s="152"/>
      <c r="Z301" s="198"/>
      <c r="AA301" s="198"/>
    </row>
    <row r="302" spans="1:27" s="197" customFormat="1" ht="15" customHeight="1">
      <c r="A302" s="226"/>
      <c r="B302" s="205"/>
      <c r="C302" s="144">
        <f>SUMIF(Densidades!A:A,'Memória TOTAL'!X302,Densidades!B:B)</f>
        <v>0</v>
      </c>
      <c r="D302" s="145">
        <f>SUMIF(Densidades!A:A,'Memória TOTAL'!X302,Densidades!C:C)</f>
        <v>570</v>
      </c>
      <c r="E302" s="146">
        <f>SUMIF(Formatos!A:A,'Memória TOTAL'!X303,Formatos!E:E)</f>
        <v>0</v>
      </c>
      <c r="F302" s="146">
        <f>SUMIF(Formatos!A:A,'Memória TOTAL'!X303,Formatos!F:F)</f>
        <v>0</v>
      </c>
      <c r="G302" s="146">
        <f>SUMIF(Formatos!A:A,'Memória TOTAL'!X303,Formatos!C:C)</f>
        <v>0</v>
      </c>
      <c r="H302" s="146">
        <f>SUMIF(Formatos!A:A,'Memória TOTAL'!X303,Formatos!D:D)</f>
        <v>0</v>
      </c>
      <c r="I302" s="146">
        <f>SUMIF(Densidades!A:A,'Memória TOTAL'!X302,Densidades!H:H)</f>
        <v>0</v>
      </c>
      <c r="J302" s="147">
        <f>SUMIF(Formatos!A:A,'Memória TOTAL'!X303,Formatos!G:G)</f>
        <v>4.1130000000000004</v>
      </c>
      <c r="K302" s="233">
        <f>SUMIF(Densidades!A:A,'Memória TOTAL'!X302,Densidades!I:I)</f>
        <v>167</v>
      </c>
      <c r="L302" s="234">
        <v>0</v>
      </c>
      <c r="M302" s="206"/>
      <c r="N302" s="206"/>
      <c r="O302" s="206"/>
      <c r="P302" s="206"/>
      <c r="Q302" s="206"/>
      <c r="R302" s="206"/>
      <c r="S302" s="206"/>
      <c r="T302" s="243"/>
      <c r="U302" s="206"/>
      <c r="V302" s="244">
        <f>IF(H340="","-",SUM(H340))</f>
        <v>0</v>
      </c>
      <c r="W302" s="204">
        <f>IF(V302="-","",ROUNDUP(SUM(V302)*(1+L302),0))</f>
        <v>0</v>
      </c>
      <c r="X302" s="152" t="str">
        <f>IF(X298="","",X298)</f>
        <v/>
      </c>
      <c r="Z302" s="198"/>
      <c r="AA302" s="198"/>
    </row>
    <row r="303" spans="1:27" s="197" customFormat="1" ht="15" customHeight="1">
      <c r="A303" s="226"/>
      <c r="B303" s="205"/>
      <c r="C303" s="211"/>
      <c r="D303" s="206"/>
      <c r="E303" s="206"/>
      <c r="F303" s="206"/>
      <c r="G303" s="206"/>
      <c r="H303" s="206"/>
      <c r="I303" s="206"/>
      <c r="J303" s="207"/>
      <c r="K303" s="207"/>
      <c r="L303" s="155"/>
      <c r="M303" s="206"/>
      <c r="N303" s="206"/>
      <c r="O303" s="206"/>
      <c r="P303" s="206"/>
      <c r="Q303" s="206"/>
      <c r="R303" s="206"/>
      <c r="S303" s="206"/>
      <c r="T303" s="206"/>
      <c r="U303" s="206"/>
      <c r="V303" s="208"/>
      <c r="W303" s="196"/>
      <c r="X303" s="152" t="str">
        <f>IF(X302="","",G340)</f>
        <v/>
      </c>
      <c r="Z303" s="198"/>
      <c r="AA303" s="198"/>
    </row>
    <row r="304" spans="1:27" s="197" customFormat="1" ht="15" customHeight="1">
      <c r="A304" s="226"/>
      <c r="B304" s="205"/>
      <c r="C304" s="211"/>
      <c r="D304" s="206"/>
      <c r="E304" s="206"/>
      <c r="F304" s="206"/>
      <c r="G304" s="206"/>
      <c r="H304" s="206"/>
      <c r="I304" s="206"/>
      <c r="J304" s="207"/>
      <c r="K304" s="207"/>
      <c r="L304" s="155"/>
      <c r="M304" s="206"/>
      <c r="N304" s="206"/>
      <c r="O304" s="206"/>
      <c r="P304" s="206"/>
      <c r="Q304" s="206"/>
      <c r="R304" s="206"/>
      <c r="S304" s="206"/>
      <c r="T304" s="206"/>
      <c r="U304" s="206"/>
      <c r="V304" s="208"/>
      <c r="W304" s="196"/>
      <c r="X304" s="152" t="s">
        <v>524</v>
      </c>
      <c r="Z304" s="198"/>
      <c r="AA304" s="198"/>
    </row>
    <row r="305" spans="1:27" s="197" customFormat="1" ht="15" customHeight="1">
      <c r="A305" s="226"/>
      <c r="B305" s="205"/>
      <c r="C305" s="211" t="str">
        <f t="shared" ref="C305:L305" si="51">C301</f>
        <v>Dens.</v>
      </c>
      <c r="D305" s="206" t="str">
        <f t="shared" si="51"/>
        <v>Emb.</v>
      </c>
      <c r="E305" s="249" t="str">
        <f t="shared" si="51"/>
        <v>Esp. Tij.</v>
      </c>
      <c r="F305" s="249" t="str">
        <f t="shared" si="51"/>
        <v>Esp. Tij.</v>
      </c>
      <c r="G305" s="249" t="str">
        <f t="shared" si="51"/>
        <v>Comp. Tij.</v>
      </c>
      <c r="H305" s="249" t="str">
        <f t="shared" si="51"/>
        <v>Larg. Tij.</v>
      </c>
      <c r="I305" s="249" t="str">
        <f t="shared" si="51"/>
        <v>Tipo Fator</v>
      </c>
      <c r="J305" s="249" t="str">
        <f t="shared" si="51"/>
        <v>Vol.</v>
      </c>
      <c r="K305" s="249" t="str">
        <f t="shared" si="51"/>
        <v>Class.</v>
      </c>
      <c r="L305" s="206" t="str">
        <f t="shared" si="51"/>
        <v>Coefic. (%)</v>
      </c>
      <c r="M305" s="206"/>
      <c r="N305" s="206"/>
      <c r="O305" s="206"/>
      <c r="P305" s="206"/>
      <c r="Q305" s="206"/>
      <c r="R305" s="206"/>
      <c r="S305" s="206"/>
      <c r="T305" s="206"/>
      <c r="U305" s="206"/>
      <c r="V305" s="208"/>
      <c r="W305" s="196"/>
      <c r="X305" s="152"/>
      <c r="Z305" s="198"/>
      <c r="AA305" s="198"/>
    </row>
    <row r="306" spans="1:27" s="197" customFormat="1" ht="15" customHeight="1">
      <c r="A306" s="226"/>
      <c r="B306" s="205"/>
      <c r="C306" s="144">
        <f>SUMIF(Densidades!A:A,'Memória TOTAL'!X306,Densidades!B:B)</f>
        <v>0</v>
      </c>
      <c r="D306" s="145">
        <f>SUMIF(Densidades!A:A,'Memória TOTAL'!X306,Densidades!C:C)</f>
        <v>570</v>
      </c>
      <c r="E306" s="146">
        <f>SUMIF(Formatos!A:A,'Memória TOTAL'!X307,Formatos!E:E)</f>
        <v>0</v>
      </c>
      <c r="F306" s="146">
        <f>SUMIF(Formatos!A:A,'Memória TOTAL'!X307,Formatos!F:F)</f>
        <v>0</v>
      </c>
      <c r="G306" s="146">
        <f>SUMIF(Formatos!A:A,'Memória TOTAL'!X307,Formatos!C:C)</f>
        <v>0</v>
      </c>
      <c r="H306" s="146">
        <f>SUMIF(Formatos!A:A,'Memória TOTAL'!X307,Formatos!D:D)</f>
        <v>0</v>
      </c>
      <c r="I306" s="146">
        <f>SUMIF(Densidades!A:A,'Memória TOTAL'!X306,Densidades!H:H)</f>
        <v>0</v>
      </c>
      <c r="J306" s="147">
        <f>SUMIF(Formatos!A:A,'Memória TOTAL'!X307,Formatos!G:G)</f>
        <v>4.1130000000000004</v>
      </c>
      <c r="K306" s="233">
        <f>SUMIF(Densidades!A:A,'Memória TOTAL'!X306,Densidades!I:I)</f>
        <v>167</v>
      </c>
      <c r="L306" s="234">
        <v>0</v>
      </c>
      <c r="M306" s="206"/>
      <c r="N306" s="206"/>
      <c r="O306" s="206"/>
      <c r="P306" s="206"/>
      <c r="Q306" s="206"/>
      <c r="R306" s="206"/>
      <c r="S306" s="206"/>
      <c r="T306" s="243"/>
      <c r="U306" s="206"/>
      <c r="V306" s="244" t="e">
        <f>IF(H341="","-",SUM(H341))</f>
        <v>#N/A</v>
      </c>
      <c r="W306" s="204" t="e">
        <f>IF(V306="-","",ROUNDUP(SUM(V306)*(1+L306),0))</f>
        <v>#N/A</v>
      </c>
      <c r="X306" s="152" t="str">
        <f>X302</f>
        <v/>
      </c>
      <c r="Z306" s="198"/>
      <c r="AA306" s="198"/>
    </row>
    <row r="307" spans="1:27" s="197" customFormat="1" ht="15" customHeight="1">
      <c r="A307" s="226"/>
      <c r="B307" s="205"/>
      <c r="C307" s="211"/>
      <c r="D307" s="206"/>
      <c r="E307" s="206"/>
      <c r="F307" s="206"/>
      <c r="G307" s="206"/>
      <c r="H307" s="206"/>
      <c r="I307" s="206"/>
      <c r="J307" s="207"/>
      <c r="K307" s="207"/>
      <c r="L307" s="155"/>
      <c r="M307" s="206"/>
      <c r="N307" s="206"/>
      <c r="O307" s="206"/>
      <c r="P307" s="206"/>
      <c r="Q307" s="206"/>
      <c r="R307" s="206"/>
      <c r="S307" s="206"/>
      <c r="T307" s="206"/>
      <c r="U307" s="206"/>
      <c r="V307" s="208"/>
      <c r="W307" s="196"/>
      <c r="X307" s="152" t="str">
        <f>IF(X306="","",G341)</f>
        <v/>
      </c>
      <c r="Z307" s="198"/>
      <c r="AA307" s="198"/>
    </row>
    <row r="308" spans="1:27" s="197" customFormat="1" ht="15" customHeight="1">
      <c r="A308" s="226"/>
      <c r="B308" s="205"/>
      <c r="C308" s="211"/>
      <c r="D308" s="206"/>
      <c r="E308" s="206"/>
      <c r="F308" s="206"/>
      <c r="G308" s="206"/>
      <c r="H308" s="206"/>
      <c r="I308" s="206"/>
      <c r="J308" s="207"/>
      <c r="K308" s="207"/>
      <c r="L308" s="155"/>
      <c r="M308" s="206"/>
      <c r="N308" s="206"/>
      <c r="O308" s="206"/>
      <c r="P308" s="206"/>
      <c r="Q308" s="206"/>
      <c r="R308" s="206"/>
      <c r="S308" s="206"/>
      <c r="T308" s="206"/>
      <c r="U308" s="206"/>
      <c r="V308" s="208"/>
      <c r="W308" s="196"/>
      <c r="X308" s="152" t="s">
        <v>524</v>
      </c>
      <c r="Z308" s="198"/>
      <c r="AA308" s="198"/>
    </row>
    <row r="309" spans="1:27" s="197" customFormat="1" ht="15" customHeight="1">
      <c r="A309" s="226"/>
      <c r="B309" s="205"/>
      <c r="C309" s="211" t="str">
        <f t="shared" ref="C309:L309" si="52">C305</f>
        <v>Dens.</v>
      </c>
      <c r="D309" s="206" t="str">
        <f t="shared" si="52"/>
        <v>Emb.</v>
      </c>
      <c r="E309" s="249" t="str">
        <f t="shared" si="52"/>
        <v>Esp. Tij.</v>
      </c>
      <c r="F309" s="249" t="str">
        <f t="shared" si="52"/>
        <v>Esp. Tij.</v>
      </c>
      <c r="G309" s="249" t="str">
        <f t="shared" si="52"/>
        <v>Comp. Tij.</v>
      </c>
      <c r="H309" s="249" t="str">
        <f t="shared" si="52"/>
        <v>Larg. Tij.</v>
      </c>
      <c r="I309" s="249" t="str">
        <f t="shared" si="52"/>
        <v>Tipo Fator</v>
      </c>
      <c r="J309" s="249" t="str">
        <f t="shared" si="52"/>
        <v>Vol.</v>
      </c>
      <c r="K309" s="249" t="str">
        <f t="shared" si="52"/>
        <v>Class.</v>
      </c>
      <c r="L309" s="206" t="str">
        <f t="shared" si="52"/>
        <v>Coefic. (%)</v>
      </c>
      <c r="M309" s="206"/>
      <c r="N309" s="206"/>
      <c r="O309" s="206"/>
      <c r="P309" s="206"/>
      <c r="Q309" s="206"/>
      <c r="R309" s="206"/>
      <c r="S309" s="206"/>
      <c r="T309" s="206"/>
      <c r="U309" s="206"/>
      <c r="V309" s="208"/>
      <c r="W309" s="196"/>
      <c r="X309" s="152"/>
      <c r="Z309" s="198"/>
      <c r="AA309" s="198"/>
    </row>
    <row r="310" spans="1:27" s="197" customFormat="1" ht="15" customHeight="1">
      <c r="A310" s="226"/>
      <c r="B310" s="205"/>
      <c r="C310" s="144">
        <f>SUMIF(Densidades!A:A,'Memória TOTAL'!X310,Densidades!B:B)</f>
        <v>0</v>
      </c>
      <c r="D310" s="145">
        <f>SUMIF(Densidades!A:A,'Memória TOTAL'!X310,Densidades!C:C)</f>
        <v>570</v>
      </c>
      <c r="E310" s="146">
        <f>SUMIF(Formatos!A:A,'Memória TOTAL'!X311,Formatos!E:E)</f>
        <v>0</v>
      </c>
      <c r="F310" s="146">
        <f>SUMIF(Formatos!A:A,'Memória TOTAL'!X311,Formatos!F:F)</f>
        <v>0</v>
      </c>
      <c r="G310" s="146">
        <f>SUMIF(Formatos!A:A,'Memória TOTAL'!X311,Formatos!C:C)</f>
        <v>0</v>
      </c>
      <c r="H310" s="146">
        <f>SUMIF(Formatos!A:A,'Memória TOTAL'!X311,Formatos!D:D)</f>
        <v>0</v>
      </c>
      <c r="I310" s="146">
        <f>SUMIF(Densidades!A:A,'Memória TOTAL'!X310,Densidades!H:H)</f>
        <v>0</v>
      </c>
      <c r="J310" s="147">
        <f>SUMIF(Formatos!A:A,'Memória TOTAL'!X311,Formatos!G:G)</f>
        <v>4.1130000000000004</v>
      </c>
      <c r="K310" s="233">
        <f>SUMIF(Densidades!A:A,'Memória TOTAL'!X310,Densidades!I:I)</f>
        <v>167</v>
      </c>
      <c r="L310" s="234">
        <v>0</v>
      </c>
      <c r="M310" s="206"/>
      <c r="N310" s="206"/>
      <c r="O310" s="206"/>
      <c r="P310" s="206"/>
      <c r="Q310" s="206"/>
      <c r="R310" s="206"/>
      <c r="S310" s="206"/>
      <c r="T310" s="243"/>
      <c r="U310" s="206"/>
      <c r="V310" s="244" t="e">
        <f>IF(H342="","-",SUM(H342))</f>
        <v>#N/A</v>
      </c>
      <c r="W310" s="204" t="e">
        <f>IF(V310="-","",ROUNDUP(SUM(V310)*(1+L310),0))</f>
        <v>#N/A</v>
      </c>
      <c r="X310" s="152" t="str">
        <f>X306</f>
        <v/>
      </c>
      <c r="Z310" s="198"/>
      <c r="AA310" s="198"/>
    </row>
    <row r="311" spans="1:27" s="197" customFormat="1" ht="15" customHeight="1">
      <c r="A311" s="226"/>
      <c r="B311" s="205"/>
      <c r="C311" s="211"/>
      <c r="D311" s="206"/>
      <c r="E311" s="206"/>
      <c r="F311" s="206"/>
      <c r="G311" s="206"/>
      <c r="H311" s="206"/>
      <c r="I311" s="206"/>
      <c r="J311" s="207"/>
      <c r="K311" s="207"/>
      <c r="L311" s="155"/>
      <c r="M311" s="206"/>
      <c r="N311" s="206"/>
      <c r="O311" s="206"/>
      <c r="P311" s="206"/>
      <c r="Q311" s="206"/>
      <c r="R311" s="206"/>
      <c r="S311" s="206"/>
      <c r="T311" s="206"/>
      <c r="U311" s="206"/>
      <c r="V311" s="208"/>
      <c r="W311" s="196"/>
      <c r="X311" s="152" t="str">
        <f>IF(X310="","",G342)</f>
        <v/>
      </c>
      <c r="Z311" s="198"/>
      <c r="AA311" s="198"/>
    </row>
    <row r="312" spans="1:27" s="197" customFormat="1" ht="15" customHeight="1">
      <c r="A312" s="226"/>
      <c r="B312" s="205"/>
      <c r="C312" s="211"/>
      <c r="D312" s="206"/>
      <c r="E312" s="206"/>
      <c r="F312" s="206"/>
      <c r="G312" s="206"/>
      <c r="H312" s="206"/>
      <c r="I312" s="206"/>
      <c r="J312" s="207"/>
      <c r="K312" s="207"/>
      <c r="L312" s="155"/>
      <c r="M312" s="206"/>
      <c r="N312" s="206"/>
      <c r="O312" s="206"/>
      <c r="P312" s="206"/>
      <c r="Q312" s="206"/>
      <c r="R312" s="206"/>
      <c r="S312" s="206"/>
      <c r="T312" s="206"/>
      <c r="U312" s="206"/>
      <c r="V312" s="208"/>
      <c r="W312" s="196"/>
      <c r="X312" s="152" t="s">
        <v>524</v>
      </c>
      <c r="Z312" s="198"/>
      <c r="AA312" s="198"/>
    </row>
    <row r="313" spans="1:27" s="197" customFormat="1" ht="15" customHeight="1">
      <c r="A313" s="226"/>
      <c r="B313" s="205"/>
      <c r="C313" s="211" t="str">
        <f t="shared" ref="C313:L313" si="53">C309</f>
        <v>Dens.</v>
      </c>
      <c r="D313" s="206" t="str">
        <f t="shared" si="53"/>
        <v>Emb.</v>
      </c>
      <c r="E313" s="249" t="str">
        <f t="shared" si="53"/>
        <v>Esp. Tij.</v>
      </c>
      <c r="F313" s="249" t="str">
        <f t="shared" si="53"/>
        <v>Esp. Tij.</v>
      </c>
      <c r="G313" s="249" t="str">
        <f t="shared" si="53"/>
        <v>Comp. Tij.</v>
      </c>
      <c r="H313" s="249" t="str">
        <f t="shared" si="53"/>
        <v>Larg. Tij.</v>
      </c>
      <c r="I313" s="249" t="str">
        <f t="shared" si="53"/>
        <v>Tipo Fator</v>
      </c>
      <c r="J313" s="249" t="str">
        <f t="shared" si="53"/>
        <v>Vol.</v>
      </c>
      <c r="K313" s="249" t="str">
        <f t="shared" si="53"/>
        <v>Class.</v>
      </c>
      <c r="L313" s="206" t="str">
        <f t="shared" si="53"/>
        <v>Coefic. (%)</v>
      </c>
      <c r="M313" s="206"/>
      <c r="N313" s="206"/>
      <c r="O313" s="206"/>
      <c r="P313" s="206"/>
      <c r="Q313" s="206"/>
      <c r="R313" s="206"/>
      <c r="S313" s="206"/>
      <c r="T313" s="206"/>
      <c r="U313" s="206"/>
      <c r="V313" s="208"/>
      <c r="W313" s="196"/>
      <c r="X313" s="152"/>
      <c r="Z313" s="198"/>
      <c r="AA313" s="198"/>
    </row>
    <row r="314" spans="1:27" s="197" customFormat="1" ht="15" customHeight="1">
      <c r="A314" s="226"/>
      <c r="B314" s="205"/>
      <c r="C314" s="144">
        <f>SUMIF(Densidades!A:A,'Memória TOTAL'!X314,Densidades!B:B)</f>
        <v>0</v>
      </c>
      <c r="D314" s="145">
        <f>SUMIF(Densidades!A:A,'Memória TOTAL'!X314,Densidades!C:C)</f>
        <v>570</v>
      </c>
      <c r="E314" s="146">
        <f>SUMIF(Formatos!A:A,'Memória TOTAL'!X315,Formatos!E:E)</f>
        <v>0</v>
      </c>
      <c r="F314" s="146">
        <f>SUMIF(Formatos!A:A,'Memória TOTAL'!X315,Formatos!F:F)</f>
        <v>0</v>
      </c>
      <c r="G314" s="146">
        <f>SUMIF(Formatos!A:A,'Memória TOTAL'!X315,Formatos!C:C)</f>
        <v>0</v>
      </c>
      <c r="H314" s="146">
        <f>SUMIF(Formatos!A:A,'Memória TOTAL'!X315,Formatos!D:D)</f>
        <v>0</v>
      </c>
      <c r="I314" s="146">
        <f>SUMIF(Densidades!A:A,'Memória TOTAL'!X314,Densidades!H:H)</f>
        <v>0</v>
      </c>
      <c r="J314" s="147">
        <f>SUMIF(Formatos!A:A,'Memória TOTAL'!X315,Formatos!G:G)</f>
        <v>4.1130000000000004</v>
      </c>
      <c r="K314" s="233">
        <f>SUMIF(Densidades!A:A,'Memória TOTAL'!X314,Densidades!I:I)</f>
        <v>167</v>
      </c>
      <c r="L314" s="234">
        <v>0</v>
      </c>
      <c r="M314" s="206"/>
      <c r="N314" s="206"/>
      <c r="O314" s="206"/>
      <c r="P314" s="206"/>
      <c r="Q314" s="206"/>
      <c r="R314" s="206"/>
      <c r="S314" s="206"/>
      <c r="T314" s="243"/>
      <c r="U314" s="206"/>
      <c r="V314" s="244" t="e">
        <f>IF(H343="","-",SUM(H343))</f>
        <v>#N/A</v>
      </c>
      <c r="W314" s="204" t="e">
        <f>IF(V314="-","",ROUNDUP(SUM(V314)*(1+L314),0))</f>
        <v>#N/A</v>
      </c>
      <c r="X314" s="152" t="str">
        <f>X310</f>
        <v/>
      </c>
      <c r="Z314" s="198"/>
      <c r="AA314" s="198"/>
    </row>
    <row r="315" spans="1:27" s="197" customFormat="1" ht="15" customHeight="1">
      <c r="A315" s="226"/>
      <c r="B315" s="205"/>
      <c r="C315" s="211"/>
      <c r="D315" s="206"/>
      <c r="E315" s="206"/>
      <c r="F315" s="206"/>
      <c r="G315" s="206"/>
      <c r="H315" s="206"/>
      <c r="I315" s="206"/>
      <c r="J315" s="207"/>
      <c r="K315" s="207"/>
      <c r="L315" s="155"/>
      <c r="M315" s="206"/>
      <c r="N315" s="206"/>
      <c r="O315" s="206"/>
      <c r="P315" s="206"/>
      <c r="Q315" s="206"/>
      <c r="R315" s="206"/>
      <c r="S315" s="206"/>
      <c r="T315" s="206"/>
      <c r="U315" s="206"/>
      <c r="V315" s="208"/>
      <c r="W315" s="196"/>
      <c r="X315" s="152" t="str">
        <f>IF(X314="","",G343)</f>
        <v/>
      </c>
      <c r="Z315" s="198"/>
      <c r="AA315" s="198"/>
    </row>
    <row r="316" spans="1:27" s="197" customFormat="1" ht="15" customHeight="1">
      <c r="A316" s="226"/>
      <c r="B316" s="205"/>
      <c r="C316" s="211"/>
      <c r="D316" s="206"/>
      <c r="E316" s="206"/>
      <c r="F316" s="206"/>
      <c r="G316" s="206"/>
      <c r="H316" s="206"/>
      <c r="I316" s="206"/>
      <c r="J316" s="207"/>
      <c r="K316" s="207"/>
      <c r="L316" s="155"/>
      <c r="M316" s="206"/>
      <c r="N316" s="206"/>
      <c r="O316" s="206"/>
      <c r="P316" s="206"/>
      <c r="Q316" s="206"/>
      <c r="R316" s="206"/>
      <c r="S316" s="206"/>
      <c r="T316" s="206"/>
      <c r="U316" s="206"/>
      <c r="V316" s="208"/>
      <c r="W316" s="196"/>
      <c r="X316" s="152" t="s">
        <v>524</v>
      </c>
      <c r="Z316" s="198"/>
      <c r="AA316" s="198"/>
    </row>
    <row r="317" spans="1:27" s="197" customFormat="1" ht="15" customHeight="1">
      <c r="A317" s="226"/>
      <c r="B317" s="205"/>
      <c r="C317" s="211" t="str">
        <f t="shared" ref="C317:L317" si="54">C313</f>
        <v>Dens.</v>
      </c>
      <c r="D317" s="206" t="str">
        <f t="shared" si="54"/>
        <v>Emb.</v>
      </c>
      <c r="E317" s="249" t="str">
        <f t="shared" si="54"/>
        <v>Esp. Tij.</v>
      </c>
      <c r="F317" s="249" t="str">
        <f t="shared" si="54"/>
        <v>Esp. Tij.</v>
      </c>
      <c r="G317" s="249" t="str">
        <f t="shared" si="54"/>
        <v>Comp. Tij.</v>
      </c>
      <c r="H317" s="249" t="str">
        <f t="shared" si="54"/>
        <v>Larg. Tij.</v>
      </c>
      <c r="I317" s="249" t="str">
        <f t="shared" si="54"/>
        <v>Tipo Fator</v>
      </c>
      <c r="J317" s="249" t="str">
        <f t="shared" si="54"/>
        <v>Vol.</v>
      </c>
      <c r="K317" s="249" t="str">
        <f t="shared" si="54"/>
        <v>Class.</v>
      </c>
      <c r="L317" s="206" t="str">
        <f t="shared" si="54"/>
        <v>Coefic. (%)</v>
      </c>
      <c r="M317" s="206"/>
      <c r="N317" s="206"/>
      <c r="O317" s="206"/>
      <c r="P317" s="206"/>
      <c r="Q317" s="206"/>
      <c r="R317" s="206"/>
      <c r="S317" s="206"/>
      <c r="T317" s="206"/>
      <c r="U317" s="206"/>
      <c r="V317" s="208"/>
      <c r="W317" s="196"/>
      <c r="X317" s="152"/>
      <c r="Z317" s="198"/>
      <c r="AA317" s="198"/>
    </row>
    <row r="318" spans="1:27" s="197" customFormat="1" ht="15" customHeight="1">
      <c r="A318" s="226"/>
      <c r="B318" s="205"/>
      <c r="C318" s="144">
        <f>SUMIF(Densidades!A:A,'Memória TOTAL'!X318,Densidades!B:B)</f>
        <v>0</v>
      </c>
      <c r="D318" s="145">
        <f>SUMIF(Densidades!A:A,'Memória TOTAL'!X318,Densidades!C:C)</f>
        <v>570</v>
      </c>
      <c r="E318" s="146">
        <f>SUMIF(Formatos!A:A,'Memória TOTAL'!X319,Formatos!E:E)</f>
        <v>0</v>
      </c>
      <c r="F318" s="146">
        <f>SUMIF(Formatos!A:A,'Memória TOTAL'!X319,Formatos!F:F)</f>
        <v>0</v>
      </c>
      <c r="G318" s="146">
        <f>SUMIF(Formatos!A:A,'Memória TOTAL'!X319,Formatos!C:C)</f>
        <v>0</v>
      </c>
      <c r="H318" s="146">
        <f>SUMIF(Formatos!A:A,'Memória TOTAL'!X319,Formatos!D:D)</f>
        <v>0</v>
      </c>
      <c r="I318" s="146">
        <f>SUMIF(Densidades!A:A,'Memória TOTAL'!X318,Densidades!H:H)</f>
        <v>0</v>
      </c>
      <c r="J318" s="147">
        <f>SUMIF(Formatos!A:A,'Memória TOTAL'!X319,Formatos!G:G)</f>
        <v>4.1130000000000004</v>
      </c>
      <c r="K318" s="233">
        <f>SUMIF(Densidades!A:A,'Memória TOTAL'!X318,Densidades!I:I)</f>
        <v>167</v>
      </c>
      <c r="L318" s="234">
        <v>0</v>
      </c>
      <c r="M318" s="206"/>
      <c r="N318" s="206"/>
      <c r="O318" s="206"/>
      <c r="P318" s="206"/>
      <c r="Q318" s="206"/>
      <c r="R318" s="206"/>
      <c r="S318" s="206"/>
      <c r="T318" s="243"/>
      <c r="U318" s="206"/>
      <c r="V318" s="244">
        <f>IF(H344="","-",SUM(H344))</f>
        <v>0</v>
      </c>
      <c r="W318" s="204">
        <f>IF(V318="-","",ROUNDUP(SUM(V318)*(1+L318),0))</f>
        <v>0</v>
      </c>
      <c r="X318" s="152" t="str">
        <f>X314</f>
        <v/>
      </c>
      <c r="Z318" s="198"/>
      <c r="AA318" s="198"/>
    </row>
    <row r="319" spans="1:27" s="197" customFormat="1" ht="15" customHeight="1">
      <c r="A319" s="226"/>
      <c r="B319" s="205"/>
      <c r="C319" s="211"/>
      <c r="D319" s="206"/>
      <c r="E319" s="206"/>
      <c r="F319" s="206"/>
      <c r="G319" s="206"/>
      <c r="H319" s="206"/>
      <c r="I319" s="206"/>
      <c r="J319" s="207"/>
      <c r="K319" s="207"/>
      <c r="L319" s="155"/>
      <c r="M319" s="206"/>
      <c r="N319" s="206"/>
      <c r="O319" s="206"/>
      <c r="P319" s="206"/>
      <c r="Q319" s="206"/>
      <c r="R319" s="206"/>
      <c r="S319" s="206"/>
      <c r="T319" s="206"/>
      <c r="U319" s="206"/>
      <c r="V319" s="208"/>
      <c r="W319" s="196"/>
      <c r="X319" s="152" t="str">
        <f>IF(X318="","",G344)</f>
        <v/>
      </c>
      <c r="Z319" s="198"/>
      <c r="AA319" s="198"/>
    </row>
    <row r="320" spans="1:27" s="197" customFormat="1" ht="15" customHeight="1">
      <c r="A320" s="226"/>
      <c r="B320" s="205"/>
      <c r="C320" s="211"/>
      <c r="D320" s="206"/>
      <c r="E320" s="206"/>
      <c r="F320" s="206"/>
      <c r="G320" s="206"/>
      <c r="H320" s="206"/>
      <c r="I320" s="206"/>
      <c r="J320" s="207"/>
      <c r="K320" s="207"/>
      <c r="L320" s="155"/>
      <c r="M320" s="206"/>
      <c r="N320" s="206"/>
      <c r="O320" s="206"/>
      <c r="P320" s="206"/>
      <c r="Q320" s="206"/>
      <c r="R320" s="206"/>
      <c r="S320" s="206"/>
      <c r="T320" s="206"/>
      <c r="U320" s="206"/>
      <c r="V320" s="208"/>
      <c r="W320" s="196"/>
      <c r="X320" s="152" t="s">
        <v>524</v>
      </c>
      <c r="Z320" s="198"/>
      <c r="AA320" s="198"/>
    </row>
    <row r="321" spans="1:27" s="197" customFormat="1" ht="15" customHeight="1">
      <c r="A321" s="226"/>
      <c r="B321" s="205"/>
      <c r="C321" s="211" t="str">
        <f t="shared" ref="C321:L321" si="55">C317</f>
        <v>Dens.</v>
      </c>
      <c r="D321" s="206" t="str">
        <f t="shared" si="55"/>
        <v>Emb.</v>
      </c>
      <c r="E321" s="249" t="str">
        <f t="shared" si="55"/>
        <v>Esp. Tij.</v>
      </c>
      <c r="F321" s="249" t="str">
        <f t="shared" si="55"/>
        <v>Esp. Tij.</v>
      </c>
      <c r="G321" s="249" t="str">
        <f t="shared" si="55"/>
        <v>Comp. Tij.</v>
      </c>
      <c r="H321" s="249" t="str">
        <f t="shared" si="55"/>
        <v>Larg. Tij.</v>
      </c>
      <c r="I321" s="249" t="str">
        <f t="shared" si="55"/>
        <v>Tipo Fator</v>
      </c>
      <c r="J321" s="249" t="str">
        <f t="shared" si="55"/>
        <v>Vol.</v>
      </c>
      <c r="K321" s="249" t="str">
        <f t="shared" si="55"/>
        <v>Class.</v>
      </c>
      <c r="L321" s="206" t="str">
        <f t="shared" si="55"/>
        <v>Coefic. (%)</v>
      </c>
      <c r="M321" s="206"/>
      <c r="N321" s="206"/>
      <c r="O321" s="206"/>
      <c r="P321" s="206"/>
      <c r="Q321" s="206"/>
      <c r="R321" s="206"/>
      <c r="S321" s="206"/>
      <c r="T321" s="206"/>
      <c r="U321" s="206"/>
      <c r="V321" s="208"/>
      <c r="W321" s="196"/>
      <c r="X321" s="152"/>
      <c r="Z321" s="198"/>
      <c r="AA321" s="198"/>
    </row>
    <row r="322" spans="1:27" s="197" customFormat="1" ht="15" customHeight="1">
      <c r="A322" s="226"/>
      <c r="B322" s="205"/>
      <c r="C322" s="144">
        <f>SUMIF(Densidades!A:A,'Memória TOTAL'!X322,Densidades!B:B)</f>
        <v>0</v>
      </c>
      <c r="D322" s="145">
        <f>SUMIF(Densidades!A:A,'Memória TOTAL'!X322,Densidades!C:C)</f>
        <v>570</v>
      </c>
      <c r="E322" s="146">
        <f>SUMIF(Formatos!A:A,'Memória TOTAL'!X323,Formatos!E:E)</f>
        <v>0</v>
      </c>
      <c r="F322" s="146">
        <f>SUMIF(Formatos!A:A,'Memória TOTAL'!X323,Formatos!F:F)</f>
        <v>0</v>
      </c>
      <c r="G322" s="146">
        <f>SUMIF(Formatos!A:A,'Memória TOTAL'!X323,Formatos!C:C)</f>
        <v>0</v>
      </c>
      <c r="H322" s="146">
        <f>SUMIF(Formatos!A:A,'Memória TOTAL'!X323,Formatos!D:D)</f>
        <v>0</v>
      </c>
      <c r="I322" s="146">
        <f>SUMIF(Densidades!A:A,'Memória TOTAL'!X322,Densidades!H:H)</f>
        <v>0</v>
      </c>
      <c r="J322" s="147">
        <f>SUMIF(Formatos!A:A,'Memória TOTAL'!X323,Formatos!G:G)</f>
        <v>4.1130000000000004</v>
      </c>
      <c r="K322" s="233">
        <f>SUMIF(Densidades!A:A,'Memória TOTAL'!X322,Densidades!I:I)</f>
        <v>167</v>
      </c>
      <c r="L322" s="234">
        <v>0</v>
      </c>
      <c r="M322" s="206"/>
      <c r="N322" s="206"/>
      <c r="O322" s="206"/>
      <c r="P322" s="206"/>
      <c r="Q322" s="206"/>
      <c r="R322" s="206"/>
      <c r="S322" s="206"/>
      <c r="T322" s="243"/>
      <c r="U322" s="206"/>
      <c r="V322" s="244" t="e">
        <f>IF(H345="","-",SUM(H345))</f>
        <v>#N/A</v>
      </c>
      <c r="W322" s="204" t="e">
        <f>IF(V322="-","",ROUNDUP(SUM(V322)*(1+L322),0))</f>
        <v>#N/A</v>
      </c>
      <c r="X322" s="152" t="str">
        <f>X318</f>
        <v/>
      </c>
      <c r="Z322" s="198"/>
      <c r="AA322" s="198"/>
    </row>
    <row r="323" spans="1:27" s="197" customFormat="1" ht="15" customHeight="1">
      <c r="A323" s="226"/>
      <c r="B323" s="205"/>
      <c r="C323" s="211"/>
      <c r="D323" s="206"/>
      <c r="E323" s="206"/>
      <c r="F323" s="206"/>
      <c r="G323" s="206"/>
      <c r="H323" s="206"/>
      <c r="I323" s="206"/>
      <c r="J323" s="207"/>
      <c r="K323" s="207"/>
      <c r="L323" s="155"/>
      <c r="M323" s="206"/>
      <c r="N323" s="206"/>
      <c r="O323" s="206"/>
      <c r="P323" s="206"/>
      <c r="Q323" s="206"/>
      <c r="R323" s="206"/>
      <c r="S323" s="206"/>
      <c r="T323" s="206"/>
      <c r="U323" s="206"/>
      <c r="V323" s="208"/>
      <c r="W323" s="196"/>
      <c r="X323" s="152" t="str">
        <f>IF(X322="","",G345)</f>
        <v/>
      </c>
      <c r="Z323" s="198"/>
      <c r="AA323" s="198"/>
    </row>
    <row r="324" spans="1:27" s="197" customFormat="1" ht="15" customHeight="1">
      <c r="A324" s="226"/>
      <c r="B324" s="205"/>
      <c r="C324" s="211"/>
      <c r="D324" s="206"/>
      <c r="E324" s="206"/>
      <c r="F324" s="206"/>
      <c r="G324" s="206"/>
      <c r="H324" s="206"/>
      <c r="I324" s="206"/>
      <c r="J324" s="207"/>
      <c r="K324" s="207"/>
      <c r="L324" s="155"/>
      <c r="M324" s="206"/>
      <c r="N324" s="206"/>
      <c r="O324" s="206"/>
      <c r="P324" s="206"/>
      <c r="Q324" s="206"/>
      <c r="R324" s="206"/>
      <c r="S324" s="206"/>
      <c r="T324" s="206"/>
      <c r="U324" s="206"/>
      <c r="V324" s="208"/>
      <c r="W324" s="196"/>
      <c r="X324" s="152" t="s">
        <v>524</v>
      </c>
      <c r="Z324" s="198"/>
      <c r="AA324" s="198"/>
    </row>
    <row r="325" spans="1:27" s="197" customFormat="1" ht="15" customHeight="1">
      <c r="A325" s="226"/>
      <c r="B325" s="205"/>
      <c r="C325" s="211" t="str">
        <f t="shared" ref="C325:L325" si="56">C321</f>
        <v>Dens.</v>
      </c>
      <c r="D325" s="206" t="str">
        <f t="shared" si="56"/>
        <v>Emb.</v>
      </c>
      <c r="E325" s="249" t="str">
        <f t="shared" si="56"/>
        <v>Esp. Tij.</v>
      </c>
      <c r="F325" s="249" t="str">
        <f t="shared" si="56"/>
        <v>Esp. Tij.</v>
      </c>
      <c r="G325" s="249" t="str">
        <f t="shared" si="56"/>
        <v>Comp. Tij.</v>
      </c>
      <c r="H325" s="249" t="str">
        <f t="shared" si="56"/>
        <v>Larg. Tij.</v>
      </c>
      <c r="I325" s="249" t="str">
        <f t="shared" si="56"/>
        <v>Tipo Fator</v>
      </c>
      <c r="J325" s="249" t="str">
        <f t="shared" si="56"/>
        <v>Vol.</v>
      </c>
      <c r="K325" s="249" t="str">
        <f t="shared" si="56"/>
        <v>Class.</v>
      </c>
      <c r="L325" s="206" t="str">
        <f t="shared" si="56"/>
        <v>Coefic. (%)</v>
      </c>
      <c r="M325" s="206"/>
      <c r="N325" s="206" t="s">
        <v>1094</v>
      </c>
      <c r="O325" s="206"/>
      <c r="P325" s="206"/>
      <c r="Q325" s="206"/>
      <c r="R325" s="206"/>
      <c r="S325" s="206"/>
      <c r="T325" s="206"/>
      <c r="U325" s="206"/>
      <c r="V325" s="208"/>
      <c r="W325" s="196"/>
      <c r="X325" s="152"/>
      <c r="Z325" s="198"/>
      <c r="AA325" s="198"/>
    </row>
    <row r="326" spans="1:27" s="197" customFormat="1" ht="15" customHeight="1">
      <c r="A326" s="226"/>
      <c r="B326" s="205"/>
      <c r="C326" s="144">
        <f>SUMIF(Densidades!A:A,'Memória TOTAL'!X326,Densidades!B:B)</f>
        <v>0</v>
      </c>
      <c r="D326" s="145">
        <f>SUMIF(Densidades!A:A,'Memória TOTAL'!X326,Densidades!C:C)</f>
        <v>570</v>
      </c>
      <c r="E326" s="146">
        <f>SUMIF(Formatos!A:A,'Memória TOTAL'!X327,Formatos!E:E)</f>
        <v>0</v>
      </c>
      <c r="F326" s="146">
        <f>SUMIF(Formatos!A:A,'Memória TOTAL'!X327,Formatos!F:F)</f>
        <v>0</v>
      </c>
      <c r="G326" s="146">
        <f>SUMIF(Formatos!A:A,'Memória TOTAL'!X327,Formatos!C:C)</f>
        <v>0</v>
      </c>
      <c r="H326" s="146">
        <f>SUMIF(Formatos!A:A,'Memória TOTAL'!X327,Formatos!D:D)</f>
        <v>0</v>
      </c>
      <c r="I326" s="146">
        <f>SUMIF(Densidades!A:A,'Memória TOTAL'!X326,Densidades!H:H)</f>
        <v>0</v>
      </c>
      <c r="J326" s="147">
        <f>SUMIF(Formatos!A:A,'Memória TOTAL'!X327,Formatos!G:G)</f>
        <v>4.1130000000000004</v>
      </c>
      <c r="K326" s="233">
        <f>SUMIF(Densidades!A:A,'Memória TOTAL'!X326,Densidades!I:I)</f>
        <v>167</v>
      </c>
      <c r="L326" s="234">
        <v>0</v>
      </c>
      <c r="M326" s="206"/>
      <c r="N326" s="206"/>
      <c r="O326" s="206"/>
      <c r="P326" s="206"/>
      <c r="Q326" s="206"/>
      <c r="R326" s="206"/>
      <c r="S326" s="206"/>
      <c r="T326" s="243"/>
      <c r="U326" s="206"/>
      <c r="V326" s="244" t="e">
        <f>IF(H346="","-",SUM(H346))</f>
        <v>#N/A</v>
      </c>
      <c r="W326" s="204" t="e">
        <f>IF(V326="-","",ROUNDUP(SUM(V326)*(1+L326),0))</f>
        <v>#N/A</v>
      </c>
      <c r="X326" s="152" t="str">
        <f>X322</f>
        <v/>
      </c>
      <c r="Z326" s="198"/>
      <c r="AA326" s="198"/>
    </row>
    <row r="327" spans="1:27" s="197" customFormat="1" ht="15" customHeight="1">
      <c r="A327" s="226"/>
      <c r="B327" s="205"/>
      <c r="C327" s="211"/>
      <c r="D327" s="206"/>
      <c r="E327" s="206"/>
      <c r="F327" s="206"/>
      <c r="G327" s="206"/>
      <c r="H327" s="206"/>
      <c r="I327" s="206"/>
      <c r="J327" s="207"/>
      <c r="K327" s="207"/>
      <c r="L327" s="155"/>
      <c r="M327" s="206"/>
      <c r="N327" s="252"/>
      <c r="O327" s="252"/>
      <c r="P327" s="252"/>
      <c r="Q327" s="252"/>
      <c r="R327" s="252"/>
      <c r="S327" s="252"/>
      <c r="T327" s="252"/>
      <c r="U327" s="252"/>
      <c r="V327" s="208"/>
      <c r="W327" s="196"/>
      <c r="X327" s="152" t="str">
        <f>IF(X326="","",G346)</f>
        <v/>
      </c>
      <c r="Z327" s="198"/>
      <c r="AA327" s="198"/>
    </row>
    <row r="328" spans="1:27" s="197" customFormat="1" ht="15" customHeight="1">
      <c r="A328" s="226"/>
      <c r="B328" s="205"/>
      <c r="C328" s="211"/>
      <c r="D328" s="206"/>
      <c r="E328" s="206"/>
      <c r="F328" s="206"/>
      <c r="G328" s="206"/>
      <c r="H328" s="206"/>
      <c r="I328" s="206"/>
      <c r="J328" s="207"/>
      <c r="K328" s="207"/>
      <c r="L328" s="155"/>
      <c r="M328" s="246"/>
      <c r="N328" s="348" t="s">
        <v>1082</v>
      </c>
      <c r="O328" s="349"/>
      <c r="P328" s="349"/>
      <c r="Q328" s="349"/>
      <c r="R328" s="349"/>
      <c r="S328" s="349"/>
      <c r="T328" s="349"/>
      <c r="U328" s="349"/>
      <c r="V328" s="347"/>
      <c r="W328" s="196"/>
      <c r="X328" s="152" t="s">
        <v>524</v>
      </c>
      <c r="Z328" s="198"/>
      <c r="AA328" s="198"/>
    </row>
    <row r="329" spans="1:27" s="197" customFormat="1" ht="15" customHeight="1">
      <c r="A329" s="226"/>
      <c r="B329" s="205"/>
      <c r="C329" s="211" t="str">
        <f t="shared" ref="C329:L329" si="57">C325</f>
        <v>Dens.</v>
      </c>
      <c r="D329" s="206" t="str">
        <f t="shared" si="57"/>
        <v>Emb.</v>
      </c>
      <c r="E329" s="249" t="str">
        <f t="shared" si="57"/>
        <v>Esp. Tij.</v>
      </c>
      <c r="F329" s="249" t="str">
        <f t="shared" si="57"/>
        <v>Esp. Tij.</v>
      </c>
      <c r="G329" s="249" t="str">
        <f t="shared" si="57"/>
        <v>Comp. Tij.</v>
      </c>
      <c r="H329" s="249" t="str">
        <f t="shared" si="57"/>
        <v>Larg. Tij.</v>
      </c>
      <c r="I329" s="249" t="str">
        <f t="shared" si="57"/>
        <v>Tipo Fator</v>
      </c>
      <c r="J329" s="249" t="str">
        <f t="shared" si="57"/>
        <v>Vol.</v>
      </c>
      <c r="K329" s="249" t="str">
        <f t="shared" si="57"/>
        <v>Class.</v>
      </c>
      <c r="L329" s="206" t="str">
        <f t="shared" si="57"/>
        <v>Coefic. (%)</v>
      </c>
      <c r="M329" s="246"/>
      <c r="N329" s="348" t="s">
        <v>2202</v>
      </c>
      <c r="O329" s="349"/>
      <c r="P329" s="349"/>
      <c r="Q329" s="349"/>
      <c r="R329" s="349"/>
      <c r="S329" s="349"/>
      <c r="T329" s="349"/>
      <c r="U329" s="349"/>
      <c r="V329" s="347"/>
      <c r="W329" s="196"/>
      <c r="X329" s="152"/>
      <c r="Z329" s="198"/>
      <c r="AA329" s="198"/>
    </row>
    <row r="330" spans="1:27" s="197" customFormat="1" ht="15" customHeight="1">
      <c r="A330" s="226"/>
      <c r="B330" s="205"/>
      <c r="C330" s="144">
        <f>SUMIF(Densidades!A:A,'Memória TOTAL'!X330,Densidades!B:B)</f>
        <v>0</v>
      </c>
      <c r="D330" s="145">
        <f>SUMIF(Densidades!A:A,'Memória TOTAL'!X330,Densidades!C:C)</f>
        <v>570</v>
      </c>
      <c r="E330" s="146">
        <f>SUMIF(Formatos!A:A,'Memória TOTAL'!X331,Formatos!E:E)</f>
        <v>0</v>
      </c>
      <c r="F330" s="146">
        <f>SUMIF(Formatos!A:A,'Memória TOTAL'!X331,Formatos!F:F)</f>
        <v>0</v>
      </c>
      <c r="G330" s="146">
        <f>SUMIF(Formatos!A:A,'Memória TOTAL'!X331,Formatos!C:C)</f>
        <v>0</v>
      </c>
      <c r="H330" s="146">
        <f>SUMIF(Formatos!A:A,'Memória TOTAL'!X331,Formatos!D:D)</f>
        <v>0</v>
      </c>
      <c r="I330" s="146">
        <f>SUMIF(Densidades!A:A,'Memória TOTAL'!X330,Densidades!H:H)</f>
        <v>0</v>
      </c>
      <c r="J330" s="147">
        <f>SUMIF(Formatos!A:A,'Memória TOTAL'!X331,Formatos!G:G)</f>
        <v>4.1130000000000004</v>
      </c>
      <c r="K330" s="233">
        <f>SUMIF(Densidades!A:A,'Memória TOTAL'!X330,Densidades!I:I)</f>
        <v>167</v>
      </c>
      <c r="L330" s="234">
        <v>0</v>
      </c>
      <c r="M330" s="246"/>
      <c r="N330" s="348" t="s">
        <v>2196</v>
      </c>
      <c r="O330" s="349"/>
      <c r="P330" s="349"/>
      <c r="Q330" s="349"/>
      <c r="R330" s="349"/>
      <c r="S330" s="349"/>
      <c r="T330" s="350"/>
      <c r="U330" s="349"/>
      <c r="V330" s="280" t="e">
        <f>IF(H347="","-",SUM(H347))</f>
        <v>#N/A</v>
      </c>
      <c r="W330" s="204" t="e">
        <f>IF(V330="-","",ROUNDUP(SUM(V330)*(1+L330),0))</f>
        <v>#N/A</v>
      </c>
      <c r="X330" s="152" t="str">
        <f>X326</f>
        <v/>
      </c>
      <c r="Z330" s="198"/>
      <c r="AA330" s="198"/>
    </row>
    <row r="331" spans="1:27" s="197" customFormat="1" ht="15" customHeight="1">
      <c r="A331" s="226"/>
      <c r="B331" s="205"/>
      <c r="C331" s="211"/>
      <c r="D331" s="206"/>
      <c r="E331" s="206"/>
      <c r="F331" s="206"/>
      <c r="G331" s="206"/>
      <c r="H331" s="206"/>
      <c r="I331" s="206"/>
      <c r="J331" s="207"/>
      <c r="K331" s="207"/>
      <c r="L331" s="155"/>
      <c r="M331" s="246"/>
      <c r="N331" s="348" t="s">
        <v>2197</v>
      </c>
      <c r="O331" s="349"/>
      <c r="P331" s="349"/>
      <c r="Q331" s="349"/>
      <c r="R331" s="349"/>
      <c r="S331" s="349"/>
      <c r="T331" s="349"/>
      <c r="U331" s="349"/>
      <c r="V331" s="347"/>
      <c r="W331" s="196"/>
      <c r="X331" s="152" t="str">
        <f>IF(X330="","",G347)</f>
        <v/>
      </c>
      <c r="Z331" s="198"/>
      <c r="AA331" s="198"/>
    </row>
    <row r="332" spans="1:27" s="197" customFormat="1" ht="15" customHeight="1">
      <c r="A332" s="226"/>
      <c r="B332" s="205"/>
      <c r="C332" s="211"/>
      <c r="D332" s="206"/>
      <c r="E332" s="206"/>
      <c r="F332" s="206"/>
      <c r="G332" s="206"/>
      <c r="H332" s="206"/>
      <c r="I332" s="206"/>
      <c r="J332" s="207"/>
      <c r="K332" s="207"/>
      <c r="L332" s="155"/>
      <c r="M332" s="246"/>
      <c r="N332" s="348" t="s">
        <v>2198</v>
      </c>
      <c r="O332" s="349"/>
      <c r="P332" s="349"/>
      <c r="Q332" s="349"/>
      <c r="R332" s="349"/>
      <c r="S332" s="349"/>
      <c r="T332" s="349"/>
      <c r="U332" s="349"/>
      <c r="V332" s="347"/>
      <c r="W332" s="196"/>
      <c r="X332" s="152" t="s">
        <v>524</v>
      </c>
      <c r="Z332" s="198"/>
      <c r="AA332" s="198"/>
    </row>
    <row r="333" spans="1:27" s="197" customFormat="1" ht="15" customHeight="1">
      <c r="A333" s="226"/>
      <c r="B333" s="205"/>
      <c r="C333" s="211" t="str">
        <f t="shared" ref="C333:L333" si="58">C329</f>
        <v>Dens.</v>
      </c>
      <c r="D333" s="206" t="str">
        <f t="shared" si="58"/>
        <v>Emb.</v>
      </c>
      <c r="E333" s="249" t="str">
        <f t="shared" si="58"/>
        <v>Esp. Tij.</v>
      </c>
      <c r="F333" s="249" t="str">
        <f t="shared" si="58"/>
        <v>Esp. Tij.</v>
      </c>
      <c r="G333" s="249" t="str">
        <f t="shared" si="58"/>
        <v>Comp. Tij.</v>
      </c>
      <c r="H333" s="249" t="str">
        <f t="shared" si="58"/>
        <v>Larg. Tij.</v>
      </c>
      <c r="I333" s="249" t="str">
        <f t="shared" si="58"/>
        <v>Tipo Fator</v>
      </c>
      <c r="J333" s="249" t="str">
        <f t="shared" si="58"/>
        <v>Vol.</v>
      </c>
      <c r="K333" s="249" t="str">
        <f t="shared" si="58"/>
        <v>Class.</v>
      </c>
      <c r="L333" s="206" t="str">
        <f t="shared" si="58"/>
        <v>Coefic. (%)</v>
      </c>
      <c r="M333" s="246"/>
      <c r="N333" s="348" t="s">
        <v>2199</v>
      </c>
      <c r="O333" s="349"/>
      <c r="P333" s="349"/>
      <c r="Q333" s="349"/>
      <c r="R333" s="349"/>
      <c r="S333" s="349"/>
      <c r="T333" s="349"/>
      <c r="U333" s="349"/>
      <c r="V333" s="347"/>
      <c r="W333" s="196"/>
      <c r="X333" s="152"/>
      <c r="Z333" s="198"/>
      <c r="AA333" s="198"/>
    </row>
    <row r="334" spans="1:27" s="197" customFormat="1" ht="15" customHeight="1">
      <c r="A334" s="226"/>
      <c r="B334" s="205"/>
      <c r="C334" s="144">
        <f>SUMIF(Densidades!A:A,'Memória TOTAL'!X334,Densidades!B:B)</f>
        <v>0</v>
      </c>
      <c r="D334" s="145">
        <f>SUMIF(Densidades!A:A,'Memória TOTAL'!X334,Densidades!C:C)</f>
        <v>570</v>
      </c>
      <c r="E334" s="146">
        <f>SUMIF(Formatos!A:A,'Memória TOTAL'!X335,Formatos!E:E)</f>
        <v>0</v>
      </c>
      <c r="F334" s="146">
        <f>SUMIF(Formatos!A:A,'Memória TOTAL'!X335,Formatos!F:F)</f>
        <v>0</v>
      </c>
      <c r="G334" s="146">
        <f>SUMIF(Formatos!A:A,'Memória TOTAL'!X335,Formatos!C:C)</f>
        <v>0</v>
      </c>
      <c r="H334" s="146">
        <f>SUMIF(Formatos!A:A,'Memória TOTAL'!X335,Formatos!D:D)</f>
        <v>0</v>
      </c>
      <c r="I334" s="146">
        <f>SUMIF(Densidades!A:A,'Memória TOTAL'!X334,Densidades!H:H)</f>
        <v>0</v>
      </c>
      <c r="J334" s="147">
        <f>SUMIF(Formatos!A:A,'Memória TOTAL'!X335,Formatos!G:G)</f>
        <v>4.1130000000000004</v>
      </c>
      <c r="K334" s="233">
        <f>SUMIF(Densidades!A:A,'Memória TOTAL'!X334,Densidades!I:I)</f>
        <v>167</v>
      </c>
      <c r="L334" s="234">
        <v>0</v>
      </c>
      <c r="M334" s="246"/>
      <c r="N334" s="348" t="s">
        <v>2200</v>
      </c>
      <c r="O334" s="349"/>
      <c r="P334" s="349"/>
      <c r="Q334" s="349"/>
      <c r="R334" s="349"/>
      <c r="S334" s="349"/>
      <c r="T334" s="350"/>
      <c r="U334" s="349"/>
      <c r="V334" s="280" t="e">
        <f>IF(H348="","-",SUM(H348))</f>
        <v>#N/A</v>
      </c>
      <c r="W334" s="204" t="e">
        <f>IF(V334="-","",ROUNDUP(SUM(V334)*(1+L334),0))</f>
        <v>#N/A</v>
      </c>
      <c r="X334" s="152" t="str">
        <f>X330</f>
        <v/>
      </c>
      <c r="Z334" s="198"/>
      <c r="AA334" s="198"/>
    </row>
    <row r="335" spans="1:27" s="197" customFormat="1" ht="15" customHeight="1">
      <c r="A335" s="226"/>
      <c r="B335" s="205"/>
      <c r="C335" s="211"/>
      <c r="D335" s="206"/>
      <c r="E335" s="206"/>
      <c r="F335" s="206"/>
      <c r="G335" s="206"/>
      <c r="H335" s="206"/>
      <c r="I335" s="206"/>
      <c r="J335" s="207"/>
      <c r="K335" s="207"/>
      <c r="L335" s="155"/>
      <c r="M335" s="206"/>
      <c r="N335" s="348" t="s">
        <v>2201</v>
      </c>
      <c r="O335" s="206"/>
      <c r="P335" s="206"/>
      <c r="Q335" s="206"/>
      <c r="R335" s="206"/>
      <c r="S335" s="206"/>
      <c r="T335" s="206"/>
      <c r="U335" s="206"/>
      <c r="V335" s="208"/>
      <c r="W335" s="196"/>
      <c r="X335" s="152" t="str">
        <f>IF(X334="","",G348)</f>
        <v/>
      </c>
      <c r="Z335" s="198"/>
      <c r="AA335" s="198"/>
    </row>
    <row r="336" spans="1:27" s="197" customFormat="1" ht="15" customHeight="1">
      <c r="A336" s="226"/>
      <c r="B336" s="205"/>
      <c r="C336" s="211"/>
      <c r="D336" s="206"/>
      <c r="E336" s="206"/>
      <c r="F336" s="206"/>
      <c r="G336" s="206"/>
      <c r="H336" s="206"/>
      <c r="I336" s="206"/>
      <c r="J336" s="207"/>
      <c r="K336" s="207"/>
      <c r="L336" s="155"/>
      <c r="M336" s="206"/>
      <c r="N336" s="206"/>
      <c r="O336" s="206"/>
      <c r="P336" s="206"/>
      <c r="Q336" s="206"/>
      <c r="R336" s="206"/>
      <c r="S336" s="206"/>
      <c r="T336" s="206"/>
      <c r="U336" s="206"/>
      <c r="V336" s="208"/>
      <c r="W336" s="196"/>
      <c r="X336" s="152" t="s">
        <v>524</v>
      </c>
      <c r="Z336" s="198"/>
      <c r="AA336" s="198"/>
    </row>
    <row r="337" spans="1:27" s="197" customFormat="1" ht="15" customHeight="1" thickBot="1">
      <c r="A337" s="226"/>
      <c r="B337" s="205"/>
      <c r="C337" s="211"/>
      <c r="D337" s="206"/>
      <c r="E337" s="206"/>
      <c r="F337" s="206"/>
      <c r="G337" s="252"/>
      <c r="H337" s="252"/>
      <c r="I337" s="206"/>
      <c r="J337" s="207"/>
      <c r="K337" s="207"/>
      <c r="L337" s="155"/>
      <c r="M337" s="206"/>
      <c r="N337" s="206"/>
      <c r="O337" s="206"/>
      <c r="P337" s="206"/>
      <c r="Q337" s="206"/>
      <c r="R337" s="206"/>
      <c r="S337" s="206"/>
      <c r="T337" s="206"/>
      <c r="U337" s="206"/>
      <c r="V337" s="208"/>
      <c r="W337" s="196"/>
      <c r="X337" s="152"/>
      <c r="Z337" s="198"/>
      <c r="AA337" s="198"/>
    </row>
    <row r="338" spans="1:27" s="197" customFormat="1" ht="15" customHeight="1" thickBot="1">
      <c r="A338" s="226"/>
      <c r="B338" s="205"/>
      <c r="C338" s="211"/>
      <c r="D338" s="206"/>
      <c r="E338" s="206"/>
      <c r="F338" s="246"/>
      <c r="G338" s="796" t="s">
        <v>1023</v>
      </c>
      <c r="H338" s="796"/>
      <c r="I338" s="247"/>
      <c r="J338" s="207"/>
      <c r="K338" s="207"/>
      <c r="L338" s="207"/>
      <c r="M338" s="797" t="s">
        <v>1015</v>
      </c>
      <c r="N338" s="798"/>
      <c r="O338" s="798"/>
      <c r="P338" s="798"/>
      <c r="Q338" s="799"/>
      <c r="R338" s="797" t="s">
        <v>1016</v>
      </c>
      <c r="S338" s="798"/>
      <c r="T338" s="798"/>
      <c r="U338" s="798"/>
      <c r="V338" s="799"/>
      <c r="W338" s="196"/>
      <c r="X338" s="152"/>
      <c r="Z338" s="198"/>
      <c r="AA338" s="198"/>
    </row>
    <row r="339" spans="1:27" s="197" customFormat="1" ht="15" customHeight="1" thickBot="1">
      <c r="A339" s="226"/>
      <c r="B339" s="205"/>
      <c r="C339" s="311" t="s">
        <v>989</v>
      </c>
      <c r="D339" s="206"/>
      <c r="E339" s="206"/>
      <c r="F339" s="246"/>
      <c r="G339" s="340" t="str">
        <f>M340</f>
        <v>S9X41/2X3</v>
      </c>
      <c r="H339" s="340">
        <f>SUMIF(M352:M401,G339,T352:T401)+SUMIF(O352:O401,G339,U352:U401)+SUMIF(Q352:Q401,G339,V352:V401)</f>
        <v>0</v>
      </c>
      <c r="I339" s="247"/>
      <c r="J339" s="207"/>
      <c r="K339" s="207"/>
      <c r="L339" s="342" t="s">
        <v>1078</v>
      </c>
      <c r="M339" s="331" t="s">
        <v>104</v>
      </c>
      <c r="N339" s="332" t="s">
        <v>1075</v>
      </c>
      <c r="O339" s="332" t="s">
        <v>65</v>
      </c>
      <c r="P339" s="332" t="s">
        <v>7</v>
      </c>
      <c r="Q339" s="332" t="s">
        <v>15</v>
      </c>
      <c r="R339" s="331" t="s">
        <v>104</v>
      </c>
      <c r="S339" s="332" t="s">
        <v>1075</v>
      </c>
      <c r="T339" s="332" t="s">
        <v>65</v>
      </c>
      <c r="U339" s="332" t="s">
        <v>539</v>
      </c>
      <c r="V339" s="333" t="s">
        <v>540</v>
      </c>
      <c r="W339" s="196"/>
      <c r="X339" s="152"/>
      <c r="Z339" s="198"/>
      <c r="AA339" s="198"/>
    </row>
    <row r="340" spans="1:27" s="197" customFormat="1" ht="15" customHeight="1" thickBot="1">
      <c r="A340" s="226"/>
      <c r="B340" s="205"/>
      <c r="C340" s="267"/>
      <c r="D340" s="206"/>
      <c r="E340" s="206"/>
      <c r="F340" s="246"/>
      <c r="G340" s="340" t="str">
        <f>M341</f>
        <v>A9X41/2X3-23/4</v>
      </c>
      <c r="H340" s="340">
        <f>SUMIF(M352:M401,G340,T352:T401)+SUMIF(O352:O401,G340,U352:U401)+SUMIF(Q352:Q401,G340,V352:V401)</f>
        <v>0</v>
      </c>
      <c r="I340" s="247"/>
      <c r="J340" s="207"/>
      <c r="K340" s="207"/>
      <c r="L340" s="343" t="e">
        <f>IF(M340="","",((O340*Q340)/(P340-Q340)+O340)*2)</f>
        <v>#DIV/0!</v>
      </c>
      <c r="M340" s="274" t="s">
        <v>1317</v>
      </c>
      <c r="N340" s="334">
        <f>IF(M340="","",IF(VLOOKUP(M340,Formatos!A:F,2,FALSE)="S",IF(VLOOKUP(M341,Formatos!A:F,2,FALSE)="W",VLOOKUP(M341,Formatos!A:F,4,FALSE),VLOOKUP(M341,Formatos!A:F,3,FALSE)),IF(VLOOKUP(M340,Formatos!A:F,2,FALSE)="W",VLOOKUP(M340,Formatos!A:F,4,FALSE),VLOOKUP(M340,Formatos!A:F,3,FALSE))))</f>
        <v>228.6</v>
      </c>
      <c r="O340" s="334">
        <f>IF(M340="","",IF(VLOOKUP(M340,Formatos!A:F,2,FALSE)="S",IF(VLOOKUP(M341,Formatos!A:F,2,FALSE)="W",VLOOKUP(M341,Formatos!A:F,3,FALSE),VLOOKUP(M341,Formatos!A:F,4,FALSE)),IF(VLOOKUP(M340,Formatos!A:F,2,FALSE)="W",VLOOKUP(M340,Formatos!A:F,3,FALSE),VLOOKUP(M340,Formatos!A:F,4,FALSE))))</f>
        <v>114.3</v>
      </c>
      <c r="P340" s="334">
        <f>IF(M340="","",VLOOKUP(M340,Formatos!A:F,5,FALSE))</f>
        <v>76.2</v>
      </c>
      <c r="Q340" s="334">
        <f>IF(M340="","",VLOOKUP(M340,Formatos!A:F,6,FALSE))</f>
        <v>76.2</v>
      </c>
      <c r="R340" s="274" t="s">
        <v>1544</v>
      </c>
      <c r="S340" s="334">
        <f>IF(R340="","",IF(VLOOKUP(R340,Formatos!A:F,2,FALSE)="S",IF(VLOOKUP(R341,Formatos!A:F,2,FALSE)="W",VLOOKUP(R341,Formatos!A:F,3,FALSE),VLOOKUP(R341,Formatos!A:F,4,FALSE)),IF(VLOOKUP(R340,Formatos!A:F,2,FALSE)="W",VLOOKUP(R340,Formatos!A:F,3,FALSE),VLOOKUP(R340,Formatos!A:F,4,FALSE))))</f>
        <v>228.6</v>
      </c>
      <c r="T340" s="334">
        <f>IF(R340="","",IF(VLOOKUP(R340,Formatos!A:F,2,FALSE)="S",IF(VLOOKUP(R341,Formatos!A:F,2,FALSE)="W",VLOOKUP(R341,Formatos!A:F,4,FALSE),VLOOKUP(R341,Formatos!A:F,3,FALSE)),IF(VLOOKUP(R340,Formatos!A:F,2,FALSE)="W",VLOOKUP(R340,Formatos!A:F,4,FALSE),VLOOKUP(R340,Formatos!A:F,3,FALSE))))</f>
        <v>114.3</v>
      </c>
      <c r="U340" s="334">
        <f>IF(R340="","",VLOOKUP(R340,Formatos!A:F,5,FALSE))</f>
        <v>76.2</v>
      </c>
      <c r="V340" s="334">
        <f>IF(R340="","",VLOOKUP(R340,Formatos!A:F,6,FALSE))</f>
        <v>69.900000000000006</v>
      </c>
      <c r="W340" s="196"/>
      <c r="X340" s="152"/>
      <c r="Z340" s="198"/>
      <c r="AA340" s="198"/>
    </row>
    <row r="341" spans="1:27" s="197" customFormat="1" ht="15" customHeight="1" thickBot="1">
      <c r="A341" s="226"/>
      <c r="B341" s="205"/>
      <c r="C341" s="211"/>
      <c r="D341" s="206"/>
      <c r="E341" s="206"/>
      <c r="F341" s="246"/>
      <c r="G341" s="340">
        <f>M342</f>
        <v>0</v>
      </c>
      <c r="H341" s="340" t="e">
        <f>SUMIF(M352:M401,G341,T352:T401)+SUMIF(O352:O401,G341,U352:U401)+SUMIF(Q352:Q401,G341,V352:V401)</f>
        <v>#N/A</v>
      </c>
      <c r="I341" s="247"/>
      <c r="J341" s="207"/>
      <c r="K341" s="207"/>
      <c r="L341" s="343">
        <f>IF(M341="","",((O341*Q341)/(P341-Q341)+O341)*2)</f>
        <v>2764.9714285714299</v>
      </c>
      <c r="M341" s="274" t="s">
        <v>1126</v>
      </c>
      <c r="N341" s="334">
        <f>IF(M341="","",IF(VLOOKUP(M341,Formatos!A:F,2,FALSE)="S",IF(VLOOKUP(M342,Formatos!A:F,2,FALSE)="W",VLOOKUP(M342,Formatos!A:F,4,FALSE),VLOOKUP(M342,Formatos!A:F,3,FALSE)),IF(VLOOKUP(M341,Formatos!A:F,2,FALSE)="W",VLOOKUP(M341,Formatos!A:F,4,FALSE),VLOOKUP(M341,Formatos!A:F,3,FALSE))))</f>
        <v>228.6</v>
      </c>
      <c r="O341" s="334">
        <f>IF(M341="","",IF(VLOOKUP(M341,Formatos!A:F,2,FALSE)="S",IF(VLOOKUP(M342,Formatos!A:F,2,FALSE)="W",VLOOKUP(M342,Formatos!A:F,3,FALSE),VLOOKUP(M342,Formatos!A:F,4,FALSE)),IF(VLOOKUP(M341,Formatos!A:F,2,FALSE)="W",VLOOKUP(M341,Formatos!A:F,3,FALSE),VLOOKUP(M341,Formatos!A:F,4,FALSE))))</f>
        <v>114.3</v>
      </c>
      <c r="P341" s="334">
        <f>IF(M341="","",VLOOKUP(M341,Formatos!A:F,5,FALSE))</f>
        <v>76.2</v>
      </c>
      <c r="Q341" s="334">
        <f>IF(M341="","",VLOOKUP(M341,Formatos!A:F,6,FALSE))</f>
        <v>69.900000000000006</v>
      </c>
      <c r="R341" s="274"/>
      <c r="S341" s="334" t="str">
        <f>IF(R341="","",IF(VLOOKUP(R341,Formatos!A:F,2,FALSE)="S",IF(VLOOKUP(R342,Formatos!A:F,2,FALSE)="W",VLOOKUP(R342,Formatos!A:F,3,FALSE),VLOOKUP(R342,Formatos!A:F,4,FALSE)),IF(VLOOKUP(R341,Formatos!A:F,2,FALSE)="W",VLOOKUP(R341,Formatos!A:F,3,FALSE),VLOOKUP(R341,Formatos!A:F,4,FALSE))))</f>
        <v/>
      </c>
      <c r="T341" s="334" t="str">
        <f>IF(R341="","",IF(VLOOKUP(R341,Formatos!A:F,2,FALSE)="S",IF(VLOOKUP(R342,Formatos!A:F,2,FALSE)="W",VLOOKUP(R342,Formatos!A:F,4,FALSE),VLOOKUP(R342,Formatos!A:F,3,FALSE)),IF(VLOOKUP(R341,Formatos!A:F,2,FALSE)="W",VLOOKUP(R341,Formatos!A:F,4,FALSE),VLOOKUP(R341,Formatos!A:F,3,FALSE))))</f>
        <v/>
      </c>
      <c r="U341" s="334" t="str">
        <f>IF(R341="","",VLOOKUP(R341,Formatos!A:F,5,FALSE))</f>
        <v/>
      </c>
      <c r="V341" s="334" t="str">
        <f>IF(R341="","",VLOOKUP(R341,Formatos!A:F,6,FALSE))</f>
        <v/>
      </c>
      <c r="W341" s="196"/>
      <c r="X341" s="152"/>
      <c r="Z341" s="198"/>
      <c r="AA341" s="198"/>
    </row>
    <row r="342" spans="1:27" s="197" customFormat="1" ht="15" customHeight="1" thickBot="1">
      <c r="A342" s="226"/>
      <c r="B342" s="205"/>
      <c r="C342" s="311" t="s">
        <v>46</v>
      </c>
      <c r="D342" s="206"/>
      <c r="E342" s="206"/>
      <c r="F342" s="246"/>
      <c r="G342" s="340">
        <f>M343</f>
        <v>0</v>
      </c>
      <c r="H342" s="340" t="e">
        <f>SUMIF(M352:M401,G342,T352:T401)+SUMIF(O352:O401,G342,U352:U401)+SUMIF(Q352:Q401,G342,V352:V401)</f>
        <v>#N/A</v>
      </c>
      <c r="I342" s="247"/>
      <c r="J342" s="207"/>
      <c r="K342" s="207"/>
      <c r="L342" s="343" t="str">
        <f>IF(M342="","",((O342*Q342)/(P342-Q342)+O342)*2)</f>
        <v/>
      </c>
      <c r="M342" s="274"/>
      <c r="N342" s="334" t="str">
        <f>IF(M342="","",IF(VLOOKUP(M342,Formatos!A:F,2,FALSE)="S",IF(VLOOKUP(M343,Formatos!A:F,2,FALSE)="W",VLOOKUP(M343,Formatos!A:F,4,FALSE),VLOOKUP(M343,Formatos!A:F,3,FALSE)),IF(VLOOKUP(M342,Formatos!A:F,2,FALSE)="W",VLOOKUP(M342,Formatos!A:F,4,FALSE),VLOOKUP(M342,Formatos!A:F,3,FALSE))))</f>
        <v/>
      </c>
      <c r="O342" s="334" t="str">
        <f>IF(M342="","",IF(VLOOKUP(M342,Formatos!A:F,2,FALSE)="S",IF(VLOOKUP(M343,Formatos!A:F,2,FALSE)="W",VLOOKUP(M343,Formatos!A:F,3,FALSE),VLOOKUP(M343,Formatos!A:F,4,FALSE)),IF(VLOOKUP(M342,Formatos!A:F,2,FALSE)="W",VLOOKUP(M342,Formatos!A:F,3,FALSE),VLOOKUP(M342,Formatos!A:F,4,FALSE))))</f>
        <v/>
      </c>
      <c r="P342" s="334" t="str">
        <f>IF(M342="","",VLOOKUP(M342,Formatos!A:F,5,FALSE))</f>
        <v/>
      </c>
      <c r="Q342" s="334" t="str">
        <f>IF(M342="","",VLOOKUP(M342,Formatos!A:F,6,FALSE))</f>
        <v/>
      </c>
      <c r="R342" s="274"/>
      <c r="S342" s="334" t="str">
        <f>IF(R342="","",IF(VLOOKUP(R342,Formatos!A:F,2,FALSE)="S",IF(VLOOKUP(R343,Formatos!A:F,2,FALSE)="W",VLOOKUP(R343,Formatos!A:F,3,FALSE),VLOOKUP(R343,Formatos!A:F,4,FALSE)),IF(VLOOKUP(R342,Formatos!A:F,2,FALSE)="W",VLOOKUP(R342,Formatos!A:F,3,FALSE),VLOOKUP(R342,Formatos!A:F,4,FALSE))))</f>
        <v/>
      </c>
      <c r="T342" s="334" t="str">
        <f>IF(R342="","",IF(VLOOKUP(R342,Formatos!A:F,2,FALSE)="S",IF(VLOOKUP(R343,Formatos!A:F,2,FALSE)="W",VLOOKUP(R343,Formatos!A:F,4,FALSE),VLOOKUP(R343,Formatos!A:F,3,FALSE)),IF(VLOOKUP(R342,Formatos!A:F,2,FALSE)="W",VLOOKUP(R342,Formatos!A:F,4,FALSE),VLOOKUP(R342,Formatos!A:F,3,FALSE))))</f>
        <v/>
      </c>
      <c r="U342" s="334" t="str">
        <f>IF(R342="","",VLOOKUP(R342,Formatos!A:F,5,FALSE))</f>
        <v/>
      </c>
      <c r="V342" s="334" t="str">
        <f>IF(R342="","",VLOOKUP(R342,Formatos!A:F,6,FALSE))</f>
        <v/>
      </c>
      <c r="W342" s="196"/>
      <c r="X342" s="152"/>
      <c r="Z342" s="198"/>
      <c r="AA342" s="198"/>
    </row>
    <row r="343" spans="1:27" s="197" customFormat="1" ht="15" customHeight="1" thickBot="1">
      <c r="A343" s="226"/>
      <c r="B343" s="205"/>
      <c r="C343" s="624"/>
      <c r="D343" s="206"/>
      <c r="E343" s="206"/>
      <c r="F343" s="246"/>
      <c r="G343" s="340">
        <f>M344</f>
        <v>0</v>
      </c>
      <c r="H343" s="340" t="e">
        <f>SUMIF(M352:M401,G343,T352:T401)+SUMIF(O352:O401,G343,U352:U401)+SUMIF(Q352:Q401,G343,V352:V401)</f>
        <v>#N/A</v>
      </c>
      <c r="I343" s="247"/>
      <c r="J343" s="207"/>
      <c r="K343" s="207"/>
      <c r="L343" s="207" t="str">
        <f>IF(M343="","",((O343*Q343)/(P343-Q343)+O343)*2)</f>
        <v/>
      </c>
      <c r="M343" s="274"/>
      <c r="N343" s="334" t="str">
        <f>IF(M343="","",IF(VLOOKUP(M343,Formatos!A:F,2,FALSE)="S",IF(VLOOKUP(M344,Formatos!A:F,2,FALSE)="W",VLOOKUP(M344,Formatos!A:F,4,FALSE),VLOOKUP(M344,Formatos!A:F,3,FALSE)),IF(VLOOKUP(M343,Formatos!A:F,2,FALSE)="W",VLOOKUP(M343,Formatos!A:F,4,FALSE),VLOOKUP(M343,Formatos!A:F,3,FALSE))))</f>
        <v/>
      </c>
      <c r="O343" s="334" t="str">
        <f>IF(M343="","",IF(VLOOKUP(M343,Formatos!A:F,2,FALSE)="S",IF(VLOOKUP(M344,Formatos!A:F,2,FALSE)="W",VLOOKUP(M344,Formatos!A:F,3,FALSE),VLOOKUP(M344,Formatos!A:F,4,FALSE)),IF(VLOOKUP(M343,Formatos!A:F,2,FALSE)="W",VLOOKUP(M343,Formatos!A:F,3,FALSE),VLOOKUP(M343,Formatos!A:F,4,FALSE))))</f>
        <v/>
      </c>
      <c r="P343" s="334" t="str">
        <f>IF(M343="","",VLOOKUP(M343,Formatos!A:F,5,FALSE))</f>
        <v/>
      </c>
      <c r="Q343" s="334" t="str">
        <f>IF(M343="","",VLOOKUP(M343,Formatos!A:F,6,FALSE))</f>
        <v/>
      </c>
      <c r="R343" s="274"/>
      <c r="S343" s="334" t="str">
        <f>IF(R343="","",IF(VLOOKUP(R343,Formatos!A:F,2,FALSE)="S",IF(VLOOKUP(R344,Formatos!A:F,2,FALSE)="W",VLOOKUP(R344,Formatos!A:F,3,FALSE),VLOOKUP(R344,Formatos!A:F,4,FALSE)),IF(VLOOKUP(R343,Formatos!A:F,2,FALSE)="W",VLOOKUP(R343,Formatos!A:F,3,FALSE),VLOOKUP(R343,Formatos!A:F,4,FALSE))))</f>
        <v/>
      </c>
      <c r="T343" s="334" t="str">
        <f>IF(R343="","",IF(VLOOKUP(R343,Formatos!A:F,2,FALSE)="S",IF(VLOOKUP(R344,Formatos!A:F,2,FALSE)="W",VLOOKUP(R344,Formatos!A:F,4,FALSE),VLOOKUP(R344,Formatos!A:F,3,FALSE)),IF(VLOOKUP(R343,Formatos!A:F,2,FALSE)="W",VLOOKUP(R343,Formatos!A:F,4,FALSE),VLOOKUP(R343,Formatos!A:F,3,FALSE))))</f>
        <v/>
      </c>
      <c r="U343" s="334" t="str">
        <f>IF(R343="","",VLOOKUP(R343,Formatos!A:F,5,FALSE))</f>
        <v/>
      </c>
      <c r="V343" s="334" t="str">
        <f>IF(R343="","",VLOOKUP(R343,Formatos!A:F,6,FALSE))</f>
        <v/>
      </c>
      <c r="W343" s="196"/>
      <c r="X343" s="152"/>
      <c r="Z343" s="198"/>
      <c r="AA343" s="198"/>
    </row>
    <row r="344" spans="1:27" s="197" customFormat="1" ht="15" customHeight="1" thickBot="1">
      <c r="A344" s="226"/>
      <c r="B344" s="205"/>
      <c r="C344" s="211"/>
      <c r="D344" s="206"/>
      <c r="E344" s="206"/>
      <c r="F344" s="246"/>
      <c r="G344" s="340" t="str">
        <f>R340</f>
        <v>W9X41/2X3-23/4</v>
      </c>
      <c r="H344" s="340">
        <f>SUMIF(M352:M401,G344,T352:T401)+SUMIF(O352:O401,G344,U352:U401)+SUMIF(Q352:Q401,G344,V352:V401)</f>
        <v>0</v>
      </c>
      <c r="I344" s="247"/>
      <c r="J344" s="207"/>
      <c r="K344" s="207"/>
      <c r="L344" s="207" t="str">
        <f>IF(M344="","",((O344*Q344)/(P344-Q344)+O344)*2)</f>
        <v/>
      </c>
      <c r="M344" s="274"/>
      <c r="N344" s="334" t="str">
        <f>IF(M344="","",IF(VLOOKUP(M344,Formatos!A:F,2,FALSE)="S",IF(VLOOKUP(M345,Formatos!A:F,2,FALSE)="W",VLOOKUP(M345,Formatos!A:F,4,FALSE),VLOOKUP(M345,Formatos!A:F,3,FALSE)),IF(VLOOKUP(M344,Formatos!A:F,2,FALSE)="W",VLOOKUP(M344,Formatos!A:F,4,FALSE),VLOOKUP(M344,Formatos!A:F,3,FALSE))))</f>
        <v/>
      </c>
      <c r="O344" s="334" t="str">
        <f>IF(M344="","",IF(VLOOKUP(M344,Formatos!A:F,2,FALSE)="S",IF(VLOOKUP(M345,Formatos!A:F,2,FALSE)="W",VLOOKUP(M345,Formatos!A:F,3,FALSE),VLOOKUP(M345,Formatos!A:F,4,FALSE)),IF(VLOOKUP(M344,Formatos!A:F,2,FALSE)="W",VLOOKUP(M344,Formatos!A:F,3,FALSE),VLOOKUP(M344,Formatos!A:F,4,FALSE))))</f>
        <v/>
      </c>
      <c r="P344" s="334" t="str">
        <f>IF(M344="","",VLOOKUP(M344,Formatos!A:F,5,FALSE))</f>
        <v/>
      </c>
      <c r="Q344" s="334" t="str">
        <f>IF(M344="","",VLOOKUP(M344,Formatos!A:F,6,FALSE))</f>
        <v/>
      </c>
      <c r="R344" s="274"/>
      <c r="S344" s="334" t="str">
        <f>IF(R344="","",IF(VLOOKUP(R344,Formatos!A:F,2,FALSE)="S",IF(VLOOKUP(R345,Formatos!A:F,2,FALSE)="W",VLOOKUP(R345,Formatos!A:F,3,FALSE),VLOOKUP(R345,Formatos!A:F,4,FALSE)),IF(VLOOKUP(R344,Formatos!A:F,2,FALSE)="W",VLOOKUP(R344,Formatos!A:F,3,FALSE),VLOOKUP(R344,Formatos!A:F,4,FALSE))))</f>
        <v/>
      </c>
      <c r="T344" s="334" t="str">
        <f>IF(R344="","",IF(VLOOKUP(R344,Formatos!A:F,2,FALSE)="S",IF(VLOOKUP(R345,Formatos!A:F,2,FALSE)="W",VLOOKUP(R345,Formatos!A:F,4,FALSE),VLOOKUP(R345,Formatos!A:F,3,FALSE)),IF(VLOOKUP(R344,Formatos!A:F,2,FALSE)="W",VLOOKUP(R344,Formatos!A:F,4,FALSE),VLOOKUP(R344,Formatos!A:F,3,FALSE))))</f>
        <v/>
      </c>
      <c r="U344" s="334" t="str">
        <f>IF(R344="","",VLOOKUP(R344,Formatos!A:F,5,FALSE))</f>
        <v/>
      </c>
      <c r="V344" s="334" t="str">
        <f>IF(R344="","",VLOOKUP(R344,Formatos!A:F,6,FALSE))</f>
        <v/>
      </c>
      <c r="W344" s="196"/>
      <c r="X344" s="152"/>
      <c r="Z344" s="198"/>
      <c r="AA344" s="198"/>
    </row>
    <row r="345" spans="1:27" s="197" customFormat="1" ht="15" customHeight="1" thickBot="1">
      <c r="A345" s="226"/>
      <c r="B345" s="205"/>
      <c r="C345" s="311" t="s">
        <v>53</v>
      </c>
      <c r="D345" s="206"/>
      <c r="E345" s="206"/>
      <c r="F345" s="246"/>
      <c r="G345" s="340">
        <f>R341</f>
        <v>0</v>
      </c>
      <c r="H345" s="340" t="e">
        <f>SUMIF(M352:M401,G345,T352:T401)+SUMIF(O352:O401,G345,U352:U401)+SUMIF(Q352:Q401,G345,V352:V401)</f>
        <v>#N/A</v>
      </c>
      <c r="I345" s="247"/>
      <c r="J345" s="207"/>
      <c r="K345" s="207"/>
      <c r="L345" s="207"/>
      <c r="S345" s="206"/>
      <c r="T345" s="206"/>
      <c r="U345" s="206"/>
      <c r="V345" s="208"/>
      <c r="W345" s="196"/>
      <c r="X345" s="152"/>
      <c r="Z345" s="198"/>
      <c r="AA345" s="198"/>
    </row>
    <row r="346" spans="1:27" s="197" customFormat="1" ht="15" customHeight="1" thickBot="1">
      <c r="A346" s="226"/>
      <c r="B346" s="205"/>
      <c r="C346" s="267"/>
      <c r="D346" s="206"/>
      <c r="E346" s="206"/>
      <c r="F346" s="246"/>
      <c r="G346" s="340">
        <f>R342</f>
        <v>0</v>
      </c>
      <c r="H346" s="340" t="e">
        <f>SUMIF(M352:M401,G346,T352:T401)+SUMIF(O352:O401,G346,U352:U401)+SUMIF(Q352:Q401,G346,V352:V401)</f>
        <v>#N/A</v>
      </c>
      <c r="I346" s="247"/>
      <c r="J346" s="207"/>
      <c r="K346" s="207"/>
      <c r="L346" s="207"/>
      <c r="M346" s="335" t="s">
        <v>1014</v>
      </c>
      <c r="N346" s="335" t="str">
        <f>IF(R340="","CN1",R340)</f>
        <v>W9X41/2X3-23/4</v>
      </c>
      <c r="O346" s="335" t="str">
        <f>IF(R341="","CN2",R341)</f>
        <v>CN2</v>
      </c>
      <c r="P346" s="335" t="str">
        <f>IF(R342="","CN3",R342)</f>
        <v>CN3</v>
      </c>
      <c r="Q346" s="335" t="str">
        <f>IF(R343="","CN4",R343)</f>
        <v>CN4</v>
      </c>
      <c r="R346" s="335" t="str">
        <f>IF(R344="","CN5",R344)</f>
        <v>CN5</v>
      </c>
      <c r="S346" s="206"/>
      <c r="T346" s="206"/>
      <c r="U346" s="206"/>
      <c r="V346" s="208"/>
      <c r="W346" s="196"/>
      <c r="X346" s="152"/>
      <c r="Z346" s="198"/>
      <c r="AA346" s="198"/>
    </row>
    <row r="347" spans="1:27" s="197" customFormat="1" ht="15" customHeight="1" thickBot="1">
      <c r="A347" s="226"/>
      <c r="B347" s="205"/>
      <c r="C347" s="211"/>
      <c r="D347" s="206"/>
      <c r="E347" s="206"/>
      <c r="F347" s="246"/>
      <c r="G347" s="340">
        <f>R343</f>
        <v>0</v>
      </c>
      <c r="H347" s="340" t="e">
        <f>SUMIF(M352:M401,G347,T352:T401)+SUMIF(O352:O401,G347,U352:U401)+SUMIF(Q352:Q401,G347,V352:V401)</f>
        <v>#N/A</v>
      </c>
      <c r="I347" s="247"/>
      <c r="J347" s="207"/>
      <c r="K347" s="207"/>
      <c r="L347" s="207"/>
      <c r="M347" s="594">
        <f>C346</f>
        <v>0</v>
      </c>
      <c r="N347" s="336">
        <f>IF(R340="","",SIN(RADIANS(M347))*S340*2*PI()/(U340-V340))</f>
        <v>0</v>
      </c>
      <c r="O347" s="336" t="str">
        <f>IF(R341="","",SIN(RADIANS(M347))*S341*2*PI()/(U341-V341))</f>
        <v/>
      </c>
      <c r="P347" s="336" t="str">
        <f>IF(R342="","",SIN(RADIANS(M347))*S342*2*PI()/(U342-V342))</f>
        <v/>
      </c>
      <c r="Q347" s="336" t="str">
        <f>IF(R343="","",SIN(RADIANS(M347))*S343*2*PI()/(U343-V343))</f>
        <v/>
      </c>
      <c r="R347" s="336" t="str">
        <f>IF(R344="","",SIN(RADIANS(M347))*S344*2*PI()/(U344-V344))</f>
        <v/>
      </c>
      <c r="S347" s="206"/>
      <c r="T347" s="206"/>
      <c r="U347" s="206"/>
      <c r="V347" s="208"/>
      <c r="W347" s="196"/>
      <c r="X347" s="152"/>
      <c r="Z347" s="198"/>
      <c r="AA347" s="198"/>
    </row>
    <row r="348" spans="1:27" s="197" customFormat="1" ht="15" customHeight="1">
      <c r="A348" s="226"/>
      <c r="B348" s="205"/>
      <c r="C348" s="211"/>
      <c r="D348" s="206"/>
      <c r="E348" s="206"/>
      <c r="F348" s="246"/>
      <c r="G348" s="340">
        <f>R344</f>
        <v>0</v>
      </c>
      <c r="H348" s="340" t="e">
        <f>SUMIF(M352:M401,G348,T352:T401)+SUMIF(O352:O401,G348,U352:U401)+SUMIF(Q352:Q401,G348,V352:V401)</f>
        <v>#N/A</v>
      </c>
      <c r="I348" s="247"/>
      <c r="J348" s="207"/>
      <c r="K348" s="207"/>
      <c r="L348" s="207"/>
      <c r="M348" s="206"/>
      <c r="N348" s="206"/>
      <c r="O348" s="206"/>
      <c r="P348" s="206"/>
      <c r="Q348" s="206"/>
      <c r="R348" s="206"/>
      <c r="S348" s="206"/>
      <c r="T348" s="206"/>
      <c r="U348" s="206"/>
      <c r="V348" s="208"/>
      <c r="W348" s="242"/>
      <c r="X348" s="152"/>
      <c r="Z348" s="198"/>
      <c r="AA348" s="198"/>
    </row>
    <row r="349" spans="1:27" s="197" customFormat="1" ht="15" customHeight="1">
      <c r="A349" s="226"/>
      <c r="B349" s="205"/>
      <c r="C349" s="211"/>
      <c r="D349" s="206"/>
      <c r="E349" s="206"/>
      <c r="F349" s="206"/>
      <c r="G349" s="206"/>
      <c r="H349" s="206"/>
      <c r="I349" s="206"/>
      <c r="J349" s="207"/>
      <c r="K349" s="207"/>
      <c r="L349" s="207"/>
      <c r="M349" s="206"/>
      <c r="N349" s="206"/>
      <c r="O349" s="206"/>
      <c r="P349" s="206"/>
      <c r="Q349" s="206"/>
      <c r="R349" s="206"/>
      <c r="S349" s="206"/>
      <c r="T349" s="206"/>
      <c r="U349" s="206"/>
      <c r="V349" s="208"/>
      <c r="W349" s="196"/>
      <c r="X349" s="152"/>
      <c r="Z349" s="198"/>
      <c r="AA349" s="198"/>
    </row>
    <row r="350" spans="1:27" s="197" customFormat="1" ht="15" customHeight="1">
      <c r="A350" s="226"/>
      <c r="B350" s="205"/>
      <c r="C350" s="211"/>
      <c r="D350" s="206"/>
      <c r="E350" s="206"/>
      <c r="F350" s="206"/>
      <c r="G350" s="206"/>
      <c r="H350" s="206"/>
      <c r="I350" s="206"/>
      <c r="J350" s="207"/>
      <c r="K350" s="207"/>
      <c r="L350" s="155"/>
      <c r="M350" s="206"/>
      <c r="N350" s="206"/>
      <c r="O350" s="206"/>
      <c r="P350" s="206"/>
      <c r="Q350" s="206"/>
      <c r="R350" s="206"/>
      <c r="S350" s="206"/>
      <c r="T350" s="206"/>
      <c r="U350" s="206"/>
      <c r="V350" s="208"/>
      <c r="W350" s="196"/>
      <c r="X350" s="152"/>
      <c r="Z350" s="198"/>
      <c r="AA350" s="198"/>
    </row>
    <row r="351" spans="1:27" s="197" customFormat="1" ht="15" customHeight="1" thickBot="1">
      <c r="A351" s="226"/>
      <c r="B351" s="205"/>
      <c r="C351" s="311" t="s">
        <v>989</v>
      </c>
      <c r="D351" s="330" t="s">
        <v>1017</v>
      </c>
      <c r="E351" s="329" t="s">
        <v>1018</v>
      </c>
      <c r="F351" s="329" t="s">
        <v>1019</v>
      </c>
      <c r="G351" s="338" t="s">
        <v>1021</v>
      </c>
      <c r="H351" s="338" t="s">
        <v>7</v>
      </c>
      <c r="I351" s="338" t="s">
        <v>15</v>
      </c>
      <c r="J351" s="338" t="s">
        <v>539</v>
      </c>
      <c r="K351" s="338" t="s">
        <v>540</v>
      </c>
      <c r="L351" s="329" t="s">
        <v>1020</v>
      </c>
      <c r="M351" s="183"/>
      <c r="N351" s="206" t="s">
        <v>57</v>
      </c>
      <c r="O351" s="252"/>
      <c r="P351" s="206" t="s">
        <v>54</v>
      </c>
      <c r="Q351" s="252"/>
      <c r="R351" s="206" t="s">
        <v>55</v>
      </c>
      <c r="S351" s="252" t="s">
        <v>1022</v>
      </c>
      <c r="T351" s="206" t="s">
        <v>57</v>
      </c>
      <c r="U351" s="206" t="s">
        <v>54</v>
      </c>
      <c r="V351" s="208" t="s">
        <v>55</v>
      </c>
      <c r="W351" s="196"/>
      <c r="X351" s="152"/>
      <c r="Z351" s="198"/>
      <c r="AA351" s="198"/>
    </row>
    <row r="352" spans="1:27" s="197" customFormat="1" ht="15" customHeight="1">
      <c r="A352" s="226"/>
      <c r="B352" s="179" t="s">
        <v>1024</v>
      </c>
      <c r="C352" s="311">
        <f>C340</f>
        <v>0</v>
      </c>
      <c r="D352" s="337">
        <f>(C352-(SIN(RADIANS(M347))*N340)-(COS(RADIANS(M347))*O340))*PI()/MEDIAN(U340:V344,P340:Q344)</f>
        <v>-4.7123889803846897</v>
      </c>
      <c r="E352" s="337" t="e">
        <f>(C352*PI()-N352*(G352+C343))/PI()</f>
        <v>#N/A</v>
      </c>
      <c r="F352" s="337" t="e">
        <f>E352-2*O340*COS(RADIANS(M347))</f>
        <v>#N/A</v>
      </c>
      <c r="G352" s="339" t="e">
        <f>ROUND(VLOOKUP(M352,R340:V344,4,FALSE),)</f>
        <v>#N/A</v>
      </c>
      <c r="H352" s="339" t="e">
        <f>ROUND(VLOOKUP(O352,M340:Q344,4,FALSE),)</f>
        <v>#N/A</v>
      </c>
      <c r="I352" s="339" t="e">
        <f>ROUND(VLOOKUP(O352,M340:Q344,5,FALSE),)</f>
        <v>#N/A</v>
      </c>
      <c r="J352" s="339" t="e">
        <f>ROUND(VLOOKUP(Q352,M340:Q344,4,FALSE),)</f>
        <v>#N/A</v>
      </c>
      <c r="K352" s="339" t="e">
        <f>ROUND(VLOOKUP(Q352,M340:Q344,5,FALSE),)</f>
        <v>#N/A</v>
      </c>
      <c r="L352" s="636">
        <f t="shared" ref="L352:L383" si="59">D352/3</f>
        <v>-1.5707963267948966</v>
      </c>
      <c r="M352" s="300"/>
      <c r="N352" s="637" t="e">
        <f>ROUND(HLOOKUP(M352,N346:R347,2,FALSE),)</f>
        <v>#N/A</v>
      </c>
      <c r="O352" s="300"/>
      <c r="P352" s="638" t="e">
        <f>PI()*(F352*(J352+C343)-E352*(K352+C343))/(((J352+C343)*(I352+C343))-((H352+C343)*(K352+C343)))</f>
        <v>#N/A</v>
      </c>
      <c r="Q352" s="300"/>
      <c r="R352" s="638" t="e">
        <f>(E352*PI()-P352*(H352+C343))/(J352+C343)</f>
        <v>#N/A</v>
      </c>
      <c r="S352" s="640">
        <v>360</v>
      </c>
      <c r="T352" s="247" t="e">
        <f t="shared" ref="T352:T383" si="60">ROUND(N352/360*S352,)</f>
        <v>#N/A</v>
      </c>
      <c r="U352" s="206" t="e">
        <f t="shared" ref="U352:U383" si="61">ROUND(P352/360*S352,)</f>
        <v>#N/A</v>
      </c>
      <c r="V352" s="206" t="e">
        <f t="shared" ref="V352:V383" si="62">ROUND(R352/360*S352,)</f>
        <v>#N/A</v>
      </c>
      <c r="W352" s="196"/>
      <c r="X352" s="152"/>
      <c r="Z352" s="198"/>
      <c r="AA352" s="198"/>
    </row>
    <row r="353" spans="1:27" s="197" customFormat="1" ht="15" customHeight="1">
      <c r="A353" s="226"/>
      <c r="B353" s="179" t="s">
        <v>1025</v>
      </c>
      <c r="C353" s="312">
        <f>C352+2*SIN(RADIANS(M347))*(N340+C343)</f>
        <v>0</v>
      </c>
      <c r="D353" s="337">
        <f>(C353-(SIN(RADIANS(M347))*N340)-(COS(RADIANS(M347))*O340))*PI()/MEDIAN(U340:V344,P340:Q344)</f>
        <v>-4.7123889803846897</v>
      </c>
      <c r="E353" s="337" t="e">
        <f>(C353*PI()-N353*(G353+C343))/PI()</f>
        <v>#N/A</v>
      </c>
      <c r="F353" s="337" t="e">
        <f>E353-2*O340*COS(RADIANS(M347))</f>
        <v>#N/A</v>
      </c>
      <c r="G353" s="339" t="e">
        <f>ROUND(VLOOKUP(M353,R340:V344,4,FALSE),)</f>
        <v>#N/A</v>
      </c>
      <c r="H353" s="339" t="e">
        <f>ROUND(VLOOKUP(O353,M340:Q344,4,FALSE),)</f>
        <v>#N/A</v>
      </c>
      <c r="I353" s="339" t="e">
        <f>ROUND(VLOOKUP(O353,M340:Q344,5,FALSE),)</f>
        <v>#N/A</v>
      </c>
      <c r="J353" s="339" t="e">
        <f>ROUND(VLOOKUP(Q353,M340:Q344,4,FALSE),)</f>
        <v>#N/A</v>
      </c>
      <c r="K353" s="339" t="e">
        <f>ROUND(VLOOKUP(Q353,M340:Q344,5,FALSE),)</f>
        <v>#N/A</v>
      </c>
      <c r="L353" s="636">
        <f t="shared" si="59"/>
        <v>-1.5707963267948966</v>
      </c>
      <c r="M353" s="639">
        <f t="shared" ref="M353:M384" si="63">M352</f>
        <v>0</v>
      </c>
      <c r="N353" s="637" t="e">
        <f>ROUND(HLOOKUP(M353,N346:R347,2,FALSE),)</f>
        <v>#N/A</v>
      </c>
      <c r="O353" s="639">
        <f t="shared" ref="O353:O384" si="64">O352</f>
        <v>0</v>
      </c>
      <c r="P353" s="638" t="e">
        <f>PI()*(F353*(J353+C343)-E353*(K353+C343))/(((J353+C343)*(I353+C343))-((H353+C343)*(K353+C343)))</f>
        <v>#N/A</v>
      </c>
      <c r="Q353" s="639">
        <f t="shared" ref="Q353:Q384" si="65">Q352</f>
        <v>0</v>
      </c>
      <c r="R353" s="638" t="e">
        <f>(E353*PI()-P353*(H353+C343))/(J353+C343)</f>
        <v>#N/A</v>
      </c>
      <c r="S353" s="641">
        <f>S352</f>
        <v>360</v>
      </c>
      <c r="T353" s="247" t="e">
        <f t="shared" si="60"/>
        <v>#N/A</v>
      </c>
      <c r="U353" s="206" t="e">
        <f t="shared" si="61"/>
        <v>#N/A</v>
      </c>
      <c r="V353" s="206" t="e">
        <f t="shared" si="62"/>
        <v>#N/A</v>
      </c>
      <c r="W353" s="196"/>
      <c r="X353" s="152"/>
      <c r="Z353" s="198"/>
      <c r="AA353" s="198"/>
    </row>
    <row r="354" spans="1:27" s="197" customFormat="1" ht="15" customHeight="1">
      <c r="A354" s="226"/>
      <c r="B354" s="179" t="s">
        <v>1026</v>
      </c>
      <c r="C354" s="312">
        <f>C353+2*SIN(RADIANS(M347))*(N340+C343)</f>
        <v>0</v>
      </c>
      <c r="D354" s="337">
        <f>(C354-(SIN(RADIANS(M347))*N340)-(COS(RADIANS(M347))*O340))*PI()/MEDIAN(U340:V344,P340:Q344)</f>
        <v>-4.7123889803846897</v>
      </c>
      <c r="E354" s="337" t="e">
        <f>(C354*PI()-N354*(G354+C343))/PI()</f>
        <v>#N/A</v>
      </c>
      <c r="F354" s="337" t="e">
        <f>E354-2*O340*COS(RADIANS(M347))</f>
        <v>#N/A</v>
      </c>
      <c r="G354" s="339" t="e">
        <f>ROUND(VLOOKUP(M354,R340:V344,4,FALSE),)</f>
        <v>#N/A</v>
      </c>
      <c r="H354" s="339" t="e">
        <f>ROUND(VLOOKUP(O354,M340:Q344,4,FALSE),)</f>
        <v>#N/A</v>
      </c>
      <c r="I354" s="339" t="e">
        <f>ROUND(VLOOKUP(O354,M340:Q344,5,FALSE),)</f>
        <v>#N/A</v>
      </c>
      <c r="J354" s="339" t="e">
        <f>ROUND(VLOOKUP(Q354,M340:Q344,4,FALSE),)</f>
        <v>#N/A</v>
      </c>
      <c r="K354" s="339" t="e">
        <f>ROUND(VLOOKUP(Q354,M340:Q344,5,FALSE),)</f>
        <v>#N/A</v>
      </c>
      <c r="L354" s="636">
        <f t="shared" si="59"/>
        <v>-1.5707963267948966</v>
      </c>
      <c r="M354" s="639">
        <f t="shared" si="63"/>
        <v>0</v>
      </c>
      <c r="N354" s="637" t="e">
        <f>ROUND(HLOOKUP(M354,N346:R347,2,FALSE),)</f>
        <v>#N/A</v>
      </c>
      <c r="O354" s="639">
        <f t="shared" si="64"/>
        <v>0</v>
      </c>
      <c r="P354" s="638" t="e">
        <f>PI()*(F354*(J354+C343)-E354*(K354+C343))/(((J354+C343)*(I354+C343))-((H354+C343)*(K354+C343)))</f>
        <v>#N/A</v>
      </c>
      <c r="Q354" s="639">
        <f t="shared" si="65"/>
        <v>0</v>
      </c>
      <c r="R354" s="638" t="e">
        <f>(E354*PI()-P354*(H354+C343))/(J354+C343)</f>
        <v>#N/A</v>
      </c>
      <c r="S354" s="641">
        <f t="shared" ref="S354:S401" si="66">S353</f>
        <v>360</v>
      </c>
      <c r="T354" s="247" t="e">
        <f t="shared" si="60"/>
        <v>#N/A</v>
      </c>
      <c r="U354" s="206" t="e">
        <f t="shared" si="61"/>
        <v>#N/A</v>
      </c>
      <c r="V354" s="206" t="e">
        <f t="shared" si="62"/>
        <v>#N/A</v>
      </c>
      <c r="W354" s="196"/>
      <c r="X354" s="152"/>
      <c r="Z354" s="198"/>
      <c r="AA354" s="198"/>
    </row>
    <row r="355" spans="1:27" s="197" customFormat="1" ht="15" customHeight="1">
      <c r="A355" s="226"/>
      <c r="B355" s="179" t="s">
        <v>1027</v>
      </c>
      <c r="C355" s="312">
        <f>C354+2*SIN(RADIANS(M347))*(N340+C343)</f>
        <v>0</v>
      </c>
      <c r="D355" s="337">
        <f>(C355-(SIN(RADIANS(M347))*N340)-(COS(RADIANS(M347))*O340))*PI()/MEDIAN(U340:V344,P340:Q344)</f>
        <v>-4.7123889803846897</v>
      </c>
      <c r="E355" s="337" t="e">
        <f>(C355*PI()-N355*(G355+C343))/PI()</f>
        <v>#N/A</v>
      </c>
      <c r="F355" s="337" t="e">
        <f>E355-2*O340*COS(RADIANS(M347))</f>
        <v>#N/A</v>
      </c>
      <c r="G355" s="339" t="e">
        <f>ROUND(VLOOKUP(M355,R340:V344,4,FALSE),)</f>
        <v>#N/A</v>
      </c>
      <c r="H355" s="339" t="e">
        <f>ROUND(VLOOKUP(O355,M340:Q344,4,FALSE),)</f>
        <v>#N/A</v>
      </c>
      <c r="I355" s="339" t="e">
        <f>ROUND(VLOOKUP(O355,M340:Q344,5,FALSE),)</f>
        <v>#N/A</v>
      </c>
      <c r="J355" s="339" t="e">
        <f>ROUND(VLOOKUP(Q355,M340:Q344,4,FALSE),)</f>
        <v>#N/A</v>
      </c>
      <c r="K355" s="339" t="e">
        <f>ROUND(VLOOKUP(Q355,M340:Q344,5,FALSE),)</f>
        <v>#N/A</v>
      </c>
      <c r="L355" s="636">
        <f t="shared" si="59"/>
        <v>-1.5707963267948966</v>
      </c>
      <c r="M355" s="639">
        <f t="shared" si="63"/>
        <v>0</v>
      </c>
      <c r="N355" s="637" t="e">
        <f>ROUND(HLOOKUP(M355,N346:R347,2,FALSE),)</f>
        <v>#N/A</v>
      </c>
      <c r="O355" s="639">
        <f t="shared" si="64"/>
        <v>0</v>
      </c>
      <c r="P355" s="638" t="e">
        <f>PI()*(F355*(J355+C343)-E355*(K355+C343))/(((J355+C343)*(I355+C343))-((H355+C343)*(K355+C343)))</f>
        <v>#N/A</v>
      </c>
      <c r="Q355" s="639">
        <f t="shared" si="65"/>
        <v>0</v>
      </c>
      <c r="R355" s="638" t="e">
        <f>(E355*PI()-P355*(H355+C343))/(J355+C343)</f>
        <v>#N/A</v>
      </c>
      <c r="S355" s="641">
        <f t="shared" si="66"/>
        <v>360</v>
      </c>
      <c r="T355" s="247" t="e">
        <f t="shared" si="60"/>
        <v>#N/A</v>
      </c>
      <c r="U355" s="206" t="e">
        <f t="shared" si="61"/>
        <v>#N/A</v>
      </c>
      <c r="V355" s="206" t="e">
        <f t="shared" si="62"/>
        <v>#N/A</v>
      </c>
      <c r="W355" s="196"/>
      <c r="X355" s="152"/>
      <c r="Z355" s="198"/>
      <c r="AA355" s="198"/>
    </row>
    <row r="356" spans="1:27" s="197" customFormat="1" ht="15" customHeight="1">
      <c r="A356" s="226"/>
      <c r="B356" s="179" t="s">
        <v>1028</v>
      </c>
      <c r="C356" s="312">
        <f>C355+2*SIN(RADIANS(M347))*(N340+C343)</f>
        <v>0</v>
      </c>
      <c r="D356" s="337">
        <f>(C356-(SIN(RADIANS(M347))*N340)-(COS(RADIANS(M347))*O340))*PI()/MEDIAN(U340:V344,P340:Q344)</f>
        <v>-4.7123889803846897</v>
      </c>
      <c r="E356" s="337" t="e">
        <f>(C356*PI()-N356*(G356+C343))/PI()</f>
        <v>#N/A</v>
      </c>
      <c r="F356" s="337" t="e">
        <f>E356-2*O340*COS(RADIANS(M347))</f>
        <v>#N/A</v>
      </c>
      <c r="G356" s="339" t="e">
        <f>ROUND(VLOOKUP(M356,R340:V344,4,FALSE),)</f>
        <v>#N/A</v>
      </c>
      <c r="H356" s="339" t="e">
        <f>ROUND(VLOOKUP(O356,M340:Q344,4,FALSE),)</f>
        <v>#N/A</v>
      </c>
      <c r="I356" s="339" t="e">
        <f>ROUND(VLOOKUP(O356,M340:Q344,5,FALSE),)</f>
        <v>#N/A</v>
      </c>
      <c r="J356" s="339" t="e">
        <f>ROUND(VLOOKUP(Q356,M340:Q344,4,FALSE),)</f>
        <v>#N/A</v>
      </c>
      <c r="K356" s="339" t="e">
        <f>ROUND(VLOOKUP(Q356,M340:Q344,5,FALSE),)</f>
        <v>#N/A</v>
      </c>
      <c r="L356" s="636">
        <f t="shared" si="59"/>
        <v>-1.5707963267948966</v>
      </c>
      <c r="M356" s="639">
        <f t="shared" si="63"/>
        <v>0</v>
      </c>
      <c r="N356" s="637" t="e">
        <f>ROUND(HLOOKUP(M356,N346:R347,2,FALSE),)</f>
        <v>#N/A</v>
      </c>
      <c r="O356" s="639">
        <f t="shared" si="64"/>
        <v>0</v>
      </c>
      <c r="P356" s="638" t="e">
        <f>PI()*(F356*(J356+C343)-E356*(K356+C343))/(((J356+C343)*(I356+C343))-((H356+C343)*(K356+C343)))</f>
        <v>#N/A</v>
      </c>
      <c r="Q356" s="639">
        <f t="shared" si="65"/>
        <v>0</v>
      </c>
      <c r="R356" s="638" t="e">
        <f>(E356*PI()-P356*(H356+C343))/(J356+C343)</f>
        <v>#N/A</v>
      </c>
      <c r="S356" s="641">
        <f t="shared" si="66"/>
        <v>360</v>
      </c>
      <c r="T356" s="247" t="e">
        <f t="shared" si="60"/>
        <v>#N/A</v>
      </c>
      <c r="U356" s="206" t="e">
        <f t="shared" si="61"/>
        <v>#N/A</v>
      </c>
      <c r="V356" s="206" t="e">
        <f t="shared" si="62"/>
        <v>#N/A</v>
      </c>
      <c r="W356" s="196"/>
      <c r="X356" s="152"/>
      <c r="Z356" s="198"/>
      <c r="AA356" s="198"/>
    </row>
    <row r="357" spans="1:27" s="197" customFormat="1" ht="15" customHeight="1">
      <c r="A357" s="226"/>
      <c r="B357" s="179" t="s">
        <v>1029</v>
      </c>
      <c r="C357" s="312">
        <f>C356+2*SIN(RADIANS(M347))*(N340+C343)</f>
        <v>0</v>
      </c>
      <c r="D357" s="337">
        <f>(C357-(SIN(RADIANS(M347))*N340)-(COS(RADIANS(M347))*O340))*PI()/MEDIAN(U340:V344,P340:Q344)</f>
        <v>-4.7123889803846897</v>
      </c>
      <c r="E357" s="337" t="e">
        <f>(C357*PI()-N357*(G357+C343))/PI()</f>
        <v>#N/A</v>
      </c>
      <c r="F357" s="337" t="e">
        <f>E357-2*O340*COS(RADIANS(M347))</f>
        <v>#N/A</v>
      </c>
      <c r="G357" s="339" t="e">
        <f>ROUND(VLOOKUP(M357,R340:V344,4,FALSE),)</f>
        <v>#N/A</v>
      </c>
      <c r="H357" s="339" t="e">
        <f>ROUND(VLOOKUP(O357,M340:Q344,4,FALSE),)</f>
        <v>#N/A</v>
      </c>
      <c r="I357" s="339" t="e">
        <f>ROUND(VLOOKUP(O357,M340:Q344,5,FALSE),)</f>
        <v>#N/A</v>
      </c>
      <c r="J357" s="339" t="e">
        <f>ROUND(VLOOKUP(Q357,M340:Q344,4,FALSE),)</f>
        <v>#N/A</v>
      </c>
      <c r="K357" s="339" t="e">
        <f>ROUND(VLOOKUP(Q357,M340:Q344,5,FALSE),)</f>
        <v>#N/A</v>
      </c>
      <c r="L357" s="636">
        <f t="shared" si="59"/>
        <v>-1.5707963267948966</v>
      </c>
      <c r="M357" s="639">
        <f>M356</f>
        <v>0</v>
      </c>
      <c r="N357" s="637" t="e">
        <f>ROUND(HLOOKUP(M357,N346:R347,2,FALSE),)</f>
        <v>#N/A</v>
      </c>
      <c r="O357" s="639">
        <f>O356</f>
        <v>0</v>
      </c>
      <c r="P357" s="638" t="e">
        <f>PI()*(F357*(J357+C343)-E357*(K357+C343))/(((J357+C343)*(I357+C343))-((H357+C343)*(K357+C343)))</f>
        <v>#N/A</v>
      </c>
      <c r="Q357" s="639">
        <f>Q356</f>
        <v>0</v>
      </c>
      <c r="R357" s="638" t="e">
        <f>(E357*PI()-P357*(H357+C343))/(J357+C343)</f>
        <v>#N/A</v>
      </c>
      <c r="S357" s="641">
        <f t="shared" si="66"/>
        <v>360</v>
      </c>
      <c r="T357" s="247" t="e">
        <f t="shared" si="60"/>
        <v>#N/A</v>
      </c>
      <c r="U357" s="206" t="e">
        <f t="shared" si="61"/>
        <v>#N/A</v>
      </c>
      <c r="V357" s="206" t="e">
        <f t="shared" si="62"/>
        <v>#N/A</v>
      </c>
      <c r="W357" s="196"/>
      <c r="X357" s="152"/>
      <c r="Z357" s="198"/>
      <c r="AA357" s="198"/>
    </row>
    <row r="358" spans="1:27" s="197" customFormat="1" ht="15" customHeight="1">
      <c r="A358" s="226"/>
      <c r="B358" s="179" t="s">
        <v>1030</v>
      </c>
      <c r="C358" s="312">
        <f>C357+2*SIN(RADIANS(M347))*(N340+C343)</f>
        <v>0</v>
      </c>
      <c r="D358" s="337">
        <f>(C358-(SIN(RADIANS(M347))*N340)-(COS(RADIANS(M347))*O340))*PI()/MEDIAN(U340:V344,P340:Q344)</f>
        <v>-4.7123889803846897</v>
      </c>
      <c r="E358" s="337" t="e">
        <f>(C358*PI()-N358*(G358+C343))/PI()</f>
        <v>#N/A</v>
      </c>
      <c r="F358" s="337" t="e">
        <f>E358-2*O340*COS(RADIANS(M347))</f>
        <v>#N/A</v>
      </c>
      <c r="G358" s="339" t="e">
        <f>ROUND(VLOOKUP(M358,R340:V344,4,FALSE),)</f>
        <v>#N/A</v>
      </c>
      <c r="H358" s="339" t="e">
        <f>ROUND(VLOOKUP(O358,M340:Q344,4,FALSE),)</f>
        <v>#N/A</v>
      </c>
      <c r="I358" s="339" t="e">
        <f>ROUND(VLOOKUP(O358,M340:Q344,5,FALSE),)</f>
        <v>#N/A</v>
      </c>
      <c r="J358" s="339" t="e">
        <f>ROUND(VLOOKUP(Q358,M340:Q344,4,FALSE),)</f>
        <v>#N/A</v>
      </c>
      <c r="K358" s="339" t="e">
        <f>ROUND(VLOOKUP(Q358,M340:Q344,5,FALSE),)</f>
        <v>#N/A</v>
      </c>
      <c r="L358" s="636">
        <f t="shared" si="59"/>
        <v>-1.5707963267948966</v>
      </c>
      <c r="M358" s="639">
        <f t="shared" si="63"/>
        <v>0</v>
      </c>
      <c r="N358" s="637" t="e">
        <f>ROUND(HLOOKUP(M358,N346:R347,2,FALSE),)</f>
        <v>#N/A</v>
      </c>
      <c r="O358" s="639">
        <f t="shared" si="64"/>
        <v>0</v>
      </c>
      <c r="P358" s="638" t="e">
        <f>PI()*(F358*(J358+C343)-E358*(K358+C343))/(((J358+C343)*(I358+C343))-((H358+C343)*(K358+C343)))</f>
        <v>#N/A</v>
      </c>
      <c r="Q358" s="639">
        <f t="shared" si="65"/>
        <v>0</v>
      </c>
      <c r="R358" s="638" t="e">
        <f>(E358*PI()-P358*(H358+C343))/(J358+C343)</f>
        <v>#N/A</v>
      </c>
      <c r="S358" s="641">
        <f t="shared" si="66"/>
        <v>360</v>
      </c>
      <c r="T358" s="247" t="e">
        <f t="shared" si="60"/>
        <v>#N/A</v>
      </c>
      <c r="U358" s="206" t="e">
        <f t="shared" si="61"/>
        <v>#N/A</v>
      </c>
      <c r="V358" s="206" t="e">
        <f t="shared" si="62"/>
        <v>#N/A</v>
      </c>
      <c r="W358" s="196"/>
      <c r="X358" s="152"/>
      <c r="Z358" s="198"/>
      <c r="AA358" s="198"/>
    </row>
    <row r="359" spans="1:27" s="197" customFormat="1" ht="15" customHeight="1">
      <c r="A359" s="226"/>
      <c r="B359" s="179" t="s">
        <v>1031</v>
      </c>
      <c r="C359" s="312">
        <f>C358+2*SIN(RADIANS(M347))*(N340+C343)</f>
        <v>0</v>
      </c>
      <c r="D359" s="337">
        <f>(C359-(SIN(RADIANS(M347))*N340)-(COS(RADIANS(M347))*O340))*PI()/MEDIAN(U340:V344,P340:Q344)</f>
        <v>-4.7123889803846897</v>
      </c>
      <c r="E359" s="337" t="e">
        <f>(C359*PI()-N359*(G359+C343))/PI()</f>
        <v>#N/A</v>
      </c>
      <c r="F359" s="337" t="e">
        <f>E359-2*O340*COS(RADIANS(M347))</f>
        <v>#N/A</v>
      </c>
      <c r="G359" s="339" t="e">
        <f>ROUND(VLOOKUP(M359,R340:V344,4,FALSE),)</f>
        <v>#N/A</v>
      </c>
      <c r="H359" s="339" t="e">
        <f>ROUND(VLOOKUP(O359,M340:Q344,4,FALSE),)</f>
        <v>#N/A</v>
      </c>
      <c r="I359" s="339" t="e">
        <f>ROUND(VLOOKUP(O359,M340:Q344,5,FALSE),)</f>
        <v>#N/A</v>
      </c>
      <c r="J359" s="339" t="e">
        <f>ROUND(VLOOKUP(Q359,M340:Q344,4,FALSE),)</f>
        <v>#N/A</v>
      </c>
      <c r="K359" s="339" t="e">
        <f>ROUND(VLOOKUP(Q359,M340:Q344,5,FALSE),)</f>
        <v>#N/A</v>
      </c>
      <c r="L359" s="636">
        <f t="shared" si="59"/>
        <v>-1.5707963267948966</v>
      </c>
      <c r="M359" s="639">
        <f t="shared" si="63"/>
        <v>0</v>
      </c>
      <c r="N359" s="637" t="e">
        <f>ROUND(HLOOKUP(M359,N346:R347,2,FALSE),)</f>
        <v>#N/A</v>
      </c>
      <c r="O359" s="639">
        <f t="shared" si="64"/>
        <v>0</v>
      </c>
      <c r="P359" s="638" t="e">
        <f>PI()*(F359*(J359+C343)-E359*(K359+C343))/(((J359+C343)*(I359+C343))-((H359+C343)*(K359+C343)))</f>
        <v>#N/A</v>
      </c>
      <c r="Q359" s="639">
        <f t="shared" si="65"/>
        <v>0</v>
      </c>
      <c r="R359" s="638" t="e">
        <f>(E359*PI()-P359*(H359+C343))/(J359+C343)</f>
        <v>#N/A</v>
      </c>
      <c r="S359" s="641">
        <f t="shared" si="66"/>
        <v>360</v>
      </c>
      <c r="T359" s="247" t="e">
        <f t="shared" si="60"/>
        <v>#N/A</v>
      </c>
      <c r="U359" s="206" t="e">
        <f t="shared" si="61"/>
        <v>#N/A</v>
      </c>
      <c r="V359" s="206" t="e">
        <f t="shared" si="62"/>
        <v>#N/A</v>
      </c>
      <c r="W359" s="196"/>
      <c r="X359" s="152"/>
      <c r="Z359" s="198"/>
      <c r="AA359" s="198"/>
    </row>
    <row r="360" spans="1:27" s="197" customFormat="1" ht="15" customHeight="1">
      <c r="A360" s="226"/>
      <c r="B360" s="179" t="s">
        <v>1032</v>
      </c>
      <c r="C360" s="312">
        <f>C359+2*SIN(RADIANS(M347))*(N340+C343)</f>
        <v>0</v>
      </c>
      <c r="D360" s="337">
        <f>(C360-(SIN(RADIANS(M347))*N340)-(COS(RADIANS(M347))*O340))*PI()/MEDIAN(U340:V344,P340:Q344)</f>
        <v>-4.7123889803846897</v>
      </c>
      <c r="E360" s="337" t="e">
        <f>(C360*PI()-N360*(G360+C343))/PI()</f>
        <v>#N/A</v>
      </c>
      <c r="F360" s="337" t="e">
        <f>E360-2*O340*COS(RADIANS(M347))</f>
        <v>#N/A</v>
      </c>
      <c r="G360" s="339" t="e">
        <f>ROUND(VLOOKUP(M360,R340:V344,4,FALSE),)</f>
        <v>#N/A</v>
      </c>
      <c r="H360" s="339" t="e">
        <f>ROUND(VLOOKUP(O360,M340:Q344,4,FALSE),)</f>
        <v>#N/A</v>
      </c>
      <c r="I360" s="339" t="e">
        <f>ROUND(VLOOKUP(O360,M340:Q344,5,FALSE),)</f>
        <v>#N/A</v>
      </c>
      <c r="J360" s="339" t="e">
        <f>ROUND(VLOOKUP(Q360,M340:Q344,4,FALSE),)</f>
        <v>#N/A</v>
      </c>
      <c r="K360" s="339" t="e">
        <f>ROUND(VLOOKUP(Q360,M340:Q344,5,FALSE),)</f>
        <v>#N/A</v>
      </c>
      <c r="L360" s="636">
        <f t="shared" si="59"/>
        <v>-1.5707963267948966</v>
      </c>
      <c r="M360" s="639">
        <f t="shared" si="63"/>
        <v>0</v>
      </c>
      <c r="N360" s="637" t="e">
        <f>ROUND(HLOOKUP(M360,N346:R347,2,FALSE),)</f>
        <v>#N/A</v>
      </c>
      <c r="O360" s="639">
        <f t="shared" si="64"/>
        <v>0</v>
      </c>
      <c r="P360" s="638" t="e">
        <f>PI()*(F360*(J360+C343)-E360*(K360+C343))/(((J360+C343)*(I360+C343))-((H360+C343)*(K360+C343)))</f>
        <v>#N/A</v>
      </c>
      <c r="Q360" s="639">
        <f t="shared" si="65"/>
        <v>0</v>
      </c>
      <c r="R360" s="638" t="e">
        <f>(E360*PI()-P360*(H360+C343))/(J360+C343)</f>
        <v>#N/A</v>
      </c>
      <c r="S360" s="641">
        <f t="shared" si="66"/>
        <v>360</v>
      </c>
      <c r="T360" s="247" t="e">
        <f t="shared" si="60"/>
        <v>#N/A</v>
      </c>
      <c r="U360" s="206" t="e">
        <f t="shared" si="61"/>
        <v>#N/A</v>
      </c>
      <c r="V360" s="206" t="e">
        <f t="shared" si="62"/>
        <v>#N/A</v>
      </c>
      <c r="W360" s="196"/>
      <c r="X360" s="152"/>
      <c r="Z360" s="198"/>
      <c r="AA360" s="198"/>
    </row>
    <row r="361" spans="1:27" s="197" customFormat="1" ht="15" customHeight="1">
      <c r="A361" s="226"/>
      <c r="B361" s="179" t="s">
        <v>1033</v>
      </c>
      <c r="C361" s="312">
        <f>C360+2*SIN(RADIANS(M347))*(N340+C343)</f>
        <v>0</v>
      </c>
      <c r="D361" s="337">
        <f>(C361-(SIN(RADIANS(M347))*N340)-(COS(RADIANS(M347))*O340))*PI()/MEDIAN(U340:V344,P340:Q344)</f>
        <v>-4.7123889803846897</v>
      </c>
      <c r="E361" s="337" t="e">
        <f>(C361*PI()-N361*(G361+C343))/PI()</f>
        <v>#N/A</v>
      </c>
      <c r="F361" s="337" t="e">
        <f>E361-2*O340*COS(RADIANS(M347))</f>
        <v>#N/A</v>
      </c>
      <c r="G361" s="339" t="e">
        <f>ROUND(VLOOKUP(M361,R340:V344,4,FALSE),)</f>
        <v>#N/A</v>
      </c>
      <c r="H361" s="339" t="e">
        <f>ROUND(VLOOKUP(O361,M340:Q344,4,FALSE),)</f>
        <v>#N/A</v>
      </c>
      <c r="I361" s="339" t="e">
        <f>ROUND(VLOOKUP(O361,M340:Q344,5,FALSE),)</f>
        <v>#N/A</v>
      </c>
      <c r="J361" s="339" t="e">
        <f>ROUND(VLOOKUP(Q361,M340:Q344,4,FALSE),)</f>
        <v>#N/A</v>
      </c>
      <c r="K361" s="339" t="e">
        <f>ROUND(VLOOKUP(Q361,M340:Q344,5,FALSE),)</f>
        <v>#N/A</v>
      </c>
      <c r="L361" s="636">
        <f t="shared" si="59"/>
        <v>-1.5707963267948966</v>
      </c>
      <c r="M361" s="639">
        <f t="shared" si="63"/>
        <v>0</v>
      </c>
      <c r="N361" s="637" t="e">
        <f>ROUND(HLOOKUP(M361,N346:R347,2,FALSE),)</f>
        <v>#N/A</v>
      </c>
      <c r="O361" s="639">
        <f t="shared" si="64"/>
        <v>0</v>
      </c>
      <c r="P361" s="638" t="e">
        <f>PI()*(F361*(J361+C343)-E361*(K361+C343))/(((J361+C343)*(I361+C343))-((H361+C343)*(K361+C343)))</f>
        <v>#N/A</v>
      </c>
      <c r="Q361" s="639">
        <f t="shared" si="65"/>
        <v>0</v>
      </c>
      <c r="R361" s="638" t="e">
        <f>(E361*PI()-P361*(H361+C343))/(J361+C343)</f>
        <v>#N/A</v>
      </c>
      <c r="S361" s="641">
        <f t="shared" si="66"/>
        <v>360</v>
      </c>
      <c r="T361" s="247" t="e">
        <f t="shared" si="60"/>
        <v>#N/A</v>
      </c>
      <c r="U361" s="206" t="e">
        <f t="shared" si="61"/>
        <v>#N/A</v>
      </c>
      <c r="V361" s="206" t="e">
        <f t="shared" si="62"/>
        <v>#N/A</v>
      </c>
      <c r="W361" s="196"/>
      <c r="X361" s="152"/>
      <c r="Z361" s="198"/>
      <c r="AA361" s="198"/>
    </row>
    <row r="362" spans="1:27" s="197" customFormat="1" ht="15" customHeight="1">
      <c r="A362" s="226"/>
      <c r="B362" s="179" t="s">
        <v>1034</v>
      </c>
      <c r="C362" s="312">
        <f>C361+2*SIN(RADIANS(M347))*(N340+C343)</f>
        <v>0</v>
      </c>
      <c r="D362" s="337">
        <f>(C362-(SIN(RADIANS(M347))*N340)-(COS(RADIANS(M347))*O340))*PI()/MEDIAN(U340:V344,P340:Q344)</f>
        <v>-4.7123889803846897</v>
      </c>
      <c r="E362" s="337" t="e">
        <f>(C362*PI()-N362*(G362+C343))/PI()</f>
        <v>#N/A</v>
      </c>
      <c r="F362" s="337" t="e">
        <f>E362-2*O340*COS(RADIANS(M347))</f>
        <v>#N/A</v>
      </c>
      <c r="G362" s="339" t="e">
        <f>ROUND(VLOOKUP(M362,R340:V344,4,FALSE),)</f>
        <v>#N/A</v>
      </c>
      <c r="H362" s="339" t="e">
        <f>ROUND(VLOOKUP(O362,M340:Q344,4,FALSE),)</f>
        <v>#N/A</v>
      </c>
      <c r="I362" s="339" t="e">
        <f>ROUND(VLOOKUP(O362,M340:Q344,5,FALSE),)</f>
        <v>#N/A</v>
      </c>
      <c r="J362" s="339" t="e">
        <f>ROUND(VLOOKUP(Q362,M340:Q344,4,FALSE),)</f>
        <v>#N/A</v>
      </c>
      <c r="K362" s="339" t="e">
        <f>ROUND(VLOOKUP(Q362,M340:Q344,5,FALSE),)</f>
        <v>#N/A</v>
      </c>
      <c r="L362" s="636">
        <f t="shared" si="59"/>
        <v>-1.5707963267948966</v>
      </c>
      <c r="M362" s="639">
        <f t="shared" si="63"/>
        <v>0</v>
      </c>
      <c r="N362" s="637" t="e">
        <f>ROUND(HLOOKUP(M362,N346:R347,2,FALSE),)</f>
        <v>#N/A</v>
      </c>
      <c r="O362" s="639">
        <f t="shared" si="64"/>
        <v>0</v>
      </c>
      <c r="P362" s="638" t="e">
        <f>PI()*(F362*(J362+C343)-E362*(K362+C343))/(((J362+C343)*(I362+C343))-((H362+C343)*(K362+C343)))</f>
        <v>#N/A</v>
      </c>
      <c r="Q362" s="639">
        <f t="shared" si="65"/>
        <v>0</v>
      </c>
      <c r="R362" s="638" t="e">
        <f>(E362*PI()-P362*(H362+C343))/(J362+C343)</f>
        <v>#N/A</v>
      </c>
      <c r="S362" s="641">
        <f t="shared" si="66"/>
        <v>360</v>
      </c>
      <c r="T362" s="247" t="e">
        <f t="shared" si="60"/>
        <v>#N/A</v>
      </c>
      <c r="U362" s="206" t="e">
        <f t="shared" si="61"/>
        <v>#N/A</v>
      </c>
      <c r="V362" s="206" t="e">
        <f t="shared" si="62"/>
        <v>#N/A</v>
      </c>
      <c r="W362" s="196"/>
      <c r="X362" s="152"/>
      <c r="Z362" s="198"/>
      <c r="AA362" s="198"/>
    </row>
    <row r="363" spans="1:27" s="197" customFormat="1" ht="15" customHeight="1">
      <c r="A363" s="226"/>
      <c r="B363" s="179" t="s">
        <v>1035</v>
      </c>
      <c r="C363" s="312">
        <f>C362+2*SIN(RADIANS(M347))*(N340+C343)</f>
        <v>0</v>
      </c>
      <c r="D363" s="337">
        <f>(C363-(SIN(RADIANS(M347))*N340)-(COS(RADIANS(M347))*O340))*PI()/MEDIAN(U340:V344,P340:Q344)</f>
        <v>-4.7123889803846897</v>
      </c>
      <c r="E363" s="337" t="e">
        <f>(C363*PI()-N363*(G363+C343))/PI()</f>
        <v>#N/A</v>
      </c>
      <c r="F363" s="337" t="e">
        <f>E363-2*O340*COS(RADIANS(M347))</f>
        <v>#N/A</v>
      </c>
      <c r="G363" s="339" t="e">
        <f>ROUND(VLOOKUP(M363,R340:V344,4,FALSE),)</f>
        <v>#N/A</v>
      </c>
      <c r="H363" s="339" t="e">
        <f>ROUND(VLOOKUP(O363,M340:Q344,4,FALSE),)</f>
        <v>#N/A</v>
      </c>
      <c r="I363" s="339" t="e">
        <f>ROUND(VLOOKUP(O363,M340:Q344,5,FALSE),)</f>
        <v>#N/A</v>
      </c>
      <c r="J363" s="339" t="e">
        <f>ROUND(VLOOKUP(Q363,M340:Q344,4,FALSE),)</f>
        <v>#N/A</v>
      </c>
      <c r="K363" s="339" t="e">
        <f>ROUND(VLOOKUP(Q363,M340:Q344,5,FALSE),)</f>
        <v>#N/A</v>
      </c>
      <c r="L363" s="636">
        <f t="shared" si="59"/>
        <v>-1.5707963267948966</v>
      </c>
      <c r="M363" s="639">
        <f t="shared" si="63"/>
        <v>0</v>
      </c>
      <c r="N363" s="637" t="e">
        <f>ROUND(HLOOKUP(M363,N346:R347,2,FALSE),)</f>
        <v>#N/A</v>
      </c>
      <c r="O363" s="639">
        <f t="shared" si="64"/>
        <v>0</v>
      </c>
      <c r="P363" s="638" t="e">
        <f>PI()*(F363*(J363+C343)-E363*(K363+C343))/(((J363+C343)*(I363+C343))-((H363+C343)*(K363+C343)))</f>
        <v>#N/A</v>
      </c>
      <c r="Q363" s="639">
        <f t="shared" si="65"/>
        <v>0</v>
      </c>
      <c r="R363" s="638" t="e">
        <f>(E363*PI()-P363*(H363+C343))/(J363+C343)</f>
        <v>#N/A</v>
      </c>
      <c r="S363" s="641">
        <f t="shared" si="66"/>
        <v>360</v>
      </c>
      <c r="T363" s="247" t="e">
        <f t="shared" si="60"/>
        <v>#N/A</v>
      </c>
      <c r="U363" s="206" t="e">
        <f t="shared" si="61"/>
        <v>#N/A</v>
      </c>
      <c r="V363" s="206" t="e">
        <f t="shared" si="62"/>
        <v>#N/A</v>
      </c>
      <c r="W363" s="196"/>
      <c r="X363" s="152"/>
      <c r="Z363" s="198"/>
      <c r="AA363" s="198"/>
    </row>
    <row r="364" spans="1:27" s="197" customFormat="1" ht="15" customHeight="1">
      <c r="A364" s="226"/>
      <c r="B364" s="179" t="s">
        <v>1036</v>
      </c>
      <c r="C364" s="312">
        <f>C363+2*SIN(RADIANS(M347))*(N340+C343)</f>
        <v>0</v>
      </c>
      <c r="D364" s="337">
        <f>(C364-(SIN(RADIANS(M347))*N340)-(COS(RADIANS(M347))*O340))*PI()/MEDIAN(U340:V344,P340:Q344)</f>
        <v>-4.7123889803846897</v>
      </c>
      <c r="E364" s="337" t="e">
        <f>(C364*PI()-N364*(G364+C343))/PI()</f>
        <v>#N/A</v>
      </c>
      <c r="F364" s="337" t="e">
        <f>E364-2*O340*COS(RADIANS(M347))</f>
        <v>#N/A</v>
      </c>
      <c r="G364" s="339" t="e">
        <f>ROUND(VLOOKUP(M364,R340:V344,4,FALSE),)</f>
        <v>#N/A</v>
      </c>
      <c r="H364" s="339" t="e">
        <f>ROUND(VLOOKUP(O364,M340:Q344,4,FALSE),)</f>
        <v>#N/A</v>
      </c>
      <c r="I364" s="339" t="e">
        <f>ROUND(VLOOKUP(O364,M340:Q344,5,FALSE),)</f>
        <v>#N/A</v>
      </c>
      <c r="J364" s="339" t="e">
        <f>ROUND(VLOOKUP(Q364,M340:Q344,4,FALSE),)</f>
        <v>#N/A</v>
      </c>
      <c r="K364" s="339" t="e">
        <f>ROUND(VLOOKUP(Q364,M340:Q344,5,FALSE),)</f>
        <v>#N/A</v>
      </c>
      <c r="L364" s="636">
        <f t="shared" si="59"/>
        <v>-1.5707963267948966</v>
      </c>
      <c r="M364" s="639">
        <f t="shared" si="63"/>
        <v>0</v>
      </c>
      <c r="N364" s="637" t="e">
        <f>ROUND(HLOOKUP(M364,N346:R347,2,FALSE),)</f>
        <v>#N/A</v>
      </c>
      <c r="O364" s="639">
        <f t="shared" si="64"/>
        <v>0</v>
      </c>
      <c r="P364" s="638" t="e">
        <f>PI()*(F364*(J364+C343)-E364*(K364+C343))/(((J364+C343)*(I364+C343))-((H364+C343)*(K364+C343)))</f>
        <v>#N/A</v>
      </c>
      <c r="Q364" s="639">
        <f t="shared" si="65"/>
        <v>0</v>
      </c>
      <c r="R364" s="638" t="e">
        <f>(E364*PI()-P364*(H364+C343))/(J364+C343)</f>
        <v>#N/A</v>
      </c>
      <c r="S364" s="641">
        <f t="shared" si="66"/>
        <v>360</v>
      </c>
      <c r="T364" s="247" t="e">
        <f t="shared" si="60"/>
        <v>#N/A</v>
      </c>
      <c r="U364" s="206" t="e">
        <f t="shared" si="61"/>
        <v>#N/A</v>
      </c>
      <c r="V364" s="206" t="e">
        <f t="shared" si="62"/>
        <v>#N/A</v>
      </c>
      <c r="W364" s="196"/>
      <c r="X364" s="152"/>
      <c r="Z364" s="198"/>
      <c r="AA364" s="198"/>
    </row>
    <row r="365" spans="1:27" s="197" customFormat="1" ht="15" customHeight="1">
      <c r="A365" s="226"/>
      <c r="B365" s="179" t="s">
        <v>1037</v>
      </c>
      <c r="C365" s="312">
        <f>C364+2*SIN(RADIANS(M347))*(N340+C343)</f>
        <v>0</v>
      </c>
      <c r="D365" s="337">
        <f>(C365-(SIN(RADIANS(M347))*N340)-(COS(RADIANS(M347))*O340))*PI()/MEDIAN(U340:V344,P340:Q344)</f>
        <v>-4.7123889803846897</v>
      </c>
      <c r="E365" s="337" t="e">
        <f>(C365*PI()-N365*(G365+C343))/PI()</f>
        <v>#N/A</v>
      </c>
      <c r="F365" s="337" t="e">
        <f>E365-2*O340*COS(RADIANS(M347))</f>
        <v>#N/A</v>
      </c>
      <c r="G365" s="339" t="e">
        <f>ROUND(VLOOKUP(M365,R340:V344,4,FALSE),)</f>
        <v>#N/A</v>
      </c>
      <c r="H365" s="339" t="e">
        <f>ROUND(VLOOKUP(O365,M340:Q344,4,FALSE),)</f>
        <v>#N/A</v>
      </c>
      <c r="I365" s="339" t="e">
        <f>ROUND(VLOOKUP(O365,M340:Q344,5,FALSE),)</f>
        <v>#N/A</v>
      </c>
      <c r="J365" s="339" t="e">
        <f>ROUND(VLOOKUP(Q365,M340:Q344,4,FALSE),)</f>
        <v>#N/A</v>
      </c>
      <c r="K365" s="339" t="e">
        <f>ROUND(VLOOKUP(Q365,M340:Q344,5,FALSE),)</f>
        <v>#N/A</v>
      </c>
      <c r="L365" s="636">
        <f t="shared" si="59"/>
        <v>-1.5707963267948966</v>
      </c>
      <c r="M365" s="639">
        <f t="shared" si="63"/>
        <v>0</v>
      </c>
      <c r="N365" s="637" t="e">
        <f>ROUND(HLOOKUP(M365,N346:R347,2,FALSE),)</f>
        <v>#N/A</v>
      </c>
      <c r="O365" s="639">
        <f t="shared" si="64"/>
        <v>0</v>
      </c>
      <c r="P365" s="638" t="e">
        <f>PI()*(F365*(J365+C343)-E365*(K365+C343))/(((J365+C343)*(I365+C343))-((H365+C343)*(K365+C343)))</f>
        <v>#N/A</v>
      </c>
      <c r="Q365" s="639">
        <f t="shared" si="65"/>
        <v>0</v>
      </c>
      <c r="R365" s="638" t="e">
        <f>(E365*PI()-P365*(H365+C343))/(J365+C343)</f>
        <v>#N/A</v>
      </c>
      <c r="S365" s="641">
        <f t="shared" si="66"/>
        <v>360</v>
      </c>
      <c r="T365" s="247" t="e">
        <f t="shared" si="60"/>
        <v>#N/A</v>
      </c>
      <c r="U365" s="206" t="e">
        <f t="shared" si="61"/>
        <v>#N/A</v>
      </c>
      <c r="V365" s="206" t="e">
        <f t="shared" si="62"/>
        <v>#N/A</v>
      </c>
      <c r="W365" s="196"/>
      <c r="X365" s="152"/>
      <c r="Z365" s="198"/>
      <c r="AA365" s="198"/>
    </row>
    <row r="366" spans="1:27" s="197" customFormat="1" ht="15" customHeight="1">
      <c r="A366" s="226"/>
      <c r="B366" s="179" t="s">
        <v>1038</v>
      </c>
      <c r="C366" s="312">
        <f>C365+2*SIN(RADIANS(M347))*(N340+C343)</f>
        <v>0</v>
      </c>
      <c r="D366" s="337">
        <f>(C366-(SIN(RADIANS(M347))*N340)-(COS(RADIANS(M347))*O340))*PI()/MEDIAN(U340:V344,P340:Q344)</f>
        <v>-4.7123889803846897</v>
      </c>
      <c r="E366" s="337" t="e">
        <f>(C366*PI()-N366*(G366+C343))/PI()</f>
        <v>#N/A</v>
      </c>
      <c r="F366" s="337" t="e">
        <f>E366-2*O340*COS(RADIANS(M347))</f>
        <v>#N/A</v>
      </c>
      <c r="G366" s="339" t="e">
        <f>ROUND(VLOOKUP(M366,R340:V344,4,FALSE),)</f>
        <v>#N/A</v>
      </c>
      <c r="H366" s="339" t="e">
        <f>ROUND(VLOOKUP(O366,M340:Q344,4,FALSE),)</f>
        <v>#N/A</v>
      </c>
      <c r="I366" s="339" t="e">
        <f>ROUND(VLOOKUP(O366,M340:Q344,5,FALSE),)</f>
        <v>#N/A</v>
      </c>
      <c r="J366" s="339" t="e">
        <f>ROUND(VLOOKUP(Q366,M340:Q344,4,FALSE),)</f>
        <v>#N/A</v>
      </c>
      <c r="K366" s="339" t="e">
        <f>ROUND(VLOOKUP(Q366,M340:Q344,5,FALSE),)</f>
        <v>#N/A</v>
      </c>
      <c r="L366" s="636">
        <f t="shared" si="59"/>
        <v>-1.5707963267948966</v>
      </c>
      <c r="M366" s="639">
        <f t="shared" si="63"/>
        <v>0</v>
      </c>
      <c r="N366" s="637" t="e">
        <f>ROUND(HLOOKUP(M366,N346:R347,2,FALSE),)</f>
        <v>#N/A</v>
      </c>
      <c r="O366" s="639">
        <f t="shared" si="64"/>
        <v>0</v>
      </c>
      <c r="P366" s="638" t="e">
        <f>PI()*(F366*(J366+C343)-E366*(K366+C343))/(((J366+C343)*(I366+C343))-((H366+C343)*(K366+C343)))</f>
        <v>#N/A</v>
      </c>
      <c r="Q366" s="639">
        <f t="shared" si="65"/>
        <v>0</v>
      </c>
      <c r="R366" s="638" t="e">
        <f>(E366*PI()-P366*(H366+C343))/(J366+C343)</f>
        <v>#N/A</v>
      </c>
      <c r="S366" s="641">
        <f t="shared" si="66"/>
        <v>360</v>
      </c>
      <c r="T366" s="247" t="e">
        <f t="shared" si="60"/>
        <v>#N/A</v>
      </c>
      <c r="U366" s="206" t="e">
        <f t="shared" si="61"/>
        <v>#N/A</v>
      </c>
      <c r="V366" s="206" t="e">
        <f t="shared" si="62"/>
        <v>#N/A</v>
      </c>
      <c r="W366" s="196"/>
      <c r="X366" s="152"/>
      <c r="Z366" s="198"/>
      <c r="AA366" s="198"/>
    </row>
    <row r="367" spans="1:27" s="197" customFormat="1" ht="15" customHeight="1">
      <c r="A367" s="226"/>
      <c r="B367" s="179" t="s">
        <v>1039</v>
      </c>
      <c r="C367" s="312">
        <f>C366+2*SIN(RADIANS(M347))*(N340+C343)</f>
        <v>0</v>
      </c>
      <c r="D367" s="337">
        <f>(C367-(SIN(RADIANS(M347))*N340)-(COS(RADIANS(M347))*O340))*PI()/MEDIAN(U340:V344,P340:Q344)</f>
        <v>-4.7123889803846897</v>
      </c>
      <c r="E367" s="337" t="e">
        <f>(C367*PI()-N367*(G367+C343))/PI()</f>
        <v>#N/A</v>
      </c>
      <c r="F367" s="337" t="e">
        <f>E367-2*O340*COS(RADIANS(M347))</f>
        <v>#N/A</v>
      </c>
      <c r="G367" s="339" t="e">
        <f>ROUND(VLOOKUP(M367,R340:V344,4,FALSE),)</f>
        <v>#N/A</v>
      </c>
      <c r="H367" s="339" t="e">
        <f>ROUND(VLOOKUP(O367,M340:Q344,4,FALSE),)</f>
        <v>#N/A</v>
      </c>
      <c r="I367" s="339" t="e">
        <f>ROUND(VLOOKUP(O367,M340:Q344,5,FALSE),)</f>
        <v>#N/A</v>
      </c>
      <c r="J367" s="339" t="e">
        <f>ROUND(VLOOKUP(Q367,M340:Q344,4,FALSE),)</f>
        <v>#N/A</v>
      </c>
      <c r="K367" s="339" t="e">
        <f>ROUND(VLOOKUP(Q367,M340:Q344,5,FALSE),)</f>
        <v>#N/A</v>
      </c>
      <c r="L367" s="636">
        <f t="shared" si="59"/>
        <v>-1.5707963267948966</v>
      </c>
      <c r="M367" s="639">
        <f t="shared" si="63"/>
        <v>0</v>
      </c>
      <c r="N367" s="637" t="e">
        <f>ROUND(HLOOKUP(M367,N346:R347,2,FALSE),)</f>
        <v>#N/A</v>
      </c>
      <c r="O367" s="639">
        <f t="shared" si="64"/>
        <v>0</v>
      </c>
      <c r="P367" s="638" t="e">
        <f>PI()*(F367*(J367+C343)-E367*(K367+C343))/(((J367+C343)*(I367+C343))-((H367+C343)*(K367+C343)))</f>
        <v>#N/A</v>
      </c>
      <c r="Q367" s="639">
        <f t="shared" si="65"/>
        <v>0</v>
      </c>
      <c r="R367" s="638" t="e">
        <f>(E367*PI()-P367*(H367+C343))/(J367+C343)</f>
        <v>#N/A</v>
      </c>
      <c r="S367" s="641">
        <f t="shared" si="66"/>
        <v>360</v>
      </c>
      <c r="T367" s="247" t="e">
        <f t="shared" si="60"/>
        <v>#N/A</v>
      </c>
      <c r="U367" s="206" t="e">
        <f t="shared" si="61"/>
        <v>#N/A</v>
      </c>
      <c r="V367" s="206" t="e">
        <f t="shared" si="62"/>
        <v>#N/A</v>
      </c>
      <c r="W367" s="196"/>
      <c r="X367" s="152"/>
      <c r="Z367" s="198"/>
      <c r="AA367" s="198"/>
    </row>
    <row r="368" spans="1:27" s="197" customFormat="1" ht="15" customHeight="1">
      <c r="A368" s="226"/>
      <c r="B368" s="179" t="s">
        <v>1040</v>
      </c>
      <c r="C368" s="312">
        <f>C367+2*SIN(RADIANS(M347))*(N340+C343)</f>
        <v>0</v>
      </c>
      <c r="D368" s="337">
        <f>(C368-(SIN(RADIANS(M347))*N340)-(COS(RADIANS(M347))*O340))*PI()/MEDIAN(U340:V344,P340:Q344)</f>
        <v>-4.7123889803846897</v>
      </c>
      <c r="E368" s="337" t="e">
        <f>(C368*PI()-N368*(G368+C343))/PI()</f>
        <v>#N/A</v>
      </c>
      <c r="F368" s="337" t="e">
        <f>E368-2*O340*COS(RADIANS(M347))</f>
        <v>#N/A</v>
      </c>
      <c r="G368" s="339" t="e">
        <f>ROUND(VLOOKUP(M368,R340:V344,4,FALSE),)</f>
        <v>#N/A</v>
      </c>
      <c r="H368" s="339" t="e">
        <f>ROUND(VLOOKUP(O368,M340:Q344,4,FALSE),)</f>
        <v>#N/A</v>
      </c>
      <c r="I368" s="339" t="e">
        <f>ROUND(VLOOKUP(O368,M340:Q344,5,FALSE),)</f>
        <v>#N/A</v>
      </c>
      <c r="J368" s="339" t="e">
        <f>ROUND(VLOOKUP(Q368,M340:Q344,4,FALSE),)</f>
        <v>#N/A</v>
      </c>
      <c r="K368" s="339" t="e">
        <f>ROUND(VLOOKUP(Q368,M340:Q344,5,FALSE),)</f>
        <v>#N/A</v>
      </c>
      <c r="L368" s="636">
        <f t="shared" si="59"/>
        <v>-1.5707963267948966</v>
      </c>
      <c r="M368" s="639">
        <f t="shared" si="63"/>
        <v>0</v>
      </c>
      <c r="N368" s="637" t="e">
        <f>ROUND(HLOOKUP(M368,N346:R347,2,FALSE),)</f>
        <v>#N/A</v>
      </c>
      <c r="O368" s="639">
        <f t="shared" si="64"/>
        <v>0</v>
      </c>
      <c r="P368" s="638" t="e">
        <f>PI()*(F368*(J368+C343)-E368*(K368+C343))/(((J368+C343)*(I368+C343))-((H368+C343)*(K368+C343)))</f>
        <v>#N/A</v>
      </c>
      <c r="Q368" s="639">
        <f t="shared" si="65"/>
        <v>0</v>
      </c>
      <c r="R368" s="638" t="e">
        <f>(E368*PI()-P368*(H368+C343))/(J368+C343)</f>
        <v>#N/A</v>
      </c>
      <c r="S368" s="641">
        <f t="shared" si="66"/>
        <v>360</v>
      </c>
      <c r="T368" s="247" t="e">
        <f t="shared" si="60"/>
        <v>#N/A</v>
      </c>
      <c r="U368" s="206" t="e">
        <f t="shared" si="61"/>
        <v>#N/A</v>
      </c>
      <c r="V368" s="206" t="e">
        <f t="shared" si="62"/>
        <v>#N/A</v>
      </c>
      <c r="W368" s="196"/>
      <c r="X368" s="152"/>
      <c r="Z368" s="198"/>
      <c r="AA368" s="198"/>
    </row>
    <row r="369" spans="1:27" s="197" customFormat="1" ht="15" customHeight="1">
      <c r="A369" s="226"/>
      <c r="B369" s="179" t="s">
        <v>1041</v>
      </c>
      <c r="C369" s="312">
        <f>C368+2*SIN(RADIANS(M347))*(N340+C343)</f>
        <v>0</v>
      </c>
      <c r="D369" s="337">
        <f>(C369-(SIN(RADIANS(M347))*N340)-(COS(RADIANS(M347))*O340))*PI()/MEDIAN(U340:V344,P340:Q344)</f>
        <v>-4.7123889803846897</v>
      </c>
      <c r="E369" s="337" t="e">
        <f>(C369*PI()-N369*(G369+C343))/PI()</f>
        <v>#N/A</v>
      </c>
      <c r="F369" s="337" t="e">
        <f>E369-2*O340*COS(RADIANS(M347))</f>
        <v>#N/A</v>
      </c>
      <c r="G369" s="339" t="e">
        <f>ROUND(VLOOKUP(M369,R340:V344,4,FALSE),)</f>
        <v>#N/A</v>
      </c>
      <c r="H369" s="339" t="e">
        <f>ROUND(VLOOKUP(O369,M340:Q344,4,FALSE),)</f>
        <v>#N/A</v>
      </c>
      <c r="I369" s="339" t="e">
        <f>ROUND(VLOOKUP(O369,M340:Q344,5,FALSE),)</f>
        <v>#N/A</v>
      </c>
      <c r="J369" s="339" t="e">
        <f>ROUND(VLOOKUP(Q369,M340:Q344,4,FALSE),)</f>
        <v>#N/A</v>
      </c>
      <c r="K369" s="339" t="e">
        <f>ROUND(VLOOKUP(Q369,M340:Q344,5,FALSE),)</f>
        <v>#N/A</v>
      </c>
      <c r="L369" s="636">
        <f t="shared" si="59"/>
        <v>-1.5707963267948966</v>
      </c>
      <c r="M369" s="639">
        <f t="shared" si="63"/>
        <v>0</v>
      </c>
      <c r="N369" s="637" t="e">
        <f>ROUND(HLOOKUP(M369,N346:R347,2,FALSE),)</f>
        <v>#N/A</v>
      </c>
      <c r="O369" s="639">
        <f t="shared" si="64"/>
        <v>0</v>
      </c>
      <c r="P369" s="638" t="e">
        <f>PI()*(F369*(J369+C343)-E369*(K369+C343))/(((J369+C343)*(I369+C343))-((H369+C343)*(K369+C343)))</f>
        <v>#N/A</v>
      </c>
      <c r="Q369" s="639">
        <f t="shared" si="65"/>
        <v>0</v>
      </c>
      <c r="R369" s="638" t="e">
        <f>(E369*PI()-P369*(H369+C343))/(J369+C343)</f>
        <v>#N/A</v>
      </c>
      <c r="S369" s="641">
        <f t="shared" si="66"/>
        <v>360</v>
      </c>
      <c r="T369" s="247" t="e">
        <f t="shared" si="60"/>
        <v>#N/A</v>
      </c>
      <c r="U369" s="206" t="e">
        <f t="shared" si="61"/>
        <v>#N/A</v>
      </c>
      <c r="V369" s="206" t="e">
        <f t="shared" si="62"/>
        <v>#N/A</v>
      </c>
      <c r="W369" s="196"/>
      <c r="X369" s="152"/>
      <c r="Z369" s="198"/>
      <c r="AA369" s="198"/>
    </row>
    <row r="370" spans="1:27" s="197" customFormat="1" ht="15" customHeight="1">
      <c r="A370" s="226"/>
      <c r="B370" s="179" t="s">
        <v>1042</v>
      </c>
      <c r="C370" s="312">
        <f>C369+2*SIN(RADIANS(M347))*(N340+C343)</f>
        <v>0</v>
      </c>
      <c r="D370" s="337">
        <f>(C370-(SIN(RADIANS(M347))*N340)-(COS(RADIANS(M347))*O340))*PI()/MEDIAN(U340:V344,P340:Q344)</f>
        <v>-4.7123889803846897</v>
      </c>
      <c r="E370" s="337" t="e">
        <f>(C370*PI()-N370*(G370+C343))/PI()</f>
        <v>#N/A</v>
      </c>
      <c r="F370" s="337" t="e">
        <f>E370-2*O340*COS(RADIANS(M347))</f>
        <v>#N/A</v>
      </c>
      <c r="G370" s="339" t="e">
        <f>ROUND(VLOOKUP(M370,R340:V344,4,FALSE),)</f>
        <v>#N/A</v>
      </c>
      <c r="H370" s="339" t="e">
        <f>ROUND(VLOOKUP(O370,M340:Q344,4,FALSE),)</f>
        <v>#N/A</v>
      </c>
      <c r="I370" s="339" t="e">
        <f>ROUND(VLOOKUP(O370,M340:Q344,5,FALSE),)</f>
        <v>#N/A</v>
      </c>
      <c r="J370" s="339" t="e">
        <f>ROUND(VLOOKUP(Q370,M340:Q344,4,FALSE),)</f>
        <v>#N/A</v>
      </c>
      <c r="K370" s="339" t="e">
        <f>ROUND(VLOOKUP(Q370,M340:Q344,5,FALSE),)</f>
        <v>#N/A</v>
      </c>
      <c r="L370" s="636">
        <f t="shared" si="59"/>
        <v>-1.5707963267948966</v>
      </c>
      <c r="M370" s="639">
        <f t="shared" si="63"/>
        <v>0</v>
      </c>
      <c r="N370" s="637" t="e">
        <f>ROUND(HLOOKUP(M370,N346:R347,2,FALSE),)</f>
        <v>#N/A</v>
      </c>
      <c r="O370" s="639">
        <f t="shared" si="64"/>
        <v>0</v>
      </c>
      <c r="P370" s="638" t="e">
        <f>PI()*(F370*(J370+C343)-E370*(K370+C343))/(((J370+C343)*(I370+C343))-((H370+C343)*(K370+C343)))</f>
        <v>#N/A</v>
      </c>
      <c r="Q370" s="639">
        <f t="shared" si="65"/>
        <v>0</v>
      </c>
      <c r="R370" s="638" t="e">
        <f>(E370*PI()-P370*(H370+C343))/(J370+C343)</f>
        <v>#N/A</v>
      </c>
      <c r="S370" s="641">
        <f t="shared" si="66"/>
        <v>360</v>
      </c>
      <c r="T370" s="247" t="e">
        <f t="shared" si="60"/>
        <v>#N/A</v>
      </c>
      <c r="U370" s="206" t="e">
        <f t="shared" si="61"/>
        <v>#N/A</v>
      </c>
      <c r="V370" s="206" t="e">
        <f t="shared" si="62"/>
        <v>#N/A</v>
      </c>
      <c r="W370" s="196"/>
      <c r="X370" s="152"/>
      <c r="Z370" s="198"/>
      <c r="AA370" s="198"/>
    </row>
    <row r="371" spans="1:27" s="197" customFormat="1" ht="15" customHeight="1">
      <c r="A371" s="226"/>
      <c r="B371" s="179" t="s">
        <v>1043</v>
      </c>
      <c r="C371" s="312">
        <f>C370+2*SIN(RADIANS(M347))*(N340+C343)</f>
        <v>0</v>
      </c>
      <c r="D371" s="337">
        <f>(C371-(SIN(RADIANS(M347))*N340)-(COS(RADIANS(M347))*O340))*PI()/MEDIAN(U340:V344,P340:Q344)</f>
        <v>-4.7123889803846897</v>
      </c>
      <c r="E371" s="337" t="e">
        <f>(C371*PI()-N371*(G371+C343))/PI()</f>
        <v>#N/A</v>
      </c>
      <c r="F371" s="337" t="e">
        <f>E371-2*O340*COS(RADIANS(M347))</f>
        <v>#N/A</v>
      </c>
      <c r="G371" s="339" t="e">
        <f>ROUND(VLOOKUP(M371,R340:V344,4,FALSE),)</f>
        <v>#N/A</v>
      </c>
      <c r="H371" s="339" t="e">
        <f>ROUND(VLOOKUP(O371,M340:Q344,4,FALSE),)</f>
        <v>#N/A</v>
      </c>
      <c r="I371" s="339" t="e">
        <f>ROUND(VLOOKUP(O371,M340:Q344,5,FALSE),)</f>
        <v>#N/A</v>
      </c>
      <c r="J371" s="339" t="e">
        <f>ROUND(VLOOKUP(Q371,M340:Q344,4,FALSE),)</f>
        <v>#N/A</v>
      </c>
      <c r="K371" s="339" t="e">
        <f>ROUND(VLOOKUP(Q371,M340:Q344,5,FALSE),)</f>
        <v>#N/A</v>
      </c>
      <c r="L371" s="636">
        <f t="shared" si="59"/>
        <v>-1.5707963267948966</v>
      </c>
      <c r="M371" s="639">
        <f t="shared" si="63"/>
        <v>0</v>
      </c>
      <c r="N371" s="637" t="e">
        <f>ROUND(HLOOKUP(M371,N346:R347,2,FALSE),)</f>
        <v>#N/A</v>
      </c>
      <c r="O371" s="639">
        <f t="shared" si="64"/>
        <v>0</v>
      </c>
      <c r="P371" s="638" t="e">
        <f>PI()*(F371*(J371+C343)-E371*(K371+C343))/(((J371+C343)*(I371+C343))-((H371+C343)*(K371+C343)))</f>
        <v>#N/A</v>
      </c>
      <c r="Q371" s="639">
        <f t="shared" si="65"/>
        <v>0</v>
      </c>
      <c r="R371" s="638" t="e">
        <f>(E371*PI()-P371*(H371+C343))/(J371+C343)</f>
        <v>#N/A</v>
      </c>
      <c r="S371" s="641">
        <f t="shared" si="66"/>
        <v>360</v>
      </c>
      <c r="T371" s="247" t="e">
        <f t="shared" si="60"/>
        <v>#N/A</v>
      </c>
      <c r="U371" s="206" t="e">
        <f t="shared" si="61"/>
        <v>#N/A</v>
      </c>
      <c r="V371" s="206" t="e">
        <f t="shared" si="62"/>
        <v>#N/A</v>
      </c>
      <c r="W371" s="196"/>
      <c r="X371" s="152"/>
      <c r="Z371" s="198"/>
      <c r="AA371" s="198"/>
    </row>
    <row r="372" spans="1:27" s="197" customFormat="1" ht="15" customHeight="1">
      <c r="A372" s="226"/>
      <c r="B372" s="179" t="s">
        <v>1044</v>
      </c>
      <c r="C372" s="312">
        <f>C371+2*SIN(RADIANS(M347))*(N340+C343)</f>
        <v>0</v>
      </c>
      <c r="D372" s="337">
        <f>(C372-(SIN(RADIANS(M347))*N340)-(COS(RADIANS(M347))*O340))*PI()/MEDIAN(U340:V344,P340:Q344)</f>
        <v>-4.7123889803846897</v>
      </c>
      <c r="E372" s="337" t="e">
        <f>(C372*PI()-N372*(G372+C343))/PI()</f>
        <v>#N/A</v>
      </c>
      <c r="F372" s="337" t="e">
        <f>E372-2*O340*COS(RADIANS(M347))</f>
        <v>#N/A</v>
      </c>
      <c r="G372" s="339" t="e">
        <f>ROUND(VLOOKUP(M372,R340:V344,4,FALSE),)</f>
        <v>#N/A</v>
      </c>
      <c r="H372" s="339" t="e">
        <f>ROUND(VLOOKUP(O372,M340:Q344,4,FALSE),)</f>
        <v>#N/A</v>
      </c>
      <c r="I372" s="339" t="e">
        <f>ROUND(VLOOKUP(O372,M340:Q344,5,FALSE),)</f>
        <v>#N/A</v>
      </c>
      <c r="J372" s="339" t="e">
        <f>ROUND(VLOOKUP(Q372,M340:Q344,4,FALSE),)</f>
        <v>#N/A</v>
      </c>
      <c r="K372" s="339" t="e">
        <f>ROUND(VLOOKUP(Q372,M340:Q344,5,FALSE),)</f>
        <v>#N/A</v>
      </c>
      <c r="L372" s="636">
        <f t="shared" si="59"/>
        <v>-1.5707963267948966</v>
      </c>
      <c r="M372" s="639">
        <f t="shared" si="63"/>
        <v>0</v>
      </c>
      <c r="N372" s="637" t="e">
        <f>ROUND(HLOOKUP(M372,N346:R347,2,FALSE),)</f>
        <v>#N/A</v>
      </c>
      <c r="O372" s="639">
        <f t="shared" si="64"/>
        <v>0</v>
      </c>
      <c r="P372" s="638" t="e">
        <f>PI()*(F372*(J372+C343)-E372*(K372+C343))/(((J372+C343)*(I372+C343))-((H372+C343)*(K372+C343)))</f>
        <v>#N/A</v>
      </c>
      <c r="Q372" s="639">
        <f t="shared" si="65"/>
        <v>0</v>
      </c>
      <c r="R372" s="638" t="e">
        <f>(E372*PI()-P372*(H372+C343))/(J372+C343)</f>
        <v>#N/A</v>
      </c>
      <c r="S372" s="641">
        <f t="shared" si="66"/>
        <v>360</v>
      </c>
      <c r="T372" s="247" t="e">
        <f t="shared" si="60"/>
        <v>#N/A</v>
      </c>
      <c r="U372" s="206" t="e">
        <f t="shared" si="61"/>
        <v>#N/A</v>
      </c>
      <c r="V372" s="206" t="e">
        <f t="shared" si="62"/>
        <v>#N/A</v>
      </c>
      <c r="W372" s="196"/>
      <c r="X372" s="152"/>
      <c r="Z372" s="198"/>
      <c r="AA372" s="198"/>
    </row>
    <row r="373" spans="1:27" s="197" customFormat="1" ht="15" customHeight="1">
      <c r="A373" s="226"/>
      <c r="B373" s="179" t="s">
        <v>1045</v>
      </c>
      <c r="C373" s="312">
        <f>C372+2*SIN(RADIANS(M347))*(N340+C343)</f>
        <v>0</v>
      </c>
      <c r="D373" s="337">
        <f>(C373-(SIN(RADIANS(M347))*N340)-(COS(RADIANS(M347))*O340))*PI()/MEDIAN(U340:V344,P340:Q344)</f>
        <v>-4.7123889803846897</v>
      </c>
      <c r="E373" s="337" t="e">
        <f>(C373*PI()-N373*(G373+C343))/PI()</f>
        <v>#N/A</v>
      </c>
      <c r="F373" s="337" t="e">
        <f>E373-2*O340*COS(RADIANS(M347))</f>
        <v>#N/A</v>
      </c>
      <c r="G373" s="339" t="e">
        <f>ROUND(VLOOKUP(M373,R340:V344,4,FALSE),)</f>
        <v>#N/A</v>
      </c>
      <c r="H373" s="339" t="e">
        <f>ROUND(VLOOKUP(O373,M340:Q344,4,FALSE),)</f>
        <v>#N/A</v>
      </c>
      <c r="I373" s="339" t="e">
        <f>ROUND(VLOOKUP(O373,M340:Q344,5,FALSE),)</f>
        <v>#N/A</v>
      </c>
      <c r="J373" s="339" t="e">
        <f>ROUND(VLOOKUP(Q373,M340:Q344,4,FALSE),)</f>
        <v>#N/A</v>
      </c>
      <c r="K373" s="339" t="e">
        <f>ROUND(VLOOKUP(Q373,M340:Q344,5,FALSE),)</f>
        <v>#N/A</v>
      </c>
      <c r="L373" s="636">
        <f t="shared" si="59"/>
        <v>-1.5707963267948966</v>
      </c>
      <c r="M373" s="639">
        <f t="shared" si="63"/>
        <v>0</v>
      </c>
      <c r="N373" s="637" t="e">
        <f>ROUND(HLOOKUP(M373,N346:R347,2,FALSE),)</f>
        <v>#N/A</v>
      </c>
      <c r="O373" s="639">
        <f t="shared" si="64"/>
        <v>0</v>
      </c>
      <c r="P373" s="638" t="e">
        <f>PI()*(F373*(J373+C343)-E373*(K373+C343))/(((J373+C343)*(I373+C343))-((H373+C343)*(K373+C343)))</f>
        <v>#N/A</v>
      </c>
      <c r="Q373" s="639">
        <f t="shared" si="65"/>
        <v>0</v>
      </c>
      <c r="R373" s="638" t="e">
        <f>(E373*PI()-P373*(H373+C343))/(J373+C343)</f>
        <v>#N/A</v>
      </c>
      <c r="S373" s="641">
        <f t="shared" si="66"/>
        <v>360</v>
      </c>
      <c r="T373" s="247" t="e">
        <f t="shared" si="60"/>
        <v>#N/A</v>
      </c>
      <c r="U373" s="206" t="e">
        <f t="shared" si="61"/>
        <v>#N/A</v>
      </c>
      <c r="V373" s="206" t="e">
        <f t="shared" si="62"/>
        <v>#N/A</v>
      </c>
      <c r="W373" s="196"/>
      <c r="X373" s="152"/>
      <c r="Z373" s="198"/>
      <c r="AA373" s="198"/>
    </row>
    <row r="374" spans="1:27" s="197" customFormat="1" ht="15" customHeight="1">
      <c r="A374" s="226"/>
      <c r="B374" s="179" t="s">
        <v>1046</v>
      </c>
      <c r="C374" s="312">
        <f>C373+2*SIN(RADIANS(M347))*(N340+C343)</f>
        <v>0</v>
      </c>
      <c r="D374" s="337">
        <f>(C374-(SIN(RADIANS(M347))*N340)-(COS(RADIANS(M347))*O340))*PI()/MEDIAN(U340:V344,P340:Q344)</f>
        <v>-4.7123889803846897</v>
      </c>
      <c r="E374" s="337" t="e">
        <f>(C374*PI()-N374*(G374+C343))/PI()</f>
        <v>#N/A</v>
      </c>
      <c r="F374" s="337" t="e">
        <f>E374-2*O340*COS(RADIANS(M347))</f>
        <v>#N/A</v>
      </c>
      <c r="G374" s="339" t="e">
        <f>ROUND(VLOOKUP(M374,R340:V344,4,FALSE),)</f>
        <v>#N/A</v>
      </c>
      <c r="H374" s="339" t="e">
        <f>ROUND(VLOOKUP(O374,M340:Q344,4,FALSE),)</f>
        <v>#N/A</v>
      </c>
      <c r="I374" s="339" t="e">
        <f>ROUND(VLOOKUP(O374,M340:Q344,5,FALSE),)</f>
        <v>#N/A</v>
      </c>
      <c r="J374" s="339" t="e">
        <f>ROUND(VLOOKUP(Q374,M340:Q344,4,FALSE),)</f>
        <v>#N/A</v>
      </c>
      <c r="K374" s="339" t="e">
        <f>ROUND(VLOOKUP(Q374,M340:Q344,5,FALSE),)</f>
        <v>#N/A</v>
      </c>
      <c r="L374" s="636">
        <f t="shared" si="59"/>
        <v>-1.5707963267948966</v>
      </c>
      <c r="M374" s="639">
        <f t="shared" si="63"/>
        <v>0</v>
      </c>
      <c r="N374" s="637" t="e">
        <f>ROUND(HLOOKUP(M374,N346:R347,2,FALSE),)</f>
        <v>#N/A</v>
      </c>
      <c r="O374" s="639">
        <f t="shared" si="64"/>
        <v>0</v>
      </c>
      <c r="P374" s="638" t="e">
        <f>PI()*(F374*(J374+C343)-E374*(K374+C343))/(((J374+C343)*(I374+C343))-((H374+C343)*(K374+C343)))</f>
        <v>#N/A</v>
      </c>
      <c r="Q374" s="639">
        <f t="shared" si="65"/>
        <v>0</v>
      </c>
      <c r="R374" s="638" t="e">
        <f>(E374*PI()-P374*(H374+C343))/(J374+C343)</f>
        <v>#N/A</v>
      </c>
      <c r="S374" s="641">
        <f t="shared" si="66"/>
        <v>360</v>
      </c>
      <c r="T374" s="247" t="e">
        <f t="shared" si="60"/>
        <v>#N/A</v>
      </c>
      <c r="U374" s="206" t="e">
        <f t="shared" si="61"/>
        <v>#N/A</v>
      </c>
      <c r="V374" s="206" t="e">
        <f t="shared" si="62"/>
        <v>#N/A</v>
      </c>
      <c r="W374" s="196"/>
      <c r="X374" s="152"/>
      <c r="Z374" s="198"/>
      <c r="AA374" s="198"/>
    </row>
    <row r="375" spans="1:27" s="197" customFormat="1" ht="15" customHeight="1">
      <c r="A375" s="226"/>
      <c r="B375" s="179" t="s">
        <v>1047</v>
      </c>
      <c r="C375" s="312">
        <f>C374+2*SIN(RADIANS(M347))*(N340+C343)</f>
        <v>0</v>
      </c>
      <c r="D375" s="337">
        <f>(C375-(SIN(RADIANS(M347))*N340)-(COS(RADIANS(M347))*O340))*PI()/MEDIAN(U340:V344,P340:Q344)</f>
        <v>-4.7123889803846897</v>
      </c>
      <c r="E375" s="337" t="e">
        <f>(C375*PI()-N375*(G375+C343))/PI()</f>
        <v>#N/A</v>
      </c>
      <c r="F375" s="337" t="e">
        <f>E375-2*O340*COS(RADIANS(M347))</f>
        <v>#N/A</v>
      </c>
      <c r="G375" s="339" t="e">
        <f>ROUND(VLOOKUP(M375,R340:V344,4,FALSE),)</f>
        <v>#N/A</v>
      </c>
      <c r="H375" s="339" t="e">
        <f>ROUND(VLOOKUP(O375,M340:Q344,4,FALSE),)</f>
        <v>#N/A</v>
      </c>
      <c r="I375" s="339" t="e">
        <f>ROUND(VLOOKUP(O375,M340:Q344,5,FALSE),)</f>
        <v>#N/A</v>
      </c>
      <c r="J375" s="339" t="e">
        <f>ROUND(VLOOKUP(Q375,M340:Q344,4,FALSE),)</f>
        <v>#N/A</v>
      </c>
      <c r="K375" s="339" t="e">
        <f>ROUND(VLOOKUP(Q375,M340:Q344,5,FALSE),)</f>
        <v>#N/A</v>
      </c>
      <c r="L375" s="636">
        <f t="shared" si="59"/>
        <v>-1.5707963267948966</v>
      </c>
      <c r="M375" s="639">
        <f t="shared" si="63"/>
        <v>0</v>
      </c>
      <c r="N375" s="637" t="e">
        <f>ROUND(HLOOKUP(M375,N346:R347,2,FALSE),)</f>
        <v>#N/A</v>
      </c>
      <c r="O375" s="639">
        <f t="shared" si="64"/>
        <v>0</v>
      </c>
      <c r="P375" s="638" t="e">
        <f>PI()*(F375*(J375+C343)-E375*(K375+C343))/(((J375+C343)*(I375+C343))-((H375+C343)*(K375+C343)))</f>
        <v>#N/A</v>
      </c>
      <c r="Q375" s="639">
        <f t="shared" si="65"/>
        <v>0</v>
      </c>
      <c r="R375" s="638" t="e">
        <f>(E375*PI()-P375*(H375+C343))/(J375+C343)</f>
        <v>#N/A</v>
      </c>
      <c r="S375" s="641">
        <f t="shared" si="66"/>
        <v>360</v>
      </c>
      <c r="T375" s="247" t="e">
        <f t="shared" si="60"/>
        <v>#N/A</v>
      </c>
      <c r="U375" s="206" t="e">
        <f t="shared" si="61"/>
        <v>#N/A</v>
      </c>
      <c r="V375" s="206" t="e">
        <f t="shared" si="62"/>
        <v>#N/A</v>
      </c>
      <c r="W375" s="196"/>
      <c r="X375" s="152"/>
      <c r="Z375" s="198"/>
      <c r="AA375" s="198"/>
    </row>
    <row r="376" spans="1:27" s="197" customFormat="1" ht="15" customHeight="1">
      <c r="A376" s="226"/>
      <c r="B376" s="179" t="s">
        <v>1048</v>
      </c>
      <c r="C376" s="312">
        <f>C375+2*SIN(RADIANS(M347))*(N340+C343)</f>
        <v>0</v>
      </c>
      <c r="D376" s="337">
        <f>(C376-(SIN(RADIANS(M347))*N340)-(COS(RADIANS(M347))*O340))*PI()/MEDIAN(U340:V344,P340:Q344)</f>
        <v>-4.7123889803846897</v>
      </c>
      <c r="E376" s="337" t="e">
        <f>(C376*PI()-N376*(G376+C343))/PI()</f>
        <v>#N/A</v>
      </c>
      <c r="F376" s="337" t="e">
        <f>E376-2*O340*COS(RADIANS(M347))</f>
        <v>#N/A</v>
      </c>
      <c r="G376" s="339" t="e">
        <f>ROUND(VLOOKUP(M376,R340:V344,4,FALSE),)</f>
        <v>#N/A</v>
      </c>
      <c r="H376" s="339" t="e">
        <f>ROUND(VLOOKUP(O376,M340:Q344,4,FALSE),)</f>
        <v>#N/A</v>
      </c>
      <c r="I376" s="339" t="e">
        <f>ROUND(VLOOKUP(O376,M340:Q344,5,FALSE),)</f>
        <v>#N/A</v>
      </c>
      <c r="J376" s="339" t="e">
        <f>ROUND(VLOOKUP(Q376,M340:Q344,4,FALSE),)</f>
        <v>#N/A</v>
      </c>
      <c r="K376" s="339" t="e">
        <f>ROUND(VLOOKUP(Q376,M340:Q344,5,FALSE),)</f>
        <v>#N/A</v>
      </c>
      <c r="L376" s="636">
        <f t="shared" si="59"/>
        <v>-1.5707963267948966</v>
      </c>
      <c r="M376" s="639">
        <f t="shared" si="63"/>
        <v>0</v>
      </c>
      <c r="N376" s="637" t="e">
        <f>ROUND(HLOOKUP(M376,N346:R347,2,FALSE),)</f>
        <v>#N/A</v>
      </c>
      <c r="O376" s="639">
        <f t="shared" si="64"/>
        <v>0</v>
      </c>
      <c r="P376" s="638" t="e">
        <f>PI()*(F376*(J376+C343)-E376*(K376+C343))/(((J376+C343)*(I376+C343))-((H376+C343)*(K376+C343)))</f>
        <v>#N/A</v>
      </c>
      <c r="Q376" s="639">
        <f t="shared" si="65"/>
        <v>0</v>
      </c>
      <c r="R376" s="638" t="e">
        <f>(E376*PI()-P376*(H376+C343))/(J376+C343)</f>
        <v>#N/A</v>
      </c>
      <c r="S376" s="641">
        <f t="shared" si="66"/>
        <v>360</v>
      </c>
      <c r="T376" s="247" t="e">
        <f t="shared" si="60"/>
        <v>#N/A</v>
      </c>
      <c r="U376" s="206" t="e">
        <f t="shared" si="61"/>
        <v>#N/A</v>
      </c>
      <c r="V376" s="206" t="e">
        <f t="shared" si="62"/>
        <v>#N/A</v>
      </c>
      <c r="W376" s="196"/>
      <c r="X376" s="152"/>
      <c r="Z376" s="198"/>
      <c r="AA376" s="198"/>
    </row>
    <row r="377" spans="1:27" s="197" customFormat="1" ht="15" customHeight="1">
      <c r="A377" s="226"/>
      <c r="B377" s="179" t="s">
        <v>1049</v>
      </c>
      <c r="C377" s="312">
        <f>C376+2*SIN(RADIANS(M347))*(N340+C343)</f>
        <v>0</v>
      </c>
      <c r="D377" s="337">
        <f>(C377-(SIN(RADIANS(M347))*N340)-(COS(RADIANS(M347))*O340))*PI()/MEDIAN(U340:V344,P340:Q344)</f>
        <v>-4.7123889803846897</v>
      </c>
      <c r="E377" s="337" t="e">
        <f>(C377*PI()-N377*(G377+C343))/PI()</f>
        <v>#N/A</v>
      </c>
      <c r="F377" s="337" t="e">
        <f>E377-2*O340*COS(RADIANS(M347))</f>
        <v>#N/A</v>
      </c>
      <c r="G377" s="339" t="e">
        <f>ROUND(VLOOKUP(M377,R340:V344,4,FALSE),)</f>
        <v>#N/A</v>
      </c>
      <c r="H377" s="339" t="e">
        <f>ROUND(VLOOKUP(O377,M340:Q344,4,FALSE),)</f>
        <v>#N/A</v>
      </c>
      <c r="I377" s="339" t="e">
        <f>ROUND(VLOOKUP(O377,M340:Q344,5,FALSE),)</f>
        <v>#N/A</v>
      </c>
      <c r="J377" s="339" t="e">
        <f>ROUND(VLOOKUP(Q377,M340:Q344,4,FALSE),)</f>
        <v>#N/A</v>
      </c>
      <c r="K377" s="339" t="e">
        <f>ROUND(VLOOKUP(Q377,M340:Q344,5,FALSE),)</f>
        <v>#N/A</v>
      </c>
      <c r="L377" s="636">
        <f t="shared" si="59"/>
        <v>-1.5707963267948966</v>
      </c>
      <c r="M377" s="639">
        <f t="shared" si="63"/>
        <v>0</v>
      </c>
      <c r="N377" s="637" t="e">
        <f>ROUND(HLOOKUP(M377,N346:R347,2,FALSE),)</f>
        <v>#N/A</v>
      </c>
      <c r="O377" s="639">
        <f t="shared" si="64"/>
        <v>0</v>
      </c>
      <c r="P377" s="638" t="e">
        <f t="shared" ref="P377" si="67">PI()*(F377*(J377+$C$343)-E377*(K377+$C$343))/(((J377+$C$343)*(I377+$C$343))-((H377+$C$343)*(K377+$C$343)))</f>
        <v>#N/A</v>
      </c>
      <c r="Q377" s="639">
        <f t="shared" si="65"/>
        <v>0</v>
      </c>
      <c r="R377" s="638" t="e">
        <f>(E377*PI()-P377*(H377+C343))/(J377+C343)</f>
        <v>#N/A</v>
      </c>
      <c r="S377" s="641">
        <f t="shared" si="66"/>
        <v>360</v>
      </c>
      <c r="T377" s="247" t="e">
        <f t="shared" si="60"/>
        <v>#N/A</v>
      </c>
      <c r="U377" s="206" t="e">
        <f t="shared" si="61"/>
        <v>#N/A</v>
      </c>
      <c r="V377" s="206" t="e">
        <f t="shared" si="62"/>
        <v>#N/A</v>
      </c>
      <c r="W377" s="196"/>
      <c r="X377" s="152"/>
      <c r="Z377" s="198"/>
      <c r="AA377" s="198"/>
    </row>
    <row r="378" spans="1:27" s="197" customFormat="1" ht="15" customHeight="1">
      <c r="A378" s="226"/>
      <c r="B378" s="179" t="s">
        <v>1050</v>
      </c>
      <c r="C378" s="312">
        <f>C377+2*SIN(RADIANS(M347))*(N340+C343)</f>
        <v>0</v>
      </c>
      <c r="D378" s="337">
        <f>(C378-(SIN(RADIANS(M347))*N340)-(COS(RADIANS(M347))*O340))*PI()/MEDIAN(U340:V344,P340:Q344)</f>
        <v>-4.7123889803846897</v>
      </c>
      <c r="E378" s="337" t="e">
        <f>(C378*PI()-N378*(G378+C343))/PI()</f>
        <v>#N/A</v>
      </c>
      <c r="F378" s="337" t="e">
        <f>E378-2*O340*COS(RADIANS(M347))</f>
        <v>#N/A</v>
      </c>
      <c r="G378" s="339" t="e">
        <f>ROUND(VLOOKUP(M378,R340:V344,4,FALSE),)</f>
        <v>#N/A</v>
      </c>
      <c r="H378" s="339" t="e">
        <f>ROUND(VLOOKUP(O378,M340:Q344,4,FALSE),)</f>
        <v>#N/A</v>
      </c>
      <c r="I378" s="339" t="e">
        <f>ROUND(VLOOKUP(O378,M340:Q344,5,FALSE),)</f>
        <v>#N/A</v>
      </c>
      <c r="J378" s="339" t="e">
        <f>ROUND(VLOOKUP(Q378,M340:Q344,4,FALSE),)</f>
        <v>#N/A</v>
      </c>
      <c r="K378" s="339" t="e">
        <f>ROUND(VLOOKUP(Q378,M340:Q344,5,FALSE),)</f>
        <v>#N/A</v>
      </c>
      <c r="L378" s="636">
        <f t="shared" si="59"/>
        <v>-1.5707963267948966</v>
      </c>
      <c r="M378" s="639">
        <f t="shared" si="63"/>
        <v>0</v>
      </c>
      <c r="N378" s="637" t="e">
        <f>ROUND(HLOOKUP(M378,N346:R347,2,FALSE),)</f>
        <v>#N/A</v>
      </c>
      <c r="O378" s="639">
        <f t="shared" si="64"/>
        <v>0</v>
      </c>
      <c r="P378" s="638" t="e">
        <f>PI()*(F378*(J378+C343)-E378*(K378+C343))/(((J378+C343)*(I378+C343))-((H378+C343)*(K378+C343)))</f>
        <v>#N/A</v>
      </c>
      <c r="Q378" s="639">
        <f t="shared" si="65"/>
        <v>0</v>
      </c>
      <c r="R378" s="638" t="e">
        <f>(E378*PI()-P378*(H378+C343))/(J378+C343)</f>
        <v>#N/A</v>
      </c>
      <c r="S378" s="641">
        <f t="shared" si="66"/>
        <v>360</v>
      </c>
      <c r="T378" s="247" t="e">
        <f t="shared" si="60"/>
        <v>#N/A</v>
      </c>
      <c r="U378" s="206" t="e">
        <f t="shared" si="61"/>
        <v>#N/A</v>
      </c>
      <c r="V378" s="206" t="e">
        <f t="shared" si="62"/>
        <v>#N/A</v>
      </c>
      <c r="W378" s="196"/>
      <c r="X378" s="152"/>
      <c r="Z378" s="198"/>
      <c r="AA378" s="198"/>
    </row>
    <row r="379" spans="1:27" s="197" customFormat="1" ht="15" customHeight="1">
      <c r="A379" s="226"/>
      <c r="B379" s="179" t="s">
        <v>1051</v>
      </c>
      <c r="C379" s="312">
        <f>C378+2*SIN(RADIANS(M347))*(N340+C343)</f>
        <v>0</v>
      </c>
      <c r="D379" s="337">
        <f>(C379-(SIN(RADIANS(M347))*N340)-(COS(RADIANS(M347))*O340))*PI()/MEDIAN(U340:V344,P340:Q344)</f>
        <v>-4.7123889803846897</v>
      </c>
      <c r="E379" s="337" t="e">
        <f>(C379*PI()-N379*(G379+C343))/PI()</f>
        <v>#N/A</v>
      </c>
      <c r="F379" s="337" t="e">
        <f>E379-2*O340*COS(RADIANS(M347))</f>
        <v>#N/A</v>
      </c>
      <c r="G379" s="339" t="e">
        <f>ROUND(VLOOKUP(M379,R340:V344,4,FALSE),)</f>
        <v>#N/A</v>
      </c>
      <c r="H379" s="339" t="e">
        <f>ROUND(VLOOKUP(O379,M340:Q344,4,FALSE),)</f>
        <v>#N/A</v>
      </c>
      <c r="I379" s="339" t="e">
        <f>ROUND(VLOOKUP(O379,M340:Q344,5,FALSE),)</f>
        <v>#N/A</v>
      </c>
      <c r="J379" s="339" t="e">
        <f>ROUND(VLOOKUP(Q379,M340:Q344,4,FALSE),)</f>
        <v>#N/A</v>
      </c>
      <c r="K379" s="339" t="e">
        <f>ROUND(VLOOKUP(Q379,M340:Q344,5,FALSE),)</f>
        <v>#N/A</v>
      </c>
      <c r="L379" s="636">
        <f t="shared" si="59"/>
        <v>-1.5707963267948966</v>
      </c>
      <c r="M379" s="639">
        <f t="shared" si="63"/>
        <v>0</v>
      </c>
      <c r="N379" s="637" t="e">
        <f>ROUND(HLOOKUP(M379,N346:R347,2,FALSE),)</f>
        <v>#N/A</v>
      </c>
      <c r="O379" s="639">
        <f t="shared" si="64"/>
        <v>0</v>
      </c>
      <c r="P379" s="638" t="e">
        <f>PI()*(F379*(J379+C343)-E379*(K379+C343))/(((J379+C343)*(I379+C343))-((H379+C343)*(K379+C343)))</f>
        <v>#N/A</v>
      </c>
      <c r="Q379" s="639">
        <f t="shared" si="65"/>
        <v>0</v>
      </c>
      <c r="R379" s="638" t="e">
        <f>(E379*PI()-P379*(H379+C343))/(J379+C343)</f>
        <v>#N/A</v>
      </c>
      <c r="S379" s="641">
        <f t="shared" si="66"/>
        <v>360</v>
      </c>
      <c r="T379" s="247" t="e">
        <f t="shared" si="60"/>
        <v>#N/A</v>
      </c>
      <c r="U379" s="206" t="e">
        <f t="shared" si="61"/>
        <v>#N/A</v>
      </c>
      <c r="V379" s="206" t="e">
        <f t="shared" si="62"/>
        <v>#N/A</v>
      </c>
      <c r="W379" s="196"/>
      <c r="X379" s="152"/>
      <c r="Z379" s="198"/>
      <c r="AA379" s="198"/>
    </row>
    <row r="380" spans="1:27" s="197" customFormat="1" ht="15" customHeight="1">
      <c r="A380" s="226"/>
      <c r="B380" s="179" t="s">
        <v>1052</v>
      </c>
      <c r="C380" s="312">
        <f>C379+2*SIN(RADIANS(M347))*(N340+C343)</f>
        <v>0</v>
      </c>
      <c r="D380" s="337">
        <f>(C380-(SIN(RADIANS(M347))*N340)-(COS(RADIANS(M347))*O340))*PI()/MEDIAN(U340:V344,P340:Q344)</f>
        <v>-4.7123889803846897</v>
      </c>
      <c r="E380" s="337" t="e">
        <f>(C380*PI()-N380*(G380+C343))/PI()</f>
        <v>#N/A</v>
      </c>
      <c r="F380" s="337" t="e">
        <f>E380-2*O340*COS(RADIANS(M347))</f>
        <v>#N/A</v>
      </c>
      <c r="G380" s="339" t="e">
        <f>ROUND(VLOOKUP(M380,R340:V344,4,FALSE),)</f>
        <v>#N/A</v>
      </c>
      <c r="H380" s="339" t="e">
        <f>ROUND(VLOOKUP(O380,M340:Q344,4,FALSE),)</f>
        <v>#N/A</v>
      </c>
      <c r="I380" s="339" t="e">
        <f>ROUND(VLOOKUP(O380,M340:Q344,5,FALSE),)</f>
        <v>#N/A</v>
      </c>
      <c r="J380" s="339" t="e">
        <f>ROUND(VLOOKUP(Q380,M340:Q344,4,FALSE),)</f>
        <v>#N/A</v>
      </c>
      <c r="K380" s="339" t="e">
        <f>ROUND(VLOOKUP(Q380,M340:Q344,5,FALSE),)</f>
        <v>#N/A</v>
      </c>
      <c r="L380" s="636">
        <f t="shared" si="59"/>
        <v>-1.5707963267948966</v>
      </c>
      <c r="M380" s="639">
        <f t="shared" si="63"/>
        <v>0</v>
      </c>
      <c r="N380" s="637" t="e">
        <f>ROUND(HLOOKUP(M380,N346:R347,2,FALSE),)</f>
        <v>#N/A</v>
      </c>
      <c r="O380" s="639">
        <f t="shared" si="64"/>
        <v>0</v>
      </c>
      <c r="P380" s="638" t="e">
        <f>PI()*(F380*(J380+C343)-E380*(K380+C343))/(((J380+C343)*(I380+C343))-((H380+C343)*(K380+C343)))</f>
        <v>#N/A</v>
      </c>
      <c r="Q380" s="639">
        <f t="shared" si="65"/>
        <v>0</v>
      </c>
      <c r="R380" s="638" t="e">
        <f>(E380*PI()-P380*(H380+C343))/(J380+C343)</f>
        <v>#N/A</v>
      </c>
      <c r="S380" s="641">
        <f t="shared" si="66"/>
        <v>360</v>
      </c>
      <c r="T380" s="247" t="e">
        <f t="shared" si="60"/>
        <v>#N/A</v>
      </c>
      <c r="U380" s="206" t="e">
        <f t="shared" si="61"/>
        <v>#N/A</v>
      </c>
      <c r="V380" s="206" t="e">
        <f t="shared" si="62"/>
        <v>#N/A</v>
      </c>
      <c r="W380" s="196"/>
      <c r="X380" s="152"/>
      <c r="Z380" s="198"/>
      <c r="AA380" s="198"/>
    </row>
    <row r="381" spans="1:27" s="197" customFormat="1" ht="15" customHeight="1">
      <c r="A381" s="226"/>
      <c r="B381" s="179" t="s">
        <v>1053</v>
      </c>
      <c r="C381" s="312">
        <f>C380+2*SIN(RADIANS(M347))*(N340+C343)</f>
        <v>0</v>
      </c>
      <c r="D381" s="337">
        <f>(C381-(SIN(RADIANS(M347))*N340)-(COS(RADIANS(M347))*O340))*PI()/MEDIAN(U340:V344,P340:Q344)</f>
        <v>-4.7123889803846897</v>
      </c>
      <c r="E381" s="337" t="e">
        <f>(C381*PI()-N381*(G381+C343))/PI()</f>
        <v>#N/A</v>
      </c>
      <c r="F381" s="337" t="e">
        <f>E381-2*O340*COS(RADIANS(M347))</f>
        <v>#N/A</v>
      </c>
      <c r="G381" s="339" t="e">
        <f>ROUND(VLOOKUP(M381,R340:V344,4,FALSE),)</f>
        <v>#N/A</v>
      </c>
      <c r="H381" s="339" t="e">
        <f>ROUND(VLOOKUP(O381,M340:Q344,4,FALSE),)</f>
        <v>#N/A</v>
      </c>
      <c r="I381" s="339" t="e">
        <f>ROUND(VLOOKUP(O381,M340:Q344,5,FALSE),)</f>
        <v>#N/A</v>
      </c>
      <c r="J381" s="339" t="e">
        <f>ROUND(VLOOKUP(Q381,M340:Q344,4,FALSE),)</f>
        <v>#N/A</v>
      </c>
      <c r="K381" s="339" t="e">
        <f>ROUND(VLOOKUP(Q381,M340:Q344,5,FALSE),)</f>
        <v>#N/A</v>
      </c>
      <c r="L381" s="636">
        <f t="shared" si="59"/>
        <v>-1.5707963267948966</v>
      </c>
      <c r="M381" s="639">
        <f t="shared" si="63"/>
        <v>0</v>
      </c>
      <c r="N381" s="637" t="e">
        <f>ROUND(HLOOKUP(M381,N346:R347,2,FALSE),)</f>
        <v>#N/A</v>
      </c>
      <c r="O381" s="639">
        <f t="shared" si="64"/>
        <v>0</v>
      </c>
      <c r="P381" s="638" t="e">
        <f>PI()*(F381*(J381+C343)-E381*(K381+C343))/(((J381+C343)*(I381+C343))-((H381+C343)*(K381+C343)))</f>
        <v>#N/A</v>
      </c>
      <c r="Q381" s="639">
        <f t="shared" si="65"/>
        <v>0</v>
      </c>
      <c r="R381" s="638" t="e">
        <f>(E381*PI()-P381*(H381+C343))/(J381+C343)</f>
        <v>#N/A</v>
      </c>
      <c r="S381" s="641">
        <f t="shared" si="66"/>
        <v>360</v>
      </c>
      <c r="T381" s="247" t="e">
        <f t="shared" si="60"/>
        <v>#N/A</v>
      </c>
      <c r="U381" s="206" t="e">
        <f t="shared" si="61"/>
        <v>#N/A</v>
      </c>
      <c r="V381" s="206" t="e">
        <f t="shared" si="62"/>
        <v>#N/A</v>
      </c>
      <c r="W381" s="196"/>
      <c r="X381" s="152"/>
      <c r="Z381" s="198"/>
      <c r="AA381" s="198"/>
    </row>
    <row r="382" spans="1:27" s="197" customFormat="1" ht="15" customHeight="1">
      <c r="A382" s="226"/>
      <c r="B382" s="179" t="s">
        <v>1054</v>
      </c>
      <c r="C382" s="312">
        <f>C381+2*SIN(RADIANS(M347))*(N340+C343)</f>
        <v>0</v>
      </c>
      <c r="D382" s="337">
        <f>(C382-(SIN(RADIANS(M347))*N340)-(COS(RADIANS(M347))*O340))*PI()/MEDIAN(U340:V344,P340:Q344)</f>
        <v>-4.7123889803846897</v>
      </c>
      <c r="E382" s="337" t="e">
        <f>(C382*PI()-N382*(G382+C343))/PI()</f>
        <v>#N/A</v>
      </c>
      <c r="F382" s="337" t="e">
        <f>E382-2*O340*COS(RADIANS(M347))</f>
        <v>#N/A</v>
      </c>
      <c r="G382" s="339" t="e">
        <f>ROUND(VLOOKUP(M382,R340:V344,4,FALSE),)</f>
        <v>#N/A</v>
      </c>
      <c r="H382" s="339" t="e">
        <f>ROUND(VLOOKUP(O382,M340:Q344,4,FALSE),)</f>
        <v>#N/A</v>
      </c>
      <c r="I382" s="339" t="e">
        <f>ROUND(VLOOKUP(O382,M340:Q344,5,FALSE),)</f>
        <v>#N/A</v>
      </c>
      <c r="J382" s="339" t="e">
        <f>ROUND(VLOOKUP(Q382,M340:Q344,4,FALSE),)</f>
        <v>#N/A</v>
      </c>
      <c r="K382" s="339" t="e">
        <f>ROUND(VLOOKUP(Q382,M340:Q344,5,FALSE),)</f>
        <v>#N/A</v>
      </c>
      <c r="L382" s="636">
        <f t="shared" si="59"/>
        <v>-1.5707963267948966</v>
      </c>
      <c r="M382" s="639">
        <f t="shared" si="63"/>
        <v>0</v>
      </c>
      <c r="N382" s="637" t="e">
        <f>ROUND(HLOOKUP(M382,N346:R347,2,FALSE),)</f>
        <v>#N/A</v>
      </c>
      <c r="O382" s="639">
        <f t="shared" si="64"/>
        <v>0</v>
      </c>
      <c r="P382" s="638" t="e">
        <f>PI()*(F382*(J382+C343)-E382*(K382+C343))/(((J382+C343)*(I382+C343))-((H382+C343)*(K382+C343)))</f>
        <v>#N/A</v>
      </c>
      <c r="Q382" s="639">
        <f t="shared" si="65"/>
        <v>0</v>
      </c>
      <c r="R382" s="638" t="e">
        <f>(E382*PI()-P382*(H382+C343))/(J382+C343)</f>
        <v>#N/A</v>
      </c>
      <c r="S382" s="641">
        <f t="shared" si="66"/>
        <v>360</v>
      </c>
      <c r="T382" s="247" t="e">
        <f t="shared" si="60"/>
        <v>#N/A</v>
      </c>
      <c r="U382" s="206" t="e">
        <f t="shared" si="61"/>
        <v>#N/A</v>
      </c>
      <c r="V382" s="206" t="e">
        <f t="shared" si="62"/>
        <v>#N/A</v>
      </c>
      <c r="W382" s="196"/>
      <c r="X382" s="152"/>
      <c r="Z382" s="198"/>
      <c r="AA382" s="198"/>
    </row>
    <row r="383" spans="1:27" s="197" customFormat="1" ht="15" customHeight="1">
      <c r="A383" s="226"/>
      <c r="B383" s="179" t="s">
        <v>1055</v>
      </c>
      <c r="C383" s="312">
        <f>C382+2*SIN(RADIANS(M347))*(N340+C343)</f>
        <v>0</v>
      </c>
      <c r="D383" s="337">
        <f>(C383-(SIN(RADIANS(M347))*N340)-(COS(RADIANS(M347))*O340))*PI()/MEDIAN(U340:V344,P340:Q344)</f>
        <v>-4.7123889803846897</v>
      </c>
      <c r="E383" s="337" t="e">
        <f>(C383*PI()-N383*(G383+C343))/PI()</f>
        <v>#N/A</v>
      </c>
      <c r="F383" s="337" t="e">
        <f>E383-2*O340*COS(RADIANS(M347))</f>
        <v>#N/A</v>
      </c>
      <c r="G383" s="339" t="e">
        <f>ROUND(VLOOKUP(M383,R340:V344,4,FALSE),)</f>
        <v>#N/A</v>
      </c>
      <c r="H383" s="339" t="e">
        <f>ROUND(VLOOKUP(O383,M340:Q344,4,FALSE),)</f>
        <v>#N/A</v>
      </c>
      <c r="I383" s="339" t="e">
        <f>ROUND(VLOOKUP(O383,M340:Q344,5,FALSE),)</f>
        <v>#N/A</v>
      </c>
      <c r="J383" s="339" t="e">
        <f>ROUND(VLOOKUP(Q383,M340:Q344,4,FALSE),)</f>
        <v>#N/A</v>
      </c>
      <c r="K383" s="339" t="e">
        <f>ROUND(VLOOKUP(Q383,M340:Q344,5,FALSE),)</f>
        <v>#N/A</v>
      </c>
      <c r="L383" s="636">
        <f t="shared" si="59"/>
        <v>-1.5707963267948966</v>
      </c>
      <c r="M383" s="639">
        <f t="shared" si="63"/>
        <v>0</v>
      </c>
      <c r="N383" s="637" t="e">
        <f>ROUND(HLOOKUP(M383,N346:R347,2,FALSE),)</f>
        <v>#N/A</v>
      </c>
      <c r="O383" s="639">
        <f t="shared" si="64"/>
        <v>0</v>
      </c>
      <c r="P383" s="638" t="e">
        <f>PI()*(F383*(J383+C343)-E383*(K383+C343))/(((J383+C343)*(I383+C343))-((H383+C343)*(K383+C343)))</f>
        <v>#N/A</v>
      </c>
      <c r="Q383" s="639">
        <f t="shared" si="65"/>
        <v>0</v>
      </c>
      <c r="R383" s="638" t="e">
        <f>(E383*PI()-P383*(H383+C343))/(J383+C343)</f>
        <v>#N/A</v>
      </c>
      <c r="S383" s="641">
        <f t="shared" si="66"/>
        <v>360</v>
      </c>
      <c r="T383" s="247" t="e">
        <f t="shared" si="60"/>
        <v>#N/A</v>
      </c>
      <c r="U383" s="206" t="e">
        <f t="shared" si="61"/>
        <v>#N/A</v>
      </c>
      <c r="V383" s="206" t="e">
        <f t="shared" si="62"/>
        <v>#N/A</v>
      </c>
      <c r="W383" s="196"/>
      <c r="X383" s="152"/>
      <c r="Z383" s="198"/>
      <c r="AA383" s="198"/>
    </row>
    <row r="384" spans="1:27" s="197" customFormat="1" ht="15" customHeight="1">
      <c r="A384" s="226"/>
      <c r="B384" s="179" t="s">
        <v>1056</v>
      </c>
      <c r="C384" s="312">
        <f>C383+2*SIN(RADIANS(M347))*(N340+C343)</f>
        <v>0</v>
      </c>
      <c r="D384" s="337">
        <f>(C384-(SIN(RADIANS(M347))*N340)-(COS(RADIANS(M347))*O340))*PI()/MEDIAN(U340:V344,P340:Q344)</f>
        <v>-4.7123889803846897</v>
      </c>
      <c r="E384" s="337" t="e">
        <f>(C384*PI()-N384*(G384+C343))/PI()</f>
        <v>#N/A</v>
      </c>
      <c r="F384" s="337" t="e">
        <f>E384-2*O340*COS(RADIANS(M347))</f>
        <v>#N/A</v>
      </c>
      <c r="G384" s="339" t="e">
        <f>ROUND(VLOOKUP(M384,R340:V344,4,FALSE),)</f>
        <v>#N/A</v>
      </c>
      <c r="H384" s="339" t="e">
        <f>ROUND(VLOOKUP(O384,M340:Q344,4,FALSE),)</f>
        <v>#N/A</v>
      </c>
      <c r="I384" s="339" t="e">
        <f>ROUND(VLOOKUP(O384,M340:Q344,5,FALSE),)</f>
        <v>#N/A</v>
      </c>
      <c r="J384" s="339" t="e">
        <f>ROUND(VLOOKUP(Q384,M340:Q344,4,FALSE),)</f>
        <v>#N/A</v>
      </c>
      <c r="K384" s="339" t="e">
        <f>ROUND(VLOOKUP(Q384,M340:Q344,5,FALSE),)</f>
        <v>#N/A</v>
      </c>
      <c r="L384" s="636">
        <f t="shared" ref="L384:L401" si="68">D384/3</f>
        <v>-1.5707963267948966</v>
      </c>
      <c r="M384" s="639">
        <f t="shared" si="63"/>
        <v>0</v>
      </c>
      <c r="N384" s="637" t="e">
        <f>ROUND(HLOOKUP(M384,N346:R347,2,FALSE),)</f>
        <v>#N/A</v>
      </c>
      <c r="O384" s="639">
        <f t="shared" si="64"/>
        <v>0</v>
      </c>
      <c r="P384" s="638" t="e">
        <f>PI()*(F384*(J384+C343)-E384*(K384+C343))/(((J384+C343)*(I384+C343))-((H384+C343)*(K384+C343)))</f>
        <v>#N/A</v>
      </c>
      <c r="Q384" s="639">
        <f t="shared" si="65"/>
        <v>0</v>
      </c>
      <c r="R384" s="638" t="e">
        <f>(E384*PI()-P384*(H384+C343))/(J384+C343)</f>
        <v>#N/A</v>
      </c>
      <c r="S384" s="641">
        <f t="shared" si="66"/>
        <v>360</v>
      </c>
      <c r="T384" s="247" t="e">
        <f t="shared" ref="T384:T401" si="69">ROUND(N384/360*S384,)</f>
        <v>#N/A</v>
      </c>
      <c r="U384" s="206" t="e">
        <f t="shared" ref="U384:U401" si="70">ROUND(P384/360*S384,)</f>
        <v>#N/A</v>
      </c>
      <c r="V384" s="206" t="e">
        <f t="shared" ref="V384:V401" si="71">ROUND(R384/360*S384,)</f>
        <v>#N/A</v>
      </c>
      <c r="W384" s="196"/>
      <c r="X384" s="152"/>
      <c r="Z384" s="198"/>
      <c r="AA384" s="198"/>
    </row>
    <row r="385" spans="1:27" s="197" customFormat="1" ht="15" customHeight="1">
      <c r="A385" s="226"/>
      <c r="B385" s="179" t="s">
        <v>1057</v>
      </c>
      <c r="C385" s="312">
        <f>C384+2*SIN(RADIANS(M347))*(N340+C343)</f>
        <v>0</v>
      </c>
      <c r="D385" s="337">
        <f>(C385-(SIN(RADIANS(M347))*N340)-(COS(RADIANS(M347))*O340))*PI()/MEDIAN(U340:V344,P340:Q344)</f>
        <v>-4.7123889803846897</v>
      </c>
      <c r="E385" s="337" t="e">
        <f>(C385*PI()-N385*(G385+C343))/PI()</f>
        <v>#N/A</v>
      </c>
      <c r="F385" s="337" t="e">
        <f>E385-2*O340*COS(RADIANS(M347))</f>
        <v>#N/A</v>
      </c>
      <c r="G385" s="339" t="e">
        <f>ROUND(VLOOKUP(M385,R340:V344,4,FALSE),)</f>
        <v>#N/A</v>
      </c>
      <c r="H385" s="339" t="e">
        <f>ROUND(VLOOKUP(O385,M340:Q344,4,FALSE),)</f>
        <v>#N/A</v>
      </c>
      <c r="I385" s="339" t="e">
        <f>ROUND(VLOOKUP(O385,M340:Q344,5,FALSE),)</f>
        <v>#N/A</v>
      </c>
      <c r="J385" s="339" t="e">
        <f>ROUND(VLOOKUP(Q385,M340:Q344,4,FALSE),)</f>
        <v>#N/A</v>
      </c>
      <c r="K385" s="339" t="e">
        <f>ROUND(VLOOKUP(Q385,M340:Q344,5,FALSE),)</f>
        <v>#N/A</v>
      </c>
      <c r="L385" s="636">
        <f t="shared" si="68"/>
        <v>-1.5707963267948966</v>
      </c>
      <c r="M385" s="639">
        <f t="shared" ref="M385:M401" si="72">M384</f>
        <v>0</v>
      </c>
      <c r="N385" s="637" t="e">
        <f>ROUND(HLOOKUP(M385,N346:R347,2,FALSE),)</f>
        <v>#N/A</v>
      </c>
      <c r="O385" s="639">
        <f t="shared" ref="O385:O401" si="73">O384</f>
        <v>0</v>
      </c>
      <c r="P385" s="638" t="e">
        <f>PI()*(F385*(J385+C343)-E385*(K385+C343))/(((J385+C343)*(I385+C343))-((H385+C343)*(K385+C343)))</f>
        <v>#N/A</v>
      </c>
      <c r="Q385" s="639">
        <f t="shared" ref="Q385:Q401" si="74">Q384</f>
        <v>0</v>
      </c>
      <c r="R385" s="638" t="e">
        <f>(E385*PI()-P385*(H385+C343))/(J385+C343)</f>
        <v>#N/A</v>
      </c>
      <c r="S385" s="641">
        <f t="shared" si="66"/>
        <v>360</v>
      </c>
      <c r="T385" s="247" t="e">
        <f t="shared" si="69"/>
        <v>#N/A</v>
      </c>
      <c r="U385" s="206" t="e">
        <f t="shared" si="70"/>
        <v>#N/A</v>
      </c>
      <c r="V385" s="206" t="e">
        <f t="shared" si="71"/>
        <v>#N/A</v>
      </c>
      <c r="W385" s="196"/>
      <c r="X385" s="152"/>
      <c r="Z385" s="198"/>
      <c r="AA385" s="198"/>
    </row>
    <row r="386" spans="1:27" s="197" customFormat="1" ht="15" customHeight="1">
      <c r="A386" s="226"/>
      <c r="B386" s="179" t="s">
        <v>1058</v>
      </c>
      <c r="C386" s="312">
        <f>C385+2*SIN(RADIANS(M347))*(N340+C343)</f>
        <v>0</v>
      </c>
      <c r="D386" s="337">
        <f>(C386-(SIN(RADIANS(M347))*N340)-(COS(RADIANS(M347))*O340))*PI()/MEDIAN(U340:V344,P340:Q344)</f>
        <v>-4.7123889803846897</v>
      </c>
      <c r="E386" s="337" t="e">
        <f>(C386*PI()-N386*(G386+C343))/PI()</f>
        <v>#N/A</v>
      </c>
      <c r="F386" s="337" t="e">
        <f>E386-2*O340*COS(RADIANS(M347))</f>
        <v>#N/A</v>
      </c>
      <c r="G386" s="339" t="e">
        <f>ROUND(VLOOKUP(M386,R340:V344,4,FALSE),)</f>
        <v>#N/A</v>
      </c>
      <c r="H386" s="339" t="e">
        <f>ROUND(VLOOKUP(O386,M340:Q344,4,FALSE),)</f>
        <v>#N/A</v>
      </c>
      <c r="I386" s="339" t="e">
        <f>ROUND(VLOOKUP(O386,M340:Q344,5,FALSE),)</f>
        <v>#N/A</v>
      </c>
      <c r="J386" s="339" t="e">
        <f>ROUND(VLOOKUP(Q386,M340:Q344,4,FALSE),)</f>
        <v>#N/A</v>
      </c>
      <c r="K386" s="339" t="e">
        <f>ROUND(VLOOKUP(Q386,M340:Q344,5,FALSE),)</f>
        <v>#N/A</v>
      </c>
      <c r="L386" s="636">
        <f t="shared" si="68"/>
        <v>-1.5707963267948966</v>
      </c>
      <c r="M386" s="639">
        <f t="shared" si="72"/>
        <v>0</v>
      </c>
      <c r="N386" s="637" t="e">
        <f>ROUND(HLOOKUP(M386,N346:R347,2,FALSE),)</f>
        <v>#N/A</v>
      </c>
      <c r="O386" s="639">
        <f t="shared" si="73"/>
        <v>0</v>
      </c>
      <c r="P386" s="638" t="e">
        <f>PI()*(F386*(J386+C343)-E386*(K386+C343))/(((J386+C343)*(I386+C343))-((H386+C343)*(K386+C343)))</f>
        <v>#N/A</v>
      </c>
      <c r="Q386" s="639">
        <f t="shared" si="74"/>
        <v>0</v>
      </c>
      <c r="R386" s="638" t="e">
        <f>(E386*PI()-P386*(H386+C343))/(J386+C343)</f>
        <v>#N/A</v>
      </c>
      <c r="S386" s="641">
        <f t="shared" si="66"/>
        <v>360</v>
      </c>
      <c r="T386" s="247" t="e">
        <f t="shared" si="69"/>
        <v>#N/A</v>
      </c>
      <c r="U386" s="206" t="e">
        <f t="shared" si="70"/>
        <v>#N/A</v>
      </c>
      <c r="V386" s="206" t="e">
        <f t="shared" si="71"/>
        <v>#N/A</v>
      </c>
      <c r="W386" s="196"/>
      <c r="X386" s="152"/>
      <c r="Z386" s="198"/>
      <c r="AA386" s="198"/>
    </row>
    <row r="387" spans="1:27" s="197" customFormat="1" ht="15" customHeight="1">
      <c r="A387" s="226"/>
      <c r="B387" s="179" t="s">
        <v>1059</v>
      </c>
      <c r="C387" s="312">
        <f>C386+2*SIN(RADIANS(M347))*(N340+C343)</f>
        <v>0</v>
      </c>
      <c r="D387" s="337">
        <f>(C387-(SIN(RADIANS(M347))*N340)-(COS(RADIANS(M347))*O340))*PI()/MEDIAN(U340:V344,P340:Q344)</f>
        <v>-4.7123889803846897</v>
      </c>
      <c r="E387" s="337" t="e">
        <f>(C387*PI()-N387*(G387+C343))/PI()</f>
        <v>#N/A</v>
      </c>
      <c r="F387" s="337" t="e">
        <f>E387-2*O340*COS(RADIANS(M347))</f>
        <v>#N/A</v>
      </c>
      <c r="G387" s="339" t="e">
        <f>ROUND(VLOOKUP(M387,R340:V344,4,FALSE),)</f>
        <v>#N/A</v>
      </c>
      <c r="H387" s="339" t="e">
        <f>ROUND(VLOOKUP(O387,M340:Q344,4,FALSE),)</f>
        <v>#N/A</v>
      </c>
      <c r="I387" s="339" t="e">
        <f>ROUND(VLOOKUP(O387,M340:Q344,5,FALSE),)</f>
        <v>#N/A</v>
      </c>
      <c r="J387" s="339" t="e">
        <f>ROUND(VLOOKUP(Q387,M340:Q344,4,FALSE),)</f>
        <v>#N/A</v>
      </c>
      <c r="K387" s="339" t="e">
        <f>ROUND(VLOOKUP(Q387,M340:Q344,5,FALSE),)</f>
        <v>#N/A</v>
      </c>
      <c r="L387" s="636">
        <f t="shared" si="68"/>
        <v>-1.5707963267948966</v>
      </c>
      <c r="M387" s="639">
        <f t="shared" si="72"/>
        <v>0</v>
      </c>
      <c r="N387" s="637" t="e">
        <f>ROUND(HLOOKUP(M387,N346:R347,2,FALSE),)</f>
        <v>#N/A</v>
      </c>
      <c r="O387" s="639">
        <f t="shared" si="73"/>
        <v>0</v>
      </c>
      <c r="P387" s="638" t="e">
        <f>PI()*(F387*(J387+C343)-E387*(K387+C343))/(((J387+C343)*(I387+C343))-((H387+C343)*(K387+C343)))</f>
        <v>#N/A</v>
      </c>
      <c r="Q387" s="639">
        <f t="shared" si="74"/>
        <v>0</v>
      </c>
      <c r="R387" s="638" t="e">
        <f>(E387*PI()-P387*(H387+C343))/(J387+C343)</f>
        <v>#N/A</v>
      </c>
      <c r="S387" s="641">
        <f t="shared" si="66"/>
        <v>360</v>
      </c>
      <c r="T387" s="247" t="e">
        <f t="shared" si="69"/>
        <v>#N/A</v>
      </c>
      <c r="U387" s="206" t="e">
        <f t="shared" si="70"/>
        <v>#N/A</v>
      </c>
      <c r="V387" s="206" t="e">
        <f t="shared" si="71"/>
        <v>#N/A</v>
      </c>
      <c r="W387" s="196"/>
      <c r="X387" s="152"/>
      <c r="Z387" s="198"/>
      <c r="AA387" s="198"/>
    </row>
    <row r="388" spans="1:27" s="197" customFormat="1" ht="15" customHeight="1">
      <c r="A388" s="226"/>
      <c r="B388" s="179" t="s">
        <v>1060</v>
      </c>
      <c r="C388" s="312">
        <f>C387+2*SIN(RADIANS(M347))*(N340+C343)</f>
        <v>0</v>
      </c>
      <c r="D388" s="337">
        <f>(C388-(SIN(RADIANS(M347))*N340)-(COS(RADIANS(M347))*O340))*PI()/MEDIAN(U340:V344,P340:Q344)</f>
        <v>-4.7123889803846897</v>
      </c>
      <c r="E388" s="337" t="e">
        <f>(C388*PI()-N388*(G388+C343))/PI()</f>
        <v>#N/A</v>
      </c>
      <c r="F388" s="337" t="e">
        <f>E388-2*O340*COS(RADIANS(M347))</f>
        <v>#N/A</v>
      </c>
      <c r="G388" s="339" t="e">
        <f>ROUND(VLOOKUP(M388,R340:V344,4,FALSE),)</f>
        <v>#N/A</v>
      </c>
      <c r="H388" s="339" t="e">
        <f>ROUND(VLOOKUP(O388,M340:Q344,4,FALSE),)</f>
        <v>#N/A</v>
      </c>
      <c r="I388" s="339" t="e">
        <f>ROUND(VLOOKUP(O388,M340:Q344,5,FALSE),)</f>
        <v>#N/A</v>
      </c>
      <c r="J388" s="339" t="e">
        <f>ROUND(VLOOKUP(Q388,M340:Q344,4,FALSE),)</f>
        <v>#N/A</v>
      </c>
      <c r="K388" s="339" t="e">
        <f>ROUND(VLOOKUP(Q388,M340:Q344,5,FALSE),)</f>
        <v>#N/A</v>
      </c>
      <c r="L388" s="636">
        <f t="shared" si="68"/>
        <v>-1.5707963267948966</v>
      </c>
      <c r="M388" s="639">
        <f t="shared" si="72"/>
        <v>0</v>
      </c>
      <c r="N388" s="637" t="e">
        <f>ROUND(HLOOKUP(M388,N346:R347,2,FALSE),)</f>
        <v>#N/A</v>
      </c>
      <c r="O388" s="639">
        <f t="shared" si="73"/>
        <v>0</v>
      </c>
      <c r="P388" s="638" t="e">
        <f>PI()*(F388*(J388+C343)-E388*(K388+C343))/(((J388+C343)*(I388+C343))-((H388+C343)*(K388+C343)))</f>
        <v>#N/A</v>
      </c>
      <c r="Q388" s="639">
        <f t="shared" si="74"/>
        <v>0</v>
      </c>
      <c r="R388" s="638" t="e">
        <f>(E388*PI()-P388*(H388+C343))/(J388+C343)</f>
        <v>#N/A</v>
      </c>
      <c r="S388" s="641">
        <f t="shared" si="66"/>
        <v>360</v>
      </c>
      <c r="T388" s="247" t="e">
        <f t="shared" si="69"/>
        <v>#N/A</v>
      </c>
      <c r="U388" s="206" t="e">
        <f t="shared" si="70"/>
        <v>#N/A</v>
      </c>
      <c r="V388" s="206" t="e">
        <f t="shared" si="71"/>
        <v>#N/A</v>
      </c>
      <c r="W388" s="196"/>
      <c r="X388" s="152"/>
      <c r="Z388" s="198"/>
      <c r="AA388" s="198"/>
    </row>
    <row r="389" spans="1:27" s="197" customFormat="1" ht="15" customHeight="1">
      <c r="A389" s="226"/>
      <c r="B389" s="179" t="s">
        <v>1061</v>
      </c>
      <c r="C389" s="312">
        <f>C388+2*SIN(RADIANS(M347))*(N340+C343)</f>
        <v>0</v>
      </c>
      <c r="D389" s="337">
        <f>(C389-(SIN(RADIANS(M347))*N340)-(COS(RADIANS(M347))*O340))*PI()/MEDIAN(U340:V344,P340:Q344)</f>
        <v>-4.7123889803846897</v>
      </c>
      <c r="E389" s="337" t="e">
        <f>(C389*PI()-N389*(G389+C343))/PI()</f>
        <v>#N/A</v>
      </c>
      <c r="F389" s="337" t="e">
        <f>E389-2*O340*COS(RADIANS(M347))</f>
        <v>#N/A</v>
      </c>
      <c r="G389" s="339" t="e">
        <f>ROUND(VLOOKUP(M389,R340:V344,4,FALSE),)</f>
        <v>#N/A</v>
      </c>
      <c r="H389" s="339" t="e">
        <f>ROUND(VLOOKUP(O389,M340:Q344,4,FALSE),)</f>
        <v>#N/A</v>
      </c>
      <c r="I389" s="339" t="e">
        <f>ROUND(VLOOKUP(O389,M340:Q344,5,FALSE),)</f>
        <v>#N/A</v>
      </c>
      <c r="J389" s="339" t="e">
        <f>ROUND(VLOOKUP(Q389,M340:Q344,4,FALSE),)</f>
        <v>#N/A</v>
      </c>
      <c r="K389" s="339" t="e">
        <f>ROUND(VLOOKUP(Q389,M340:Q344,5,FALSE),)</f>
        <v>#N/A</v>
      </c>
      <c r="L389" s="636">
        <f t="shared" si="68"/>
        <v>-1.5707963267948966</v>
      </c>
      <c r="M389" s="639">
        <f t="shared" si="72"/>
        <v>0</v>
      </c>
      <c r="N389" s="637" t="e">
        <f>ROUND(HLOOKUP(M389,N346:R347,2,FALSE),)</f>
        <v>#N/A</v>
      </c>
      <c r="O389" s="639">
        <f t="shared" si="73"/>
        <v>0</v>
      </c>
      <c r="P389" s="638" t="e">
        <f>PI()*(F389*(J389+C343)-E389*(K389+C343))/(((J389+C343)*(I389+C343))-((H389+C343)*(K389+C343)))</f>
        <v>#N/A</v>
      </c>
      <c r="Q389" s="639">
        <f t="shared" si="74"/>
        <v>0</v>
      </c>
      <c r="R389" s="638" t="e">
        <f>(E389*PI()-P389*(H389+C343))/(J389+C343)</f>
        <v>#N/A</v>
      </c>
      <c r="S389" s="641">
        <f t="shared" si="66"/>
        <v>360</v>
      </c>
      <c r="T389" s="247" t="e">
        <f t="shared" si="69"/>
        <v>#N/A</v>
      </c>
      <c r="U389" s="206" t="e">
        <f t="shared" si="70"/>
        <v>#N/A</v>
      </c>
      <c r="V389" s="206" t="e">
        <f t="shared" si="71"/>
        <v>#N/A</v>
      </c>
      <c r="W389" s="196"/>
      <c r="X389" s="152"/>
      <c r="Z389" s="198"/>
      <c r="AA389" s="198"/>
    </row>
    <row r="390" spans="1:27" s="197" customFormat="1" ht="15" customHeight="1">
      <c r="A390" s="226"/>
      <c r="B390" s="179" t="s">
        <v>1062</v>
      </c>
      <c r="C390" s="312">
        <f>C389+2*SIN(RADIANS(M347))*(N340+C343)</f>
        <v>0</v>
      </c>
      <c r="D390" s="337">
        <f>(C390-(SIN(RADIANS(M347))*N340)-(COS(RADIANS(M347))*O340))*PI()/MEDIAN(U340:V344,P340:Q344)</f>
        <v>-4.7123889803846897</v>
      </c>
      <c r="E390" s="337" t="e">
        <f>(C390*PI()-N390*(G390+C343))/PI()</f>
        <v>#N/A</v>
      </c>
      <c r="F390" s="337" t="e">
        <f>E390-2*O340*COS(RADIANS(M347))</f>
        <v>#N/A</v>
      </c>
      <c r="G390" s="339" t="e">
        <f>ROUND(VLOOKUP(M390,R340:V344,4,FALSE),)</f>
        <v>#N/A</v>
      </c>
      <c r="H390" s="339" t="e">
        <f>ROUND(VLOOKUP(O390,M340:Q344,4,FALSE),)</f>
        <v>#N/A</v>
      </c>
      <c r="I390" s="339" t="e">
        <f>ROUND(VLOOKUP(O390,M340:Q344,5,FALSE),)</f>
        <v>#N/A</v>
      </c>
      <c r="J390" s="339" t="e">
        <f>ROUND(VLOOKUP(Q390,M340:Q344,4,FALSE),)</f>
        <v>#N/A</v>
      </c>
      <c r="K390" s="339" t="e">
        <f>ROUND(VLOOKUP(Q390,M340:Q344,5,FALSE),)</f>
        <v>#N/A</v>
      </c>
      <c r="L390" s="636">
        <f t="shared" si="68"/>
        <v>-1.5707963267948966</v>
      </c>
      <c r="M390" s="639">
        <f t="shared" si="72"/>
        <v>0</v>
      </c>
      <c r="N390" s="637" t="e">
        <f>ROUND(HLOOKUP(M390,N346:R347,2,FALSE),)</f>
        <v>#N/A</v>
      </c>
      <c r="O390" s="639">
        <f t="shared" si="73"/>
        <v>0</v>
      </c>
      <c r="P390" s="638" t="e">
        <f>PI()*(F390*(J390+C343)-E390*(K390+C343))/(((J390+C343)*(I390+C343))-((H390+C343)*(K390+C343)))</f>
        <v>#N/A</v>
      </c>
      <c r="Q390" s="639">
        <f t="shared" si="74"/>
        <v>0</v>
      </c>
      <c r="R390" s="638" t="e">
        <f>(E390*PI()-P390*(H390+C343))/(J390+C343)</f>
        <v>#N/A</v>
      </c>
      <c r="S390" s="641">
        <f t="shared" si="66"/>
        <v>360</v>
      </c>
      <c r="T390" s="247" t="e">
        <f t="shared" si="69"/>
        <v>#N/A</v>
      </c>
      <c r="U390" s="206" t="e">
        <f t="shared" si="70"/>
        <v>#N/A</v>
      </c>
      <c r="V390" s="206" t="e">
        <f t="shared" si="71"/>
        <v>#N/A</v>
      </c>
      <c r="W390" s="196"/>
      <c r="X390" s="152"/>
      <c r="Z390" s="198"/>
      <c r="AA390" s="198"/>
    </row>
    <row r="391" spans="1:27" s="197" customFormat="1" ht="15" customHeight="1">
      <c r="A391" s="226"/>
      <c r="B391" s="179" t="s">
        <v>1063</v>
      </c>
      <c r="C391" s="312">
        <f>C390+2*SIN(RADIANS(M347))*(N340+C343)</f>
        <v>0</v>
      </c>
      <c r="D391" s="337">
        <f>(C391-(SIN(RADIANS(M347))*N340)-(COS(RADIANS(M347))*O340))*PI()/MEDIAN(U340:V344,P340:Q344)</f>
        <v>-4.7123889803846897</v>
      </c>
      <c r="E391" s="337" t="e">
        <f>(C391*PI()-N391*(G391+C343))/PI()</f>
        <v>#N/A</v>
      </c>
      <c r="F391" s="337" t="e">
        <f>E391-2*O340*COS(RADIANS(M347))</f>
        <v>#N/A</v>
      </c>
      <c r="G391" s="339" t="e">
        <f>ROUND(VLOOKUP(M391,R340:V344,4,FALSE),)</f>
        <v>#N/A</v>
      </c>
      <c r="H391" s="339" t="e">
        <f>ROUND(VLOOKUP(O391,M340:Q344,4,FALSE),)</f>
        <v>#N/A</v>
      </c>
      <c r="I391" s="339" t="e">
        <f>ROUND(VLOOKUP(O391,M340:Q344,5,FALSE),)</f>
        <v>#N/A</v>
      </c>
      <c r="J391" s="339" t="e">
        <f>ROUND(VLOOKUP(Q391,M340:Q344,4,FALSE),)</f>
        <v>#N/A</v>
      </c>
      <c r="K391" s="339" t="e">
        <f>ROUND(VLOOKUP(Q391,M340:Q344,5,FALSE),)</f>
        <v>#N/A</v>
      </c>
      <c r="L391" s="636">
        <f t="shared" si="68"/>
        <v>-1.5707963267948966</v>
      </c>
      <c r="M391" s="639">
        <f t="shared" si="72"/>
        <v>0</v>
      </c>
      <c r="N391" s="637" t="e">
        <f>ROUND(HLOOKUP(M391,N346:R347,2,FALSE),)</f>
        <v>#N/A</v>
      </c>
      <c r="O391" s="639">
        <f t="shared" si="73"/>
        <v>0</v>
      </c>
      <c r="P391" s="638" t="e">
        <f>PI()*(F391*(J391+C343)-E391*(K391+C343))/(((J391+C343)*(I391+C343))-((H391+C343)*(K391+C343)))</f>
        <v>#N/A</v>
      </c>
      <c r="Q391" s="639">
        <f t="shared" si="74"/>
        <v>0</v>
      </c>
      <c r="R391" s="638" t="e">
        <f>(E391*PI()-P391*(H391+C343))/(J391+C343)</f>
        <v>#N/A</v>
      </c>
      <c r="S391" s="641">
        <f t="shared" si="66"/>
        <v>360</v>
      </c>
      <c r="T391" s="247" t="e">
        <f t="shared" si="69"/>
        <v>#N/A</v>
      </c>
      <c r="U391" s="206" t="e">
        <f t="shared" si="70"/>
        <v>#N/A</v>
      </c>
      <c r="V391" s="206" t="e">
        <f t="shared" si="71"/>
        <v>#N/A</v>
      </c>
      <c r="W391" s="196"/>
      <c r="X391" s="152"/>
      <c r="Z391" s="198"/>
      <c r="AA391" s="198"/>
    </row>
    <row r="392" spans="1:27" s="197" customFormat="1" ht="15" customHeight="1">
      <c r="A392" s="226"/>
      <c r="B392" s="179" t="s">
        <v>1064</v>
      </c>
      <c r="C392" s="312">
        <f>C391+2*SIN(RADIANS(M347))*(N340+C343)</f>
        <v>0</v>
      </c>
      <c r="D392" s="337">
        <f>(C392-(SIN(RADIANS(M347))*N340)-(COS(RADIANS(M347))*O340))*PI()/MEDIAN(U340:V344,P340:Q344)</f>
        <v>-4.7123889803846897</v>
      </c>
      <c r="E392" s="337" t="e">
        <f>(C392*PI()-N392*(G392+C343))/PI()</f>
        <v>#N/A</v>
      </c>
      <c r="F392" s="337" t="e">
        <f>E392-2*O340*COS(RADIANS(M347))</f>
        <v>#N/A</v>
      </c>
      <c r="G392" s="339" t="e">
        <f>ROUND(VLOOKUP(M392,R340:V344,4,FALSE),)</f>
        <v>#N/A</v>
      </c>
      <c r="H392" s="339" t="e">
        <f>ROUND(VLOOKUP(O392,M340:Q344,4,FALSE),)</f>
        <v>#N/A</v>
      </c>
      <c r="I392" s="339" t="e">
        <f>ROUND(VLOOKUP(O392,M340:Q344,5,FALSE),)</f>
        <v>#N/A</v>
      </c>
      <c r="J392" s="339" t="e">
        <f>ROUND(VLOOKUP(Q392,M340:Q344,4,FALSE),)</f>
        <v>#N/A</v>
      </c>
      <c r="K392" s="339" t="e">
        <f>ROUND(VLOOKUP(Q392,M340:Q344,5,FALSE),)</f>
        <v>#N/A</v>
      </c>
      <c r="L392" s="636">
        <f t="shared" si="68"/>
        <v>-1.5707963267948966</v>
      </c>
      <c r="M392" s="639">
        <f t="shared" si="72"/>
        <v>0</v>
      </c>
      <c r="N392" s="637" t="e">
        <f>ROUND(HLOOKUP(M392,N346:R347,2,FALSE),)</f>
        <v>#N/A</v>
      </c>
      <c r="O392" s="639">
        <f t="shared" si="73"/>
        <v>0</v>
      </c>
      <c r="P392" s="638" t="e">
        <f>PI()*(F392*(J392+C343)-E392*(K392+C343))/(((J392+C343)*(I392+C343))-((H392+C343)*(K392+C343)))</f>
        <v>#N/A</v>
      </c>
      <c r="Q392" s="639">
        <f t="shared" si="74"/>
        <v>0</v>
      </c>
      <c r="R392" s="638" t="e">
        <f>(E392*PI()-P392*(H392+C343))/(J392+C343)</f>
        <v>#N/A</v>
      </c>
      <c r="S392" s="641">
        <f t="shared" si="66"/>
        <v>360</v>
      </c>
      <c r="T392" s="247" t="e">
        <f t="shared" si="69"/>
        <v>#N/A</v>
      </c>
      <c r="U392" s="206" t="e">
        <f t="shared" si="70"/>
        <v>#N/A</v>
      </c>
      <c r="V392" s="206" t="e">
        <f t="shared" si="71"/>
        <v>#N/A</v>
      </c>
      <c r="W392" s="196"/>
      <c r="X392" s="152"/>
      <c r="Z392" s="198"/>
      <c r="AA392" s="198"/>
    </row>
    <row r="393" spans="1:27" s="197" customFormat="1" ht="15" customHeight="1">
      <c r="A393" s="226"/>
      <c r="B393" s="179" t="s">
        <v>1065</v>
      </c>
      <c r="C393" s="312">
        <f>C392+2*SIN(RADIANS(M347))*(N340+C343)</f>
        <v>0</v>
      </c>
      <c r="D393" s="337">
        <f>(C393-(SIN(RADIANS(M347))*N340)-(COS(RADIANS(M347))*O340))*PI()/MEDIAN(U340:V344,P340:Q344)</f>
        <v>-4.7123889803846897</v>
      </c>
      <c r="E393" s="337" t="e">
        <f>(C393*PI()-N393*(G393+C343))/PI()</f>
        <v>#N/A</v>
      </c>
      <c r="F393" s="337" t="e">
        <f>E393-2*O340*COS(RADIANS(M347))</f>
        <v>#N/A</v>
      </c>
      <c r="G393" s="339" t="e">
        <f>ROUND(VLOOKUP(M393,R340:V344,4,FALSE),)</f>
        <v>#N/A</v>
      </c>
      <c r="H393" s="339" t="e">
        <f>ROUND(VLOOKUP(O393,M340:Q344,4,FALSE),)</f>
        <v>#N/A</v>
      </c>
      <c r="I393" s="339" t="e">
        <f>ROUND(VLOOKUP(O393,M340:Q344,5,FALSE),)</f>
        <v>#N/A</v>
      </c>
      <c r="J393" s="339" t="e">
        <f>ROUND(VLOOKUP(Q393,M340:Q344,4,FALSE),)</f>
        <v>#N/A</v>
      </c>
      <c r="K393" s="339" t="e">
        <f>ROUND(VLOOKUP(Q393,M340:Q344,5,FALSE),)</f>
        <v>#N/A</v>
      </c>
      <c r="L393" s="636">
        <f t="shared" si="68"/>
        <v>-1.5707963267948966</v>
      </c>
      <c r="M393" s="639">
        <f t="shared" si="72"/>
        <v>0</v>
      </c>
      <c r="N393" s="637" t="e">
        <f>ROUND(HLOOKUP(M393,N346:R347,2,FALSE),)</f>
        <v>#N/A</v>
      </c>
      <c r="O393" s="639">
        <f t="shared" si="73"/>
        <v>0</v>
      </c>
      <c r="P393" s="638" t="e">
        <f>PI()*(F393*(J393+C343)-E393*(K393+C343))/(((J393+C343)*(I393+C343))-((H393+C343)*(K393+C343)))</f>
        <v>#N/A</v>
      </c>
      <c r="Q393" s="639">
        <f t="shared" si="74"/>
        <v>0</v>
      </c>
      <c r="R393" s="638" t="e">
        <f>(E393*PI()-P393*(H393+C343))/(J393+C343)</f>
        <v>#N/A</v>
      </c>
      <c r="S393" s="641">
        <f t="shared" si="66"/>
        <v>360</v>
      </c>
      <c r="T393" s="247" t="e">
        <f t="shared" si="69"/>
        <v>#N/A</v>
      </c>
      <c r="U393" s="206" t="e">
        <f t="shared" si="70"/>
        <v>#N/A</v>
      </c>
      <c r="V393" s="206" t="e">
        <f t="shared" si="71"/>
        <v>#N/A</v>
      </c>
      <c r="W393" s="196"/>
      <c r="X393" s="152"/>
      <c r="Z393" s="198"/>
      <c r="AA393" s="198"/>
    </row>
    <row r="394" spans="1:27" s="197" customFormat="1" ht="15" customHeight="1">
      <c r="A394" s="226"/>
      <c r="B394" s="179" t="s">
        <v>1066</v>
      </c>
      <c r="C394" s="312">
        <f>C393+2*SIN(RADIANS(M347))*(N340+C343)</f>
        <v>0</v>
      </c>
      <c r="D394" s="337">
        <f>(C394-(SIN(RADIANS(M347))*N340)-(COS(RADIANS(M347))*O340))*PI()/MEDIAN(U340:V344,P340:Q344)</f>
        <v>-4.7123889803846897</v>
      </c>
      <c r="E394" s="337" t="e">
        <f>(C394*PI()-N394*(G394+C343))/PI()</f>
        <v>#N/A</v>
      </c>
      <c r="F394" s="337" t="e">
        <f>E394-2*O340*COS(RADIANS(M347))</f>
        <v>#N/A</v>
      </c>
      <c r="G394" s="339" t="e">
        <f>ROUND(VLOOKUP(M394,R340:V344,4,FALSE),)</f>
        <v>#N/A</v>
      </c>
      <c r="H394" s="339" t="e">
        <f>ROUND(VLOOKUP(O394,M340:Q344,4,FALSE),)</f>
        <v>#N/A</v>
      </c>
      <c r="I394" s="339" t="e">
        <f>ROUND(VLOOKUP(O394,M340:Q344,5,FALSE),)</f>
        <v>#N/A</v>
      </c>
      <c r="J394" s="339" t="e">
        <f>ROUND(VLOOKUP(Q394,M340:Q344,4,FALSE),)</f>
        <v>#N/A</v>
      </c>
      <c r="K394" s="339" t="e">
        <f>ROUND(VLOOKUP(Q394,M340:Q344,5,FALSE),)</f>
        <v>#N/A</v>
      </c>
      <c r="L394" s="636">
        <f t="shared" si="68"/>
        <v>-1.5707963267948966</v>
      </c>
      <c r="M394" s="639">
        <f t="shared" si="72"/>
        <v>0</v>
      </c>
      <c r="N394" s="637" t="e">
        <f>ROUND(HLOOKUP(M394,N346:R347,2,FALSE),)</f>
        <v>#N/A</v>
      </c>
      <c r="O394" s="639">
        <f t="shared" si="73"/>
        <v>0</v>
      </c>
      <c r="P394" s="638" t="e">
        <f>PI()*(F394*(J394+C343)-E394*(K394+C343))/(((J394+C343)*(I394+C343))-((H394+C343)*(K394+C343)))</f>
        <v>#N/A</v>
      </c>
      <c r="Q394" s="639">
        <f t="shared" si="74"/>
        <v>0</v>
      </c>
      <c r="R394" s="638" t="e">
        <f>(E394*PI()-P394*(H394+C343))/(J394+C343)</f>
        <v>#N/A</v>
      </c>
      <c r="S394" s="641">
        <f t="shared" si="66"/>
        <v>360</v>
      </c>
      <c r="T394" s="247" t="e">
        <f t="shared" si="69"/>
        <v>#N/A</v>
      </c>
      <c r="U394" s="206" t="e">
        <f t="shared" si="70"/>
        <v>#N/A</v>
      </c>
      <c r="V394" s="206" t="e">
        <f t="shared" si="71"/>
        <v>#N/A</v>
      </c>
      <c r="W394" s="196"/>
      <c r="X394" s="152"/>
      <c r="Z394" s="198"/>
      <c r="AA394" s="198"/>
    </row>
    <row r="395" spans="1:27" s="197" customFormat="1" ht="15" customHeight="1">
      <c r="A395" s="226"/>
      <c r="B395" s="179" t="s">
        <v>1067</v>
      </c>
      <c r="C395" s="312">
        <f>C394+2*SIN(RADIANS(M347))*(N340+C343)</f>
        <v>0</v>
      </c>
      <c r="D395" s="337">
        <f>(C395-(SIN(RADIANS(M347))*N340)-(COS(RADIANS(M347))*O340))*PI()/MEDIAN(U340:V344,P340:Q344)</f>
        <v>-4.7123889803846897</v>
      </c>
      <c r="E395" s="337" t="e">
        <f>(C395*PI()-N395*(G395+C343))/PI()</f>
        <v>#N/A</v>
      </c>
      <c r="F395" s="337" t="e">
        <f>E395-2*O340*COS(RADIANS(M347))</f>
        <v>#N/A</v>
      </c>
      <c r="G395" s="339" t="e">
        <f>ROUND(VLOOKUP(M395,R340:V344,4,FALSE),)</f>
        <v>#N/A</v>
      </c>
      <c r="H395" s="339" t="e">
        <f>ROUND(VLOOKUP(O395,M340:Q344,4,FALSE),)</f>
        <v>#N/A</v>
      </c>
      <c r="I395" s="339" t="e">
        <f>ROUND(VLOOKUP(O395,M340:Q344,5,FALSE),)</f>
        <v>#N/A</v>
      </c>
      <c r="J395" s="339" t="e">
        <f>ROUND(VLOOKUP(Q395,M340:Q344,4,FALSE),)</f>
        <v>#N/A</v>
      </c>
      <c r="K395" s="339" t="e">
        <f>ROUND(VLOOKUP(Q395,M340:Q344,5,FALSE),)</f>
        <v>#N/A</v>
      </c>
      <c r="L395" s="636">
        <f t="shared" si="68"/>
        <v>-1.5707963267948966</v>
      </c>
      <c r="M395" s="639">
        <f t="shared" si="72"/>
        <v>0</v>
      </c>
      <c r="N395" s="637" t="e">
        <f>ROUND(HLOOKUP(M395,N346:R347,2,FALSE),)</f>
        <v>#N/A</v>
      </c>
      <c r="O395" s="639">
        <f t="shared" si="73"/>
        <v>0</v>
      </c>
      <c r="P395" s="638" t="e">
        <f>PI()*(F395*(J395+C343)-E395*(K395+C343))/(((J395+C343)*(I395+C343))-((H395+C343)*(K395+C343)))</f>
        <v>#N/A</v>
      </c>
      <c r="Q395" s="639">
        <f t="shared" si="74"/>
        <v>0</v>
      </c>
      <c r="R395" s="638" t="e">
        <f>(E395*PI()-P395*(H395+C343))/(J395+C343)</f>
        <v>#N/A</v>
      </c>
      <c r="S395" s="641">
        <f t="shared" si="66"/>
        <v>360</v>
      </c>
      <c r="T395" s="247" t="e">
        <f t="shared" si="69"/>
        <v>#N/A</v>
      </c>
      <c r="U395" s="206" t="e">
        <f t="shared" si="70"/>
        <v>#N/A</v>
      </c>
      <c r="V395" s="206" t="e">
        <f t="shared" si="71"/>
        <v>#N/A</v>
      </c>
      <c r="W395" s="196"/>
      <c r="X395" s="152"/>
      <c r="Z395" s="198"/>
      <c r="AA395" s="198"/>
    </row>
    <row r="396" spans="1:27" s="197" customFormat="1" ht="15" customHeight="1">
      <c r="A396" s="226"/>
      <c r="B396" s="179" t="s">
        <v>1068</v>
      </c>
      <c r="C396" s="312">
        <f>C395+2*SIN(RADIANS(M347))*(N340+C343)</f>
        <v>0</v>
      </c>
      <c r="D396" s="337">
        <f>(C396-(SIN(RADIANS(M347))*N340)-(COS(RADIANS(M347))*O340))*PI()/MEDIAN(U340:V344,P340:Q344)</f>
        <v>-4.7123889803846897</v>
      </c>
      <c r="E396" s="337" t="e">
        <f>(C396*PI()-N396*(G396+C343))/PI()</f>
        <v>#N/A</v>
      </c>
      <c r="F396" s="337" t="e">
        <f>E396-2*O340*COS(RADIANS(M347))</f>
        <v>#N/A</v>
      </c>
      <c r="G396" s="339" t="e">
        <f>ROUND(VLOOKUP(M396,R340:V344,4,FALSE),)</f>
        <v>#N/A</v>
      </c>
      <c r="H396" s="339" t="e">
        <f>ROUND(VLOOKUP(O396,M340:Q344,4,FALSE),)</f>
        <v>#N/A</v>
      </c>
      <c r="I396" s="339" t="e">
        <f>ROUND(VLOOKUP(O396,M340:Q344,5,FALSE),)</f>
        <v>#N/A</v>
      </c>
      <c r="J396" s="339" t="e">
        <f>ROUND(VLOOKUP(Q396,M340:Q344,4,FALSE),)</f>
        <v>#N/A</v>
      </c>
      <c r="K396" s="339" t="e">
        <f>ROUND(VLOOKUP(Q396,M340:Q344,5,FALSE),)</f>
        <v>#N/A</v>
      </c>
      <c r="L396" s="636">
        <f t="shared" si="68"/>
        <v>-1.5707963267948966</v>
      </c>
      <c r="M396" s="639">
        <f t="shared" si="72"/>
        <v>0</v>
      </c>
      <c r="N396" s="637" t="e">
        <f>ROUND(HLOOKUP(M396,N346:R347,2,FALSE),)</f>
        <v>#N/A</v>
      </c>
      <c r="O396" s="639">
        <f t="shared" si="73"/>
        <v>0</v>
      </c>
      <c r="P396" s="638" t="e">
        <f>PI()*(F396*(J396+C343)-E396*(K396+C343))/(((J396+C343)*(I396+C343))-((H396+C343)*(K396+C343)))</f>
        <v>#N/A</v>
      </c>
      <c r="Q396" s="639">
        <f t="shared" si="74"/>
        <v>0</v>
      </c>
      <c r="R396" s="638" t="e">
        <f>(E396*PI()-P396*(H396+C343))/(J396+C343)</f>
        <v>#N/A</v>
      </c>
      <c r="S396" s="641">
        <f t="shared" si="66"/>
        <v>360</v>
      </c>
      <c r="T396" s="247" t="e">
        <f t="shared" si="69"/>
        <v>#N/A</v>
      </c>
      <c r="U396" s="206" t="e">
        <f t="shared" si="70"/>
        <v>#N/A</v>
      </c>
      <c r="V396" s="206" t="e">
        <f t="shared" si="71"/>
        <v>#N/A</v>
      </c>
      <c r="W396" s="196"/>
      <c r="X396" s="152"/>
      <c r="Z396" s="198"/>
      <c r="AA396" s="198"/>
    </row>
    <row r="397" spans="1:27" s="197" customFormat="1" ht="15" customHeight="1">
      <c r="A397" s="226"/>
      <c r="B397" s="179" t="s">
        <v>1069</v>
      </c>
      <c r="C397" s="312">
        <f>C396+2*SIN(RADIANS(M347))*(N340+C343)</f>
        <v>0</v>
      </c>
      <c r="D397" s="337">
        <f>(C397-(SIN(RADIANS(M347))*N340)-(COS(RADIANS(M347))*O340))*PI()/MEDIAN(U340:V344,P340:Q344)</f>
        <v>-4.7123889803846897</v>
      </c>
      <c r="E397" s="337" t="e">
        <f>(C397*PI()-N397*(G397+C343))/PI()</f>
        <v>#N/A</v>
      </c>
      <c r="F397" s="337" t="e">
        <f>E397-2*O340*COS(RADIANS(M347))</f>
        <v>#N/A</v>
      </c>
      <c r="G397" s="339" t="e">
        <f>ROUND(VLOOKUP(M397,R340:V344,4,FALSE),)</f>
        <v>#N/A</v>
      </c>
      <c r="H397" s="339" t="e">
        <f>ROUND(VLOOKUP(O397,M340:Q344,4,FALSE),)</f>
        <v>#N/A</v>
      </c>
      <c r="I397" s="339" t="e">
        <f>ROUND(VLOOKUP(O397,M340:Q344,5,FALSE),)</f>
        <v>#N/A</v>
      </c>
      <c r="J397" s="339" t="e">
        <f>ROUND(VLOOKUP(Q397,M340:Q344,4,FALSE),)</f>
        <v>#N/A</v>
      </c>
      <c r="K397" s="339" t="e">
        <f>ROUND(VLOOKUP(Q397,M340:Q344,5,FALSE),)</f>
        <v>#N/A</v>
      </c>
      <c r="L397" s="636">
        <f t="shared" si="68"/>
        <v>-1.5707963267948966</v>
      </c>
      <c r="M397" s="639">
        <f t="shared" si="72"/>
        <v>0</v>
      </c>
      <c r="N397" s="637" t="e">
        <f>ROUND(HLOOKUP(M397,N346:R347,2,FALSE),)</f>
        <v>#N/A</v>
      </c>
      <c r="O397" s="639">
        <f t="shared" si="73"/>
        <v>0</v>
      </c>
      <c r="P397" s="638" t="e">
        <f>PI()*(F397*(J397+C343)-E397*(K397+C343))/(((J397+C343)*(I397+C343))-((H397+C343)*(K397+C343)))</f>
        <v>#N/A</v>
      </c>
      <c r="Q397" s="639">
        <f t="shared" si="74"/>
        <v>0</v>
      </c>
      <c r="R397" s="638" t="e">
        <f>(E397*PI()-P397*(H397+C343))/(J397+C343)</f>
        <v>#N/A</v>
      </c>
      <c r="S397" s="641">
        <f t="shared" si="66"/>
        <v>360</v>
      </c>
      <c r="T397" s="247" t="e">
        <f t="shared" si="69"/>
        <v>#N/A</v>
      </c>
      <c r="U397" s="206" t="e">
        <f t="shared" si="70"/>
        <v>#N/A</v>
      </c>
      <c r="V397" s="206" t="e">
        <f t="shared" si="71"/>
        <v>#N/A</v>
      </c>
      <c r="W397" s="196"/>
      <c r="X397" s="152"/>
      <c r="Z397" s="198"/>
      <c r="AA397" s="198"/>
    </row>
    <row r="398" spans="1:27" s="197" customFormat="1" ht="15" customHeight="1">
      <c r="A398" s="226"/>
      <c r="B398" s="179" t="s">
        <v>1070</v>
      </c>
      <c r="C398" s="312">
        <f>C397+2*SIN(RADIANS(M347))*(N340+C343)</f>
        <v>0</v>
      </c>
      <c r="D398" s="337">
        <f>(C398-(SIN(RADIANS(M347))*N340)-(COS(RADIANS(M347))*O340))*PI()/MEDIAN(U340:V344,P340:Q344)</f>
        <v>-4.7123889803846897</v>
      </c>
      <c r="E398" s="337" t="e">
        <f>(C398*PI()-N398*(G398+C343))/PI()</f>
        <v>#N/A</v>
      </c>
      <c r="F398" s="337" t="e">
        <f>E398-2*O340*COS(RADIANS(M347))</f>
        <v>#N/A</v>
      </c>
      <c r="G398" s="339" t="e">
        <f>ROUND(VLOOKUP(M398,R340:V344,4,FALSE),)</f>
        <v>#N/A</v>
      </c>
      <c r="H398" s="339" t="e">
        <f>ROUND(VLOOKUP(O398,M340:Q344,4,FALSE),)</f>
        <v>#N/A</v>
      </c>
      <c r="I398" s="339" t="e">
        <f>ROUND(VLOOKUP(O398,M340:Q344,5,FALSE),)</f>
        <v>#N/A</v>
      </c>
      <c r="J398" s="339" t="e">
        <f>ROUND(VLOOKUP(Q398,M340:Q344,4,FALSE),)</f>
        <v>#N/A</v>
      </c>
      <c r="K398" s="339" t="e">
        <f>ROUND(VLOOKUP(Q398,M340:Q344,5,FALSE),)</f>
        <v>#N/A</v>
      </c>
      <c r="L398" s="636">
        <f t="shared" si="68"/>
        <v>-1.5707963267948966</v>
      </c>
      <c r="M398" s="639">
        <f t="shared" si="72"/>
        <v>0</v>
      </c>
      <c r="N398" s="637" t="e">
        <f>ROUND(HLOOKUP(M398,N346:R347,2,FALSE),)</f>
        <v>#N/A</v>
      </c>
      <c r="O398" s="639">
        <f t="shared" si="73"/>
        <v>0</v>
      </c>
      <c r="P398" s="638" t="e">
        <f>PI()*(F398*(J398+C343)-E398*(K398+C343))/(((J398+C343)*(I398+C343))-((H398+C343)*(K398+C343)))</f>
        <v>#N/A</v>
      </c>
      <c r="Q398" s="639">
        <f t="shared" si="74"/>
        <v>0</v>
      </c>
      <c r="R398" s="638" t="e">
        <f>(E398*PI()-P398*(H398+C343))/(J398+C343)</f>
        <v>#N/A</v>
      </c>
      <c r="S398" s="641">
        <f t="shared" si="66"/>
        <v>360</v>
      </c>
      <c r="T398" s="247" t="e">
        <f t="shared" si="69"/>
        <v>#N/A</v>
      </c>
      <c r="U398" s="206" t="e">
        <f t="shared" si="70"/>
        <v>#N/A</v>
      </c>
      <c r="V398" s="206" t="e">
        <f t="shared" si="71"/>
        <v>#N/A</v>
      </c>
      <c r="W398" s="196"/>
      <c r="X398" s="152"/>
      <c r="Z398" s="198"/>
      <c r="AA398" s="198"/>
    </row>
    <row r="399" spans="1:27" s="197" customFormat="1" ht="15" customHeight="1">
      <c r="A399" s="226"/>
      <c r="B399" s="179" t="s">
        <v>1071</v>
      </c>
      <c r="C399" s="312">
        <f>C398+2*SIN(RADIANS(M347))*(N340+C343)</f>
        <v>0</v>
      </c>
      <c r="D399" s="337">
        <f>(C399-(SIN(RADIANS(M347))*N340)-(COS(RADIANS(M347))*O340))*PI()/MEDIAN(U340:V344,P340:Q344)</f>
        <v>-4.7123889803846897</v>
      </c>
      <c r="E399" s="337" t="e">
        <f>(C399*PI()-N399*(G399+C343))/PI()</f>
        <v>#N/A</v>
      </c>
      <c r="F399" s="337" t="e">
        <f>E399-2*O340*COS(RADIANS(M347))</f>
        <v>#N/A</v>
      </c>
      <c r="G399" s="339" t="e">
        <f>ROUND(VLOOKUP(M399,R340:V344,4,FALSE),)</f>
        <v>#N/A</v>
      </c>
      <c r="H399" s="339" t="e">
        <f>ROUND(VLOOKUP(O399,M340:Q344,4,FALSE),)</f>
        <v>#N/A</v>
      </c>
      <c r="I399" s="339" t="e">
        <f>ROUND(VLOOKUP(O399,M340:Q344,5,FALSE),)</f>
        <v>#N/A</v>
      </c>
      <c r="J399" s="339" t="e">
        <f>ROUND(VLOOKUP(Q399,M340:Q344,4,FALSE),)</f>
        <v>#N/A</v>
      </c>
      <c r="K399" s="339" t="e">
        <f>ROUND(VLOOKUP(Q399,M340:Q344,5,FALSE),)</f>
        <v>#N/A</v>
      </c>
      <c r="L399" s="636">
        <f t="shared" si="68"/>
        <v>-1.5707963267948966</v>
      </c>
      <c r="M399" s="639">
        <f t="shared" si="72"/>
        <v>0</v>
      </c>
      <c r="N399" s="637" t="e">
        <f>ROUND(HLOOKUP(M399,N346:R347,2,FALSE),)</f>
        <v>#N/A</v>
      </c>
      <c r="O399" s="639">
        <f t="shared" si="73"/>
        <v>0</v>
      </c>
      <c r="P399" s="638" t="e">
        <f>PI()*(F399*(J399+C343)-E399*(K399+C343))/(((J399+C343)*(I399+C343))-((H399+C343)*(K399+C343)))</f>
        <v>#N/A</v>
      </c>
      <c r="Q399" s="639">
        <f t="shared" si="74"/>
        <v>0</v>
      </c>
      <c r="R399" s="638" t="e">
        <f>(E399*PI()-P399*(H399+C343))/(J399+C343)</f>
        <v>#N/A</v>
      </c>
      <c r="S399" s="641">
        <f t="shared" si="66"/>
        <v>360</v>
      </c>
      <c r="T399" s="247" t="e">
        <f t="shared" si="69"/>
        <v>#N/A</v>
      </c>
      <c r="U399" s="206" t="e">
        <f t="shared" si="70"/>
        <v>#N/A</v>
      </c>
      <c r="V399" s="206" t="e">
        <f t="shared" si="71"/>
        <v>#N/A</v>
      </c>
      <c r="W399" s="196"/>
      <c r="X399" s="152"/>
      <c r="Z399" s="198"/>
      <c r="AA399" s="198"/>
    </row>
    <row r="400" spans="1:27" s="197" customFormat="1" ht="15" customHeight="1">
      <c r="A400" s="226"/>
      <c r="B400" s="179" t="s">
        <v>1072</v>
      </c>
      <c r="C400" s="312">
        <f>C399+2*SIN(RADIANS(M347))*(N340+C343)</f>
        <v>0</v>
      </c>
      <c r="D400" s="337">
        <f>(C400-(SIN(RADIANS(M347))*N340)-(COS(RADIANS(M347))*O340))*PI()/MEDIAN(U340:V344,P340:Q344)</f>
        <v>-4.7123889803846897</v>
      </c>
      <c r="E400" s="337" t="e">
        <f>(C400*PI()-N400*(G400+C343))/PI()</f>
        <v>#N/A</v>
      </c>
      <c r="F400" s="337" t="e">
        <f>E400-2*O340*COS(RADIANS(M347))</f>
        <v>#N/A</v>
      </c>
      <c r="G400" s="339" t="e">
        <f>ROUND(VLOOKUP(M400,R340:V344,4,FALSE),)</f>
        <v>#N/A</v>
      </c>
      <c r="H400" s="339" t="e">
        <f>ROUND(VLOOKUP(O400,M340:Q344,4,FALSE),)</f>
        <v>#N/A</v>
      </c>
      <c r="I400" s="339" t="e">
        <f>ROUND(VLOOKUP(O400,M340:Q344,5,FALSE),)</f>
        <v>#N/A</v>
      </c>
      <c r="J400" s="339" t="e">
        <f>ROUND(VLOOKUP(Q400,M340:Q344,4,FALSE),)</f>
        <v>#N/A</v>
      </c>
      <c r="K400" s="339" t="e">
        <f>ROUND(VLOOKUP(Q400,M340:Q344,5,FALSE),)</f>
        <v>#N/A</v>
      </c>
      <c r="L400" s="636">
        <f t="shared" si="68"/>
        <v>-1.5707963267948966</v>
      </c>
      <c r="M400" s="639">
        <f t="shared" si="72"/>
        <v>0</v>
      </c>
      <c r="N400" s="637" t="e">
        <f>ROUND(HLOOKUP(M400,N346:R347,2,FALSE),)</f>
        <v>#N/A</v>
      </c>
      <c r="O400" s="639">
        <f t="shared" si="73"/>
        <v>0</v>
      </c>
      <c r="P400" s="638" t="e">
        <f>PI()*(F400*(J400+C343)-E400*(K400+C343))/(((J400+C343)*(I400+C343))-((H400+C343)*(K400+C343)))</f>
        <v>#N/A</v>
      </c>
      <c r="Q400" s="639">
        <f t="shared" si="74"/>
        <v>0</v>
      </c>
      <c r="R400" s="638" t="e">
        <f>(E400*PI()-P400*(H400+C343))/(J400+C343)</f>
        <v>#N/A</v>
      </c>
      <c r="S400" s="641">
        <f t="shared" si="66"/>
        <v>360</v>
      </c>
      <c r="T400" s="247" t="e">
        <f t="shared" si="69"/>
        <v>#N/A</v>
      </c>
      <c r="U400" s="206" t="e">
        <f t="shared" si="70"/>
        <v>#N/A</v>
      </c>
      <c r="V400" s="206" t="e">
        <f t="shared" si="71"/>
        <v>#N/A</v>
      </c>
      <c r="W400" s="196"/>
      <c r="X400" s="152"/>
      <c r="Z400" s="198"/>
      <c r="AA400" s="198"/>
    </row>
    <row r="401" spans="1:27" s="197" customFormat="1" ht="15" customHeight="1" thickBot="1">
      <c r="A401" s="226"/>
      <c r="B401" s="179" t="s">
        <v>1073</v>
      </c>
      <c r="C401" s="312">
        <f>C400+2*SIN(RADIANS(M347))*(N340+C343)</f>
        <v>0</v>
      </c>
      <c r="D401" s="337">
        <f>(C401-(SIN(RADIANS(M347))*N340)-(COS(RADIANS(M347))*O340))*PI()/MEDIAN(U340:V344,P340:Q344)</f>
        <v>-4.7123889803846897</v>
      </c>
      <c r="E401" s="337" t="e">
        <f>(C401*PI()-N401*(G401+C343))/PI()</f>
        <v>#N/A</v>
      </c>
      <c r="F401" s="337" t="e">
        <f>E401-2*O340*COS(RADIANS(M347))</f>
        <v>#N/A</v>
      </c>
      <c r="G401" s="339" t="e">
        <f>ROUND(VLOOKUP(M401,R340:V344,4,FALSE),)</f>
        <v>#N/A</v>
      </c>
      <c r="H401" s="339" t="e">
        <f>ROUND(VLOOKUP(O401,M340:Q344,4,FALSE),)</f>
        <v>#N/A</v>
      </c>
      <c r="I401" s="339" t="e">
        <f>ROUND(VLOOKUP(O401,M340:Q344,5,FALSE),)</f>
        <v>#N/A</v>
      </c>
      <c r="J401" s="339" t="e">
        <f>ROUND(VLOOKUP(Q401,M340:Q344,4,FALSE),)</f>
        <v>#N/A</v>
      </c>
      <c r="K401" s="339" t="e">
        <f>ROUND(VLOOKUP(Q401,M340:Q344,5,FALSE),)</f>
        <v>#N/A</v>
      </c>
      <c r="L401" s="636">
        <f t="shared" si="68"/>
        <v>-1.5707963267948966</v>
      </c>
      <c r="M401" s="301">
        <f t="shared" si="72"/>
        <v>0</v>
      </c>
      <c r="N401" s="637" t="e">
        <f>ROUND(HLOOKUP(M401,N346:R347,2,FALSE),)</f>
        <v>#N/A</v>
      </c>
      <c r="O401" s="301">
        <f t="shared" si="73"/>
        <v>0</v>
      </c>
      <c r="P401" s="638" t="e">
        <f>PI()*(F401*(J401+C343)-E401*(K401+C343))/(((J401+C343)*(I401+C343))-((H401+C343)*(K401+C343)))</f>
        <v>#N/A</v>
      </c>
      <c r="Q401" s="301">
        <f t="shared" si="74"/>
        <v>0</v>
      </c>
      <c r="R401" s="638" t="e">
        <f>(E401*PI()-P401*(H401+C343))/(J401+C343)</f>
        <v>#N/A</v>
      </c>
      <c r="S401" s="642">
        <f t="shared" si="66"/>
        <v>360</v>
      </c>
      <c r="T401" s="247" t="e">
        <f t="shared" si="69"/>
        <v>#N/A</v>
      </c>
      <c r="U401" s="206" t="e">
        <f t="shared" si="70"/>
        <v>#N/A</v>
      </c>
      <c r="V401" s="206" t="e">
        <f t="shared" si="71"/>
        <v>#N/A</v>
      </c>
      <c r="W401" s="196"/>
      <c r="X401" s="152"/>
      <c r="Z401" s="198"/>
      <c r="AA401" s="198"/>
    </row>
    <row r="402" spans="1:27" s="197" customFormat="1" ht="15" customHeight="1">
      <c r="A402" s="226"/>
      <c r="B402" s="205"/>
      <c r="C402" s="211"/>
      <c r="D402" s="206"/>
      <c r="E402" s="206"/>
      <c r="F402" s="206"/>
      <c r="G402" s="206"/>
      <c r="H402" s="206"/>
      <c r="I402" s="206"/>
      <c r="J402" s="207"/>
      <c r="K402" s="207"/>
      <c r="L402" s="155"/>
      <c r="M402" s="206"/>
      <c r="N402" s="206"/>
      <c r="O402" s="206"/>
      <c r="P402" s="206"/>
      <c r="Q402" s="206"/>
      <c r="R402" s="206"/>
      <c r="S402" s="206"/>
      <c r="T402" s="206"/>
      <c r="U402" s="206"/>
      <c r="V402" s="208"/>
      <c r="W402" s="196"/>
      <c r="X402" s="152"/>
      <c r="Z402" s="198"/>
      <c r="AA402" s="198"/>
    </row>
    <row r="403" spans="1:27" s="197" customFormat="1" ht="15" customHeight="1">
      <c r="A403" s="226"/>
      <c r="B403" s="205"/>
      <c r="C403" s="211"/>
      <c r="D403" s="206"/>
      <c r="E403" s="206"/>
      <c r="F403" s="206"/>
      <c r="G403" s="206"/>
      <c r="H403" s="206"/>
      <c r="I403" s="206"/>
      <c r="J403" s="207"/>
      <c r="K403" s="207"/>
      <c r="L403" s="155"/>
      <c r="M403" s="206"/>
      <c r="N403" s="206"/>
      <c r="O403" s="206"/>
      <c r="P403" s="206"/>
      <c r="Q403" s="206"/>
      <c r="R403" s="206"/>
      <c r="S403" s="206"/>
      <c r="T403" s="206"/>
      <c r="U403" s="206"/>
      <c r="V403" s="208"/>
      <c r="W403" s="196"/>
      <c r="X403" s="152"/>
      <c r="Z403" s="198"/>
      <c r="AA403" s="198"/>
    </row>
    <row r="404" spans="1:27" s="197" customFormat="1" ht="15" customHeight="1" thickBot="1">
      <c r="A404" s="226"/>
      <c r="B404" s="291" t="s">
        <v>1010</v>
      </c>
      <c r="C404" s="292"/>
      <c r="D404" s="293"/>
      <c r="E404" s="293"/>
      <c r="F404" s="293"/>
      <c r="G404" s="293"/>
      <c r="H404" s="293"/>
      <c r="I404" s="293"/>
      <c r="J404" s="294"/>
      <c r="K404" s="294"/>
      <c r="L404" s="295"/>
      <c r="M404" s="293"/>
      <c r="N404" s="293"/>
      <c r="O404" s="293"/>
      <c r="P404" s="293"/>
      <c r="Q404" s="293"/>
      <c r="R404" s="293"/>
      <c r="S404" s="296"/>
      <c r="T404" s="293"/>
      <c r="U404" s="293" t="s">
        <v>678</v>
      </c>
      <c r="V404" s="297" t="s">
        <v>27</v>
      </c>
      <c r="W404" s="298"/>
      <c r="X404" s="299"/>
      <c r="Z404" s="198"/>
      <c r="AA404" s="198"/>
    </row>
    <row r="405" spans="1:27" s="197" customFormat="1" ht="15" customHeight="1" thickBot="1">
      <c r="A405" s="226"/>
      <c r="B405" s="221"/>
      <c r="C405" s="144">
        <f>SUMIF(Densidades!A:A,'Memória TOTAL'!X405,Densidades!B:B)</f>
        <v>0</v>
      </c>
      <c r="D405" s="145">
        <f>SUMIF(Densidades!A:A,'Memória TOTAL'!X405,Densidades!C:C)</f>
        <v>0</v>
      </c>
      <c r="E405" s="145" t="str">
        <f>IF(I405=15,"FIRECLAY MORTAR",IF(I405=16,"ALUMINA MORTAR",IF(I405=17,"BASIC MORTAR",IF(I405=18,"MORTAR","-"))))</f>
        <v>-</v>
      </c>
      <c r="F405" s="145" t="str">
        <f>IF(I405=15,"FIRECLAY MORTAR",IF(I405=16,"ALUMINA MORTAR",IF(I405=17,"BASIC MORTAR",IF(I405=18,"MORTAR","-"))))</f>
        <v>-</v>
      </c>
      <c r="G405" s="145" t="str">
        <f>IF(I405=15,"FIRECLAY MORTAR",IF(I405=16,"ALUMINA MORTAR",IF(I405=17,"BASIC MORTAR",IF(I405=18,"MORTAR","-"))))</f>
        <v>-</v>
      </c>
      <c r="H405" s="145" t="str">
        <f>IF(I405=15,"FIRECLAY MORTAR",IF(I405=16,"ALUMINA MORTAR",IF(I405=17,"BASIC MORTAR",IF(I405=18,"MORTAR","-"))))</f>
        <v>-</v>
      </c>
      <c r="I405" s="145">
        <f>SUMIF(Densidades!A:A,'Memória TOTAL'!X405,Densidades!G:G)</f>
        <v>0</v>
      </c>
      <c r="J405" s="147">
        <f>SUMIF(Formatos!A:A,'Memória TOTAL'!X406,Formatos!G:G)</f>
        <v>0</v>
      </c>
      <c r="K405" s="148">
        <f>SUMIF(Densidades!A:A,'Memória TOTAL'!X405,Densidades!I:I)</f>
        <v>0</v>
      </c>
      <c r="L405" s="199">
        <v>0</v>
      </c>
      <c r="M405" s="200"/>
      <c r="N405" s="200"/>
      <c r="O405" s="200"/>
      <c r="P405" s="200"/>
      <c r="Q405" s="200"/>
      <c r="R405" s="200"/>
      <c r="S405" s="200"/>
      <c r="T405" s="201"/>
      <c r="U405" s="302"/>
      <c r="V405" s="203" t="e">
        <f>(W298*J298*C405+W302*J302*C405+W306*J306*C405+W310*J310*C405+W314*J314*C405+W318*J318*C405+W322*J322*C405+W326*J326*C405+W330*J330*C405+W334*J334*C405)*U405</f>
        <v>#N/A</v>
      </c>
      <c r="W405" s="204" t="str">
        <f>IF(C405=0,"",ROUNDUP(SUM(V405:V407)*(1+L405)/D405,0)*D405)</f>
        <v/>
      </c>
      <c r="X405" s="274"/>
      <c r="Z405" s="198"/>
      <c r="AA405" s="198"/>
    </row>
    <row r="406" spans="1:27" s="197" customFormat="1" ht="15" customHeight="1">
      <c r="A406" s="226"/>
      <c r="B406" s="221"/>
      <c r="C406" s="144"/>
      <c r="D406" s="206"/>
      <c r="E406" s="206"/>
      <c r="F406" s="206"/>
      <c r="G406" s="206"/>
      <c r="H406" s="206"/>
      <c r="I406" s="206"/>
      <c r="J406" s="207"/>
      <c r="K406" s="207"/>
      <c r="L406" s="155"/>
      <c r="M406" s="206"/>
      <c r="N406" s="206"/>
      <c r="O406" s="206"/>
      <c r="P406" s="206"/>
      <c r="Q406" s="206"/>
      <c r="R406" s="206"/>
      <c r="S406" s="206"/>
      <c r="T406" s="206"/>
      <c r="U406" s="206"/>
      <c r="V406" s="208"/>
      <c r="W406" s="196"/>
      <c r="X406" s="152" t="str">
        <f>IF(AND(H405="-",G405="-",F405="-"),E405,IF(AND(H405="-",G405="-",E405="-"),F405,IF(AND(H405="-",F405="-",E405="-"),G405,H405)))</f>
        <v>-</v>
      </c>
      <c r="Z406" s="198"/>
      <c r="AA406" s="198"/>
    </row>
    <row r="407" spans="1:27" s="197" customFormat="1" ht="15" customHeight="1">
      <c r="A407" s="226"/>
      <c r="B407" s="224"/>
      <c r="C407" s="144"/>
      <c r="D407" s="206"/>
      <c r="E407" s="206"/>
      <c r="F407" s="206"/>
      <c r="G407" s="206"/>
      <c r="H407" s="206"/>
      <c r="I407" s="206"/>
      <c r="J407" s="207"/>
      <c r="K407" s="207"/>
      <c r="L407" s="155"/>
      <c r="M407" s="206"/>
      <c r="N407" s="206"/>
      <c r="O407" s="206"/>
      <c r="P407" s="206"/>
      <c r="Q407" s="206"/>
      <c r="R407" s="206"/>
      <c r="S407" s="206"/>
      <c r="T407" s="206"/>
      <c r="U407" s="206"/>
      <c r="V407" s="208"/>
      <c r="W407" s="196"/>
      <c r="X407" s="152" t="s">
        <v>2</v>
      </c>
      <c r="Z407" s="198"/>
      <c r="AA407" s="198"/>
    </row>
    <row r="408" spans="1:27" ht="15" customHeight="1">
      <c r="A408" s="226"/>
      <c r="B408" s="142"/>
      <c r="C408" s="180"/>
      <c r="D408" s="181"/>
      <c r="E408" s="181"/>
      <c r="F408" s="181"/>
      <c r="G408" s="181"/>
      <c r="H408" s="181"/>
      <c r="I408" s="181"/>
      <c r="J408" s="182"/>
      <c r="K408" s="182"/>
      <c r="L408" s="183"/>
      <c r="M408" s="181"/>
      <c r="N408" s="181"/>
      <c r="O408" s="181"/>
      <c r="P408" s="181"/>
      <c r="Q408" s="181"/>
      <c r="R408" s="181"/>
      <c r="S408" s="181"/>
      <c r="T408" s="181"/>
      <c r="U408" s="181"/>
      <c r="V408" s="184"/>
      <c r="W408" s="185"/>
      <c r="X408" s="186"/>
    </row>
    <row r="409" spans="1:27" s="197" customFormat="1" ht="15" customHeight="1" thickBot="1">
      <c r="A409" s="226"/>
      <c r="B409" s="291" t="s">
        <v>1011</v>
      </c>
      <c r="C409" s="292"/>
      <c r="D409" s="293"/>
      <c r="E409" s="293"/>
      <c r="F409" s="293"/>
      <c r="G409" s="293"/>
      <c r="H409" s="293"/>
      <c r="I409" s="293"/>
      <c r="J409" s="294"/>
      <c r="K409" s="294"/>
      <c r="L409" s="295"/>
      <c r="M409" s="293"/>
      <c r="N409" s="293"/>
      <c r="O409" s="293"/>
      <c r="P409" s="293"/>
      <c r="Q409" s="293"/>
      <c r="R409" s="293" t="s">
        <v>636</v>
      </c>
      <c r="S409" s="296" t="s">
        <v>637</v>
      </c>
      <c r="T409" s="293" t="s">
        <v>638</v>
      </c>
      <c r="U409" s="293" t="s">
        <v>38</v>
      </c>
      <c r="V409" s="297" t="s">
        <v>27</v>
      </c>
      <c r="W409" s="298"/>
      <c r="X409" s="299"/>
      <c r="Z409" s="198"/>
      <c r="AA409" s="198"/>
    </row>
    <row r="410" spans="1:27" s="197" customFormat="1" ht="15" customHeight="1" thickBot="1">
      <c r="A410" s="226"/>
      <c r="B410" s="221"/>
      <c r="C410" s="144">
        <f>SUMIF(Densidades!A:A,'Memória TOTAL'!X410,Densidades!B:B)</f>
        <v>0</v>
      </c>
      <c r="D410" s="145">
        <f>SUMIF(Densidades!A:A,'Memória TOTAL'!X410,Densidades!C:C)</f>
        <v>0</v>
      </c>
      <c r="E410" s="145" t="str">
        <f>IF(I410=15,"FIRECLAY MORTAR",IF(I410=16,"ALUMINA MORTAR",IF(I410=17,"BASIC MORTAR",IF(I410=18,"MORTAR","-"))))</f>
        <v>-</v>
      </c>
      <c r="F410" s="145" t="str">
        <f>IF(I410=15,"FIRECLAY MORTAR",IF(I410=16,"ALUMINA MORTAR",IF(I410=17,"BASIC MORTAR",IF(I410=18,"MORTAR","-"))))</f>
        <v>-</v>
      </c>
      <c r="G410" s="145" t="str">
        <f>IF(I410=15,"FIRECLAY MORTAR",IF(I410=16,"ALUMINA MORTAR",IF(I410=17,"BASIC MORTAR",IF(I410=18,"MORTAR","-"))))</f>
        <v>-</v>
      </c>
      <c r="H410" s="145" t="str">
        <f>IF(I410=15,"FIRECLAY MORTAR",IF(I410=16,"ALUMINA MORTAR",IF(I410=17,"BASIC MORTAR",IF(I410=18,"MORTAR","-"))))</f>
        <v>-</v>
      </c>
      <c r="I410" s="145">
        <f>SUMIF(Densidades!A:A,'Memória TOTAL'!X410,Densidades!G:G)</f>
        <v>0</v>
      </c>
      <c r="J410" s="147">
        <f>SUMIF(Formatos!A:A,'Memória TOTAL'!X411,Formatos!G:G)</f>
        <v>0</v>
      </c>
      <c r="K410" s="233">
        <f>SUMIF(Densidades!A:A,'Memória TOTAL'!X410,Densidades!I:I)</f>
        <v>0</v>
      </c>
      <c r="L410" s="199">
        <v>0</v>
      </c>
      <c r="M410" s="200"/>
      <c r="N410" s="200"/>
      <c r="O410" s="200"/>
      <c r="P410" s="200"/>
      <c r="Q410" s="200"/>
      <c r="R410" s="201">
        <f>((G298*H298)+(G298*E298)+(H298*E298))/1000000</f>
        <v>0</v>
      </c>
      <c r="S410" s="270">
        <v>2</v>
      </c>
      <c r="T410" s="201">
        <f>R410*S410</f>
        <v>0</v>
      </c>
      <c r="U410" s="202" t="e">
        <f>SUM(W298:W336)</f>
        <v>#N/A</v>
      </c>
      <c r="V410" s="203" t="e">
        <f>(T410*C410*(1+L410))*U410</f>
        <v>#N/A</v>
      </c>
      <c r="W410" s="151" t="str">
        <f>IF(C410=0,"",ROUNDUP(SUM(V410:V412)*(1+L410)/D410,0)*D410)</f>
        <v/>
      </c>
      <c r="X410" s="274"/>
      <c r="Z410" s="198"/>
      <c r="AA410" s="198"/>
    </row>
    <row r="411" spans="1:27" s="197" customFormat="1" ht="15" customHeight="1">
      <c r="A411" s="226"/>
      <c r="B411" s="221"/>
      <c r="C411" s="144"/>
      <c r="D411" s="206"/>
      <c r="E411" s="206"/>
      <c r="F411" s="206"/>
      <c r="G411" s="206"/>
      <c r="H411" s="206"/>
      <c r="I411" s="206"/>
      <c r="J411" s="207"/>
      <c r="K411" s="207"/>
      <c r="L411" s="155"/>
      <c r="M411" s="206"/>
      <c r="N411" s="206"/>
      <c r="O411" s="206"/>
      <c r="P411" s="206"/>
      <c r="Q411" s="206"/>
      <c r="R411" s="206"/>
      <c r="S411" s="206"/>
      <c r="T411" s="206"/>
      <c r="U411" s="206"/>
      <c r="V411" s="208"/>
      <c r="W411" s="196"/>
      <c r="X411" s="152" t="str">
        <f>IF(AND(H410="-",G410="-",F410="-"),E410,IF(AND(H410="-",G410="-",E410="-"),F410,IF(AND(H410="-",F410="-",E410="-"),G410,H410)))</f>
        <v>-</v>
      </c>
      <c r="Z411" s="198"/>
      <c r="AA411" s="198"/>
    </row>
    <row r="412" spans="1:27" s="197" customFormat="1" ht="15" customHeight="1">
      <c r="A412" s="226"/>
      <c r="B412" s="224"/>
      <c r="C412" s="144"/>
      <c r="D412" s="206"/>
      <c r="E412" s="206"/>
      <c r="F412" s="206"/>
      <c r="G412" s="206"/>
      <c r="H412" s="206"/>
      <c r="I412" s="206"/>
      <c r="J412" s="207"/>
      <c r="K412" s="207"/>
      <c r="L412" s="155"/>
      <c r="M412" s="206"/>
      <c r="N412" s="206"/>
      <c r="O412" s="206"/>
      <c r="P412" s="206"/>
      <c r="Q412" s="206"/>
      <c r="R412" s="206"/>
      <c r="S412" s="206"/>
      <c r="T412" s="206"/>
      <c r="U412" s="206"/>
      <c r="V412" s="208"/>
      <c r="W412" s="196"/>
      <c r="X412" s="152" t="s">
        <v>2</v>
      </c>
      <c r="Z412" s="198"/>
      <c r="AA412" s="198"/>
    </row>
    <row r="413" spans="1:27" s="197" customFormat="1" ht="15" customHeight="1">
      <c r="A413" s="225"/>
      <c r="B413" s="221"/>
      <c r="C413" s="312"/>
      <c r="D413" s="206"/>
      <c r="E413" s="206"/>
      <c r="F413" s="206"/>
      <c r="G413" s="206"/>
      <c r="H413" s="206"/>
      <c r="I413" s="206"/>
      <c r="J413" s="207"/>
      <c r="K413" s="207"/>
      <c r="L413" s="155"/>
      <c r="M413" s="206"/>
      <c r="N413" s="206"/>
      <c r="O413" s="206"/>
      <c r="P413" s="206"/>
      <c r="Q413" s="206"/>
      <c r="R413" s="206"/>
      <c r="S413" s="206"/>
      <c r="T413" s="206"/>
      <c r="U413" s="206"/>
      <c r="V413" s="208"/>
      <c r="W413" s="196"/>
      <c r="X413" s="152"/>
      <c r="Z413" s="198"/>
      <c r="AA413" s="198"/>
    </row>
    <row r="414" spans="1:27" s="197" customFormat="1" ht="15" customHeight="1" thickBot="1">
      <c r="A414" s="225"/>
      <c r="B414" s="524"/>
      <c r="C414" s="524"/>
      <c r="D414" s="527"/>
      <c r="E414" s="527"/>
      <c r="F414" s="527"/>
      <c r="G414" s="527"/>
      <c r="H414" s="527"/>
      <c r="I414" s="527"/>
      <c r="J414" s="527"/>
      <c r="K414" s="527"/>
      <c r="L414" s="527"/>
      <c r="M414" s="527"/>
      <c r="N414" s="527"/>
      <c r="O414" s="527"/>
      <c r="P414" s="527"/>
      <c r="Q414" s="527"/>
      <c r="R414" s="527"/>
      <c r="S414" s="527"/>
      <c r="T414" s="527"/>
      <c r="U414" s="527"/>
      <c r="V414" s="527"/>
      <c r="W414" s="527"/>
      <c r="X414" s="528"/>
      <c r="Z414" s="198"/>
      <c r="AA414" s="198"/>
    </row>
    <row r="415" spans="1:27" s="197" customFormat="1" ht="15" customHeight="1" thickBot="1">
      <c r="A415" s="226"/>
      <c r="B415" s="529" t="str">
        <f>IF(X416="","TIJOLO / TRONCO DE CONE - 3 TIJOLOS",X416)</f>
        <v>TIJOLO / TRONCO DE CONE - 3 TIJOLOS</v>
      </c>
      <c r="C415" s="674" t="s">
        <v>101</v>
      </c>
      <c r="D415" s="675" t="s">
        <v>102</v>
      </c>
      <c r="E415" s="675" t="s">
        <v>42</v>
      </c>
      <c r="F415" s="675" t="s">
        <v>42</v>
      </c>
      <c r="G415" s="675" t="s">
        <v>43</v>
      </c>
      <c r="H415" s="675" t="s">
        <v>44</v>
      </c>
      <c r="I415" s="675" t="s">
        <v>47</v>
      </c>
      <c r="J415" s="675" t="s">
        <v>103</v>
      </c>
      <c r="K415" s="675" t="s">
        <v>37</v>
      </c>
      <c r="L415" s="675" t="s">
        <v>39</v>
      </c>
      <c r="M415" s="675"/>
      <c r="N415" s="675" t="s">
        <v>2340</v>
      </c>
      <c r="O415" s="675" t="s">
        <v>2349</v>
      </c>
      <c r="P415" s="675" t="s">
        <v>46</v>
      </c>
      <c r="Q415" s="675" t="s">
        <v>62</v>
      </c>
      <c r="R415" s="675"/>
      <c r="S415" s="675"/>
      <c r="T415" s="675"/>
      <c r="U415" s="675"/>
      <c r="V415" s="701" t="s">
        <v>27</v>
      </c>
      <c r="W415" s="532"/>
      <c r="X415" s="533"/>
      <c r="Z415" s="198"/>
      <c r="AA415" s="198"/>
    </row>
    <row r="416" spans="1:27" s="197" customFormat="1" ht="15" customHeight="1" thickBot="1">
      <c r="A416" s="226"/>
      <c r="B416" s="205"/>
      <c r="C416" s="144">
        <f>SUMIF(Densidades!A:A,'Memória TOTAL'!X416,Densidades!B:B)</f>
        <v>0</v>
      </c>
      <c r="D416" s="145">
        <f>SUMIF(Densidades!A:A,'Memória TOTAL'!X416,Densidades!C:C)</f>
        <v>0</v>
      </c>
      <c r="E416" s="146">
        <f>SUMIF(Formatos!A:A,'Memória TOTAL'!X417,Formatos!E:E)</f>
        <v>0</v>
      </c>
      <c r="F416" s="146">
        <f>SUMIF(Formatos!A:A,'Memória TOTAL'!X417,Formatos!F:F)</f>
        <v>0</v>
      </c>
      <c r="G416" s="146">
        <f>SUMIF(Formatos!A:A,'Memória TOTAL'!X417,Formatos!C:C)</f>
        <v>0</v>
      </c>
      <c r="H416" s="146">
        <f>SUMIF(Formatos!A:A,'Memória TOTAL'!X417,Formatos!D:D)</f>
        <v>0</v>
      </c>
      <c r="I416" s="146">
        <f>SUMIF(Densidades!A:A,'Memória TOTAL'!X416,Densidades!H:H)</f>
        <v>0</v>
      </c>
      <c r="J416" s="147">
        <f>SUMIF(Formatos!A:A,'Memória TOTAL'!X417,Formatos!G:G)</f>
        <v>4.1130000000000004</v>
      </c>
      <c r="K416" s="233">
        <f>SUMIF(Densidades!A:A,'Memória TOTAL'!X416,Densidades!I:I)</f>
        <v>0</v>
      </c>
      <c r="L416" s="234">
        <v>0</v>
      </c>
      <c r="M416" s="206"/>
      <c r="N416" s="267"/>
      <c r="O416" s="272"/>
      <c r="P416" s="659"/>
      <c r="Q416" s="272"/>
      <c r="R416" s="206"/>
      <c r="S416" s="206"/>
      <c r="T416" s="243"/>
      <c r="U416" s="246"/>
      <c r="V416" s="702" t="str">
        <f>IF(SUM(S430:S480)=0,"-",SUM(S430:S480))</f>
        <v>-</v>
      </c>
      <c r="W416" s="204" t="str">
        <f>IF(V416="-","",ROUNDUP(SUM(V416)*(1+L416),0))</f>
        <v/>
      </c>
      <c r="X416" s="274"/>
      <c r="Z416" s="198"/>
      <c r="AA416" s="198"/>
    </row>
    <row r="417" spans="1:27" s="197" customFormat="1" ht="15" customHeight="1">
      <c r="A417" s="226"/>
      <c r="B417" s="205"/>
      <c r="C417" s="211"/>
      <c r="D417" s="206"/>
      <c r="E417" s="206"/>
      <c r="F417" s="206"/>
      <c r="G417" s="206"/>
      <c r="H417" s="206"/>
      <c r="I417" s="206"/>
      <c r="J417" s="207"/>
      <c r="K417" s="207"/>
      <c r="L417" s="155"/>
      <c r="M417" s="206"/>
      <c r="N417" s="206"/>
      <c r="O417" s="206"/>
      <c r="P417" s="206"/>
      <c r="Q417" s="206"/>
      <c r="R417" s="206"/>
      <c r="S417" s="206"/>
      <c r="T417" s="206"/>
      <c r="U417" s="206"/>
      <c r="V417" s="208"/>
      <c r="W417" s="196"/>
      <c r="X417" s="152" t="str">
        <f>IF(X416="","",O422)</f>
        <v/>
      </c>
      <c r="Z417" s="198"/>
      <c r="AA417" s="198"/>
    </row>
    <row r="418" spans="1:27" s="197" customFormat="1" ht="15" customHeight="1">
      <c r="A418" s="226"/>
      <c r="B418" s="205"/>
      <c r="C418" s="676"/>
      <c r="D418" s="252"/>
      <c r="E418" s="252"/>
      <c r="F418" s="252"/>
      <c r="G418" s="252"/>
      <c r="H418" s="252"/>
      <c r="I418" s="252"/>
      <c r="J418" s="658"/>
      <c r="K418" s="658"/>
      <c r="L418" s="183"/>
      <c r="M418" s="206"/>
      <c r="N418" s="206"/>
      <c r="O418" s="206"/>
      <c r="P418" s="206"/>
      <c r="Q418" s="206"/>
      <c r="R418" s="206"/>
      <c r="S418" s="206"/>
      <c r="T418" s="206"/>
      <c r="U418" s="206"/>
      <c r="V418" s="208"/>
      <c r="W418" s="196"/>
      <c r="X418" s="152" t="s">
        <v>524</v>
      </c>
      <c r="Z418" s="198"/>
      <c r="AA418" s="198"/>
    </row>
    <row r="419" spans="1:27" s="197" customFormat="1" ht="15" customHeight="1" thickBot="1">
      <c r="A419" s="226"/>
      <c r="B419" s="205"/>
      <c r="C419" s="230" t="str">
        <f t="shared" ref="C419:L419" si="75">C415</f>
        <v>Dens.</v>
      </c>
      <c r="D419" s="677" t="str">
        <f t="shared" si="75"/>
        <v>Emb.</v>
      </c>
      <c r="E419" s="677" t="str">
        <f t="shared" si="75"/>
        <v>Esp. Tij.</v>
      </c>
      <c r="F419" s="677" t="str">
        <f t="shared" si="75"/>
        <v>Esp. Tij.</v>
      </c>
      <c r="G419" s="677" t="str">
        <f t="shared" si="75"/>
        <v>Comp. Tij.</v>
      </c>
      <c r="H419" s="677" t="str">
        <f t="shared" si="75"/>
        <v>Larg. Tij.</v>
      </c>
      <c r="I419" s="677" t="str">
        <f t="shared" si="75"/>
        <v>Tipo Fator</v>
      </c>
      <c r="J419" s="677" t="str">
        <f t="shared" si="75"/>
        <v>Vol.</v>
      </c>
      <c r="K419" s="677" t="str">
        <f t="shared" si="75"/>
        <v>Class.</v>
      </c>
      <c r="L419" s="677" t="str">
        <f t="shared" si="75"/>
        <v>Coefic. (%)</v>
      </c>
      <c r="M419" s="206"/>
      <c r="N419" s="206"/>
      <c r="O419" s="206"/>
      <c r="P419" s="206"/>
      <c r="Q419" s="206"/>
      <c r="R419" s="206"/>
      <c r="S419" s="206"/>
      <c r="T419" s="206"/>
      <c r="U419" s="206"/>
      <c r="V419" s="253"/>
      <c r="W419" s="196"/>
      <c r="X419" s="152"/>
      <c r="Z419" s="198"/>
      <c r="AA419" s="198"/>
    </row>
    <row r="420" spans="1:27" s="197" customFormat="1" ht="15" customHeight="1" thickBot="1">
      <c r="A420" s="226"/>
      <c r="B420" s="205"/>
      <c r="C420" s="144">
        <f>SUMIF(Densidades!A:A,'Memória TOTAL'!X420,Densidades!B:B)</f>
        <v>0</v>
      </c>
      <c r="D420" s="145">
        <f>SUMIF(Densidades!A:A,'Memória TOTAL'!X420,Densidades!C:C)</f>
        <v>570</v>
      </c>
      <c r="E420" s="146">
        <f>SUMIF(Formatos!A:A,'Memória TOTAL'!X421,Formatos!E:E)</f>
        <v>0</v>
      </c>
      <c r="F420" s="146">
        <f>SUMIF(Formatos!A:A,'Memória TOTAL'!X421,Formatos!F:F)</f>
        <v>0</v>
      </c>
      <c r="G420" s="146">
        <f>SUMIF(Formatos!A:A,'Memória TOTAL'!X421,Formatos!C:C)</f>
        <v>0</v>
      </c>
      <c r="H420" s="146">
        <f>SUMIF(Formatos!A:A,'Memória TOTAL'!X421,Formatos!D:D)</f>
        <v>0</v>
      </c>
      <c r="I420" s="146">
        <f>SUMIF(Densidades!A:A,'Memória TOTAL'!X420,Densidades!H:H)</f>
        <v>0</v>
      </c>
      <c r="J420" s="147">
        <f>SUMIF(Formatos!A:A,'Memória TOTAL'!X421,Formatos!G:G)</f>
        <v>4.1130000000000004</v>
      </c>
      <c r="K420" s="233">
        <f>SUMIF(Densidades!A:A,'Memória TOTAL'!X420,Densidades!I:I)</f>
        <v>167</v>
      </c>
      <c r="L420" s="234">
        <v>0</v>
      </c>
      <c r="M420" s="206"/>
      <c r="N420" s="206"/>
      <c r="O420" s="800" t="s">
        <v>1015</v>
      </c>
      <c r="P420" s="801"/>
      <c r="Q420" s="801"/>
      <c r="R420" s="801"/>
      <c r="S420" s="802"/>
      <c r="T420" s="243"/>
      <c r="U420" s="246"/>
      <c r="V420" s="702" t="str">
        <f>IFERROR(IF(SUM(T430:T480)=0,"-",SUM(T430:T480)),"-")</f>
        <v>-</v>
      </c>
      <c r="W420" s="204" t="str">
        <f>IF(V420="-","",ROUNDUP(SUM(V420)*(1+L420),0))</f>
        <v/>
      </c>
      <c r="X420" s="152" t="str">
        <f>IF(X416="","",X416)</f>
        <v/>
      </c>
      <c r="Z420" s="198"/>
      <c r="AA420" s="198"/>
    </row>
    <row r="421" spans="1:27" s="197" customFormat="1" ht="15" customHeight="1" thickBot="1">
      <c r="A421" s="226"/>
      <c r="B421" s="205"/>
      <c r="C421" s="211"/>
      <c r="D421" s="206"/>
      <c r="E421" s="206"/>
      <c r="F421" s="206"/>
      <c r="G421" s="206"/>
      <c r="H421" s="206"/>
      <c r="I421" s="206"/>
      <c r="J421" s="207"/>
      <c r="K421" s="207"/>
      <c r="L421" s="155"/>
      <c r="M421" s="206"/>
      <c r="N421" s="658"/>
      <c r="O421" s="681" t="s">
        <v>2347</v>
      </c>
      <c r="P421" s="682" t="s">
        <v>1075</v>
      </c>
      <c r="Q421" s="682" t="s">
        <v>2346</v>
      </c>
      <c r="R421" s="682" t="s">
        <v>7</v>
      </c>
      <c r="S421" s="703" t="s">
        <v>15</v>
      </c>
      <c r="T421" s="206"/>
      <c r="U421" s="206"/>
      <c r="V421" s="208"/>
      <c r="W421" s="196"/>
      <c r="X421" s="152" t="str">
        <f>IF(X420="","",O423)</f>
        <v/>
      </c>
      <c r="Z421" s="198"/>
      <c r="AA421" s="198"/>
    </row>
    <row r="422" spans="1:27" s="197" customFormat="1" ht="15" customHeight="1">
      <c r="A422" s="226"/>
      <c r="B422" s="205"/>
      <c r="C422" s="676"/>
      <c r="D422" s="252"/>
      <c r="E422" s="252"/>
      <c r="F422" s="252"/>
      <c r="G422" s="252"/>
      <c r="H422" s="252"/>
      <c r="I422" s="252"/>
      <c r="J422" s="658"/>
      <c r="K422" s="658"/>
      <c r="L422" s="183"/>
      <c r="M422" s="206"/>
      <c r="N422" s="678" t="s">
        <v>2341</v>
      </c>
      <c r="O422" s="705"/>
      <c r="P422" s="334" t="str">
        <f>IF(O422="","",IF(VLOOKUP(O422,Formatos!A:F,2,FALSE)="S",IF(VLOOKUP(O423,Formatos!A:F,2,FALSE)="W",VLOOKUP(O423,Formatos!A:F,4,FALSE),VLOOKUP(O423,Formatos!A:F,3,FALSE)),IF(VLOOKUP(O422,Formatos!A:F,2,FALSE)="W",VLOOKUP(O422,Formatos!A:F,4,FALSE),VLOOKUP(O422,Formatos!A:F,3,FALSE))))</f>
        <v/>
      </c>
      <c r="Q422" s="334" t="str">
        <f>IF(O422="","",IF(VLOOKUP(O422,Formatos!A:F,2,FALSE)="S",IF(VLOOKUP(O423,Formatos!A:F,2,FALSE)="W",VLOOKUP(O423,Formatos!A:F,3,FALSE),VLOOKUP(O423,Formatos!A:F,4,FALSE)),IF(VLOOKUP(O422,Formatos!A:F,2,FALSE)="W",VLOOKUP(O422,Formatos!A:F,3,FALSE),VLOOKUP(O422,Formatos!A:F,4,FALSE))))</f>
        <v/>
      </c>
      <c r="R422" s="708" t="str">
        <f>IF(O422="","",VLOOKUP(O422,Formatos!A:F,5,FALSE)+P416)</f>
        <v/>
      </c>
      <c r="S422" s="709" t="str">
        <f>IF(O422="","",VLOOKUP(O422,Formatos!A:F,6,FALSE)+P416)</f>
        <v/>
      </c>
      <c r="T422" s="206"/>
      <c r="U422" s="206"/>
      <c r="V422" s="208"/>
      <c r="W422" s="196"/>
      <c r="X422" s="152" t="s">
        <v>524</v>
      </c>
      <c r="Z422" s="198"/>
      <c r="AA422" s="198"/>
    </row>
    <row r="423" spans="1:27" s="197" customFormat="1" ht="15" customHeight="1" thickBot="1">
      <c r="A423" s="226"/>
      <c r="B423" s="205"/>
      <c r="C423" s="230" t="str">
        <f t="shared" ref="C423:L423" si="76">C419</f>
        <v>Dens.</v>
      </c>
      <c r="D423" s="677" t="str">
        <f t="shared" si="76"/>
        <v>Emb.</v>
      </c>
      <c r="E423" s="677" t="str">
        <f t="shared" si="76"/>
        <v>Esp. Tij.</v>
      </c>
      <c r="F423" s="677" t="str">
        <f t="shared" si="76"/>
        <v>Esp. Tij.</v>
      </c>
      <c r="G423" s="677" t="str">
        <f t="shared" si="76"/>
        <v>Comp. Tij.</v>
      </c>
      <c r="H423" s="677" t="str">
        <f t="shared" si="76"/>
        <v>Larg. Tij.</v>
      </c>
      <c r="I423" s="677" t="str">
        <f t="shared" si="76"/>
        <v>Tipo Fator</v>
      </c>
      <c r="J423" s="677" t="str">
        <f t="shared" si="76"/>
        <v>Vol.</v>
      </c>
      <c r="K423" s="677" t="str">
        <f t="shared" si="76"/>
        <v>Class.</v>
      </c>
      <c r="L423" s="677" t="str">
        <f t="shared" si="76"/>
        <v>Coefic. (%)</v>
      </c>
      <c r="M423" s="206"/>
      <c r="N423" s="679" t="s">
        <v>2342</v>
      </c>
      <c r="O423" s="706"/>
      <c r="P423" s="334" t="str">
        <f>IF(O423="","",IF(VLOOKUP(O423,Formatos!A:F,2,FALSE)="S",IF(VLOOKUP(O424,Formatos!A:F,2,FALSE)="W",VLOOKUP(O424,Formatos!A:F,4,FALSE),VLOOKUP(O424,Formatos!A:F,3,FALSE)),IF(VLOOKUP(O423,Formatos!A:F,2,FALSE)="W",VLOOKUP(O423,Formatos!A:F,4,FALSE),VLOOKUP(O423,Formatos!A:F,3,FALSE))))</f>
        <v/>
      </c>
      <c r="Q423" s="334" t="str">
        <f>IF(O423="","",IF(VLOOKUP(O423,Formatos!A:F,2,FALSE)="S",IF(VLOOKUP(O424,Formatos!A:F,2,FALSE)="W",VLOOKUP(O424,Formatos!A:F,3,FALSE),VLOOKUP(O424,Formatos!A:F,4,FALSE)),IF(VLOOKUP(O423,Formatos!A:F,2,FALSE)="W",VLOOKUP(O423,Formatos!A:F,3,FALSE),VLOOKUP(O423,Formatos!A:F,4,FALSE))))</f>
        <v/>
      </c>
      <c r="R423" s="708" t="str">
        <f>IF(O423="","",VLOOKUP(O423,Formatos!A:F,5,FALSE)+P416)</f>
        <v/>
      </c>
      <c r="S423" s="709" t="str">
        <f>IF(O423="","",VLOOKUP(O423,Formatos!A:F,6,FALSE)+P416)</f>
        <v/>
      </c>
      <c r="T423" s="206"/>
      <c r="U423" s="206"/>
      <c r="V423" s="253"/>
      <c r="W423" s="196"/>
      <c r="X423" s="152"/>
      <c r="Z423" s="198"/>
      <c r="AA423" s="198"/>
    </row>
    <row r="424" spans="1:27" s="197" customFormat="1" ht="15" customHeight="1" thickBot="1">
      <c r="A424" s="226"/>
      <c r="B424" s="205"/>
      <c r="C424" s="144">
        <f>SUMIF(Densidades!A:A,'Memória TOTAL'!X424,Densidades!B:B)</f>
        <v>0</v>
      </c>
      <c r="D424" s="145">
        <f>SUMIF(Densidades!A:A,'Memória TOTAL'!X424,Densidades!C:C)</f>
        <v>570</v>
      </c>
      <c r="E424" s="146">
        <f>SUMIF(Formatos!A:A,'Memória TOTAL'!X425,Formatos!E:E)</f>
        <v>0</v>
      </c>
      <c r="F424" s="146">
        <f>SUMIF(Formatos!A:A,'Memória TOTAL'!X425,Formatos!F:F)</f>
        <v>0</v>
      </c>
      <c r="G424" s="146">
        <f>SUMIF(Formatos!A:A,'Memória TOTAL'!X425,Formatos!C:C)</f>
        <v>0</v>
      </c>
      <c r="H424" s="146">
        <f>SUMIF(Formatos!A:A,'Memória TOTAL'!X425,Formatos!D:D)</f>
        <v>0</v>
      </c>
      <c r="I424" s="146">
        <f>SUMIF(Densidades!A:A,'Memória TOTAL'!X424,Densidades!H:H)</f>
        <v>0</v>
      </c>
      <c r="J424" s="147">
        <f>SUMIF(Formatos!A:A,'Memória TOTAL'!X425,Formatos!G:G)</f>
        <v>4.1130000000000004</v>
      </c>
      <c r="K424" s="233">
        <f>SUMIF(Densidades!A:A,'Memória TOTAL'!X424,Densidades!I:I)</f>
        <v>167</v>
      </c>
      <c r="L424" s="234">
        <v>0</v>
      </c>
      <c r="M424" s="206"/>
      <c r="N424" s="680" t="s">
        <v>2343</v>
      </c>
      <c r="O424" s="707"/>
      <c r="P424" s="704" t="str">
        <f>IF(O424="","",IF(VLOOKUP(O424,Formatos!A:F,2,FALSE)="S",IF(VLOOKUP(#REF!,Formatos!A:F,2,FALSE)="W",VLOOKUP(#REF!,Formatos!A:F,4,FALSE),VLOOKUP(#REF!,Formatos!A:F,3,FALSE)),IF(VLOOKUP(O424,Formatos!A:F,2,FALSE)="W",VLOOKUP(O424,Formatos!A:F,4,FALSE),VLOOKUP(O424,Formatos!A:F,3,FALSE))))</f>
        <v/>
      </c>
      <c r="Q424" s="704" t="str">
        <f>IF(O424="","",IF(VLOOKUP(O424,Formatos!A:F,2,FALSE)="S",IF(VLOOKUP(#REF!,Formatos!A:F,2,FALSE)="W",VLOOKUP(#REF!,Formatos!A:F,3,FALSE),VLOOKUP(#REF!,Formatos!A:F,4,FALSE)),IF(VLOOKUP(O424,Formatos!A:F,2,FALSE)="W",VLOOKUP(O424,Formatos!A:F,3,FALSE),VLOOKUP(O424,Formatos!A:F,4,FALSE))))</f>
        <v/>
      </c>
      <c r="R424" s="710" t="str">
        <f>IF(O424="","",VLOOKUP(O424,Formatos!A:F,5,FALSE)+P416)</f>
        <v/>
      </c>
      <c r="S424" s="711" t="str">
        <f>IF(O424="","",VLOOKUP(O424,Formatos!A:F,6,FALSE)+P416)</f>
        <v/>
      </c>
      <c r="T424" s="243"/>
      <c r="U424" s="246"/>
      <c r="V424" s="702" t="str">
        <f>IFERROR(IF(SUM(U430:U480)=0,"-",SUM(U430:U480)),"-")</f>
        <v>-</v>
      </c>
      <c r="W424" s="204" t="str">
        <f>IF(V424="-","",ROUNDUP(SUM(V424)*(1+L424),0))</f>
        <v/>
      </c>
      <c r="X424" s="152" t="str">
        <f>X420</f>
        <v/>
      </c>
      <c r="Z424" s="198"/>
      <c r="AA424" s="198"/>
    </row>
    <row r="425" spans="1:27" s="197" customFormat="1" ht="15" customHeight="1">
      <c r="A425" s="226"/>
      <c r="B425" s="205"/>
      <c r="C425" s="211"/>
      <c r="D425" s="206"/>
      <c r="E425" s="206"/>
      <c r="F425" s="206"/>
      <c r="G425" s="206"/>
      <c r="H425" s="206"/>
      <c r="I425" s="206"/>
      <c r="J425" s="207"/>
      <c r="K425" s="207"/>
      <c r="L425" s="155"/>
      <c r="M425" s="206"/>
      <c r="N425" s="206"/>
      <c r="O425" s="206"/>
      <c r="P425" s="206"/>
      <c r="Q425" s="206"/>
      <c r="R425" s="206"/>
      <c r="S425" s="206"/>
      <c r="T425" s="206"/>
      <c r="U425" s="206"/>
      <c r="V425" s="208"/>
      <c r="W425" s="196"/>
      <c r="X425" s="152" t="str">
        <f>IF(X424="","",O424)</f>
        <v/>
      </c>
      <c r="Z425" s="198"/>
      <c r="AA425" s="198"/>
    </row>
    <row r="426" spans="1:27" s="197" customFormat="1" ht="15" customHeight="1">
      <c r="A426" s="226"/>
      <c r="B426" s="205"/>
      <c r="C426" s="211"/>
      <c r="D426" s="206"/>
      <c r="E426" s="206"/>
      <c r="F426" s="206"/>
      <c r="G426" s="206"/>
      <c r="H426" s="206"/>
      <c r="I426" s="206"/>
      <c r="J426" s="207"/>
      <c r="K426" s="207"/>
      <c r="L426" s="155"/>
      <c r="M426" s="206"/>
      <c r="N426" s="206"/>
      <c r="O426" s="206"/>
      <c r="P426" s="206"/>
      <c r="Q426" s="206"/>
      <c r="R426" s="206"/>
      <c r="S426" s="206"/>
      <c r="T426" s="206"/>
      <c r="U426" s="206"/>
      <c r="V426" s="208"/>
      <c r="W426" s="196"/>
      <c r="X426" s="152" t="s">
        <v>524</v>
      </c>
      <c r="Z426" s="198"/>
      <c r="AA426" s="198"/>
    </row>
    <row r="427" spans="1:27" s="197" customFormat="1" ht="15" customHeight="1" thickBot="1">
      <c r="A427" s="226"/>
      <c r="B427" s="205"/>
      <c r="C427" s="211"/>
      <c r="D427" s="206"/>
      <c r="E427" s="206"/>
      <c r="F427" s="206"/>
      <c r="G427" s="206"/>
      <c r="H427" s="206"/>
      <c r="I427" s="206"/>
      <c r="J427" s="207"/>
      <c r="K427" s="207"/>
      <c r="L427" s="207"/>
      <c r="M427" s="206"/>
      <c r="N427" s="206"/>
      <c r="O427" s="206"/>
      <c r="P427" s="206"/>
      <c r="Q427" s="206"/>
      <c r="R427" s="206"/>
      <c r="S427" s="252"/>
      <c r="T427" s="252"/>
      <c r="U427" s="252"/>
      <c r="V427" s="208"/>
      <c r="W427" s="196"/>
      <c r="X427" s="152"/>
      <c r="Z427" s="198"/>
      <c r="AA427" s="198"/>
    </row>
    <row r="428" spans="1:27" s="197" customFormat="1" ht="15" customHeight="1" thickBot="1">
      <c r="A428" s="226"/>
      <c r="B428" s="205"/>
      <c r="C428" s="676"/>
      <c r="D428" s="247"/>
      <c r="E428" s="206"/>
      <c r="F428" s="206"/>
      <c r="G428" s="206"/>
      <c r="H428" s="206"/>
      <c r="I428" s="206"/>
      <c r="J428" s="207"/>
      <c r="K428" s="657"/>
      <c r="L428" s="658"/>
      <c r="M428" s="252"/>
      <c r="N428" s="252"/>
      <c r="O428" s="252"/>
      <c r="P428" s="689" t="s">
        <v>2341</v>
      </c>
      <c r="Q428" s="699" t="s">
        <v>2342</v>
      </c>
      <c r="R428" s="700" t="s">
        <v>2343</v>
      </c>
      <c r="S428" s="689" t="s">
        <v>2341</v>
      </c>
      <c r="T428" s="699" t="s">
        <v>2342</v>
      </c>
      <c r="U428" s="700" t="s">
        <v>2343</v>
      </c>
      <c r="V428" s="347"/>
      <c r="W428" s="196"/>
      <c r="X428" s="152"/>
      <c r="Z428" s="198"/>
      <c r="AA428" s="198"/>
    </row>
    <row r="429" spans="1:27" s="197" customFormat="1" ht="15" customHeight="1" thickBot="1">
      <c r="A429" s="226"/>
      <c r="B429" s="205"/>
      <c r="C429" s="688" t="s">
        <v>2348</v>
      </c>
      <c r="D429" s="247"/>
      <c r="E429" s="206"/>
      <c r="F429" s="206"/>
      <c r="G429" s="206"/>
      <c r="H429" s="206"/>
      <c r="I429" s="206"/>
      <c r="J429" s="207"/>
      <c r="K429" s="657"/>
      <c r="L429" s="689" t="s">
        <v>2340</v>
      </c>
      <c r="M429" s="690" t="s">
        <v>2344</v>
      </c>
      <c r="N429" s="691" t="s">
        <v>2345</v>
      </c>
      <c r="O429" s="692" t="s">
        <v>1022</v>
      </c>
      <c r="P429" s="693" t="str">
        <f>IF(O422="","",O422)</f>
        <v/>
      </c>
      <c r="Q429" s="694" t="str">
        <f>IF(O423="","",O423)</f>
        <v/>
      </c>
      <c r="R429" s="695" t="str">
        <f>IF(O424="","",O424)</f>
        <v/>
      </c>
      <c r="S429" s="696" t="str">
        <f>IF(O422="","",O422)</f>
        <v/>
      </c>
      <c r="T429" s="697" t="str">
        <f>IF(O423="","",O423)</f>
        <v/>
      </c>
      <c r="U429" s="698" t="str">
        <f>IF(O424="","",O424)</f>
        <v/>
      </c>
      <c r="V429" s="347"/>
      <c r="W429" s="196"/>
      <c r="X429" s="152"/>
      <c r="Z429" s="198"/>
      <c r="AA429" s="198"/>
    </row>
    <row r="430" spans="1:27" s="197" customFormat="1" ht="15" customHeight="1">
      <c r="A430" s="226"/>
      <c r="B430" s="179"/>
      <c r="C430" s="683" t="str">
        <f>IF(Q416="","",1)</f>
        <v/>
      </c>
      <c r="D430" s="247"/>
      <c r="E430" s="206"/>
      <c r="F430" s="206"/>
      <c r="G430" s="206"/>
      <c r="H430" s="206"/>
      <c r="I430" s="206"/>
      <c r="J430" s="207"/>
      <c r="K430" s="657"/>
      <c r="L430" s="662" t="str">
        <f>IF(C430="","",N416)</f>
        <v/>
      </c>
      <c r="M430" s="722" t="str">
        <f>IF(C430="","",L430-Q423*COS(O416*PI()/180))</f>
        <v/>
      </c>
      <c r="N430" s="723" t="str">
        <f>IF(C430="","",L430+P423*SIN(O416*PI()/180))</f>
        <v/>
      </c>
      <c r="O430" s="669" t="str">
        <f>IF(C430="","-",360)</f>
        <v>-</v>
      </c>
      <c r="P430" s="717" t="str">
        <f>IF(C430="","",(PI()*O430/180*(R424*M430-N430*S424)-Q430*(S423*R424-S424*R423))/S422/(R424-S424))</f>
        <v/>
      </c>
      <c r="Q430" s="718" t="str">
        <f>IF(C430="","",O430/180*PI()*(L430-M430)/(R423-S423))</f>
        <v/>
      </c>
      <c r="R430" s="666" t="str">
        <f>IF(C430="","",(O430/180*PI()*N430-Q430*R423-S430*S422)/R424)</f>
        <v/>
      </c>
      <c r="S430" s="665" t="str">
        <f>IF(C430="","",ROUNDUP(P430,0))</f>
        <v/>
      </c>
      <c r="T430" s="712" t="str">
        <f>IF(C430="","",ROUNDUP(Q430,0))</f>
        <v/>
      </c>
      <c r="U430" s="713" t="str">
        <f>IF(C430="","",ROUNDUP(R430,0))</f>
        <v/>
      </c>
      <c r="V430" s="347"/>
      <c r="W430" s="196"/>
      <c r="X430" s="152"/>
      <c r="Z430" s="198"/>
      <c r="AA430" s="198"/>
    </row>
    <row r="431" spans="1:27" s="197" customFormat="1" ht="15" customHeight="1">
      <c r="A431" s="226"/>
      <c r="B431" s="179"/>
      <c r="C431" s="684" t="str">
        <f>IF(Q416="","",IF(C430="","",IF(C430+1&lt;=Q416,C430+1,"")))</f>
        <v/>
      </c>
      <c r="D431" s="247"/>
      <c r="E431" s="206"/>
      <c r="F431" s="206"/>
      <c r="G431" s="206"/>
      <c r="H431" s="206"/>
      <c r="I431" s="206"/>
      <c r="J431" s="207"/>
      <c r="K431" s="657"/>
      <c r="L431" s="663" t="str">
        <f>IF(C431="","",N430)</f>
        <v/>
      </c>
      <c r="M431" s="667" t="str">
        <f>IF(C431="","",L431-Q423*COS(O416*PI()/180))</f>
        <v/>
      </c>
      <c r="N431" s="668" t="str">
        <f>IF(C431="","",L431+P423*SIN(O416*PI()/180))</f>
        <v/>
      </c>
      <c r="O431" s="660" t="str">
        <f>IF(C431="","-",O430)</f>
        <v>-</v>
      </c>
      <c r="P431" s="670" t="str">
        <f>IF(C431="","",(PI()*O431/180*(R424*M431-N431*S424)-Q431*(S423*R424-S424*R423))/S422/(R424-S424))</f>
        <v/>
      </c>
      <c r="Q431" s="671" t="str">
        <f>IF(C431="","",O431/180*PI()*(L431-M431)/(R423-S423))</f>
        <v/>
      </c>
      <c r="R431" s="672" t="str">
        <f>IF(C431="","",(O431/180*PI()*N431-Q431*R423-S431*S422)/R424)</f>
        <v/>
      </c>
      <c r="S431" s="673" t="str">
        <f t="shared" ref="S431:S479" si="77">IF(C431="","",ROUNDUP(P431,0))</f>
        <v/>
      </c>
      <c r="T431" s="686" t="str">
        <f t="shared" ref="T431:T479" si="78">IF(C431="","",ROUNDUP(Q431,0))</f>
        <v/>
      </c>
      <c r="U431" s="687" t="str">
        <f t="shared" ref="U431:U479" si="79">IF(C431="","",ROUNDUP(R431,0))</f>
        <v/>
      </c>
      <c r="V431" s="347"/>
      <c r="W431" s="196"/>
      <c r="X431" s="152"/>
      <c r="Z431" s="198"/>
      <c r="AA431" s="198"/>
    </row>
    <row r="432" spans="1:27" s="197" customFormat="1" ht="15" customHeight="1">
      <c r="A432" s="226"/>
      <c r="B432" s="179"/>
      <c r="C432" s="684" t="str">
        <f>IF(Q416="","",IF(C431="","",IF(C431+1&lt;=Q416,C431+1,"")))</f>
        <v/>
      </c>
      <c r="D432" s="247"/>
      <c r="E432" s="206"/>
      <c r="F432" s="206"/>
      <c r="G432" s="206"/>
      <c r="H432" s="206"/>
      <c r="I432" s="206"/>
      <c r="J432" s="207"/>
      <c r="K432" s="657"/>
      <c r="L432" s="663" t="str">
        <f t="shared" ref="L432:L479" si="80">IF(C432="","",N431)</f>
        <v/>
      </c>
      <c r="M432" s="667" t="str">
        <f>IF(C432="","",L432-Q423*COS(O416*PI()/180))</f>
        <v/>
      </c>
      <c r="N432" s="668" t="str">
        <f>IF(C432="","",L432+P423*SIN(O416*PI()/180))</f>
        <v/>
      </c>
      <c r="O432" s="660" t="str">
        <f t="shared" ref="O432:O479" si="81">O431</f>
        <v>-</v>
      </c>
      <c r="P432" s="670" t="str">
        <f>IF(C432="","",(PI()*O432/180*(R424*M432-N432*S424)-Q432*(S423*R424-S424*R423))/S422/(R424-S424))</f>
        <v/>
      </c>
      <c r="Q432" s="671" t="str">
        <f>IF(C432="","",O432/180*PI()*(L432-M432)/(R423-S423))</f>
        <v/>
      </c>
      <c r="R432" s="672" t="str">
        <f>IF(C432="","",(O432/180*PI()*N432-Q432*R423-S432*S422)/R424)</f>
        <v/>
      </c>
      <c r="S432" s="673" t="str">
        <f t="shared" si="77"/>
        <v/>
      </c>
      <c r="T432" s="686" t="str">
        <f t="shared" si="78"/>
        <v/>
      </c>
      <c r="U432" s="687" t="str">
        <f t="shared" si="79"/>
        <v/>
      </c>
      <c r="V432" s="347"/>
      <c r="W432" s="196"/>
      <c r="X432" s="152"/>
      <c r="Z432" s="198"/>
      <c r="AA432" s="198"/>
    </row>
    <row r="433" spans="1:27" s="197" customFormat="1" ht="15" customHeight="1">
      <c r="A433" s="226"/>
      <c r="B433" s="179"/>
      <c r="C433" s="684" t="str">
        <f>IF(Q416="","",IF(C432="","",IF(C432+1&lt;=Q416,C432+1,"")))</f>
        <v/>
      </c>
      <c r="D433" s="247"/>
      <c r="E433" s="206"/>
      <c r="F433" s="206"/>
      <c r="G433" s="206"/>
      <c r="H433" s="206"/>
      <c r="I433" s="206"/>
      <c r="J433" s="207"/>
      <c r="K433" s="657"/>
      <c r="L433" s="663" t="str">
        <f t="shared" si="80"/>
        <v/>
      </c>
      <c r="M433" s="667" t="str">
        <f>IF(C433="","",L433-Q423*COS(O416*PI()/180))</f>
        <v/>
      </c>
      <c r="N433" s="668" t="str">
        <f>IF(C433="","",L433+P423*SIN(O416*PI()/180))</f>
        <v/>
      </c>
      <c r="O433" s="660" t="str">
        <f t="shared" si="81"/>
        <v>-</v>
      </c>
      <c r="P433" s="670" t="str">
        <f>IF(C433="","",(PI()*O433/180*(R424*M433-N433*S424)-Q433*(S423*R424-S424*R423))/S422/(R424-S424))</f>
        <v/>
      </c>
      <c r="Q433" s="671" t="str">
        <f>IF(C433="","",O433/180*PI()*(L433-M433)/(R423-S423))</f>
        <v/>
      </c>
      <c r="R433" s="672" t="str">
        <f>IF(C433="","",(O433/180*PI()*N433-Q433*R423-S433*S422)/R424)</f>
        <v/>
      </c>
      <c r="S433" s="673" t="str">
        <f t="shared" si="77"/>
        <v/>
      </c>
      <c r="T433" s="686" t="str">
        <f t="shared" si="78"/>
        <v/>
      </c>
      <c r="U433" s="687" t="str">
        <f t="shared" si="79"/>
        <v/>
      </c>
      <c r="V433" s="347"/>
      <c r="W433" s="196"/>
      <c r="X433" s="152"/>
      <c r="Z433" s="198"/>
      <c r="AA433" s="198"/>
    </row>
    <row r="434" spans="1:27" s="197" customFormat="1" ht="15" customHeight="1">
      <c r="A434" s="226"/>
      <c r="B434" s="179"/>
      <c r="C434" s="684" t="str">
        <f>IF(Q416="","",IF(C433="","",IF(C433+1&lt;=Q416,C433+1,"")))</f>
        <v/>
      </c>
      <c r="D434" s="247"/>
      <c r="E434" s="206"/>
      <c r="F434" s="206"/>
      <c r="G434" s="206"/>
      <c r="H434" s="206"/>
      <c r="I434" s="206"/>
      <c r="J434" s="207"/>
      <c r="K434" s="657"/>
      <c r="L434" s="663" t="str">
        <f t="shared" si="80"/>
        <v/>
      </c>
      <c r="M434" s="667" t="str">
        <f>IF(C434="","",L434-Q423*COS(O416*PI()/180))</f>
        <v/>
      </c>
      <c r="N434" s="668" t="str">
        <f>IF(C434="","",L434+P423*SIN(O416*PI()/180))</f>
        <v/>
      </c>
      <c r="O434" s="660" t="str">
        <f t="shared" si="81"/>
        <v>-</v>
      </c>
      <c r="P434" s="670" t="str">
        <f>IF(C434="","",(PI()*O434/180*(R424*M434-N434*S424)-Q434*(S423*R424-S424*R423))/S422/(R424-S424))</f>
        <v/>
      </c>
      <c r="Q434" s="671" t="str">
        <f>IF(C434="","",O434/180*PI()*(L434-M434)/(R423-S423))</f>
        <v/>
      </c>
      <c r="R434" s="672" t="str">
        <f>IF(C434="","",(O434/180*PI()*N434-Q434*R423-S434*S422)/R424)</f>
        <v/>
      </c>
      <c r="S434" s="673" t="str">
        <f t="shared" si="77"/>
        <v/>
      </c>
      <c r="T434" s="686" t="str">
        <f t="shared" si="78"/>
        <v/>
      </c>
      <c r="U434" s="687" t="str">
        <f t="shared" si="79"/>
        <v/>
      </c>
      <c r="V434" s="347"/>
      <c r="W434" s="196"/>
      <c r="X434" s="152"/>
      <c r="Z434" s="198"/>
      <c r="AA434" s="198"/>
    </row>
    <row r="435" spans="1:27" s="197" customFormat="1" ht="15" customHeight="1">
      <c r="A435" s="226"/>
      <c r="B435" s="179"/>
      <c r="C435" s="684" t="str">
        <f>IF(Q416="","",IF(C434="","",IF(C434+1&lt;=Q416,C434+1,"")))</f>
        <v/>
      </c>
      <c r="D435" s="247"/>
      <c r="E435" s="206"/>
      <c r="F435" s="206"/>
      <c r="G435" s="206"/>
      <c r="H435" s="206"/>
      <c r="I435" s="206"/>
      <c r="J435" s="207"/>
      <c r="K435" s="657"/>
      <c r="L435" s="663" t="str">
        <f t="shared" si="80"/>
        <v/>
      </c>
      <c r="M435" s="667" t="str">
        <f>IF(C435="","",L435-Q423*COS(O416*PI()/180))</f>
        <v/>
      </c>
      <c r="N435" s="668" t="str">
        <f>IF(C435="","",L435+P423*SIN(O416*PI()/180))</f>
        <v/>
      </c>
      <c r="O435" s="660" t="str">
        <f t="shared" si="81"/>
        <v>-</v>
      </c>
      <c r="P435" s="670" t="str">
        <f>IF(C435="","",(PI()*O435/180*(R424*M435-N435*S424)-Q435*(S423*R424-S424*R423))/S422/(R424-S424))</f>
        <v/>
      </c>
      <c r="Q435" s="671" t="str">
        <f>IF(C435="","",O435/180*PI()*(L435-M435)/(R423-S423))</f>
        <v/>
      </c>
      <c r="R435" s="672" t="str">
        <f>IF(C435="","",(O435/180*PI()*N435-Q435*R423-S435*S422)/R424)</f>
        <v/>
      </c>
      <c r="S435" s="673" t="str">
        <f t="shared" si="77"/>
        <v/>
      </c>
      <c r="T435" s="686" t="str">
        <f t="shared" si="78"/>
        <v/>
      </c>
      <c r="U435" s="687" t="str">
        <f t="shared" si="79"/>
        <v/>
      </c>
      <c r="V435" s="347"/>
      <c r="W435" s="196"/>
      <c r="X435" s="152"/>
      <c r="Z435" s="198"/>
      <c r="AA435" s="198"/>
    </row>
    <row r="436" spans="1:27" s="197" customFormat="1" ht="15" customHeight="1">
      <c r="A436" s="226"/>
      <c r="B436" s="179"/>
      <c r="C436" s="684" t="str">
        <f>IF(Q416="","",IF(C435="","",IF(C435+1&lt;=Q416,C435+1,"")))</f>
        <v/>
      </c>
      <c r="D436" s="247"/>
      <c r="E436" s="206"/>
      <c r="F436" s="206"/>
      <c r="G436" s="206"/>
      <c r="H436" s="206"/>
      <c r="I436" s="206"/>
      <c r="J436" s="207"/>
      <c r="K436" s="657"/>
      <c r="L436" s="663" t="str">
        <f t="shared" si="80"/>
        <v/>
      </c>
      <c r="M436" s="667" t="str">
        <f>IF(C436="","",L436-Q423*COS(O416*PI()/180))</f>
        <v/>
      </c>
      <c r="N436" s="668" t="str">
        <f>IF(C436="","",L436+P423*SIN(O416*PI()/180))</f>
        <v/>
      </c>
      <c r="O436" s="660" t="str">
        <f t="shared" si="81"/>
        <v>-</v>
      </c>
      <c r="P436" s="670" t="str">
        <f>IF(C436="","",(PI()*O436/180*(R424*M436-N436*S424)-Q436*(S423*R424-S424*R423))/S422/(R424-S424))</f>
        <v/>
      </c>
      <c r="Q436" s="671" t="str">
        <f>IF(C436="","",O436/180*PI()*(L436-M436)/(R423-S423))</f>
        <v/>
      </c>
      <c r="R436" s="672" t="str">
        <f>IF(C436="","",(O436/180*PI()*N436-Q436*R423-S436*S422)/R424)</f>
        <v/>
      </c>
      <c r="S436" s="673" t="str">
        <f t="shared" si="77"/>
        <v/>
      </c>
      <c r="T436" s="686" t="str">
        <f t="shared" si="78"/>
        <v/>
      </c>
      <c r="U436" s="687" t="str">
        <f t="shared" si="79"/>
        <v/>
      </c>
      <c r="V436" s="347"/>
      <c r="W436" s="196"/>
      <c r="X436" s="152"/>
      <c r="Z436" s="198"/>
      <c r="AA436" s="198"/>
    </row>
    <row r="437" spans="1:27" s="197" customFormat="1" ht="15" customHeight="1">
      <c r="A437" s="226"/>
      <c r="B437" s="179"/>
      <c r="C437" s="684" t="str">
        <f>IF(Q416="","",IF(C436="","",IF(C436+1&lt;=Q416,C436+1,"")))</f>
        <v/>
      </c>
      <c r="D437" s="247"/>
      <c r="E437" s="206"/>
      <c r="F437" s="206"/>
      <c r="G437" s="206"/>
      <c r="H437" s="206"/>
      <c r="I437" s="206"/>
      <c r="J437" s="207"/>
      <c r="K437" s="657"/>
      <c r="L437" s="663" t="str">
        <f t="shared" si="80"/>
        <v/>
      </c>
      <c r="M437" s="667" t="str">
        <f>IF(C437="","",L437-Q423*COS(O416*PI()/180))</f>
        <v/>
      </c>
      <c r="N437" s="668" t="str">
        <f>IF(C437="","",L437+P423*SIN(O416*PI()/180))</f>
        <v/>
      </c>
      <c r="O437" s="660" t="str">
        <f t="shared" si="81"/>
        <v>-</v>
      </c>
      <c r="P437" s="670" t="str">
        <f>IF(C437="","",(PI()*O437/180*(R424*M437-N437*S424)-Q437*(S423*R424-S424*R423))/S422/(R424-S424))</f>
        <v/>
      </c>
      <c r="Q437" s="671" t="str">
        <f>IF(C437="","",O437/180*PI()*(L437-M437)/(R423-S423))</f>
        <v/>
      </c>
      <c r="R437" s="672" t="str">
        <f>IF(C437="","",(O437/180*PI()*N437-Q437*R423-S437*S422)/R424)</f>
        <v/>
      </c>
      <c r="S437" s="673" t="str">
        <f t="shared" si="77"/>
        <v/>
      </c>
      <c r="T437" s="686" t="str">
        <f t="shared" si="78"/>
        <v/>
      </c>
      <c r="U437" s="687" t="str">
        <f t="shared" si="79"/>
        <v/>
      </c>
      <c r="V437" s="347"/>
      <c r="W437" s="196"/>
      <c r="X437" s="152"/>
      <c r="Z437" s="198"/>
      <c r="AA437" s="198"/>
    </row>
    <row r="438" spans="1:27" s="197" customFormat="1" ht="15" customHeight="1">
      <c r="A438" s="226"/>
      <c r="B438" s="179"/>
      <c r="C438" s="684" t="str">
        <f>IF(Q416="","",IF(C437="","",IF(C437+1&lt;=Q416,C437+1,"")))</f>
        <v/>
      </c>
      <c r="D438" s="247"/>
      <c r="E438" s="206"/>
      <c r="F438" s="206"/>
      <c r="G438" s="206"/>
      <c r="H438" s="206"/>
      <c r="I438" s="206"/>
      <c r="J438" s="207"/>
      <c r="K438" s="657"/>
      <c r="L438" s="663" t="str">
        <f t="shared" si="80"/>
        <v/>
      </c>
      <c r="M438" s="667" t="str">
        <f>IF(C438="","",L438-Q423*COS(O416*PI()/180))</f>
        <v/>
      </c>
      <c r="N438" s="668" t="str">
        <f>IF(C438="","",L438+P423*SIN(O416*PI()/180))</f>
        <v/>
      </c>
      <c r="O438" s="660" t="str">
        <f t="shared" si="81"/>
        <v>-</v>
      </c>
      <c r="P438" s="670" t="str">
        <f>IF(C438="","",(PI()*O438/180*(R424*M438-N438*S424)-Q438*(S423*R424-S424*R423))/S422/(R424-S424))</f>
        <v/>
      </c>
      <c r="Q438" s="671" t="str">
        <f>IF(C438="","",O438/180*PI()*(L438-M438)/(R423-S423))</f>
        <v/>
      </c>
      <c r="R438" s="672" t="str">
        <f>IF(C438="","",(O438/180*PI()*N438-Q438*R423-S438*S422)/R424)</f>
        <v/>
      </c>
      <c r="S438" s="673" t="str">
        <f t="shared" si="77"/>
        <v/>
      </c>
      <c r="T438" s="686" t="str">
        <f t="shared" si="78"/>
        <v/>
      </c>
      <c r="U438" s="687" t="str">
        <f t="shared" si="79"/>
        <v/>
      </c>
      <c r="V438" s="347"/>
      <c r="W438" s="196"/>
      <c r="X438" s="152"/>
      <c r="Z438" s="198"/>
      <c r="AA438" s="198"/>
    </row>
    <row r="439" spans="1:27" s="197" customFormat="1" ht="15" customHeight="1">
      <c r="A439" s="226"/>
      <c r="B439" s="179"/>
      <c r="C439" s="684" t="str">
        <f>IF(Q416="","",IF(C438="","",IF(C438+1&lt;=Q416,C438+1,"")))</f>
        <v/>
      </c>
      <c r="D439" s="247"/>
      <c r="E439" s="206"/>
      <c r="F439" s="206"/>
      <c r="G439" s="206"/>
      <c r="H439" s="206"/>
      <c r="I439" s="206"/>
      <c r="J439" s="207"/>
      <c r="K439" s="657"/>
      <c r="L439" s="663" t="str">
        <f t="shared" si="80"/>
        <v/>
      </c>
      <c r="M439" s="667" t="str">
        <f>IF(C439="","",L439-Q423*COS(O416*PI()/180))</f>
        <v/>
      </c>
      <c r="N439" s="668" t="str">
        <f>IF(C439="","",L439+P423*SIN(O416*PI()/180))</f>
        <v/>
      </c>
      <c r="O439" s="660" t="str">
        <f t="shared" si="81"/>
        <v>-</v>
      </c>
      <c r="P439" s="670" t="str">
        <f>IF(C439="","",(PI()*O439/180*(R424*M439-N439*S424)-Q439*(S423*R424-S424*R423))/S422/(R424-S424))</f>
        <v/>
      </c>
      <c r="Q439" s="671" t="str">
        <f>IF(C439="","",O439/180*PI()*(L439-M439)/(R423-S423))</f>
        <v/>
      </c>
      <c r="R439" s="672" t="str">
        <f>IF(C439="","",(O439/180*PI()*N439-Q439*R423-S439*S422)/R424)</f>
        <v/>
      </c>
      <c r="S439" s="673" t="str">
        <f t="shared" si="77"/>
        <v/>
      </c>
      <c r="T439" s="686" t="str">
        <f t="shared" si="78"/>
        <v/>
      </c>
      <c r="U439" s="687" t="str">
        <f t="shared" si="79"/>
        <v/>
      </c>
      <c r="V439" s="347"/>
      <c r="W439" s="196"/>
      <c r="X439" s="152"/>
      <c r="Z439" s="198"/>
      <c r="AA439" s="198"/>
    </row>
    <row r="440" spans="1:27" s="197" customFormat="1" ht="15" customHeight="1">
      <c r="A440" s="226"/>
      <c r="B440" s="179"/>
      <c r="C440" s="684" t="str">
        <f>IF(Q416="","",IF(C439="","",IF(C439+1&lt;=Q416,C439+1,"")))</f>
        <v/>
      </c>
      <c r="D440" s="247"/>
      <c r="E440" s="206"/>
      <c r="F440" s="206"/>
      <c r="G440" s="206"/>
      <c r="H440" s="206"/>
      <c r="I440" s="206"/>
      <c r="J440" s="207"/>
      <c r="K440" s="657"/>
      <c r="L440" s="663" t="str">
        <f t="shared" si="80"/>
        <v/>
      </c>
      <c r="M440" s="667" t="str">
        <f>IF(C440="","",L440-Q423*COS(O416*PI()/180))</f>
        <v/>
      </c>
      <c r="N440" s="668" t="str">
        <f>IF(C440="","",L440+P423*SIN(O416*PI()/180))</f>
        <v/>
      </c>
      <c r="O440" s="660" t="str">
        <f t="shared" si="81"/>
        <v>-</v>
      </c>
      <c r="P440" s="670" t="str">
        <f>IF(C440="","",(PI()*O440/180*(R424*M440-N440*S424)-Q440*(S423*R424-S424*R423))/S422/(R424-S424))</f>
        <v/>
      </c>
      <c r="Q440" s="671" t="str">
        <f>IF(C440="","",O440/180*PI()*(L440-M440)/(R423-S423))</f>
        <v/>
      </c>
      <c r="R440" s="672" t="str">
        <f>IF(C440="","",(O440/180*PI()*N440-Q440*R423-S440*S422)/R424)</f>
        <v/>
      </c>
      <c r="S440" s="673" t="str">
        <f t="shared" si="77"/>
        <v/>
      </c>
      <c r="T440" s="686" t="str">
        <f t="shared" si="78"/>
        <v/>
      </c>
      <c r="U440" s="687" t="str">
        <f t="shared" si="79"/>
        <v/>
      </c>
      <c r="V440" s="347"/>
      <c r="W440" s="196"/>
      <c r="X440" s="152"/>
      <c r="Z440" s="198"/>
      <c r="AA440" s="198"/>
    </row>
    <row r="441" spans="1:27" s="197" customFormat="1" ht="15" customHeight="1">
      <c r="A441" s="226"/>
      <c r="B441" s="179"/>
      <c r="C441" s="684" t="str">
        <f>IF(Q416="","",IF(C440="","",IF(C440+1&lt;=Q416,C440+1,"")))</f>
        <v/>
      </c>
      <c r="D441" s="247"/>
      <c r="E441" s="206"/>
      <c r="F441" s="206"/>
      <c r="G441" s="206"/>
      <c r="H441" s="206"/>
      <c r="I441" s="206"/>
      <c r="J441" s="207"/>
      <c r="K441" s="657"/>
      <c r="L441" s="663" t="str">
        <f t="shared" si="80"/>
        <v/>
      </c>
      <c r="M441" s="667" t="str">
        <f>IF(C441="","",L441-Q423*COS(O416*PI()/180))</f>
        <v/>
      </c>
      <c r="N441" s="668" t="str">
        <f>IF(C441="","",L441+P423*SIN(O416*PI()/180))</f>
        <v/>
      </c>
      <c r="O441" s="660" t="str">
        <f t="shared" si="81"/>
        <v>-</v>
      </c>
      <c r="P441" s="670" t="str">
        <f>IF(C441="","",(PI()*O441/180*(R424*M441-N441*S424)-Q441*(S423*R424-S424*R423))/S422/(R424-S424))</f>
        <v/>
      </c>
      <c r="Q441" s="671" t="str">
        <f>IF(C441="","",O441/180*PI()*(L441-M441)/(R423-S423))</f>
        <v/>
      </c>
      <c r="R441" s="672" t="str">
        <f>IF(C441="","",(O441/180*PI()*N441-Q441*R423-S441*S422)/R424)</f>
        <v/>
      </c>
      <c r="S441" s="673" t="str">
        <f t="shared" si="77"/>
        <v/>
      </c>
      <c r="T441" s="686" t="str">
        <f t="shared" si="78"/>
        <v/>
      </c>
      <c r="U441" s="687" t="str">
        <f t="shared" si="79"/>
        <v/>
      </c>
      <c r="V441" s="347"/>
      <c r="W441" s="196"/>
      <c r="X441" s="152"/>
      <c r="Z441" s="198"/>
      <c r="AA441" s="198"/>
    </row>
    <row r="442" spans="1:27" s="197" customFormat="1" ht="15" customHeight="1">
      <c r="A442" s="226"/>
      <c r="B442" s="179"/>
      <c r="C442" s="684" t="str">
        <f>IF(Q416="","",IF(C441="","",IF(C441+1&lt;=Q416,C441+1,"")))</f>
        <v/>
      </c>
      <c r="D442" s="247"/>
      <c r="E442" s="206"/>
      <c r="F442" s="206"/>
      <c r="G442" s="206"/>
      <c r="H442" s="206"/>
      <c r="I442" s="206"/>
      <c r="J442" s="207"/>
      <c r="K442" s="657"/>
      <c r="L442" s="663" t="str">
        <f t="shared" si="80"/>
        <v/>
      </c>
      <c r="M442" s="667" t="str">
        <f>IF(C442="","",L442-Q423*COS(O416*PI()/180))</f>
        <v/>
      </c>
      <c r="N442" s="668" t="str">
        <f>IF(C442="","",L442+P423*SIN(O416*PI()/180))</f>
        <v/>
      </c>
      <c r="O442" s="660" t="str">
        <f t="shared" si="81"/>
        <v>-</v>
      </c>
      <c r="P442" s="670" t="str">
        <f>IF(C442="","",(PI()*O442/180*(R424*M442-N442*S424)-Q442*(S423*R424-S424*R423))/S422/(R424-S424))</f>
        <v/>
      </c>
      <c r="Q442" s="671" t="str">
        <f>IF(C442="","",O442/180*PI()*(L442-M442)/(R423-S423))</f>
        <v/>
      </c>
      <c r="R442" s="672" t="str">
        <f>IF(C442="","",(O442/180*PI()*N442-Q442*R423-S442*S422)/R424)</f>
        <v/>
      </c>
      <c r="S442" s="673" t="str">
        <f t="shared" si="77"/>
        <v/>
      </c>
      <c r="T442" s="686" t="str">
        <f t="shared" si="78"/>
        <v/>
      </c>
      <c r="U442" s="687" t="str">
        <f t="shared" si="79"/>
        <v/>
      </c>
      <c r="V442" s="347"/>
      <c r="W442" s="196"/>
      <c r="X442" s="152"/>
      <c r="Z442" s="198"/>
      <c r="AA442" s="198"/>
    </row>
    <row r="443" spans="1:27" s="197" customFormat="1" ht="15" customHeight="1">
      <c r="A443" s="226"/>
      <c r="B443" s="179"/>
      <c r="C443" s="684" t="str">
        <f>IF(Q416="","",IF(C442="","",IF(C442+1&lt;=Q416,C442+1,"")))</f>
        <v/>
      </c>
      <c r="D443" s="247"/>
      <c r="E443" s="206"/>
      <c r="F443" s="206"/>
      <c r="G443" s="206"/>
      <c r="H443" s="206"/>
      <c r="I443" s="206"/>
      <c r="J443" s="207"/>
      <c r="K443" s="657"/>
      <c r="L443" s="663" t="str">
        <f t="shared" si="80"/>
        <v/>
      </c>
      <c r="M443" s="667" t="str">
        <f>IF(C443="","",L443-Q423*COS(O416*PI()/180))</f>
        <v/>
      </c>
      <c r="N443" s="668" t="str">
        <f>IF(C443="","",L443+P423*SIN(O416*PI()/180))</f>
        <v/>
      </c>
      <c r="O443" s="660" t="str">
        <f t="shared" si="81"/>
        <v>-</v>
      </c>
      <c r="P443" s="670" t="str">
        <f>IF(C443="","",(PI()*O443/180*(R424*M443-N443*S424)-Q443*(S423*R424-S424*R423))/S422/(R424-S424))</f>
        <v/>
      </c>
      <c r="Q443" s="671" t="str">
        <f>IF(C443="","",O443/180*PI()*(L443-M443)/(R423-S423))</f>
        <v/>
      </c>
      <c r="R443" s="672" t="str">
        <f>IF(C443="","",(O443/180*PI()*N443-Q443*R423-S443*S422)/R424)</f>
        <v/>
      </c>
      <c r="S443" s="673" t="str">
        <f t="shared" si="77"/>
        <v/>
      </c>
      <c r="T443" s="686" t="str">
        <f t="shared" si="78"/>
        <v/>
      </c>
      <c r="U443" s="687" t="str">
        <f t="shared" si="79"/>
        <v/>
      </c>
      <c r="V443" s="347"/>
      <c r="W443" s="196"/>
      <c r="X443" s="152"/>
      <c r="Z443" s="198"/>
      <c r="AA443" s="198"/>
    </row>
    <row r="444" spans="1:27" s="197" customFormat="1" ht="15" customHeight="1">
      <c r="A444" s="226"/>
      <c r="B444" s="179"/>
      <c r="C444" s="684" t="str">
        <f>IF(Q416="","",IF(C443="","",IF(C443+1&lt;=Q416,C443+1,"")))</f>
        <v/>
      </c>
      <c r="D444" s="247"/>
      <c r="E444" s="206"/>
      <c r="F444" s="206"/>
      <c r="G444" s="206"/>
      <c r="H444" s="206"/>
      <c r="I444" s="206"/>
      <c r="J444" s="207"/>
      <c r="K444" s="657"/>
      <c r="L444" s="663" t="str">
        <f t="shared" si="80"/>
        <v/>
      </c>
      <c r="M444" s="667" t="str">
        <f>IF(C444="","",L444-Q423*COS(O416*PI()/180))</f>
        <v/>
      </c>
      <c r="N444" s="668" t="str">
        <f>IF(C444="","",L444+P423*SIN(O416*PI()/180))</f>
        <v/>
      </c>
      <c r="O444" s="660" t="str">
        <f t="shared" si="81"/>
        <v>-</v>
      </c>
      <c r="P444" s="670" t="str">
        <f>IF(C444="","",(PI()*O444/180*(R424*M444-N444*S424)-Q444*(S423*R424-S424*R423))/S422/(R424-S424))</f>
        <v/>
      </c>
      <c r="Q444" s="671" t="str">
        <f>IF(C444="","",O444/180*PI()*(L444-M444)/(R423-S423))</f>
        <v/>
      </c>
      <c r="R444" s="672" t="str">
        <f>IF(C444="","",(O444/180*PI()*N444-Q444*R423-S444*S422)/R424)</f>
        <v/>
      </c>
      <c r="S444" s="673" t="str">
        <f t="shared" si="77"/>
        <v/>
      </c>
      <c r="T444" s="686" t="str">
        <f t="shared" si="78"/>
        <v/>
      </c>
      <c r="U444" s="687" t="str">
        <f t="shared" si="79"/>
        <v/>
      </c>
      <c r="V444" s="347"/>
      <c r="W444" s="196"/>
      <c r="X444" s="152"/>
      <c r="Z444" s="198"/>
      <c r="AA444" s="198"/>
    </row>
    <row r="445" spans="1:27" s="197" customFormat="1" ht="15" customHeight="1">
      <c r="A445" s="226"/>
      <c r="B445" s="179"/>
      <c r="C445" s="684" t="str">
        <f>IF(Q416="","",IF(C444="","",IF(C444+1&lt;=Q416,C444+1,"")))</f>
        <v/>
      </c>
      <c r="D445" s="247"/>
      <c r="E445" s="206"/>
      <c r="F445" s="206"/>
      <c r="G445" s="206"/>
      <c r="H445" s="206"/>
      <c r="I445" s="206"/>
      <c r="J445" s="207"/>
      <c r="K445" s="657"/>
      <c r="L445" s="663" t="str">
        <f t="shared" si="80"/>
        <v/>
      </c>
      <c r="M445" s="667" t="str">
        <f>IF(C445="","",L445-Q423*COS(O416*PI()/180))</f>
        <v/>
      </c>
      <c r="N445" s="668" t="str">
        <f>IF(C445="","",L445+P423*SIN(O416*PI()/180))</f>
        <v/>
      </c>
      <c r="O445" s="660" t="str">
        <f t="shared" si="81"/>
        <v>-</v>
      </c>
      <c r="P445" s="670" t="str">
        <f>IF(C445="","",(PI()*O445/180*(R424*M445-N445*S424)-Q445*(S423*R424-S424*R423))/S422/(R424-S424))</f>
        <v/>
      </c>
      <c r="Q445" s="671" t="str">
        <f>IF(C445="","",O445/180*PI()*(L445-M445)/(R423-S423))</f>
        <v/>
      </c>
      <c r="R445" s="672" t="str">
        <f>IF(C445="","",(O445/180*PI()*N445-Q445*R423-S445*S422)/R424)</f>
        <v/>
      </c>
      <c r="S445" s="673" t="str">
        <f t="shared" si="77"/>
        <v/>
      </c>
      <c r="T445" s="686" t="str">
        <f t="shared" si="78"/>
        <v/>
      </c>
      <c r="U445" s="687" t="str">
        <f t="shared" si="79"/>
        <v/>
      </c>
      <c r="V445" s="347"/>
      <c r="W445" s="196"/>
      <c r="X445" s="152"/>
      <c r="Z445" s="198"/>
      <c r="AA445" s="198"/>
    </row>
    <row r="446" spans="1:27" s="197" customFormat="1" ht="15" customHeight="1">
      <c r="A446" s="226"/>
      <c r="B446" s="179"/>
      <c r="C446" s="684" t="str">
        <f>IF(Q416="","",IF(C445="","",IF(C445+1&lt;=Q416,C445+1,"")))</f>
        <v/>
      </c>
      <c r="D446" s="247"/>
      <c r="E446" s="206"/>
      <c r="F446" s="206"/>
      <c r="G446" s="206"/>
      <c r="H446" s="206"/>
      <c r="I446" s="206"/>
      <c r="J446" s="207"/>
      <c r="K446" s="657"/>
      <c r="L446" s="663" t="str">
        <f t="shared" si="80"/>
        <v/>
      </c>
      <c r="M446" s="667" t="str">
        <f>IF(C446="","",L446-Q423*COS(O416*PI()/180))</f>
        <v/>
      </c>
      <c r="N446" s="668" t="str">
        <f>IF(C446="","",L446+P423*SIN(O416*PI()/180))</f>
        <v/>
      </c>
      <c r="O446" s="660" t="str">
        <f t="shared" si="81"/>
        <v>-</v>
      </c>
      <c r="P446" s="670" t="str">
        <f>IF(C446="","",(PI()*O446/180*(R424*M446-N446*S424)-Q446*(S423*R424-S424*R423))/S422/(R424-S424))</f>
        <v/>
      </c>
      <c r="Q446" s="671" t="str">
        <f>IF(C446="","",O446/180*PI()*(L446-M446)/(R423-S423))</f>
        <v/>
      </c>
      <c r="R446" s="672" t="str">
        <f>IF(C446="","",(O446/180*PI()*N446-Q446*R423-S446*S422)/R424)</f>
        <v/>
      </c>
      <c r="S446" s="673" t="str">
        <f t="shared" si="77"/>
        <v/>
      </c>
      <c r="T446" s="686" t="str">
        <f t="shared" si="78"/>
        <v/>
      </c>
      <c r="U446" s="687" t="str">
        <f t="shared" si="79"/>
        <v/>
      </c>
      <c r="V446" s="347"/>
      <c r="W446" s="196"/>
      <c r="X446" s="152"/>
      <c r="Z446" s="198"/>
      <c r="AA446" s="198"/>
    </row>
    <row r="447" spans="1:27" s="197" customFormat="1" ht="15" customHeight="1">
      <c r="A447" s="226"/>
      <c r="B447" s="179"/>
      <c r="C447" s="684" t="str">
        <f>IF(Q416="","",IF(C446="","",IF(C446+1&lt;=Q416,C446+1,"")))</f>
        <v/>
      </c>
      <c r="D447" s="247"/>
      <c r="E447" s="206"/>
      <c r="F447" s="206"/>
      <c r="G447" s="206"/>
      <c r="H447" s="206"/>
      <c r="I447" s="206"/>
      <c r="J447" s="207"/>
      <c r="K447" s="657"/>
      <c r="L447" s="663" t="str">
        <f t="shared" si="80"/>
        <v/>
      </c>
      <c r="M447" s="667" t="str">
        <f>IF(C447="","",L447-Q423*COS(O416*PI()/180))</f>
        <v/>
      </c>
      <c r="N447" s="668" t="str">
        <f>IF(C447="","",L447+P423*SIN(O416*PI()/180))</f>
        <v/>
      </c>
      <c r="O447" s="660" t="str">
        <f t="shared" si="81"/>
        <v>-</v>
      </c>
      <c r="P447" s="670" t="str">
        <f>IF(C447="","",(PI()*O447/180*(R424*M447-N447*S424)-Q447*(S423*R424-S424*R423))/S422/(R424-S424))</f>
        <v/>
      </c>
      <c r="Q447" s="671" t="str">
        <f>IF(C447="","",O447/180*PI()*(L447-M447)/(R423-S423))</f>
        <v/>
      </c>
      <c r="R447" s="672" t="str">
        <f>IF(C447="","",(O447/180*PI()*N447-Q447*R423-S447*S422)/R424)</f>
        <v/>
      </c>
      <c r="S447" s="673" t="str">
        <f t="shared" si="77"/>
        <v/>
      </c>
      <c r="T447" s="686" t="str">
        <f t="shared" si="78"/>
        <v/>
      </c>
      <c r="U447" s="687" t="str">
        <f t="shared" si="79"/>
        <v/>
      </c>
      <c r="V447" s="347"/>
      <c r="W447" s="196"/>
      <c r="X447" s="152"/>
      <c r="Z447" s="198"/>
      <c r="AA447" s="198"/>
    </row>
    <row r="448" spans="1:27" s="197" customFormat="1" ht="15" customHeight="1">
      <c r="A448" s="226"/>
      <c r="B448" s="179"/>
      <c r="C448" s="684" t="str">
        <f>IF(Q416="","",IF(C447="","",IF(C447+1&lt;=Q416,C447+1,"")))</f>
        <v/>
      </c>
      <c r="D448" s="247"/>
      <c r="E448" s="206"/>
      <c r="F448" s="206"/>
      <c r="G448" s="206"/>
      <c r="H448" s="206"/>
      <c r="I448" s="206"/>
      <c r="J448" s="207"/>
      <c r="K448" s="657"/>
      <c r="L448" s="663" t="str">
        <f t="shared" si="80"/>
        <v/>
      </c>
      <c r="M448" s="667" t="str">
        <f>IF(C448="","",L448-Q423*COS(O416*PI()/180))</f>
        <v/>
      </c>
      <c r="N448" s="668" t="str">
        <f>IF(C448="","",L448+P423*SIN(O416*PI()/180))</f>
        <v/>
      </c>
      <c r="O448" s="660" t="str">
        <f t="shared" si="81"/>
        <v>-</v>
      </c>
      <c r="P448" s="670" t="str">
        <f>IF(C448="","",(PI()*O448/180*(R424*M448-N448*S424)-Q448*(S423*R424-S424*R423))/S422/(R424-S424))</f>
        <v/>
      </c>
      <c r="Q448" s="671" t="str">
        <f>IF(C448="","",O448/180*PI()*(L448-M448)/(R423-S423))</f>
        <v/>
      </c>
      <c r="R448" s="672" t="str">
        <f>IF(C448="","",(O448/180*PI()*N448-Q448*R423-S448*S422)/R424)</f>
        <v/>
      </c>
      <c r="S448" s="673" t="str">
        <f t="shared" si="77"/>
        <v/>
      </c>
      <c r="T448" s="686" t="str">
        <f t="shared" si="78"/>
        <v/>
      </c>
      <c r="U448" s="687" t="str">
        <f t="shared" si="79"/>
        <v/>
      </c>
      <c r="V448" s="347"/>
      <c r="W448" s="196"/>
      <c r="X448" s="152"/>
      <c r="Z448" s="198"/>
      <c r="AA448" s="198"/>
    </row>
    <row r="449" spans="1:27" s="197" customFormat="1" ht="15" customHeight="1">
      <c r="A449" s="226"/>
      <c r="B449" s="179"/>
      <c r="C449" s="684" t="str">
        <f>IF(Q416="","",IF(C448="","",IF(C448+1&lt;=Q416,C448+1,"")))</f>
        <v/>
      </c>
      <c r="D449" s="247"/>
      <c r="E449" s="206"/>
      <c r="F449" s="206"/>
      <c r="G449" s="206"/>
      <c r="H449" s="206"/>
      <c r="I449" s="206"/>
      <c r="J449" s="207"/>
      <c r="K449" s="657"/>
      <c r="L449" s="663" t="str">
        <f t="shared" si="80"/>
        <v/>
      </c>
      <c r="M449" s="667" t="str">
        <f>IF(C449="","",L449-Q423*COS(O416*PI()/180))</f>
        <v/>
      </c>
      <c r="N449" s="668" t="str">
        <f>IF(C449="","",L449+P423*SIN(O416*PI()/180))</f>
        <v/>
      </c>
      <c r="O449" s="660" t="str">
        <f t="shared" si="81"/>
        <v>-</v>
      </c>
      <c r="P449" s="670" t="str">
        <f>IF(C449="","",(PI()*O449/180*(R424*M449-N449*S424)-Q449*(S423*R424-S424*R423))/S422/(R424-S424))</f>
        <v/>
      </c>
      <c r="Q449" s="671" t="str">
        <f>IF(C449="","",O449/180*PI()*(L449-M449)/(R423-S423))</f>
        <v/>
      </c>
      <c r="R449" s="672" t="str">
        <f>IF(C449="","",(O449/180*PI()*N449-Q449*R423-S449*S422)/R424)</f>
        <v/>
      </c>
      <c r="S449" s="673" t="str">
        <f t="shared" si="77"/>
        <v/>
      </c>
      <c r="T449" s="686" t="str">
        <f t="shared" si="78"/>
        <v/>
      </c>
      <c r="U449" s="687" t="str">
        <f t="shared" si="79"/>
        <v/>
      </c>
      <c r="V449" s="347"/>
      <c r="W449" s="196"/>
      <c r="X449" s="152"/>
      <c r="Z449" s="198"/>
      <c r="AA449" s="198"/>
    </row>
    <row r="450" spans="1:27" s="197" customFormat="1" ht="15" customHeight="1">
      <c r="A450" s="226"/>
      <c r="B450" s="179"/>
      <c r="C450" s="684" t="str">
        <f>IF(Q416="","",IF(C449="","",IF(C449+1&lt;=Q416,C449+1,"")))</f>
        <v/>
      </c>
      <c r="D450" s="247"/>
      <c r="E450" s="206"/>
      <c r="F450" s="206"/>
      <c r="G450" s="206"/>
      <c r="H450" s="206"/>
      <c r="I450" s="206"/>
      <c r="J450" s="207"/>
      <c r="K450" s="657"/>
      <c r="L450" s="663" t="str">
        <f t="shared" si="80"/>
        <v/>
      </c>
      <c r="M450" s="667" t="str">
        <f>IF(C450="","",L450-Q423*COS(O416*PI()/180))</f>
        <v/>
      </c>
      <c r="N450" s="668" t="str">
        <f>IF(C450="","",L450+P423*SIN(O416*PI()/180))</f>
        <v/>
      </c>
      <c r="O450" s="660" t="str">
        <f t="shared" si="81"/>
        <v>-</v>
      </c>
      <c r="P450" s="670" t="str">
        <f>IF(C450="","",(PI()*O450/180*(R424*M450-N450*S424)-Q450*(S423*R424-S424*R423))/S422/(R424-S424))</f>
        <v/>
      </c>
      <c r="Q450" s="671" t="str">
        <f>IF(C450="","",O450/180*PI()*(L450-M450)/(R423-S423))</f>
        <v/>
      </c>
      <c r="R450" s="672" t="str">
        <f>IF(C450="","",(O450/180*PI()*N450-Q450*R423-S450*S422)/R424)</f>
        <v/>
      </c>
      <c r="S450" s="673" t="str">
        <f t="shared" si="77"/>
        <v/>
      </c>
      <c r="T450" s="686" t="str">
        <f t="shared" si="78"/>
        <v/>
      </c>
      <c r="U450" s="687" t="str">
        <f t="shared" si="79"/>
        <v/>
      </c>
      <c r="V450" s="347"/>
      <c r="W450" s="196"/>
      <c r="X450" s="152"/>
      <c r="Z450" s="198"/>
      <c r="AA450" s="198"/>
    </row>
    <row r="451" spans="1:27" s="197" customFormat="1" ht="15" customHeight="1">
      <c r="A451" s="226"/>
      <c r="B451" s="179"/>
      <c r="C451" s="684" t="str">
        <f>IF(Q416="","",IF(C450="","",IF(C450+1&lt;=Q416,C450+1,"")))</f>
        <v/>
      </c>
      <c r="D451" s="247"/>
      <c r="E451" s="206"/>
      <c r="F451" s="206"/>
      <c r="G451" s="206"/>
      <c r="H451" s="206"/>
      <c r="I451" s="206"/>
      <c r="J451" s="207"/>
      <c r="K451" s="657"/>
      <c r="L451" s="663" t="str">
        <f t="shared" si="80"/>
        <v/>
      </c>
      <c r="M451" s="667" t="str">
        <f>IF(C451="","",L451-Q423*COS(O416*PI()/180))</f>
        <v/>
      </c>
      <c r="N451" s="668" t="str">
        <f>IF(C451="","",L451+P423*SIN(O416*PI()/180))</f>
        <v/>
      </c>
      <c r="O451" s="660" t="str">
        <f t="shared" si="81"/>
        <v>-</v>
      </c>
      <c r="P451" s="670" t="str">
        <f>IF(C451="","",(PI()*O451/180*(R424*M451-N451*S424)-Q451*(S423*R424-S424*R423))/S422/(R424-S424))</f>
        <v/>
      </c>
      <c r="Q451" s="671" t="str">
        <f>IF(C451="","",O451/180*PI()*(L451-M451)/(R423-S423))</f>
        <v/>
      </c>
      <c r="R451" s="672" t="str">
        <f>IF(C451="","",(O451/180*PI()*N451-Q451*R423-S451*S422)/R424)</f>
        <v/>
      </c>
      <c r="S451" s="673" t="str">
        <f t="shared" si="77"/>
        <v/>
      </c>
      <c r="T451" s="686" t="str">
        <f t="shared" si="78"/>
        <v/>
      </c>
      <c r="U451" s="687" t="str">
        <f t="shared" si="79"/>
        <v/>
      </c>
      <c r="V451" s="347"/>
      <c r="W451" s="196"/>
      <c r="X451" s="152"/>
      <c r="Z451" s="198"/>
      <c r="AA451" s="198"/>
    </row>
    <row r="452" spans="1:27" s="197" customFormat="1" ht="15" customHeight="1">
      <c r="A452" s="226"/>
      <c r="B452" s="179"/>
      <c r="C452" s="684" t="str">
        <f>IF(Q416="","",IF(C451="","",IF(C451+1&lt;=Q416,C451+1,"")))</f>
        <v/>
      </c>
      <c r="D452" s="247"/>
      <c r="E452" s="206"/>
      <c r="F452" s="206"/>
      <c r="G452" s="206"/>
      <c r="H452" s="206"/>
      <c r="I452" s="206"/>
      <c r="J452" s="207"/>
      <c r="K452" s="657"/>
      <c r="L452" s="663" t="str">
        <f t="shared" si="80"/>
        <v/>
      </c>
      <c r="M452" s="667" t="str">
        <f>IF(C452="","",L452-Q423*COS(O416*PI()/180))</f>
        <v/>
      </c>
      <c r="N452" s="668" t="str">
        <f>IF(C452="","",L452+P423*SIN(O416*PI()/180))</f>
        <v/>
      </c>
      <c r="O452" s="660" t="str">
        <f t="shared" si="81"/>
        <v>-</v>
      </c>
      <c r="P452" s="670" t="str">
        <f>IF(C452="","",(PI()*O452/180*(R424*M452-N452*S424)-Q452*(S423*R424-S424*R423))/S422/(R424-S424))</f>
        <v/>
      </c>
      <c r="Q452" s="671" t="str">
        <f>IF(C452="","",O452/180*PI()*(L452-M452)/(R423-S423))</f>
        <v/>
      </c>
      <c r="R452" s="672" t="str">
        <f>IF(C452="","",(O452/180*PI()*N452-Q452*R423-S452*S422)/R424)</f>
        <v/>
      </c>
      <c r="S452" s="673" t="str">
        <f t="shared" si="77"/>
        <v/>
      </c>
      <c r="T452" s="686" t="str">
        <f t="shared" si="78"/>
        <v/>
      </c>
      <c r="U452" s="687" t="str">
        <f t="shared" si="79"/>
        <v/>
      </c>
      <c r="V452" s="347"/>
      <c r="W452" s="196"/>
      <c r="X452" s="152"/>
      <c r="Z452" s="198"/>
      <c r="AA452" s="198"/>
    </row>
    <row r="453" spans="1:27" s="197" customFormat="1" ht="15" customHeight="1">
      <c r="A453" s="226"/>
      <c r="B453" s="179"/>
      <c r="C453" s="684" t="str">
        <f>IF(Q416="","",IF(C452="","",IF(C452+1&lt;=Q416,C452+1,"")))</f>
        <v/>
      </c>
      <c r="D453" s="247"/>
      <c r="E453" s="206"/>
      <c r="F453" s="206"/>
      <c r="G453" s="206"/>
      <c r="H453" s="206"/>
      <c r="I453" s="206"/>
      <c r="J453" s="207"/>
      <c r="K453" s="657"/>
      <c r="L453" s="663" t="str">
        <f t="shared" si="80"/>
        <v/>
      </c>
      <c r="M453" s="667" t="str">
        <f>IF(C453="","",L453-Q423*COS(O416*PI()/180))</f>
        <v/>
      </c>
      <c r="N453" s="668" t="str">
        <f>IF(C453="","",L453+P423*SIN(O416*PI()/180))</f>
        <v/>
      </c>
      <c r="O453" s="660" t="str">
        <f t="shared" si="81"/>
        <v>-</v>
      </c>
      <c r="P453" s="670" t="str">
        <f>IF(C453="","",(PI()*O453/180*(R424*M453-N453*S424)-Q453*(S423*R424-S424*R423))/S422/(R424-S424))</f>
        <v/>
      </c>
      <c r="Q453" s="671" t="str">
        <f>IF(C453="","",O453/180*PI()*(L453-M453)/(R423-S423))</f>
        <v/>
      </c>
      <c r="R453" s="672" t="str">
        <f>IF(C453="","",(O453/180*PI()*N453-Q453*R423-S453*S422)/R424)</f>
        <v/>
      </c>
      <c r="S453" s="673" t="str">
        <f t="shared" si="77"/>
        <v/>
      </c>
      <c r="T453" s="686" t="str">
        <f t="shared" si="78"/>
        <v/>
      </c>
      <c r="U453" s="687" t="str">
        <f t="shared" si="79"/>
        <v/>
      </c>
      <c r="V453" s="347"/>
      <c r="W453" s="196"/>
      <c r="X453" s="152"/>
      <c r="Z453" s="198"/>
      <c r="AA453" s="198"/>
    </row>
    <row r="454" spans="1:27" s="197" customFormat="1" ht="15" customHeight="1">
      <c r="A454" s="226"/>
      <c r="B454" s="179"/>
      <c r="C454" s="684" t="str">
        <f>IF(Q416="","",IF(C453="","",IF(C453+1&lt;=Q416,C453+1,"")))</f>
        <v/>
      </c>
      <c r="D454" s="247"/>
      <c r="E454" s="206"/>
      <c r="F454" s="206"/>
      <c r="G454" s="206"/>
      <c r="H454" s="206"/>
      <c r="I454" s="206"/>
      <c r="J454" s="207"/>
      <c r="K454" s="657"/>
      <c r="L454" s="663" t="str">
        <f t="shared" si="80"/>
        <v/>
      </c>
      <c r="M454" s="667" t="str">
        <f>IF(C454="","",L454-Q423*COS(O416*PI()/180))</f>
        <v/>
      </c>
      <c r="N454" s="668" t="str">
        <f>IF(C454="","",L454+P423*SIN(O416*PI()/180))</f>
        <v/>
      </c>
      <c r="O454" s="660" t="str">
        <f t="shared" si="81"/>
        <v>-</v>
      </c>
      <c r="P454" s="670" t="str">
        <f>IF(C454="","",(PI()*O454/180*(R424*M454-N454*S424)-Q454*(S423*R424-S424*R423))/S422/(R424-S424))</f>
        <v/>
      </c>
      <c r="Q454" s="671" t="str">
        <f>IF(C454="","",O454/180*PI()*(L454-M454)/(R423-S423))</f>
        <v/>
      </c>
      <c r="R454" s="672" t="str">
        <f>IF(C454="","",(O454/180*PI()*N454-Q454*R423-S454*S422)/R424)</f>
        <v/>
      </c>
      <c r="S454" s="673" t="str">
        <f t="shared" si="77"/>
        <v/>
      </c>
      <c r="T454" s="686" t="str">
        <f t="shared" si="78"/>
        <v/>
      </c>
      <c r="U454" s="687" t="str">
        <f t="shared" si="79"/>
        <v/>
      </c>
      <c r="V454" s="347"/>
      <c r="W454" s="196"/>
      <c r="X454" s="152"/>
      <c r="Z454" s="198"/>
      <c r="AA454" s="198"/>
    </row>
    <row r="455" spans="1:27" s="197" customFormat="1" ht="15" customHeight="1">
      <c r="A455" s="226"/>
      <c r="B455" s="179"/>
      <c r="C455" s="684" t="str">
        <f>IF(Q416="","",IF(C454="","",IF(C454+1&lt;=Q416,C454+1,"")))</f>
        <v/>
      </c>
      <c r="D455" s="247"/>
      <c r="E455" s="206"/>
      <c r="F455" s="206"/>
      <c r="G455" s="206"/>
      <c r="H455" s="206"/>
      <c r="I455" s="206"/>
      <c r="J455" s="207"/>
      <c r="K455" s="657"/>
      <c r="L455" s="663" t="str">
        <f t="shared" si="80"/>
        <v/>
      </c>
      <c r="M455" s="667" t="str">
        <f>IF(C455="","",L455-Q423*COS(O416*PI()/180))</f>
        <v/>
      </c>
      <c r="N455" s="668" t="str">
        <f>IF(C455="","",L455+P423*SIN(O416*PI()/180))</f>
        <v/>
      </c>
      <c r="O455" s="660" t="str">
        <f t="shared" si="81"/>
        <v>-</v>
      </c>
      <c r="P455" s="670" t="str">
        <f>IF(C455="","",(PI()*O455/180*(R424*M455-N455*S424)-Q455*(S423*R424-S424*R423))/S422/(R424-S424))</f>
        <v/>
      </c>
      <c r="Q455" s="671" t="str">
        <f>IF(C455="","",O455/180*PI()*(L455-M455)/(R423-S423))</f>
        <v/>
      </c>
      <c r="R455" s="672" t="str">
        <f>IF(C455="","",(O455/180*PI()*N455-Q455*R423-S455*S422)/R424)</f>
        <v/>
      </c>
      <c r="S455" s="673" t="str">
        <f t="shared" si="77"/>
        <v/>
      </c>
      <c r="T455" s="686" t="str">
        <f t="shared" si="78"/>
        <v/>
      </c>
      <c r="U455" s="687" t="str">
        <f t="shared" si="79"/>
        <v/>
      </c>
      <c r="V455" s="347"/>
      <c r="W455" s="196"/>
      <c r="X455" s="152"/>
      <c r="Z455" s="198"/>
      <c r="AA455" s="198"/>
    </row>
    <row r="456" spans="1:27" s="197" customFormat="1" ht="15" customHeight="1">
      <c r="A456" s="226"/>
      <c r="B456" s="179"/>
      <c r="C456" s="684" t="str">
        <f>IF(Q416="","",IF(C455="","",IF(C455+1&lt;=Q416,C455+1,"")))</f>
        <v/>
      </c>
      <c r="D456" s="247"/>
      <c r="E456" s="206"/>
      <c r="F456" s="206"/>
      <c r="G456" s="206"/>
      <c r="H456" s="206"/>
      <c r="I456" s="206"/>
      <c r="J456" s="207"/>
      <c r="K456" s="657"/>
      <c r="L456" s="663" t="str">
        <f t="shared" si="80"/>
        <v/>
      </c>
      <c r="M456" s="667" t="str">
        <f>IF(C456="","",L456-Q423*COS(O416*PI()/180))</f>
        <v/>
      </c>
      <c r="N456" s="668" t="str">
        <f>IF(C456="","",L456+P423*SIN(O416*PI()/180))</f>
        <v/>
      </c>
      <c r="O456" s="660" t="str">
        <f t="shared" si="81"/>
        <v>-</v>
      </c>
      <c r="P456" s="670" t="str">
        <f>IF(C456="","",(PI()*O456/180*(R424*M456-N456*S424)-Q456*(S423*R424-S424*R423))/S422/(R424-S424))</f>
        <v/>
      </c>
      <c r="Q456" s="671" t="str">
        <f>IF(C456="","",O456/180*PI()*(L456-M456)/(R423-S423))</f>
        <v/>
      </c>
      <c r="R456" s="672" t="str">
        <f>IF(C456="","",(O456/180*PI()*N456-Q456*R423-S456*S422)/R424)</f>
        <v/>
      </c>
      <c r="S456" s="673" t="str">
        <f t="shared" si="77"/>
        <v/>
      </c>
      <c r="T456" s="686" t="str">
        <f t="shared" si="78"/>
        <v/>
      </c>
      <c r="U456" s="687" t="str">
        <f t="shared" si="79"/>
        <v/>
      </c>
      <c r="V456" s="347"/>
      <c r="W456" s="196"/>
      <c r="X456" s="152"/>
      <c r="Z456" s="198"/>
      <c r="AA456" s="198"/>
    </row>
    <row r="457" spans="1:27" s="197" customFormat="1" ht="15" customHeight="1">
      <c r="A457" s="226"/>
      <c r="B457" s="179"/>
      <c r="C457" s="684" t="str">
        <f>IF(Q416="","",IF(C456="","",IF(C456+1&lt;=Q416,C456+1,"")))</f>
        <v/>
      </c>
      <c r="D457" s="247"/>
      <c r="E457" s="206"/>
      <c r="F457" s="206"/>
      <c r="G457" s="206"/>
      <c r="H457" s="206"/>
      <c r="I457" s="206"/>
      <c r="J457" s="207"/>
      <c r="K457" s="657"/>
      <c r="L457" s="663" t="str">
        <f t="shared" si="80"/>
        <v/>
      </c>
      <c r="M457" s="667" t="str">
        <f>IF(C457="","",L457-Q423*COS(O416*PI()/180))</f>
        <v/>
      </c>
      <c r="N457" s="668" t="str">
        <f>IF(C457="","",L457+P423*SIN(O416*PI()/180))</f>
        <v/>
      </c>
      <c r="O457" s="660" t="str">
        <f t="shared" si="81"/>
        <v>-</v>
      </c>
      <c r="P457" s="670" t="str">
        <f>IF(C457="","",(PI()*O457/180*(R424*M457-N457*S424)-Q457*(S423*R424-S424*R423))/S422/(R424-S424))</f>
        <v/>
      </c>
      <c r="Q457" s="671" t="str">
        <f>IF(C457="","",O457/180*PI()*(L457-M457)/(R423-S423))</f>
        <v/>
      </c>
      <c r="R457" s="672" t="str">
        <f>IF(C457="","",(O457/180*PI()*N457-Q457*R423-S457*S422)/R424)</f>
        <v/>
      </c>
      <c r="S457" s="673" t="str">
        <f t="shared" si="77"/>
        <v/>
      </c>
      <c r="T457" s="686" t="str">
        <f t="shared" si="78"/>
        <v/>
      </c>
      <c r="U457" s="687" t="str">
        <f t="shared" si="79"/>
        <v/>
      </c>
      <c r="V457" s="347"/>
      <c r="W457" s="196"/>
      <c r="X457" s="152"/>
      <c r="Z457" s="198"/>
      <c r="AA457" s="198"/>
    </row>
    <row r="458" spans="1:27" s="197" customFormat="1" ht="15" customHeight="1">
      <c r="A458" s="226"/>
      <c r="B458" s="179"/>
      <c r="C458" s="684" t="str">
        <f>IF(Q416="","",IF(C457="","",IF(C457+1&lt;=Q416,C457+1,"")))</f>
        <v/>
      </c>
      <c r="D458" s="247"/>
      <c r="E458" s="206"/>
      <c r="F458" s="206"/>
      <c r="G458" s="206"/>
      <c r="H458" s="206"/>
      <c r="I458" s="206"/>
      <c r="J458" s="207"/>
      <c r="K458" s="657"/>
      <c r="L458" s="663" t="str">
        <f t="shared" si="80"/>
        <v/>
      </c>
      <c r="M458" s="667" t="str">
        <f>IF(C458="","",L458-Q423*COS(O416*PI()/180))</f>
        <v/>
      </c>
      <c r="N458" s="668" t="str">
        <f>IF(C458="","",L458+P423*SIN(O416*PI()/180))</f>
        <v/>
      </c>
      <c r="O458" s="660" t="str">
        <f t="shared" si="81"/>
        <v>-</v>
      </c>
      <c r="P458" s="670" t="str">
        <f>IF(C458="","",(PI()*O458/180*(R424*M458-N458*S424)-Q458*(S423*R424-S424*R423))/S422/(R424-S424))</f>
        <v/>
      </c>
      <c r="Q458" s="671" t="str">
        <f>IF(C458="","",O458/180*PI()*(L458-M458)/(R423-S423))</f>
        <v/>
      </c>
      <c r="R458" s="672" t="str">
        <f>IF(C458="","",(O458/180*PI()*N458-Q458*R423-S458*S422)/R424)</f>
        <v/>
      </c>
      <c r="S458" s="673" t="str">
        <f t="shared" si="77"/>
        <v/>
      </c>
      <c r="T458" s="686" t="str">
        <f t="shared" si="78"/>
        <v/>
      </c>
      <c r="U458" s="687" t="str">
        <f t="shared" si="79"/>
        <v/>
      </c>
      <c r="V458" s="347"/>
      <c r="W458" s="196"/>
      <c r="X458" s="152"/>
      <c r="Z458" s="198"/>
      <c r="AA458" s="198"/>
    </row>
    <row r="459" spans="1:27" s="197" customFormat="1" ht="15" customHeight="1">
      <c r="A459" s="226"/>
      <c r="B459" s="179"/>
      <c r="C459" s="684" t="str">
        <f>IF(Q416="","",IF(C458="","",IF(C458+1&lt;=Q416,C458+1,"")))</f>
        <v/>
      </c>
      <c r="D459" s="247"/>
      <c r="E459" s="206"/>
      <c r="F459" s="206"/>
      <c r="G459" s="206"/>
      <c r="H459" s="206"/>
      <c r="I459" s="206"/>
      <c r="J459" s="207"/>
      <c r="K459" s="657"/>
      <c r="L459" s="663" t="str">
        <f t="shared" si="80"/>
        <v/>
      </c>
      <c r="M459" s="667" t="str">
        <f>IF(C459="","",L459-Q423*COS(O416*PI()/180))</f>
        <v/>
      </c>
      <c r="N459" s="668" t="str">
        <f>IF(C459="","",L459+P423*SIN(O416*PI()/180))</f>
        <v/>
      </c>
      <c r="O459" s="660" t="str">
        <f t="shared" si="81"/>
        <v>-</v>
      </c>
      <c r="P459" s="670" t="str">
        <f>IF(C459="","",(PI()*O459/180*(R424*M459-N459*S424)-Q459*(S423*R424-S424*R423))/S422/(R424-S424))</f>
        <v/>
      </c>
      <c r="Q459" s="671" t="str">
        <f>IF(C459="","",O459/180*PI()*(L459-M459)/(R423-S423))</f>
        <v/>
      </c>
      <c r="R459" s="672" t="str">
        <f>IF(C459="","",(O459/180*PI()*N459-Q459*R423-S459*S422)/R424)</f>
        <v/>
      </c>
      <c r="S459" s="673" t="str">
        <f t="shared" si="77"/>
        <v/>
      </c>
      <c r="T459" s="686" t="str">
        <f t="shared" si="78"/>
        <v/>
      </c>
      <c r="U459" s="687" t="str">
        <f t="shared" si="79"/>
        <v/>
      </c>
      <c r="V459" s="347"/>
      <c r="W459" s="196"/>
      <c r="X459" s="152"/>
      <c r="Z459" s="198"/>
      <c r="AA459" s="198"/>
    </row>
    <row r="460" spans="1:27" s="197" customFormat="1" ht="15" customHeight="1">
      <c r="A460" s="226"/>
      <c r="B460" s="179"/>
      <c r="C460" s="684" t="str">
        <f>IF(Q416="","",IF(C459="","",IF(C459+1&lt;=Q416,C459+1,"")))</f>
        <v/>
      </c>
      <c r="D460" s="247"/>
      <c r="E460" s="206"/>
      <c r="F460" s="206"/>
      <c r="G460" s="206"/>
      <c r="H460" s="206"/>
      <c r="I460" s="206"/>
      <c r="J460" s="207"/>
      <c r="K460" s="657"/>
      <c r="L460" s="663" t="str">
        <f t="shared" si="80"/>
        <v/>
      </c>
      <c r="M460" s="667" t="str">
        <f>IF(C460="","",L460-Q423*COS(O416*PI()/180))</f>
        <v/>
      </c>
      <c r="N460" s="668" t="str">
        <f>IF(C460="","",L460+P423*SIN(O416*PI()/180))</f>
        <v/>
      </c>
      <c r="O460" s="660" t="str">
        <f t="shared" si="81"/>
        <v>-</v>
      </c>
      <c r="P460" s="670" t="str">
        <f>IF(C460="","",(PI()*O460/180*(R424*M460-N460*S424)-Q460*(S423*R424-S424*R423))/S422/(R424-S424))</f>
        <v/>
      </c>
      <c r="Q460" s="671" t="str">
        <f>IF(C460="","",O460/180*PI()*(L460-M460)/(R423-S423))</f>
        <v/>
      </c>
      <c r="R460" s="672" t="str">
        <f>IF(C460="","",(O460/180*PI()*N460-Q460*R423-S460*S422)/R424)</f>
        <v/>
      </c>
      <c r="S460" s="673" t="str">
        <f t="shared" si="77"/>
        <v/>
      </c>
      <c r="T460" s="686" t="str">
        <f t="shared" si="78"/>
        <v/>
      </c>
      <c r="U460" s="687" t="str">
        <f t="shared" si="79"/>
        <v/>
      </c>
      <c r="V460" s="347"/>
      <c r="W460" s="196"/>
      <c r="X460" s="152"/>
      <c r="Z460" s="198"/>
      <c r="AA460" s="198"/>
    </row>
    <row r="461" spans="1:27" s="197" customFormat="1" ht="15" customHeight="1">
      <c r="A461" s="226"/>
      <c r="B461" s="179"/>
      <c r="C461" s="684" t="str">
        <f>IF(Q416="","",IF(C460="","",IF(C460+1&lt;=Q416,C460+1,"")))</f>
        <v/>
      </c>
      <c r="D461" s="247"/>
      <c r="E461" s="206"/>
      <c r="F461" s="206"/>
      <c r="G461" s="206"/>
      <c r="H461" s="206"/>
      <c r="I461" s="206"/>
      <c r="J461" s="207"/>
      <c r="K461" s="657"/>
      <c r="L461" s="663" t="str">
        <f t="shared" si="80"/>
        <v/>
      </c>
      <c r="M461" s="667" t="str">
        <f>IF(C461="","",L461-Q423*COS(O416*PI()/180))</f>
        <v/>
      </c>
      <c r="N461" s="668" t="str">
        <f>IF(C461="","",L461+P423*SIN(O416*PI()/180))</f>
        <v/>
      </c>
      <c r="O461" s="660" t="str">
        <f t="shared" si="81"/>
        <v>-</v>
      </c>
      <c r="P461" s="670" t="str">
        <f>IF(C461="","",(PI()*O461/180*(R424*M461-N461*S424)-Q461*(S423*R424-S424*R423))/S422/(R424-S424))</f>
        <v/>
      </c>
      <c r="Q461" s="671" t="str">
        <f>IF(C461="","",O461/180*PI()*(L461-M461)/(R423-S423))</f>
        <v/>
      </c>
      <c r="R461" s="672" t="str">
        <f>IF(C461="","",(O461/180*PI()*N461-Q461*R423-S461*S422)/R424)</f>
        <v/>
      </c>
      <c r="S461" s="673" t="str">
        <f t="shared" si="77"/>
        <v/>
      </c>
      <c r="T461" s="686" t="str">
        <f t="shared" si="78"/>
        <v/>
      </c>
      <c r="U461" s="687" t="str">
        <f t="shared" si="79"/>
        <v/>
      </c>
      <c r="V461" s="347"/>
      <c r="W461" s="196"/>
      <c r="X461" s="152"/>
      <c r="Z461" s="198"/>
      <c r="AA461" s="198"/>
    </row>
    <row r="462" spans="1:27" s="197" customFormat="1" ht="15" customHeight="1">
      <c r="A462" s="226"/>
      <c r="B462" s="179"/>
      <c r="C462" s="684" t="str">
        <f>IF(Q416="","",IF(C461="","",IF(C461+1&lt;=Q416,C461+1,"")))</f>
        <v/>
      </c>
      <c r="D462" s="247"/>
      <c r="E462" s="206"/>
      <c r="F462" s="206"/>
      <c r="G462" s="206"/>
      <c r="H462" s="206"/>
      <c r="I462" s="206"/>
      <c r="J462" s="207"/>
      <c r="K462" s="657"/>
      <c r="L462" s="663" t="str">
        <f t="shared" si="80"/>
        <v/>
      </c>
      <c r="M462" s="667" t="str">
        <f>IF(C462="","",L462-Q423*COS(O416*PI()/180))</f>
        <v/>
      </c>
      <c r="N462" s="668" t="str">
        <f>IF(C462="","",L462+P423*SIN(O416*PI()/180))</f>
        <v/>
      </c>
      <c r="O462" s="660" t="str">
        <f t="shared" si="81"/>
        <v>-</v>
      </c>
      <c r="P462" s="670" t="str">
        <f>IF(C462="","",(PI()*O462/180*(R424*M462-N462*S424)-Q462*(S423*R424-S424*R423))/S422/(R424-S424))</f>
        <v/>
      </c>
      <c r="Q462" s="671" t="str">
        <f>IF(C462="","",O462/180*PI()*(L462-M462)/(R423-S423))</f>
        <v/>
      </c>
      <c r="R462" s="672" t="str">
        <f>IF(C462="","",(O462/180*PI()*N462-Q462*R423-S462*S422)/R424)</f>
        <v/>
      </c>
      <c r="S462" s="673" t="str">
        <f t="shared" si="77"/>
        <v/>
      </c>
      <c r="T462" s="686" t="str">
        <f t="shared" si="78"/>
        <v/>
      </c>
      <c r="U462" s="687" t="str">
        <f t="shared" si="79"/>
        <v/>
      </c>
      <c r="V462" s="347"/>
      <c r="W462" s="196"/>
      <c r="X462" s="152"/>
      <c r="Z462" s="198"/>
      <c r="AA462" s="198"/>
    </row>
    <row r="463" spans="1:27" s="197" customFormat="1" ht="15" customHeight="1">
      <c r="A463" s="226"/>
      <c r="B463" s="179"/>
      <c r="C463" s="684" t="str">
        <f>IF(Q416="","",IF(C462="","",IF(C462+1&lt;=Q416,C462+1,"")))</f>
        <v/>
      </c>
      <c r="D463" s="247"/>
      <c r="E463" s="206"/>
      <c r="F463" s="206"/>
      <c r="G463" s="206"/>
      <c r="H463" s="206"/>
      <c r="I463" s="206"/>
      <c r="J463" s="207"/>
      <c r="K463" s="657"/>
      <c r="L463" s="663" t="str">
        <f t="shared" si="80"/>
        <v/>
      </c>
      <c r="M463" s="667" t="str">
        <f>IF(C463="","",L463-Q423*COS(O416*PI()/180))</f>
        <v/>
      </c>
      <c r="N463" s="668" t="str">
        <f>IF(C463="","",L463+P423*SIN(O416*PI()/180))</f>
        <v/>
      </c>
      <c r="O463" s="660" t="str">
        <f t="shared" si="81"/>
        <v>-</v>
      </c>
      <c r="P463" s="670" t="str">
        <f>IF(C463="","",(PI()*O463/180*(R424*M463-N463*S424)-Q463*(S423*R424-S424*R423))/S422/(R424-S424))</f>
        <v/>
      </c>
      <c r="Q463" s="671" t="str">
        <f>IF(C463="","",O463/180*PI()*(L463-M463)/(R423-S423))</f>
        <v/>
      </c>
      <c r="R463" s="672" t="str">
        <f>IF(C463="","",(O463/180*PI()*N463-Q463*R423-S463*S422)/R424)</f>
        <v/>
      </c>
      <c r="S463" s="673" t="str">
        <f t="shared" si="77"/>
        <v/>
      </c>
      <c r="T463" s="686" t="str">
        <f t="shared" si="78"/>
        <v/>
      </c>
      <c r="U463" s="687" t="str">
        <f t="shared" si="79"/>
        <v/>
      </c>
      <c r="V463" s="347"/>
      <c r="W463" s="196"/>
      <c r="X463" s="152"/>
      <c r="Z463" s="198"/>
      <c r="AA463" s="198"/>
    </row>
    <row r="464" spans="1:27" s="197" customFormat="1" ht="15" customHeight="1">
      <c r="A464" s="226"/>
      <c r="B464" s="179"/>
      <c r="C464" s="684" t="str">
        <f>IF(Q416="","",IF(C463="","",IF(C463+1&lt;=Q416,C463+1,"")))</f>
        <v/>
      </c>
      <c r="D464" s="247"/>
      <c r="E464" s="206"/>
      <c r="F464" s="206"/>
      <c r="G464" s="206"/>
      <c r="H464" s="206"/>
      <c r="I464" s="206"/>
      <c r="J464" s="207"/>
      <c r="K464" s="657"/>
      <c r="L464" s="663" t="str">
        <f t="shared" si="80"/>
        <v/>
      </c>
      <c r="M464" s="667" t="str">
        <f>IF(C464="","",L464-Q423*COS(O416*PI()/180))</f>
        <v/>
      </c>
      <c r="N464" s="668" t="str">
        <f>IF(C464="","",L464+P423*SIN(O416*PI()/180))</f>
        <v/>
      </c>
      <c r="O464" s="660" t="str">
        <f t="shared" si="81"/>
        <v>-</v>
      </c>
      <c r="P464" s="670" t="str">
        <f>IF(C464="","",(PI()*O464/180*(R424*M464-N464*S424)-Q464*(S423*R424-S424*R423))/S422/(R424-S424))</f>
        <v/>
      </c>
      <c r="Q464" s="671" t="str">
        <f>IF(C464="","",O464/180*PI()*(L464-M464)/(R423-S423))</f>
        <v/>
      </c>
      <c r="R464" s="672" t="str">
        <f>IF(C464="","",(O464/180*PI()*N464-Q464*R423-S464*S422)/R424)</f>
        <v/>
      </c>
      <c r="S464" s="673" t="str">
        <f t="shared" si="77"/>
        <v/>
      </c>
      <c r="T464" s="686" t="str">
        <f t="shared" si="78"/>
        <v/>
      </c>
      <c r="U464" s="687" t="str">
        <f t="shared" si="79"/>
        <v/>
      </c>
      <c r="V464" s="347"/>
      <c r="W464" s="196"/>
      <c r="X464" s="152"/>
      <c r="Z464" s="198"/>
      <c r="AA464" s="198"/>
    </row>
    <row r="465" spans="1:27" s="197" customFormat="1" ht="15" customHeight="1">
      <c r="A465" s="226"/>
      <c r="B465" s="179"/>
      <c r="C465" s="684" t="str">
        <f>IF(Q416="","",IF(C464="","",IF(C464+1&lt;=Q416,C464+1,"")))</f>
        <v/>
      </c>
      <c r="D465" s="247"/>
      <c r="E465" s="206"/>
      <c r="F465" s="206"/>
      <c r="G465" s="206"/>
      <c r="H465" s="206"/>
      <c r="I465" s="206"/>
      <c r="J465" s="207"/>
      <c r="K465" s="657"/>
      <c r="L465" s="663" t="str">
        <f t="shared" si="80"/>
        <v/>
      </c>
      <c r="M465" s="667" t="str">
        <f>IF(C465="","",L465-Q423*COS(O416*PI()/180))</f>
        <v/>
      </c>
      <c r="N465" s="668" t="str">
        <f>IF(C465="","",L465+P423*SIN(O416*PI()/180))</f>
        <v/>
      </c>
      <c r="O465" s="660" t="str">
        <f t="shared" si="81"/>
        <v>-</v>
      </c>
      <c r="P465" s="670" t="str">
        <f>IF(C465="","",(PI()*O465/180*(R424*M465-N465*S424)-Q465*(S423*R424-S424*R423))/S422/(R424-S424))</f>
        <v/>
      </c>
      <c r="Q465" s="671" t="str">
        <f>IF(C465="","",O465/180*PI()*(L465-M465)/(R423-S423))</f>
        <v/>
      </c>
      <c r="R465" s="672" t="str">
        <f>IF(C465="","",(O465/180*PI()*N465-Q465*R423-S465*S422)/R424)</f>
        <v/>
      </c>
      <c r="S465" s="673" t="str">
        <f t="shared" si="77"/>
        <v/>
      </c>
      <c r="T465" s="686" t="str">
        <f t="shared" si="78"/>
        <v/>
      </c>
      <c r="U465" s="687" t="str">
        <f t="shared" si="79"/>
        <v/>
      </c>
      <c r="V465" s="347"/>
      <c r="W465" s="196"/>
      <c r="X465" s="152"/>
      <c r="Z465" s="198"/>
      <c r="AA465" s="198"/>
    </row>
    <row r="466" spans="1:27" s="197" customFormat="1" ht="15" customHeight="1">
      <c r="A466" s="226"/>
      <c r="B466" s="179"/>
      <c r="C466" s="684" t="str">
        <f>IF(Q416="","",IF(C465="","",IF(C465+1&lt;=Q416,C465+1,"")))</f>
        <v/>
      </c>
      <c r="D466" s="247"/>
      <c r="E466" s="206"/>
      <c r="F466" s="206"/>
      <c r="G466" s="206"/>
      <c r="H466" s="206"/>
      <c r="I466" s="206"/>
      <c r="J466" s="207"/>
      <c r="K466" s="657"/>
      <c r="L466" s="663" t="str">
        <f t="shared" si="80"/>
        <v/>
      </c>
      <c r="M466" s="667" t="str">
        <f>IF(C466="","",L466-Q423*COS(O416*PI()/180))</f>
        <v/>
      </c>
      <c r="N466" s="668" t="str">
        <f>IF(C466="","",L466+P423*SIN(O416*PI()/180))</f>
        <v/>
      </c>
      <c r="O466" s="660" t="str">
        <f t="shared" si="81"/>
        <v>-</v>
      </c>
      <c r="P466" s="670" t="str">
        <f>IF(C466="","",(PI()*O466/180*(R424*M466-N466*S424)-Q466*(S423*R424-S424*R423))/S422/(R424-S424))</f>
        <v/>
      </c>
      <c r="Q466" s="671" t="str">
        <f>IF(C466="","",O466/180*PI()*(L466-M466)/(R423-S423))</f>
        <v/>
      </c>
      <c r="R466" s="672" t="str">
        <f>IF(C466="","",(O466/180*PI()*N466-Q466*R423-S466*S422)/R424)</f>
        <v/>
      </c>
      <c r="S466" s="673" t="str">
        <f t="shared" si="77"/>
        <v/>
      </c>
      <c r="T466" s="686" t="str">
        <f t="shared" si="78"/>
        <v/>
      </c>
      <c r="U466" s="687" t="str">
        <f t="shared" si="79"/>
        <v/>
      </c>
      <c r="V466" s="347"/>
      <c r="W466" s="196"/>
      <c r="X466" s="152"/>
      <c r="Z466" s="198"/>
      <c r="AA466" s="198"/>
    </row>
    <row r="467" spans="1:27" s="197" customFormat="1" ht="15" customHeight="1">
      <c r="A467" s="226"/>
      <c r="B467" s="179"/>
      <c r="C467" s="684" t="str">
        <f>IF(Q416="","",IF(C466="","",IF(C466+1&lt;=Q416,C466+1,"")))</f>
        <v/>
      </c>
      <c r="D467" s="247"/>
      <c r="E467" s="206"/>
      <c r="F467" s="206"/>
      <c r="G467" s="206"/>
      <c r="H467" s="206"/>
      <c r="I467" s="206"/>
      <c r="J467" s="207"/>
      <c r="K467" s="657"/>
      <c r="L467" s="663" t="str">
        <f t="shared" si="80"/>
        <v/>
      </c>
      <c r="M467" s="667" t="str">
        <f>IF(C467="","",L467-Q423*COS(O416*PI()/180))</f>
        <v/>
      </c>
      <c r="N467" s="668" t="str">
        <f>IF(C467="","",L467+P423*SIN(O416*PI()/180))</f>
        <v/>
      </c>
      <c r="O467" s="660" t="str">
        <f t="shared" si="81"/>
        <v>-</v>
      </c>
      <c r="P467" s="670" t="str">
        <f>IF(C467="","",(PI()*O467/180*(R424*M467-N467*S424)-Q467*(S423*R424-S424*R423))/S422/(R424-S424))</f>
        <v/>
      </c>
      <c r="Q467" s="671" t="str">
        <f>IF(C467="","",O467/180*PI()*(L467-M467)/(R423-S423))</f>
        <v/>
      </c>
      <c r="R467" s="672" t="str">
        <f>IF(C467="","",(O467/180*PI()*N467-Q467*R423-S467*S422)/R424)</f>
        <v/>
      </c>
      <c r="S467" s="673" t="str">
        <f t="shared" si="77"/>
        <v/>
      </c>
      <c r="T467" s="686" t="str">
        <f t="shared" si="78"/>
        <v/>
      </c>
      <c r="U467" s="687" t="str">
        <f t="shared" si="79"/>
        <v/>
      </c>
      <c r="V467" s="347"/>
      <c r="W467" s="196"/>
      <c r="X467" s="152"/>
      <c r="Z467" s="198"/>
      <c r="AA467" s="198"/>
    </row>
    <row r="468" spans="1:27" s="197" customFormat="1" ht="15" customHeight="1">
      <c r="A468" s="226"/>
      <c r="B468" s="179"/>
      <c r="C468" s="684" t="str">
        <f>IF(Q416="","",IF(C467="","",IF(C467+1&lt;=Q416,C467+1,"")))</f>
        <v/>
      </c>
      <c r="D468" s="247"/>
      <c r="E468" s="206"/>
      <c r="F468" s="206"/>
      <c r="G468" s="206"/>
      <c r="H468" s="206"/>
      <c r="I468" s="206"/>
      <c r="J468" s="207"/>
      <c r="K468" s="657"/>
      <c r="L468" s="663" t="str">
        <f t="shared" si="80"/>
        <v/>
      </c>
      <c r="M468" s="667" t="str">
        <f>IF(C468="","",L468-Q423*COS(O416*PI()/180))</f>
        <v/>
      </c>
      <c r="N468" s="668" t="str">
        <f>IF(C468="","",L468+P423*SIN(O416*PI()/180))</f>
        <v/>
      </c>
      <c r="O468" s="660" t="str">
        <f t="shared" si="81"/>
        <v>-</v>
      </c>
      <c r="P468" s="670" t="str">
        <f>IF(C468="","",(PI()*O468/180*(R424*M468-N468*S424)-Q468*(S423*R424-S424*R423))/S422/(R424-S424))</f>
        <v/>
      </c>
      <c r="Q468" s="671" t="str">
        <f>IF(C468="","",O468/180*PI()*(L468-M468)/(R423-S423))</f>
        <v/>
      </c>
      <c r="R468" s="672" t="str">
        <f>IF(C468="","",(O468/180*PI()*N468-Q468*R423-S468*S422)/R424)</f>
        <v/>
      </c>
      <c r="S468" s="673" t="str">
        <f t="shared" si="77"/>
        <v/>
      </c>
      <c r="T468" s="686" t="str">
        <f t="shared" si="78"/>
        <v/>
      </c>
      <c r="U468" s="687" t="str">
        <f t="shared" si="79"/>
        <v/>
      </c>
      <c r="V468" s="347"/>
      <c r="W468" s="196"/>
      <c r="X468" s="152"/>
      <c r="Z468" s="198"/>
      <c r="AA468" s="198"/>
    </row>
    <row r="469" spans="1:27" s="197" customFormat="1" ht="15" customHeight="1">
      <c r="A469" s="226"/>
      <c r="B469" s="179"/>
      <c r="C469" s="684" t="str">
        <f>IF(Q416="","",IF(C468="","",IF(C468+1&lt;=Q416,C468+1,"")))</f>
        <v/>
      </c>
      <c r="D469" s="247"/>
      <c r="E469" s="206"/>
      <c r="F469" s="206"/>
      <c r="G469" s="206"/>
      <c r="H469" s="206"/>
      <c r="I469" s="206"/>
      <c r="J469" s="207"/>
      <c r="K469" s="657"/>
      <c r="L469" s="663" t="str">
        <f t="shared" si="80"/>
        <v/>
      </c>
      <c r="M469" s="667" t="str">
        <f>IF(C469="","",L469-Q423*COS(O416*PI()/180))</f>
        <v/>
      </c>
      <c r="N469" s="668" t="str">
        <f>IF(C469="","",L469+P423*SIN(O416*PI()/180))</f>
        <v/>
      </c>
      <c r="O469" s="660" t="str">
        <f t="shared" si="81"/>
        <v>-</v>
      </c>
      <c r="P469" s="670" t="str">
        <f>IF(C469="","",(PI()*O469/180*(R424*M469-N469*S424)-Q469*(S423*R424-S424*R423))/S422/(R424-S424))</f>
        <v/>
      </c>
      <c r="Q469" s="671" t="str">
        <f>IF(C469="","",O469/180*PI()*(L469-M469)/(R423-S423))</f>
        <v/>
      </c>
      <c r="R469" s="672" t="str">
        <f>IF(C469="","",(O469/180*PI()*N469-Q469*R423-S469*S422)/R424)</f>
        <v/>
      </c>
      <c r="S469" s="673" t="str">
        <f t="shared" si="77"/>
        <v/>
      </c>
      <c r="T469" s="686" t="str">
        <f t="shared" si="78"/>
        <v/>
      </c>
      <c r="U469" s="687" t="str">
        <f t="shared" si="79"/>
        <v/>
      </c>
      <c r="V469" s="347"/>
      <c r="W469" s="196"/>
      <c r="X469" s="152"/>
      <c r="Z469" s="198"/>
      <c r="AA469" s="198"/>
    </row>
    <row r="470" spans="1:27" s="197" customFormat="1" ht="15" customHeight="1">
      <c r="A470" s="226"/>
      <c r="B470" s="179"/>
      <c r="C470" s="684" t="str">
        <f>IF(Q416="","",IF(C469="","",IF(C469+1&lt;=Q416,C469+1,"")))</f>
        <v/>
      </c>
      <c r="D470" s="247"/>
      <c r="E470" s="206"/>
      <c r="F470" s="206"/>
      <c r="G470" s="206"/>
      <c r="H470" s="206"/>
      <c r="I470" s="206"/>
      <c r="J470" s="207"/>
      <c r="K470" s="657"/>
      <c r="L470" s="663" t="str">
        <f t="shared" si="80"/>
        <v/>
      </c>
      <c r="M470" s="667" t="str">
        <f>IF(C470="","",L470-Q423*COS(O416*PI()/180))</f>
        <v/>
      </c>
      <c r="N470" s="668" t="str">
        <f>IF(C470="","",L470+P423*SIN(O416*PI()/180))</f>
        <v/>
      </c>
      <c r="O470" s="660" t="str">
        <f t="shared" si="81"/>
        <v>-</v>
      </c>
      <c r="P470" s="670" t="str">
        <f>IF(C470="","",(PI()*O470/180*(R424*M470-N470*S424)-Q470*(S423*R424-S424*R423))/S422/(R424-S424))</f>
        <v/>
      </c>
      <c r="Q470" s="671" t="str">
        <f>IF(C470="","",O470/180*PI()*(L470-M470)/(R423-S423))</f>
        <v/>
      </c>
      <c r="R470" s="672" t="str">
        <f>IF(C470="","",(O470/180*PI()*N470-Q470*R423-S470*S422)/R424)</f>
        <v/>
      </c>
      <c r="S470" s="673" t="str">
        <f t="shared" si="77"/>
        <v/>
      </c>
      <c r="T470" s="686" t="str">
        <f t="shared" si="78"/>
        <v/>
      </c>
      <c r="U470" s="687" t="str">
        <f t="shared" si="79"/>
        <v/>
      </c>
      <c r="V470" s="347"/>
      <c r="W470" s="196"/>
      <c r="X470" s="152"/>
      <c r="Z470" s="198"/>
      <c r="AA470" s="198"/>
    </row>
    <row r="471" spans="1:27" s="197" customFormat="1" ht="15" customHeight="1">
      <c r="A471" s="226"/>
      <c r="B471" s="179"/>
      <c r="C471" s="684" t="str">
        <f>IF(Q416="","",IF(C470="","",IF(C470+1&lt;=Q416,C470+1,"")))</f>
        <v/>
      </c>
      <c r="D471" s="247"/>
      <c r="E471" s="206"/>
      <c r="F471" s="206"/>
      <c r="G471" s="206"/>
      <c r="H471" s="206"/>
      <c r="I471" s="206"/>
      <c r="J471" s="207"/>
      <c r="K471" s="657"/>
      <c r="L471" s="663" t="str">
        <f t="shared" si="80"/>
        <v/>
      </c>
      <c r="M471" s="667" t="str">
        <f>IF(C471="","",L471-Q423*COS(O416*PI()/180))</f>
        <v/>
      </c>
      <c r="N471" s="668" t="str">
        <f>IF(C471="","",L471+P423*SIN(O416*PI()/180))</f>
        <v/>
      </c>
      <c r="O471" s="660" t="str">
        <f t="shared" si="81"/>
        <v>-</v>
      </c>
      <c r="P471" s="670" t="str">
        <f>IF(C471="","",(PI()*O471/180*(R424*M471-N471*S424)-Q471*(S423*R424-S424*R423))/S422/(R424-S424))</f>
        <v/>
      </c>
      <c r="Q471" s="671" t="str">
        <f>IF(C471="","",O471/180*PI()*(L471-M471)/(R423-S423))</f>
        <v/>
      </c>
      <c r="R471" s="672" t="str">
        <f>IF(C471="","",(O471/180*PI()*N471-Q471*R423-S471*S422)/R424)</f>
        <v/>
      </c>
      <c r="S471" s="673" t="str">
        <f t="shared" si="77"/>
        <v/>
      </c>
      <c r="T471" s="686" t="str">
        <f t="shared" si="78"/>
        <v/>
      </c>
      <c r="U471" s="687" t="str">
        <f t="shared" si="79"/>
        <v/>
      </c>
      <c r="V471" s="347"/>
      <c r="W471" s="196"/>
      <c r="X471" s="152"/>
      <c r="Z471" s="198"/>
      <c r="AA471" s="198"/>
    </row>
    <row r="472" spans="1:27" s="197" customFormat="1" ht="15" customHeight="1">
      <c r="A472" s="226"/>
      <c r="B472" s="179"/>
      <c r="C472" s="684" t="str">
        <f>IF(Q416="","",IF(C471="","",IF(C471+1&lt;=Q416,C471+1,"")))</f>
        <v/>
      </c>
      <c r="D472" s="247"/>
      <c r="E472" s="206"/>
      <c r="F472" s="206"/>
      <c r="G472" s="206"/>
      <c r="H472" s="206"/>
      <c r="I472" s="206"/>
      <c r="J472" s="207"/>
      <c r="K472" s="657"/>
      <c r="L472" s="663" t="str">
        <f t="shared" si="80"/>
        <v/>
      </c>
      <c r="M472" s="667" t="str">
        <f>IF(C472="","",L472-Q423*COS(O416*PI()/180))</f>
        <v/>
      </c>
      <c r="N472" s="668" t="str">
        <f>IF(C472="","",L472+P423*SIN(O416*PI()/180))</f>
        <v/>
      </c>
      <c r="O472" s="660" t="str">
        <f t="shared" si="81"/>
        <v>-</v>
      </c>
      <c r="P472" s="670" t="str">
        <f>IF(C472="","",(PI()*O472/180*(R424*M472-N472*S424)-Q472*(S423*R424-S424*R423))/S422/(R424-S424))</f>
        <v/>
      </c>
      <c r="Q472" s="671" t="str">
        <f>IF(C472="","",O472/180*PI()*(L472-M472)/(R423-S423))</f>
        <v/>
      </c>
      <c r="R472" s="672" t="str">
        <f>IF(C472="","",(O472/180*PI()*N472-Q472*R423-S472*S422)/R424)</f>
        <v/>
      </c>
      <c r="S472" s="673" t="str">
        <f t="shared" si="77"/>
        <v/>
      </c>
      <c r="T472" s="686" t="str">
        <f t="shared" si="78"/>
        <v/>
      </c>
      <c r="U472" s="687" t="str">
        <f t="shared" si="79"/>
        <v/>
      </c>
      <c r="V472" s="347"/>
      <c r="W472" s="196"/>
      <c r="X472" s="152"/>
      <c r="Z472" s="198"/>
      <c r="AA472" s="198"/>
    </row>
    <row r="473" spans="1:27" s="197" customFormat="1" ht="15" customHeight="1">
      <c r="A473" s="226"/>
      <c r="B473" s="179"/>
      <c r="C473" s="684" t="str">
        <f>IF(Q416="","",IF(C472="","",IF(C472+1&lt;=Q416,C472+1,"")))</f>
        <v/>
      </c>
      <c r="D473" s="247"/>
      <c r="E473" s="206"/>
      <c r="F473" s="206"/>
      <c r="G473" s="206"/>
      <c r="H473" s="206"/>
      <c r="I473" s="206"/>
      <c r="J473" s="207"/>
      <c r="K473" s="657"/>
      <c r="L473" s="663" t="str">
        <f t="shared" si="80"/>
        <v/>
      </c>
      <c r="M473" s="667" t="str">
        <f>IF(C473="","",L473-Q423*COS(O416*PI()/180))</f>
        <v/>
      </c>
      <c r="N473" s="668" t="str">
        <f>IF(C473="","",L473+P423*SIN(O416*PI()/180))</f>
        <v/>
      </c>
      <c r="O473" s="660" t="str">
        <f t="shared" si="81"/>
        <v>-</v>
      </c>
      <c r="P473" s="670" t="str">
        <f>IF(C473="","",(PI()*O473/180*(R424*M473-N473*S424)-Q473*(S423*R424-S424*R423))/S422/(R424-S424))</f>
        <v/>
      </c>
      <c r="Q473" s="671" t="str">
        <f>IF(C473="","",O473/180*PI()*(L473-M473)/(R423-S423))</f>
        <v/>
      </c>
      <c r="R473" s="672" t="str">
        <f>IF(C473="","",(O473/180*PI()*N473-Q473*R423-S473*S422)/R424)</f>
        <v/>
      </c>
      <c r="S473" s="673" t="str">
        <f t="shared" si="77"/>
        <v/>
      </c>
      <c r="T473" s="686" t="str">
        <f t="shared" si="78"/>
        <v/>
      </c>
      <c r="U473" s="687" t="str">
        <f t="shared" si="79"/>
        <v/>
      </c>
      <c r="V473" s="347"/>
      <c r="W473" s="196"/>
      <c r="X473" s="152"/>
      <c r="Z473" s="198"/>
      <c r="AA473" s="198"/>
    </row>
    <row r="474" spans="1:27" s="197" customFormat="1" ht="15" customHeight="1">
      <c r="A474" s="226"/>
      <c r="B474" s="179"/>
      <c r="C474" s="684" t="str">
        <f>IF(Q416="","",IF(C473="","",IF(C473+1&lt;=Q416,C473+1,"")))</f>
        <v/>
      </c>
      <c r="D474" s="247"/>
      <c r="E474" s="206"/>
      <c r="F474" s="206"/>
      <c r="G474" s="206"/>
      <c r="H474" s="206"/>
      <c r="I474" s="206"/>
      <c r="J474" s="207"/>
      <c r="K474" s="657"/>
      <c r="L474" s="663" t="str">
        <f t="shared" si="80"/>
        <v/>
      </c>
      <c r="M474" s="667" t="str">
        <f>IF(C474="","",L474-Q423*COS(O416*PI()/180))</f>
        <v/>
      </c>
      <c r="N474" s="668" t="str">
        <f>IF(C474="","",L474+P423*SIN(O416*PI()/180))</f>
        <v/>
      </c>
      <c r="O474" s="660" t="str">
        <f t="shared" si="81"/>
        <v>-</v>
      </c>
      <c r="P474" s="670" t="str">
        <f>IF(C474="","",(PI()*O474/180*(R424*M474-N474*S424)-Q474*(S423*R424-S424*R423))/S422/(R424-S424))</f>
        <v/>
      </c>
      <c r="Q474" s="671" t="str">
        <f>IF(C474="","",O474/180*PI()*(L474-M474)/(R423-S423))</f>
        <v/>
      </c>
      <c r="R474" s="672" t="str">
        <f>IF(C474="","",(O474/180*PI()*N474-Q474*R423-S474*S422)/R424)</f>
        <v/>
      </c>
      <c r="S474" s="673" t="str">
        <f t="shared" si="77"/>
        <v/>
      </c>
      <c r="T474" s="686" t="str">
        <f t="shared" si="78"/>
        <v/>
      </c>
      <c r="U474" s="687" t="str">
        <f t="shared" si="79"/>
        <v/>
      </c>
      <c r="V474" s="347"/>
      <c r="W474" s="196"/>
      <c r="X474" s="152"/>
      <c r="Z474" s="198"/>
      <c r="AA474" s="198"/>
    </row>
    <row r="475" spans="1:27" s="197" customFormat="1" ht="15" customHeight="1">
      <c r="A475" s="226"/>
      <c r="B475" s="179"/>
      <c r="C475" s="684" t="str">
        <f>IF(Q416="","",IF(C474="","",IF(C474+1&lt;=Q416,C474+1,"")))</f>
        <v/>
      </c>
      <c r="D475" s="247"/>
      <c r="E475" s="206"/>
      <c r="F475" s="206"/>
      <c r="G475" s="206"/>
      <c r="H475" s="206"/>
      <c r="I475" s="206"/>
      <c r="J475" s="207"/>
      <c r="K475" s="657"/>
      <c r="L475" s="663" t="str">
        <f t="shared" si="80"/>
        <v/>
      </c>
      <c r="M475" s="667" t="str">
        <f>IF(C475="","",L475-Q423*COS(O416*PI()/180))</f>
        <v/>
      </c>
      <c r="N475" s="668" t="str">
        <f>IF(C475="","",L475+P423*SIN(O416*PI()/180))</f>
        <v/>
      </c>
      <c r="O475" s="660" t="str">
        <f t="shared" si="81"/>
        <v>-</v>
      </c>
      <c r="P475" s="670" t="str">
        <f>IF(C475="","",(PI()*O475/180*(R424*M475-N475*S424)-Q475*(S423*R424-S424*R423))/S422/(R424-S424))</f>
        <v/>
      </c>
      <c r="Q475" s="671" t="str">
        <f>IF(C475="","",O475/180*PI()*(L475-M475)/(R423-S423))</f>
        <v/>
      </c>
      <c r="R475" s="672" t="str">
        <f>IF(C475="","",(O475/180*PI()*N475-Q475*R423-S475*S422)/R424)</f>
        <v/>
      </c>
      <c r="S475" s="673" t="str">
        <f t="shared" si="77"/>
        <v/>
      </c>
      <c r="T475" s="686" t="str">
        <f t="shared" si="78"/>
        <v/>
      </c>
      <c r="U475" s="687" t="str">
        <f t="shared" si="79"/>
        <v/>
      </c>
      <c r="V475" s="347"/>
      <c r="W475" s="196"/>
      <c r="X475" s="152"/>
      <c r="Z475" s="198"/>
      <c r="AA475" s="198"/>
    </row>
    <row r="476" spans="1:27" s="197" customFormat="1" ht="15" customHeight="1">
      <c r="A476" s="226"/>
      <c r="B476" s="179"/>
      <c r="C476" s="684" t="str">
        <f>IF(Q416="","",IF(C475="","",IF(C475+1&lt;=Q416,C475+1,"")))</f>
        <v/>
      </c>
      <c r="D476" s="247"/>
      <c r="E476" s="206"/>
      <c r="F476" s="206"/>
      <c r="G476" s="206"/>
      <c r="H476" s="206"/>
      <c r="I476" s="206"/>
      <c r="J476" s="207"/>
      <c r="K476" s="657"/>
      <c r="L476" s="663" t="str">
        <f t="shared" si="80"/>
        <v/>
      </c>
      <c r="M476" s="667" t="str">
        <f>IF(C476="","",L476-Q423*COS(O416*PI()/180))</f>
        <v/>
      </c>
      <c r="N476" s="668" t="str">
        <f>IF(C476="","",L476+P423*SIN(O416*PI()/180))</f>
        <v/>
      </c>
      <c r="O476" s="660" t="str">
        <f t="shared" si="81"/>
        <v>-</v>
      </c>
      <c r="P476" s="670" t="str">
        <f>IF(C476="","",(PI()*O476/180*(R424*M476-N476*S424)-Q476*(S423*R424-S424*R423))/S422/(R424-S424))</f>
        <v/>
      </c>
      <c r="Q476" s="671" t="str">
        <f>IF(C476="","",O476/180*PI()*(L476-M476)/(R423-S423))</f>
        <v/>
      </c>
      <c r="R476" s="672" t="str">
        <f>IF(C476="","",(O476/180*PI()*N476-Q476*R423-S476*S422)/R424)</f>
        <v/>
      </c>
      <c r="S476" s="673" t="str">
        <f t="shared" si="77"/>
        <v/>
      </c>
      <c r="T476" s="686" t="str">
        <f t="shared" si="78"/>
        <v/>
      </c>
      <c r="U476" s="687" t="str">
        <f t="shared" si="79"/>
        <v/>
      </c>
      <c r="V476" s="347"/>
      <c r="W476" s="196"/>
      <c r="X476" s="152"/>
      <c r="Z476" s="198"/>
      <c r="AA476" s="198"/>
    </row>
    <row r="477" spans="1:27" s="197" customFormat="1" ht="15" customHeight="1">
      <c r="A477" s="226"/>
      <c r="B477" s="179"/>
      <c r="C477" s="684" t="str">
        <f>IF(Q416="","",IF(C476="","",IF(C476+1&lt;=Q416,C476+1,"")))</f>
        <v/>
      </c>
      <c r="D477" s="247"/>
      <c r="E477" s="206"/>
      <c r="F477" s="206"/>
      <c r="G477" s="206"/>
      <c r="H477" s="206"/>
      <c r="I477" s="206"/>
      <c r="J477" s="207"/>
      <c r="K477" s="657"/>
      <c r="L477" s="663" t="str">
        <f t="shared" si="80"/>
        <v/>
      </c>
      <c r="M477" s="667" t="str">
        <f>IF(C477="","",L477-Q423*COS(O416*PI()/180))</f>
        <v/>
      </c>
      <c r="N477" s="668" t="str">
        <f>IF(C477="","",L477+P423*SIN(O416*PI()/180))</f>
        <v/>
      </c>
      <c r="O477" s="660" t="str">
        <f t="shared" si="81"/>
        <v>-</v>
      </c>
      <c r="P477" s="670" t="str">
        <f>IF(C477="","",(PI()*O477/180*(R424*M477-N477*S424)-Q477*(S423*R424-S424*R423))/S422/(R424-S424))</f>
        <v/>
      </c>
      <c r="Q477" s="671" t="str">
        <f>IF(C477="","",O477/180*PI()*(L477-M477)/(R423-S423))</f>
        <v/>
      </c>
      <c r="R477" s="672" t="str">
        <f>IF(C477="","",(O477/180*PI()*N477-Q477*R423-S477*S422)/R424)</f>
        <v/>
      </c>
      <c r="S477" s="673" t="str">
        <f t="shared" si="77"/>
        <v/>
      </c>
      <c r="T477" s="686" t="str">
        <f t="shared" si="78"/>
        <v/>
      </c>
      <c r="U477" s="687" t="str">
        <f t="shared" si="79"/>
        <v/>
      </c>
      <c r="V477" s="347"/>
      <c r="W477" s="196"/>
      <c r="X477" s="152"/>
      <c r="Z477" s="198"/>
      <c r="AA477" s="198"/>
    </row>
    <row r="478" spans="1:27" s="197" customFormat="1" ht="15" customHeight="1">
      <c r="A478" s="226"/>
      <c r="B478" s="179"/>
      <c r="C478" s="684" t="str">
        <f>IF(Q416="","",IF(C477="","",IF(C477+1&lt;=Q416,C477+1,"")))</f>
        <v/>
      </c>
      <c r="D478" s="247"/>
      <c r="E478" s="206"/>
      <c r="F478" s="206"/>
      <c r="G478" s="206"/>
      <c r="H478" s="206"/>
      <c r="I478" s="206"/>
      <c r="J478" s="207"/>
      <c r="K478" s="657"/>
      <c r="L478" s="663" t="str">
        <f t="shared" si="80"/>
        <v/>
      </c>
      <c r="M478" s="667" t="str">
        <f>IF(C478="","",L478-Q423*COS(O416*PI()/180))</f>
        <v/>
      </c>
      <c r="N478" s="668" t="str">
        <f>IF(C478="","",L478+P423*SIN(O416*PI()/180))</f>
        <v/>
      </c>
      <c r="O478" s="660" t="str">
        <f t="shared" si="81"/>
        <v>-</v>
      </c>
      <c r="P478" s="670" t="str">
        <f>IF(C478="","",(PI()*O478/180*(R424*M478-N478*S424)-Q478*(S423*R424-S424*R423))/S422/(R424-S424))</f>
        <v/>
      </c>
      <c r="Q478" s="671" t="str">
        <f>IF(C478="","",O478/180*PI()*(L478-M478)/(R423-S423))</f>
        <v/>
      </c>
      <c r="R478" s="672" t="str">
        <f>IF(C478="","",(O478/180*PI()*N478-Q478*R423-S478*S422)/R424)</f>
        <v/>
      </c>
      <c r="S478" s="673" t="str">
        <f t="shared" si="77"/>
        <v/>
      </c>
      <c r="T478" s="686" t="str">
        <f t="shared" si="78"/>
        <v/>
      </c>
      <c r="U478" s="687" t="str">
        <f t="shared" si="79"/>
        <v/>
      </c>
      <c r="V478" s="347"/>
      <c r="W478" s="196"/>
      <c r="X478" s="152"/>
      <c r="Z478" s="198"/>
      <c r="AA478" s="198"/>
    </row>
    <row r="479" spans="1:27" s="197" customFormat="1" ht="15" customHeight="1" thickBot="1">
      <c r="A479" s="226"/>
      <c r="B479" s="179"/>
      <c r="C479" s="685" t="str">
        <f>IF(Q416="","",IF(C478="","",IF(C478+1&lt;=Q416,C478+1,"")))</f>
        <v/>
      </c>
      <c r="D479" s="247"/>
      <c r="E479" s="206"/>
      <c r="F479" s="206"/>
      <c r="G479" s="206"/>
      <c r="H479" s="206"/>
      <c r="I479" s="206"/>
      <c r="J479" s="207"/>
      <c r="K479" s="657"/>
      <c r="L479" s="664" t="str">
        <f t="shared" si="80"/>
        <v/>
      </c>
      <c r="M479" s="724" t="str">
        <f>IF(C479="","",L479-Q423*COS(O416*PI()/180))</f>
        <v/>
      </c>
      <c r="N479" s="725" t="str">
        <f>IF(C479="","",L479+P423*SIN(O416*PI()/180))</f>
        <v/>
      </c>
      <c r="O479" s="661" t="str">
        <f t="shared" si="81"/>
        <v>-</v>
      </c>
      <c r="P479" s="719" t="str">
        <f>IF(C479="","",(PI()*O479/180*(R424*M479-N479*S424)-Q479*(S423*R424-S424*R423))/S422/(R424-S424))</f>
        <v/>
      </c>
      <c r="Q479" s="720" t="str">
        <f>IF(C479="","",O479/180*PI()*(L479-M479)/(R423-S423))</f>
        <v/>
      </c>
      <c r="R479" s="721" t="str">
        <f>IF(C479="","",(O479/180*PI()*N479-Q479*R423-S479*S422)/R424)</f>
        <v/>
      </c>
      <c r="S479" s="714" t="str">
        <f t="shared" si="77"/>
        <v/>
      </c>
      <c r="T479" s="715" t="str">
        <f t="shared" si="78"/>
        <v/>
      </c>
      <c r="U479" s="716" t="str">
        <f t="shared" si="79"/>
        <v/>
      </c>
      <c r="V479" s="347"/>
      <c r="W479" s="196"/>
      <c r="X479" s="152"/>
      <c r="Z479" s="198"/>
      <c r="AA479" s="198"/>
    </row>
    <row r="480" spans="1:27" s="197" customFormat="1" ht="15" customHeight="1">
      <c r="A480" s="226"/>
      <c r="B480" s="205"/>
      <c r="C480" s="211"/>
      <c r="D480" s="206"/>
      <c r="E480" s="206"/>
      <c r="F480" s="206"/>
      <c r="G480" s="206"/>
      <c r="H480" s="206"/>
      <c r="I480" s="206"/>
      <c r="J480" s="207"/>
      <c r="K480" s="207"/>
      <c r="L480" s="155"/>
      <c r="M480" s="206"/>
      <c r="N480" s="206"/>
      <c r="O480" s="206"/>
      <c r="P480" s="206"/>
      <c r="Q480" s="206"/>
      <c r="R480" s="206"/>
      <c r="S480" s="206"/>
      <c r="T480" s="206"/>
      <c r="U480" s="206"/>
      <c r="V480" s="208"/>
      <c r="W480" s="196"/>
      <c r="X480" s="152"/>
      <c r="Z480" s="198"/>
      <c r="AA480" s="198"/>
    </row>
    <row r="481" spans="1:27" s="197" customFormat="1" ht="15" customHeight="1">
      <c r="A481" s="226"/>
      <c r="B481" s="205"/>
      <c r="C481" s="211"/>
      <c r="D481" s="206"/>
      <c r="E481" s="206"/>
      <c r="F481" s="206"/>
      <c r="G481" s="206"/>
      <c r="H481" s="206"/>
      <c r="I481" s="206"/>
      <c r="J481" s="207"/>
      <c r="K481" s="207"/>
      <c r="L481" s="155"/>
      <c r="M481" s="206"/>
      <c r="N481" s="206"/>
      <c r="O481" s="206"/>
      <c r="P481" s="206"/>
      <c r="Q481" s="206"/>
      <c r="R481" s="206"/>
      <c r="S481" s="206"/>
      <c r="T481" s="206"/>
      <c r="U481" s="206"/>
      <c r="V481" s="208"/>
      <c r="W481" s="196"/>
      <c r="X481" s="152"/>
      <c r="Z481" s="198"/>
      <c r="AA481" s="198"/>
    </row>
    <row r="482" spans="1:27" s="197" customFormat="1" ht="15" customHeight="1" thickBot="1">
      <c r="A482" s="226"/>
      <c r="B482" s="291" t="s">
        <v>1010</v>
      </c>
      <c r="C482" s="292"/>
      <c r="D482" s="293"/>
      <c r="E482" s="293"/>
      <c r="F482" s="293"/>
      <c r="G482" s="293"/>
      <c r="H482" s="293"/>
      <c r="I482" s="293"/>
      <c r="J482" s="294"/>
      <c r="K482" s="294"/>
      <c r="L482" s="295"/>
      <c r="M482" s="293"/>
      <c r="N482" s="293"/>
      <c r="O482" s="293"/>
      <c r="P482" s="293"/>
      <c r="Q482" s="293"/>
      <c r="R482" s="293"/>
      <c r="S482" s="296"/>
      <c r="T482" s="293"/>
      <c r="U482" s="293" t="s">
        <v>678</v>
      </c>
      <c r="V482" s="297" t="s">
        <v>27</v>
      </c>
      <c r="W482" s="298"/>
      <c r="X482" s="299"/>
      <c r="Z482" s="198"/>
      <c r="AA482" s="198"/>
    </row>
    <row r="483" spans="1:27" s="197" customFormat="1" ht="15" customHeight="1" thickBot="1">
      <c r="A483" s="226"/>
      <c r="B483" s="221"/>
      <c r="C483" s="144">
        <f>SUMIF(Densidades!A:A,'Memória TOTAL'!X483,Densidades!B:B)</f>
        <v>0</v>
      </c>
      <c r="D483" s="145">
        <f>SUMIF(Densidades!A:A,'Memória TOTAL'!X483,Densidades!C:C)</f>
        <v>0</v>
      </c>
      <c r="E483" s="145" t="str">
        <f>IF(I483=15,"FIRECLAY MORTAR",IF(I483=16,"ALUMINA MORTAR",IF(I483=17,"BASIC MORTAR",IF(I483=18,"MORTAR","-"))))</f>
        <v>-</v>
      </c>
      <c r="F483" s="145" t="str">
        <f>IF(I483=15,"FIRECLAY MORTAR",IF(I483=16,"ALUMINA MORTAR",IF(I483=17,"BASIC MORTAR",IF(I483=18,"MORTAR","-"))))</f>
        <v>-</v>
      </c>
      <c r="G483" s="145" t="str">
        <f>IF(I483=15,"FIRECLAY MORTAR",IF(I483=16,"ALUMINA MORTAR",IF(I483=17,"BASIC MORTAR",IF(I483=18,"MORTAR","-"))))</f>
        <v>-</v>
      </c>
      <c r="H483" s="145" t="str">
        <f>IF(I483=15,"FIRECLAY MORTAR",IF(I483=16,"ALUMINA MORTAR",IF(I483=17,"BASIC MORTAR",IF(I483=18,"MORTAR","-"))))</f>
        <v>-</v>
      </c>
      <c r="I483" s="145">
        <f>SUMIF(Densidades!A:A,'Memória TOTAL'!X483,Densidades!G:G)</f>
        <v>0</v>
      </c>
      <c r="J483" s="147">
        <f>SUMIF(Formatos!A:A,'Memória TOTAL'!X484,Formatos!G:G)</f>
        <v>0</v>
      </c>
      <c r="K483" s="148">
        <f>SUMIF(Densidades!A:A,'Memória TOTAL'!X483,Densidades!I:I)</f>
        <v>0</v>
      </c>
      <c r="L483" s="199">
        <v>0</v>
      </c>
      <c r="M483" s="200"/>
      <c r="N483" s="200"/>
      <c r="O483" s="200"/>
      <c r="P483" s="200"/>
      <c r="Q483" s="200"/>
      <c r="R483" s="200"/>
      <c r="S483" s="200"/>
      <c r="T483" s="201"/>
      <c r="U483" s="302"/>
      <c r="V483" s="203" t="e">
        <f>(W416*J416*C483+W420*J420*C483+W424*J424*C483)*U483</f>
        <v>#VALUE!</v>
      </c>
      <c r="W483" s="204" t="str">
        <f>IF(C483=0,"",ROUNDUP(SUM(V483:V485)*(1+L483)/D483,0)*D483)</f>
        <v/>
      </c>
      <c r="X483" s="274"/>
      <c r="Z483" s="198"/>
      <c r="AA483" s="198"/>
    </row>
    <row r="484" spans="1:27" s="197" customFormat="1" ht="15" customHeight="1">
      <c r="A484" s="226"/>
      <c r="B484" s="221"/>
      <c r="C484" s="144"/>
      <c r="D484" s="206"/>
      <c r="E484" s="206"/>
      <c r="F484" s="206"/>
      <c r="G484" s="206"/>
      <c r="H484" s="206"/>
      <c r="I484" s="206"/>
      <c r="J484" s="207"/>
      <c r="K484" s="207"/>
      <c r="L484" s="155"/>
      <c r="M484" s="206"/>
      <c r="N484" s="206"/>
      <c r="O484" s="206"/>
      <c r="P484" s="206"/>
      <c r="Q484" s="206"/>
      <c r="R484" s="206"/>
      <c r="S484" s="206"/>
      <c r="T484" s="206"/>
      <c r="U484" s="206"/>
      <c r="V484" s="208"/>
      <c r="W484" s="196"/>
      <c r="X484" s="152" t="str">
        <f>IF(AND(H483="-",G483="-",F483="-"),E483,IF(AND(H483="-",G483="-",E483="-"),F483,IF(AND(H483="-",F483="-",E483="-"),G483,H483)))</f>
        <v>-</v>
      </c>
      <c r="Z484" s="198"/>
      <c r="AA484" s="198"/>
    </row>
    <row r="485" spans="1:27" s="197" customFormat="1" ht="15" customHeight="1">
      <c r="A485" s="226"/>
      <c r="B485" s="224"/>
      <c r="C485" s="144"/>
      <c r="D485" s="206"/>
      <c r="E485" s="206"/>
      <c r="F485" s="206"/>
      <c r="G485" s="206"/>
      <c r="H485" s="206"/>
      <c r="I485" s="206"/>
      <c r="J485" s="207"/>
      <c r="K485" s="207"/>
      <c r="L485" s="155"/>
      <c r="M485" s="206"/>
      <c r="N485" s="206"/>
      <c r="O485" s="206"/>
      <c r="P485" s="206"/>
      <c r="Q485" s="206"/>
      <c r="R485" s="206"/>
      <c r="S485" s="206"/>
      <c r="T485" s="206"/>
      <c r="U485" s="206"/>
      <c r="V485" s="208"/>
      <c r="W485" s="196"/>
      <c r="X485" s="152" t="s">
        <v>2</v>
      </c>
      <c r="Z485" s="198"/>
      <c r="AA485" s="198"/>
    </row>
    <row r="486" spans="1:27" ht="15" customHeight="1">
      <c r="A486" s="226"/>
      <c r="B486" s="142"/>
      <c r="C486" s="180"/>
      <c r="D486" s="181"/>
      <c r="E486" s="181"/>
      <c r="F486" s="181"/>
      <c r="G486" s="181"/>
      <c r="H486" s="181"/>
      <c r="I486" s="181"/>
      <c r="J486" s="182"/>
      <c r="K486" s="182"/>
      <c r="L486" s="183"/>
      <c r="M486" s="181"/>
      <c r="N486" s="181"/>
      <c r="O486" s="181"/>
      <c r="P486" s="181"/>
      <c r="Q486" s="181"/>
      <c r="R486" s="181"/>
      <c r="S486" s="181"/>
      <c r="T486" s="181"/>
      <c r="U486" s="181"/>
      <c r="V486" s="184"/>
      <c r="W486" s="185"/>
      <c r="X486" s="186"/>
    </row>
    <row r="487" spans="1:27" s="197" customFormat="1" ht="15" customHeight="1" thickBot="1">
      <c r="A487" s="226"/>
      <c r="B487" s="291" t="s">
        <v>1011</v>
      </c>
      <c r="C487" s="292"/>
      <c r="D487" s="293"/>
      <c r="E487" s="293"/>
      <c r="F487" s="293"/>
      <c r="G487" s="293"/>
      <c r="H487" s="293"/>
      <c r="I487" s="293"/>
      <c r="J487" s="294"/>
      <c r="K487" s="294"/>
      <c r="L487" s="295"/>
      <c r="M487" s="293"/>
      <c r="N487" s="293"/>
      <c r="O487" s="293"/>
      <c r="P487" s="293"/>
      <c r="Q487" s="293"/>
      <c r="R487" s="293" t="s">
        <v>636</v>
      </c>
      <c r="S487" s="296" t="s">
        <v>637</v>
      </c>
      <c r="T487" s="293" t="s">
        <v>638</v>
      </c>
      <c r="U487" s="293" t="s">
        <v>38</v>
      </c>
      <c r="V487" s="297" t="s">
        <v>27</v>
      </c>
      <c r="W487" s="298"/>
      <c r="X487" s="299"/>
      <c r="Z487" s="198"/>
      <c r="AA487" s="198"/>
    </row>
    <row r="488" spans="1:27" s="197" customFormat="1" ht="15" customHeight="1" thickBot="1">
      <c r="A488" s="226"/>
      <c r="B488" s="221"/>
      <c r="C488" s="144">
        <f>SUMIF(Densidades!A:A,'Memória TOTAL'!X488,Densidades!B:B)</f>
        <v>0</v>
      </c>
      <c r="D488" s="145">
        <f>SUMIF(Densidades!A:A,'Memória TOTAL'!X488,Densidades!C:C)</f>
        <v>0</v>
      </c>
      <c r="E488" s="145" t="str">
        <f>IF(I488=15,"FIRECLAY MORTAR",IF(I488=16,"ALUMINA MORTAR",IF(I488=17,"BASIC MORTAR",IF(I488=18,"MORTAR","-"))))</f>
        <v>-</v>
      </c>
      <c r="F488" s="145" t="str">
        <f>IF(I488=15,"FIRECLAY MORTAR",IF(I488=16,"ALUMINA MORTAR",IF(I488=17,"BASIC MORTAR",IF(I488=18,"MORTAR","-"))))</f>
        <v>-</v>
      </c>
      <c r="G488" s="145" t="str">
        <f>IF(I488=15,"FIRECLAY MORTAR",IF(I488=16,"ALUMINA MORTAR",IF(I488=17,"BASIC MORTAR",IF(I488=18,"MORTAR","-"))))</f>
        <v>-</v>
      </c>
      <c r="H488" s="145" t="str">
        <f>IF(I488=15,"FIRECLAY MORTAR",IF(I488=16,"ALUMINA MORTAR",IF(I488=17,"BASIC MORTAR",IF(I488=18,"MORTAR","-"))))</f>
        <v>-</v>
      </c>
      <c r="I488" s="145">
        <f>SUMIF(Densidades!A:A,'Memória TOTAL'!X488,Densidades!G:G)</f>
        <v>0</v>
      </c>
      <c r="J488" s="147">
        <f>SUMIF(Formatos!A:A,'Memória TOTAL'!X489,Formatos!G:G)</f>
        <v>0</v>
      </c>
      <c r="K488" s="233">
        <f>SUMIF(Densidades!A:A,'Memória TOTAL'!X488,Densidades!I:I)</f>
        <v>0</v>
      </c>
      <c r="L488" s="199">
        <v>0</v>
      </c>
      <c r="M488" s="200"/>
      <c r="N488" s="200"/>
      <c r="O488" s="200"/>
      <c r="P488" s="200"/>
      <c r="Q488" s="200"/>
      <c r="R488" s="201">
        <f>((G416*H416)+(G416*E416)+(H416*E416))/1000000</f>
        <v>0</v>
      </c>
      <c r="S488" s="270">
        <v>2</v>
      </c>
      <c r="T488" s="201">
        <f>R488*S488</f>
        <v>0</v>
      </c>
      <c r="U488" s="202">
        <f>SUM(W416:W426)</f>
        <v>0</v>
      </c>
      <c r="V488" s="203">
        <f>(T488*C488*(1+L488))*U488</f>
        <v>0</v>
      </c>
      <c r="W488" s="151" t="str">
        <f>IF(C488=0,"",ROUNDUP(SUM(V488:V490)*(1+L488)/D488,0)*D488)</f>
        <v/>
      </c>
      <c r="X488" s="274"/>
      <c r="Z488" s="198"/>
      <c r="AA488" s="198"/>
    </row>
    <row r="489" spans="1:27" s="197" customFormat="1" ht="15" customHeight="1">
      <c r="A489" s="226"/>
      <c r="B489" s="221"/>
      <c r="C489" s="144"/>
      <c r="D489" s="206"/>
      <c r="E489" s="206"/>
      <c r="F489" s="206"/>
      <c r="G489" s="206"/>
      <c r="H489" s="206"/>
      <c r="I489" s="206"/>
      <c r="J489" s="207"/>
      <c r="K489" s="207"/>
      <c r="L489" s="155"/>
      <c r="M489" s="206"/>
      <c r="N489" s="206"/>
      <c r="O489" s="206"/>
      <c r="P489" s="206"/>
      <c r="Q489" s="206"/>
      <c r="R489" s="206"/>
      <c r="S489" s="206"/>
      <c r="T489" s="206"/>
      <c r="U489" s="206"/>
      <c r="V489" s="208"/>
      <c r="W489" s="196"/>
      <c r="X489" s="152" t="str">
        <f>IF(AND(H488="-",G488="-",F488="-"),E488,IF(AND(H488="-",G488="-",E488="-"),F488,IF(AND(H488="-",F488="-",E488="-"),G488,H488)))</f>
        <v>-</v>
      </c>
      <c r="Z489" s="198"/>
      <c r="AA489" s="198"/>
    </row>
    <row r="490" spans="1:27" s="197" customFormat="1" ht="15" customHeight="1">
      <c r="A490" s="226"/>
      <c r="B490" s="224"/>
      <c r="C490" s="144"/>
      <c r="D490" s="206"/>
      <c r="E490" s="206"/>
      <c r="F490" s="206"/>
      <c r="G490" s="206"/>
      <c r="H490" s="206"/>
      <c r="I490" s="206"/>
      <c r="J490" s="207"/>
      <c r="K490" s="207"/>
      <c r="L490" s="155"/>
      <c r="M490" s="206"/>
      <c r="N490" s="206"/>
      <c r="O490" s="206"/>
      <c r="P490" s="206"/>
      <c r="Q490" s="206"/>
      <c r="R490" s="206"/>
      <c r="S490" s="206"/>
      <c r="T490" s="206"/>
      <c r="U490" s="206"/>
      <c r="V490" s="208"/>
      <c r="W490" s="196"/>
      <c r="X490" s="152" t="s">
        <v>2</v>
      </c>
      <c r="Z490" s="198"/>
      <c r="AA490" s="198"/>
    </row>
    <row r="491" spans="1:27" s="197" customFormat="1" ht="15" customHeight="1">
      <c r="A491" s="225"/>
      <c r="B491" s="221"/>
      <c r="C491" s="312"/>
      <c r="D491" s="206"/>
      <c r="E491" s="206"/>
      <c r="F491" s="206"/>
      <c r="G491" s="206"/>
      <c r="H491" s="206"/>
      <c r="I491" s="206"/>
      <c r="J491" s="207"/>
      <c r="K491" s="207"/>
      <c r="L491" s="155"/>
      <c r="M491" s="206"/>
      <c r="N491" s="206"/>
      <c r="O491" s="206"/>
      <c r="P491" s="206"/>
      <c r="Q491" s="206"/>
      <c r="R491" s="206"/>
      <c r="S491" s="206"/>
      <c r="T491" s="206"/>
      <c r="U491" s="206"/>
      <c r="V491" s="208"/>
      <c r="W491" s="196"/>
      <c r="X491" s="152"/>
      <c r="Z491" s="198"/>
      <c r="AA491" s="198"/>
    </row>
    <row r="492" spans="1:27" s="197" customFormat="1" ht="15" customHeight="1" thickBot="1">
      <c r="A492" s="225"/>
      <c r="B492" s="524"/>
      <c r="C492" s="525"/>
      <c r="D492" s="511"/>
      <c r="E492" s="512"/>
      <c r="F492" s="512"/>
      <c r="G492" s="512"/>
      <c r="H492" s="512"/>
      <c r="I492" s="513"/>
      <c r="J492" s="513"/>
      <c r="K492" s="513"/>
      <c r="L492" s="527"/>
      <c r="M492" s="527"/>
      <c r="N492" s="527"/>
      <c r="O492" s="527"/>
      <c r="P492" s="527"/>
      <c r="Q492" s="527"/>
      <c r="R492" s="527"/>
      <c r="S492" s="527"/>
      <c r="T492" s="527"/>
      <c r="U492" s="527"/>
      <c r="V492" s="527"/>
      <c r="W492" s="527"/>
      <c r="X492" s="528"/>
      <c r="Z492" s="198"/>
      <c r="AA492" s="198"/>
    </row>
    <row r="493" spans="1:27" ht="15" customHeight="1" thickBot="1">
      <c r="A493" s="226"/>
      <c r="B493" s="284" t="str">
        <f>IF(X494="","TIJOLO COMPOSIÇÃO PERÍMETRO (1 PEÇA)",X494)</f>
        <v>TIJOLO COMPOSIÇÃO PERÍMETRO (1 PEÇA)</v>
      </c>
      <c r="C493" s="285" t="s">
        <v>101</v>
      </c>
      <c r="D493" s="286" t="s">
        <v>102</v>
      </c>
      <c r="E493" s="286" t="s">
        <v>42</v>
      </c>
      <c r="F493" s="286" t="s">
        <v>42</v>
      </c>
      <c r="G493" s="286" t="s">
        <v>43</v>
      </c>
      <c r="H493" s="286" t="s">
        <v>44</v>
      </c>
      <c r="I493" s="286" t="s">
        <v>47</v>
      </c>
      <c r="J493" s="286" t="s">
        <v>103</v>
      </c>
      <c r="K493" s="286" t="s">
        <v>37</v>
      </c>
      <c r="L493" s="286" t="s">
        <v>39</v>
      </c>
      <c r="M493" s="286" t="s">
        <v>45</v>
      </c>
      <c r="N493" s="286" t="s">
        <v>46</v>
      </c>
      <c r="O493" s="286" t="s">
        <v>672</v>
      </c>
      <c r="P493" s="286" t="s">
        <v>51</v>
      </c>
      <c r="Q493" s="286" t="s">
        <v>52</v>
      </c>
      <c r="R493" s="286"/>
      <c r="S493" s="286"/>
      <c r="T493" s="286" t="s">
        <v>673</v>
      </c>
      <c r="U493" s="286" t="s">
        <v>677</v>
      </c>
      <c r="V493" s="287" t="s">
        <v>27</v>
      </c>
      <c r="W493" s="288"/>
      <c r="X493" s="289"/>
    </row>
    <row r="494" spans="1:27" ht="15" customHeight="1" thickBot="1">
      <c r="A494" s="255"/>
      <c r="B494" s="257" t="s">
        <v>674</v>
      </c>
      <c r="C494" s="256">
        <f>SUMIF(Densidades!A:A,'Memória TOTAL'!X494,Densidades!B:B)</f>
        <v>0</v>
      </c>
      <c r="D494" s="145">
        <f>SUMIF(Densidades!A:A,'Memória TOTAL'!X494,Densidades!C:C)</f>
        <v>0</v>
      </c>
      <c r="E494" s="146">
        <f>IF(AND(E500=1,E501=2),SUMIF(Formatos!A:A,'Memória TOTAL'!X495,Formatos!D:D),SUMIF(Formatos!A:A,'Memória TOTAL'!X495,Formatos!E:E))</f>
        <v>0</v>
      </c>
      <c r="F494" s="146">
        <f>IF(AND(E500=1,E501=2),SUMIF(Formatos!A:A,'Memória TOTAL'!X495,Formatos!R:R),SUMIF(Formatos!A:A,'Memória TOTAL'!X495,Formatos!F:F))</f>
        <v>0</v>
      </c>
      <c r="G494" s="146">
        <f>SUMIF(Formatos!A:A,'Memória TOTAL'!X495,Formatos!C:C)</f>
        <v>0</v>
      </c>
      <c r="H494" s="146">
        <f>SUMIF(Formatos!A:A,'Memória TOTAL'!X495,Formatos!D:D)</f>
        <v>0</v>
      </c>
      <c r="I494" s="146">
        <f>SUMIF(Densidades!A:A,'Memória TOTAL'!X494,Densidades!H:H)</f>
        <v>0</v>
      </c>
      <c r="J494" s="147">
        <f>SUMIF(Formatos!A:A,'Memória TOTAL'!X495,Formatos!G:G)</f>
        <v>4.1130000000000004</v>
      </c>
      <c r="K494" s="148">
        <f>SUMIF(Densidades!A:A,'Memória TOTAL'!X494,Densidades!I:I)</f>
        <v>0</v>
      </c>
      <c r="L494" s="264">
        <v>0</v>
      </c>
      <c r="M494" s="267"/>
      <c r="N494" s="267"/>
      <c r="O494" s="268"/>
      <c r="P494" s="266">
        <f>O494*2</f>
        <v>0</v>
      </c>
      <c r="Q494" s="150">
        <f>P494-(2*M494)</f>
        <v>0</v>
      </c>
      <c r="R494" s="150"/>
      <c r="S494" s="271"/>
      <c r="T494" s="272">
        <f>IF(AND(B496=0,B498=0),,IF(AND(B498=0,B496&lt;&gt;0),1,IF(OR(B498-B496&gt;=0,B498=0),(B498-B496)+1,"ERRO")))</f>
        <v>0</v>
      </c>
      <c r="U494" s="268"/>
      <c r="V494" s="267" t="str">
        <f>IF(M494="","",IF(OR(M494=E494,M494=G494,M494=H494),ROUND(P504,0),"ESP. ERRADA"))</f>
        <v/>
      </c>
      <c r="W494" s="273" t="str">
        <f>IFERROR(IF(C494=0,"",ROUNDUP(SUM(V494)*(1+L494),0))*T494*U494,"")</f>
        <v/>
      </c>
      <c r="X494" s="274"/>
    </row>
    <row r="495" spans="1:27" s="197" customFormat="1" ht="15" customHeight="1" thickBot="1">
      <c r="A495" s="275"/>
      <c r="B495" s="260" t="s">
        <v>112</v>
      </c>
      <c r="C495" s="247"/>
      <c r="D495" s="206"/>
      <c r="E495" s="206"/>
      <c r="F495" s="206"/>
      <c r="G495" s="206"/>
      <c r="H495" s="206"/>
      <c r="I495" s="206"/>
      <c r="J495" s="207"/>
      <c r="K495" s="207"/>
      <c r="L495" s="155"/>
      <c r="M495" s="206"/>
      <c r="N495" s="206"/>
      <c r="O495" s="206"/>
      <c r="P495" s="206"/>
      <c r="Q495" s="206"/>
      <c r="R495" s="206"/>
      <c r="S495" s="206"/>
      <c r="T495" s="206"/>
      <c r="U495" s="206"/>
      <c r="V495" s="208"/>
      <c r="W495" s="196"/>
      <c r="X495" s="152" t="str">
        <f>IF(B500="","",B500)</f>
        <v/>
      </c>
      <c r="Z495" s="198"/>
      <c r="AA495" s="198"/>
    </row>
    <row r="496" spans="1:27" s="197" customFormat="1" ht="15" customHeight="1" thickBot="1">
      <c r="A496" s="275"/>
      <c r="B496" s="276"/>
      <c r="C496" s="247"/>
      <c r="D496" s="206"/>
      <c r="E496" s="206"/>
      <c r="F496" s="206"/>
      <c r="G496" s="206"/>
      <c r="H496" s="206"/>
      <c r="I496" s="206"/>
      <c r="J496" s="207"/>
      <c r="K496" s="207"/>
      <c r="L496" s="155"/>
      <c r="M496" s="206"/>
      <c r="N496" s="206"/>
      <c r="O496" s="206"/>
      <c r="P496" s="206"/>
      <c r="Q496" s="206"/>
      <c r="R496" s="206"/>
      <c r="S496" s="206"/>
      <c r="T496" s="206"/>
      <c r="U496" s="206"/>
      <c r="V496" s="208"/>
      <c r="W496" s="196"/>
      <c r="X496" s="152" t="s">
        <v>524</v>
      </c>
      <c r="Z496" s="198"/>
      <c r="AA496" s="198"/>
    </row>
    <row r="497" spans="1:27" s="197" customFormat="1" ht="15" customHeight="1" thickBot="1">
      <c r="A497" s="275"/>
      <c r="B497" s="260" t="s">
        <v>22</v>
      </c>
      <c r="C497" s="247" t="str">
        <f t="shared" ref="C497:L497" si="82">C493</f>
        <v>Dens.</v>
      </c>
      <c r="D497" s="206" t="str">
        <f t="shared" si="82"/>
        <v>Emb.</v>
      </c>
      <c r="E497" s="249" t="str">
        <f t="shared" si="82"/>
        <v>Esp. Tij.</v>
      </c>
      <c r="F497" s="249" t="str">
        <f t="shared" si="82"/>
        <v>Esp. Tij.</v>
      </c>
      <c r="G497" s="249" t="str">
        <f t="shared" si="82"/>
        <v>Comp. Tij.</v>
      </c>
      <c r="H497" s="249" t="str">
        <f t="shared" si="82"/>
        <v>Larg. Tij.</v>
      </c>
      <c r="I497" s="249" t="str">
        <f t="shared" si="82"/>
        <v>Tipo Fator</v>
      </c>
      <c r="J497" s="249" t="str">
        <f t="shared" si="82"/>
        <v>Vol.</v>
      </c>
      <c r="K497" s="249" t="str">
        <f t="shared" si="82"/>
        <v>Class.</v>
      </c>
      <c r="L497" s="206" t="str">
        <f t="shared" si="82"/>
        <v>Coefic. (%)</v>
      </c>
      <c r="M497" s="206"/>
      <c r="N497" s="206"/>
      <c r="O497" s="206"/>
      <c r="P497" s="206"/>
      <c r="Q497" s="206"/>
      <c r="R497" s="206"/>
      <c r="S497" s="206"/>
      <c r="T497" s="206"/>
      <c r="U497" s="206"/>
      <c r="V497" s="208"/>
      <c r="W497" s="196"/>
      <c r="X497" s="152"/>
      <c r="Z497" s="198"/>
      <c r="AA497" s="198"/>
    </row>
    <row r="498" spans="1:27" s="197" customFormat="1" ht="15" customHeight="1" thickBot="1">
      <c r="A498" s="275"/>
      <c r="B498" s="276"/>
      <c r="C498" s="256">
        <f>SUMIF(Densidades!A:A,'Memória TOTAL'!X498,Densidades!B:B)</f>
        <v>0</v>
      </c>
      <c r="D498" s="145">
        <f>SUMIF(Densidades!A:A,'Memória TOTAL'!X498,Densidades!C:C)</f>
        <v>0</v>
      </c>
      <c r="E498" s="146">
        <f>SUMIF(Formatos!A:A,'Memória TOTAL'!X499,Formatos!E:E)</f>
        <v>0</v>
      </c>
      <c r="F498" s="146">
        <f>SUMIF(Formatos!A:A,'Memória TOTAL'!X499,Formatos!F:F)</f>
        <v>0</v>
      </c>
      <c r="G498" s="146">
        <f>SUMIF(Formatos!A:A,'Memória TOTAL'!X499,Formatos!C:C)</f>
        <v>0</v>
      </c>
      <c r="H498" s="146">
        <f>SUMIF(Formatos!A:A,'Memória TOTAL'!X499,Formatos!D:D)</f>
        <v>0</v>
      </c>
      <c r="I498" s="146">
        <f>SUMIF(Densidades!A:A,'Memória TOTAL'!X498,Densidades!H:H)</f>
        <v>0</v>
      </c>
      <c r="J498" s="147">
        <f>SUMIF(Formatos!A:A,'Memória TOTAL'!X499,Formatos!G:G)</f>
        <v>0</v>
      </c>
      <c r="K498" s="233">
        <f>SUMIF(Densidades!A:A,'Memória TOTAL'!X498,Densidades!I:I)</f>
        <v>0</v>
      </c>
      <c r="L498" s="234">
        <v>0</v>
      </c>
      <c r="M498" s="206"/>
      <c r="N498" s="206"/>
      <c r="O498" s="206"/>
      <c r="P498" s="206"/>
      <c r="Q498" s="206"/>
      <c r="R498" s="206"/>
      <c r="S498" s="206"/>
      <c r="T498" s="243"/>
      <c r="U498" s="246"/>
      <c r="V498" s="208"/>
      <c r="W498" s="196"/>
      <c r="X498" s="152"/>
      <c r="Z498" s="198"/>
      <c r="AA498" s="198"/>
    </row>
    <row r="499" spans="1:27" s="197" customFormat="1" ht="15" customHeight="1" thickBot="1">
      <c r="A499" s="275"/>
      <c r="B499" s="258" t="s">
        <v>675</v>
      </c>
      <c r="C499" s="247"/>
      <c r="D499" s="206"/>
      <c r="E499" s="206"/>
      <c r="F499" s="206"/>
      <c r="G499" s="206"/>
      <c r="H499" s="206"/>
      <c r="I499" s="206"/>
      <c r="J499" s="207"/>
      <c r="K499" s="207"/>
      <c r="L499" s="155"/>
      <c r="M499" s="206"/>
      <c r="N499" s="206"/>
      <c r="O499" s="206"/>
      <c r="P499" s="206"/>
      <c r="Q499" s="206"/>
      <c r="R499" s="206"/>
      <c r="S499" s="206"/>
      <c r="T499" s="206"/>
      <c r="U499" s="206"/>
      <c r="V499" s="208"/>
      <c r="W499" s="196"/>
      <c r="X499" s="152"/>
      <c r="Z499" s="198"/>
      <c r="AA499" s="198"/>
    </row>
    <row r="500" spans="1:27" s="197" customFormat="1" ht="15" customHeight="1">
      <c r="A500" s="275"/>
      <c r="B500" s="300"/>
      <c r="C500" s="254" t="s">
        <v>54</v>
      </c>
      <c r="D500" s="250"/>
      <c r="E500" s="206">
        <f>SUMIF(Formatos!A:A,'Memória TOTAL'!X495,Formatos!S:S)</f>
        <v>2</v>
      </c>
      <c r="F500" s="249"/>
      <c r="G500" s="249"/>
      <c r="H500" s="159" t="s">
        <v>54</v>
      </c>
      <c r="I500" s="159" t="s">
        <v>55</v>
      </c>
      <c r="J500" s="207"/>
      <c r="K500" s="207"/>
      <c r="L500" s="155"/>
      <c r="M500" s="206"/>
      <c r="N500" s="206" t="s">
        <v>22</v>
      </c>
      <c r="O500" s="160" t="s">
        <v>48</v>
      </c>
      <c r="P500" s="160" t="s">
        <v>49</v>
      </c>
      <c r="Q500" s="161" t="s">
        <v>50</v>
      </c>
      <c r="R500" s="160" t="s">
        <v>54</v>
      </c>
      <c r="S500" s="160" t="s">
        <v>55</v>
      </c>
      <c r="T500" s="206"/>
      <c r="U500" s="206"/>
      <c r="V500" s="208"/>
      <c r="W500" s="196"/>
      <c r="X500" s="152"/>
      <c r="Z500" s="198"/>
      <c r="AA500" s="198"/>
    </row>
    <row r="501" spans="1:27" s="197" customFormat="1" ht="15" customHeight="1" thickBot="1">
      <c r="A501" s="275"/>
      <c r="B501" s="301"/>
      <c r="C501" s="254" t="s">
        <v>55</v>
      </c>
      <c r="D501" s="250"/>
      <c r="E501" s="206">
        <f>SUMIF(Formatos!A:A,'Memória TOTAL'!X499,Formatos!S:S)</f>
        <v>0</v>
      </c>
      <c r="F501" s="206"/>
      <c r="G501" s="206"/>
      <c r="H501" s="251" t="e">
        <f>P494*PI()/(E494+N494)</f>
        <v>#DIV/0!</v>
      </c>
      <c r="I501" s="251" t="e">
        <f>((P494*PI())-(H501*(N501+N494)))/(P501+N494)</f>
        <v>#DIV/0!</v>
      </c>
      <c r="J501" s="207"/>
      <c r="K501" s="207"/>
      <c r="L501" s="155"/>
      <c r="M501" s="206"/>
      <c r="N501" s="206">
        <f>E494</f>
        <v>0</v>
      </c>
      <c r="O501" s="162">
        <f>F494</f>
        <v>0</v>
      </c>
      <c r="P501" s="162">
        <f>E498</f>
        <v>0</v>
      </c>
      <c r="Q501" s="168">
        <f>F498</f>
        <v>0</v>
      </c>
      <c r="R501" s="162" t="e">
        <f>IF(ROUND(H501+0.4,0)&gt;=0,ROUND(H501+0.4,0),"ERRO")</f>
        <v>#DIV/0!</v>
      </c>
      <c r="S501" s="162" t="e">
        <f>IF(ROUND(I501+0.4,0)&gt;=0,ROUND(I501+0.4,0),"ERRO")</f>
        <v>#DIV/0!</v>
      </c>
      <c r="T501" s="206"/>
      <c r="U501" s="206"/>
      <c r="V501" s="208"/>
      <c r="W501" s="242"/>
      <c r="X501" s="152"/>
      <c r="Z501" s="198"/>
      <c r="AA501" s="198"/>
    </row>
    <row r="502" spans="1:27" s="166" customFormat="1" ht="15" customHeight="1" thickBot="1">
      <c r="A502" s="259"/>
      <c r="B502" s="258" t="s">
        <v>676</v>
      </c>
      <c r="C502" s="247"/>
      <c r="D502" s="206"/>
      <c r="E502" s="206"/>
      <c r="F502" s="206"/>
      <c r="G502" s="206"/>
      <c r="H502" s="206"/>
      <c r="I502" s="206"/>
      <c r="J502" s="207"/>
      <c r="K502" s="207"/>
      <c r="L502" s="206"/>
      <c r="M502" s="206"/>
      <c r="N502" s="206"/>
      <c r="O502" s="206"/>
      <c r="P502" s="206"/>
      <c r="Q502" s="206"/>
      <c r="R502" s="206"/>
      <c r="S502" s="206"/>
      <c r="T502" s="794" t="s">
        <v>2203</v>
      </c>
      <c r="U502" s="795"/>
      <c r="V502" s="163"/>
      <c r="W502" s="164"/>
      <c r="X502" s="165"/>
      <c r="Z502" s="167"/>
      <c r="AA502" s="167"/>
    </row>
    <row r="503" spans="1:27" s="166" customFormat="1" ht="15" customHeight="1" thickBot="1">
      <c r="A503" s="259"/>
      <c r="B503" s="261"/>
      <c r="C503" s="247"/>
      <c r="D503" s="206"/>
      <c r="E503" s="206"/>
      <c r="F503" s="206"/>
      <c r="G503" s="206"/>
      <c r="H503" s="206"/>
      <c r="I503" s="206"/>
      <c r="J503" s="207"/>
      <c r="K503" s="207"/>
      <c r="L503" s="206"/>
      <c r="M503" s="206"/>
      <c r="N503" s="206"/>
      <c r="O503" s="252" t="s">
        <v>53</v>
      </c>
      <c r="P503" s="206" t="s">
        <v>54</v>
      </c>
      <c r="Q503" s="206"/>
      <c r="R503" s="206"/>
      <c r="S503" s="206"/>
      <c r="T503" s="311" t="s">
        <v>989</v>
      </c>
      <c r="U503" s="206" t="s">
        <v>988</v>
      </c>
      <c r="V503" s="163"/>
      <c r="W503" s="164"/>
      <c r="X503" s="165"/>
      <c r="Z503" s="167"/>
      <c r="AA503" s="167"/>
    </row>
    <row r="504" spans="1:27" s="166" customFormat="1" ht="15" customHeight="1" thickBot="1">
      <c r="A504" s="259"/>
      <c r="B504" s="262" t="str">
        <f>IF(AND(B498&lt;&gt;B496,B498&lt;&gt;0),"FIADAS "&amp;B496&amp;" a "&amp;B498,"FIADA "&amp;B496)</f>
        <v xml:space="preserve">FIADA </v>
      </c>
      <c r="C504" s="279"/>
      <c r="D504" s="212"/>
      <c r="E504" s="212"/>
      <c r="F504" s="212"/>
      <c r="G504" s="212"/>
      <c r="H504" s="212"/>
      <c r="I504" s="212"/>
      <c r="J504" s="245"/>
      <c r="K504" s="245"/>
      <c r="L504" s="173"/>
      <c r="M504" s="212"/>
      <c r="N504" s="175"/>
      <c r="O504" s="270">
        <v>360</v>
      </c>
      <c r="P504" s="269" t="e">
        <f>ROUND(R501/360*O504,2)</f>
        <v>#DIV/0!</v>
      </c>
      <c r="Q504" s="263"/>
      <c r="R504" s="174"/>
      <c r="S504" s="174"/>
      <c r="T504" s="341" t="e">
        <f>((E494+N494)*H501)-P494*PI()</f>
        <v>#DIV/0!</v>
      </c>
      <c r="U504" s="341" t="e">
        <f>((F494+N494)*H501)-Q494*PI()</f>
        <v>#DIV/0!</v>
      </c>
      <c r="V504" s="175"/>
      <c r="W504" s="176"/>
      <c r="X504" s="177"/>
      <c r="Z504" s="167"/>
      <c r="AA504" s="167"/>
    </row>
    <row r="505" spans="1:27" s="197" customFormat="1" ht="15" customHeight="1">
      <c r="A505" s="226"/>
      <c r="B505" s="221"/>
      <c r="C505" s="312"/>
      <c r="D505" s="206"/>
      <c r="E505" s="146"/>
      <c r="F505" s="146"/>
      <c r="G505" s="146"/>
      <c r="H505" s="146"/>
      <c r="I505" s="243"/>
      <c r="J505" s="243"/>
      <c r="K505" s="243"/>
      <c r="L505" s="206"/>
      <c r="M505" s="206"/>
      <c r="N505" s="206"/>
      <c r="O505" s="155"/>
      <c r="P505" s="206"/>
      <c r="Q505" s="206"/>
      <c r="R505" s="206"/>
      <c r="S505" s="206"/>
      <c r="T505" s="206"/>
      <c r="U505" s="206"/>
      <c r="V505" s="208"/>
      <c r="W505" s="196"/>
      <c r="X505" s="152"/>
      <c r="Z505" s="198"/>
      <c r="AA505" s="198"/>
    </row>
    <row r="506" spans="1:27" s="197" customFormat="1" ht="15" customHeight="1">
      <c r="A506" s="226"/>
      <c r="B506" s="221"/>
      <c r="C506" s="312"/>
      <c r="D506" s="206"/>
      <c r="E506" s="146"/>
      <c r="F506" s="146"/>
      <c r="G506" s="146"/>
      <c r="H506" s="146"/>
      <c r="I506" s="243"/>
      <c r="J506" s="243"/>
      <c r="K506" s="243"/>
      <c r="L506" s="206"/>
      <c r="M506" s="206"/>
      <c r="N506" s="206"/>
      <c r="O506" s="155"/>
      <c r="P506" s="206"/>
      <c r="Q506" s="206"/>
      <c r="R506" s="206"/>
      <c r="S506" s="206"/>
      <c r="T506" s="206"/>
      <c r="U506" s="206"/>
      <c r="V506" s="208"/>
      <c r="W506" s="196"/>
      <c r="X506" s="152"/>
      <c r="Z506" s="198"/>
      <c r="AA506" s="198"/>
    </row>
    <row r="507" spans="1:27" s="197" customFormat="1" ht="15" customHeight="1" thickBot="1">
      <c r="A507" s="226"/>
      <c r="B507" s="291" t="s">
        <v>1010</v>
      </c>
      <c r="C507" s="292"/>
      <c r="D507" s="293"/>
      <c r="E507" s="293"/>
      <c r="F507" s="293"/>
      <c r="G507" s="293"/>
      <c r="H507" s="293"/>
      <c r="I507" s="293"/>
      <c r="J507" s="294"/>
      <c r="K507" s="294"/>
      <c r="L507" s="295"/>
      <c r="M507" s="293"/>
      <c r="N507" s="293"/>
      <c r="O507" s="293"/>
      <c r="P507" s="293"/>
      <c r="Q507" s="293"/>
      <c r="R507" s="293"/>
      <c r="S507" s="296"/>
      <c r="T507" s="293"/>
      <c r="U507" s="293" t="s">
        <v>678</v>
      </c>
      <c r="V507" s="297" t="s">
        <v>27</v>
      </c>
      <c r="W507" s="298"/>
      <c r="X507" s="299"/>
      <c r="Z507" s="198"/>
      <c r="AA507" s="198"/>
    </row>
    <row r="508" spans="1:27" s="197" customFormat="1" ht="15" customHeight="1" thickBot="1">
      <c r="A508" s="226"/>
      <c r="B508" s="221"/>
      <c r="C508" s="144">
        <f>SUMIF(Densidades!A:A,'Memória TOTAL'!X508,Densidades!B:B)</f>
        <v>0</v>
      </c>
      <c r="D508" s="145">
        <f>SUMIF(Densidades!A:A,'Memória TOTAL'!X508,Densidades!C:C)</f>
        <v>0</v>
      </c>
      <c r="E508" s="145" t="str">
        <f>IF(I508=15,"FIRECLAY MORTAR",IF(I508=16,"ALUMINA MORTAR",IF(I508=17,"BASIC MORTAR",IF(I508=18,"MORTAR","-"))))</f>
        <v>-</v>
      </c>
      <c r="F508" s="145" t="str">
        <f>IF(I508=15,"FIRECLAY MORTAR",IF(I508=16,"ALUMINA MORTAR",IF(I508=17,"BASIC MORTAR",IF(I508=18,"MORTAR","-"))))</f>
        <v>-</v>
      </c>
      <c r="G508" s="145" t="str">
        <f>IF(I508=15,"FIRECLAY MORTAR",IF(I508=16,"ALUMINA MORTAR",IF(I508=17,"BASIC MORTAR",IF(I508=18,"MORTAR","-"))))</f>
        <v>-</v>
      </c>
      <c r="H508" s="145" t="str">
        <f>IF(I508=15,"FIRECLAY MORTAR",IF(I508=16,"ALUMINA MORTAR",IF(I508=17,"BASIC MORTAR",IF(I508=18,"MORTAR","-"))))</f>
        <v>-</v>
      </c>
      <c r="I508" s="145">
        <f>SUMIF(Densidades!A:A,'Memória TOTAL'!X508,Densidades!G:G)</f>
        <v>0</v>
      </c>
      <c r="J508" s="147">
        <f>SUMIF(Formatos!A:A,'Memória TOTAL'!X509,Formatos!G:G)</f>
        <v>0</v>
      </c>
      <c r="K508" s="148">
        <f>SUMIF(Densidades!A:A,'Memória TOTAL'!X508,Densidades!I:I)</f>
        <v>0</v>
      </c>
      <c r="L508" s="199">
        <v>0</v>
      </c>
      <c r="M508" s="200"/>
      <c r="N508" s="200"/>
      <c r="O508" s="200"/>
      <c r="P508" s="200"/>
      <c r="Q508" s="200"/>
      <c r="R508" s="200"/>
      <c r="S508" s="200"/>
      <c r="T508" s="201"/>
      <c r="U508" s="302">
        <v>0.06</v>
      </c>
      <c r="V508" s="203" t="e">
        <f>(W494*J494*C508+W498*J498*C508)*U508</f>
        <v>#VALUE!</v>
      </c>
      <c r="W508" s="204" t="str">
        <f>IF(C508=0,"",ROUNDUP(SUM(V508:V509)*(1+L508)/D508,0)*D508)</f>
        <v/>
      </c>
      <c r="X508" s="274"/>
      <c r="Z508" s="198"/>
      <c r="AA508" s="198"/>
    </row>
    <row r="509" spans="1:27" s="197" customFormat="1" ht="15" customHeight="1">
      <c r="A509" s="226"/>
      <c r="B509" s="221"/>
      <c r="C509" s="144"/>
      <c r="D509" s="206"/>
      <c r="E509" s="206"/>
      <c r="F509" s="206"/>
      <c r="G509" s="206"/>
      <c r="H509" s="206"/>
      <c r="I509" s="206"/>
      <c r="J509" s="207"/>
      <c r="K509" s="207"/>
      <c r="L509" s="155"/>
      <c r="M509" s="206"/>
      <c r="N509" s="206"/>
      <c r="O509" s="206"/>
      <c r="P509" s="206"/>
      <c r="Q509" s="206"/>
      <c r="R509" s="206"/>
      <c r="S509" s="206"/>
      <c r="T509" s="206"/>
      <c r="U509" s="206"/>
      <c r="V509" s="208"/>
      <c r="W509" s="196"/>
      <c r="X509" s="152" t="str">
        <f>IF(AND(H508="-",G508="-",F508="-"),E508,IF(AND(H508="-",G508="-",E508="-"),F508,IF(AND(H508="-",F508="-",E508="-"),G508,H508)))</f>
        <v>-</v>
      </c>
      <c r="Z509" s="198"/>
      <c r="AA509" s="198"/>
    </row>
    <row r="510" spans="1:27" s="197" customFormat="1" ht="15" customHeight="1">
      <c r="A510" s="226"/>
      <c r="B510" s="224"/>
      <c r="C510" s="144"/>
      <c r="D510" s="206"/>
      <c r="E510" s="206"/>
      <c r="F510" s="206"/>
      <c r="G510" s="206"/>
      <c r="H510" s="206"/>
      <c r="I510" s="206"/>
      <c r="J510" s="207"/>
      <c r="K510" s="207"/>
      <c r="L510" s="155"/>
      <c r="M510" s="206"/>
      <c r="N510" s="206"/>
      <c r="O510" s="206"/>
      <c r="P510" s="206"/>
      <c r="Q510" s="206"/>
      <c r="R510" s="206"/>
      <c r="S510" s="206"/>
      <c r="T510" s="206"/>
      <c r="U510" s="206"/>
      <c r="V510" s="208"/>
      <c r="W510" s="196"/>
      <c r="X510" s="152" t="s">
        <v>2</v>
      </c>
      <c r="Z510" s="198"/>
      <c r="AA510" s="198"/>
    </row>
    <row r="511" spans="1:27" ht="15" customHeight="1">
      <c r="A511" s="226"/>
      <c r="B511" s="142"/>
      <c r="C511" s="180"/>
      <c r="D511" s="181"/>
      <c r="E511" s="181"/>
      <c r="F511" s="181"/>
      <c r="G511" s="181"/>
      <c r="H511" s="181"/>
      <c r="I511" s="181"/>
      <c r="J511" s="182"/>
      <c r="K511" s="182"/>
      <c r="L511" s="183"/>
      <c r="M511" s="181"/>
      <c r="N511" s="181"/>
      <c r="O511" s="181"/>
      <c r="P511" s="181"/>
      <c r="Q511" s="181"/>
      <c r="R511" s="181"/>
      <c r="S511" s="181"/>
      <c r="T511" s="181"/>
      <c r="U511" s="181"/>
      <c r="V511" s="184"/>
      <c r="W511" s="185"/>
      <c r="X511" s="186"/>
    </row>
    <row r="512" spans="1:27" s="197" customFormat="1" ht="15" customHeight="1" thickBot="1">
      <c r="A512" s="226"/>
      <c r="B512" s="291" t="s">
        <v>1011</v>
      </c>
      <c r="C512" s="292"/>
      <c r="D512" s="293"/>
      <c r="E512" s="293"/>
      <c r="F512" s="293"/>
      <c r="G512" s="293"/>
      <c r="H512" s="293"/>
      <c r="I512" s="293"/>
      <c r="J512" s="294"/>
      <c r="K512" s="294"/>
      <c r="L512" s="295"/>
      <c r="M512" s="293"/>
      <c r="N512" s="293"/>
      <c r="O512" s="293"/>
      <c r="P512" s="293"/>
      <c r="Q512" s="293"/>
      <c r="R512" s="293" t="s">
        <v>636</v>
      </c>
      <c r="S512" s="296" t="s">
        <v>637</v>
      </c>
      <c r="T512" s="293" t="s">
        <v>638</v>
      </c>
      <c r="U512" s="293" t="s">
        <v>38</v>
      </c>
      <c r="V512" s="297" t="s">
        <v>27</v>
      </c>
      <c r="W512" s="298"/>
      <c r="X512" s="299"/>
      <c r="Z512" s="198"/>
      <c r="AA512" s="198"/>
    </row>
    <row r="513" spans="1:27" s="197" customFormat="1" ht="15" customHeight="1" thickBot="1">
      <c r="A513" s="226"/>
      <c r="B513" s="221"/>
      <c r="C513" s="144">
        <f>SUMIF(Densidades!A:A,'Memória TOTAL'!X513,Densidades!B:B)</f>
        <v>0</v>
      </c>
      <c r="D513" s="145">
        <f>SUMIF(Densidades!A:A,'Memória TOTAL'!X513,Densidades!C:C)</f>
        <v>0</v>
      </c>
      <c r="E513" s="145" t="str">
        <f>IF(I513=15,"FIRECLAY MORTAR",IF(I513=16,"ALUMINA MORTAR",IF(I513=17,"BASIC MORTAR",IF(I513=18,"MORTAR","-"))))</f>
        <v>-</v>
      </c>
      <c r="F513" s="145" t="str">
        <f>IF(I513=15,"FIRECLAY MORTAR",IF(I513=16,"ALUMINA MORTAR",IF(I513=17,"BASIC MORTAR",IF(I513=18,"MORTAR","-"))))</f>
        <v>-</v>
      </c>
      <c r="G513" s="145" t="str">
        <f>IF(I513=15,"FIRECLAY MORTAR",IF(I513=16,"ALUMINA MORTAR",IF(I513=17,"BASIC MORTAR",IF(I513=18,"MORTAR","-"))))</f>
        <v>-</v>
      </c>
      <c r="H513" s="145" t="str">
        <f>IF(I513=15,"FIRECLAY MORTAR",IF(I513=16,"ALUMINA MORTAR",IF(I513=17,"BASIC MORTAR",IF(I513=18,"MORTAR","-"))))</f>
        <v>-</v>
      </c>
      <c r="I513" s="145">
        <f>SUMIF(Densidades!A:A,'Memória TOTAL'!X513,Densidades!G:G)</f>
        <v>0</v>
      </c>
      <c r="J513" s="147">
        <f>SUMIF(Formatos!A:A,'Memória TOTAL'!X514,Formatos!G:G)</f>
        <v>0</v>
      </c>
      <c r="K513" s="233">
        <f>SUMIF(Densidades!A:A,'Memória TOTAL'!X513,Densidades!I:I)</f>
        <v>0</v>
      </c>
      <c r="L513" s="199">
        <v>0</v>
      </c>
      <c r="M513" s="200"/>
      <c r="N513" s="200"/>
      <c r="O513" s="200"/>
      <c r="P513" s="200"/>
      <c r="Q513" s="200"/>
      <c r="R513" s="201">
        <f>((G494*H494)+(G494*E494)+(H494*E494))/1000000</f>
        <v>0</v>
      </c>
      <c r="S513" s="270">
        <v>2</v>
      </c>
      <c r="T513" s="201">
        <f>R513*S513</f>
        <v>0</v>
      </c>
      <c r="U513" s="202">
        <f>SUM(W494:W499)</f>
        <v>0</v>
      </c>
      <c r="V513" s="203">
        <f>(T513*C513*(1+L513))*U513</f>
        <v>0</v>
      </c>
      <c r="W513" s="151" t="str">
        <f>IF(C513=0,"",ROUNDUP(SUM(V513:V514)*(1+L513)/D513,0)*D513)</f>
        <v/>
      </c>
      <c r="X513" s="274"/>
      <c r="Z513" s="198"/>
      <c r="AA513" s="198"/>
    </row>
    <row r="514" spans="1:27" s="197" customFormat="1" ht="15" customHeight="1">
      <c r="A514" s="226"/>
      <c r="B514" s="221"/>
      <c r="C514" s="144"/>
      <c r="D514" s="206"/>
      <c r="E514" s="206"/>
      <c r="F514" s="206"/>
      <c r="G514" s="206"/>
      <c r="H514" s="206"/>
      <c r="I514" s="206"/>
      <c r="J514" s="207"/>
      <c r="K514" s="207"/>
      <c r="L514" s="155"/>
      <c r="M514" s="206"/>
      <c r="N514" s="206"/>
      <c r="O514" s="206"/>
      <c r="P514" s="206"/>
      <c r="Q514" s="206"/>
      <c r="R514" s="206"/>
      <c r="S514" s="206"/>
      <c r="T514" s="206"/>
      <c r="U514" s="206"/>
      <c r="V514" s="208"/>
      <c r="W514" s="196"/>
      <c r="X514" s="152" t="str">
        <f>IF(AND(H513="-",G513="-",F513="-"),E513,IF(AND(H513="-",G513="-",E513="-"),F513,IF(AND(H513="-",F513="-",E513="-"),G513,H513)))</f>
        <v>-</v>
      </c>
      <c r="Z514" s="198"/>
      <c r="AA514" s="198"/>
    </row>
    <row r="515" spans="1:27" s="197" customFormat="1" ht="15" customHeight="1">
      <c r="A515" s="226"/>
      <c r="B515" s="224"/>
      <c r="C515" s="144"/>
      <c r="D515" s="206"/>
      <c r="E515" s="206"/>
      <c r="F515" s="206"/>
      <c r="G515" s="206"/>
      <c r="H515" s="206"/>
      <c r="I515" s="206"/>
      <c r="J515" s="207"/>
      <c r="K515" s="207"/>
      <c r="L515" s="155"/>
      <c r="M515" s="206"/>
      <c r="N515" s="206"/>
      <c r="O515" s="206"/>
      <c r="P515" s="206"/>
      <c r="Q515" s="206"/>
      <c r="R515" s="206"/>
      <c r="S515" s="206"/>
      <c r="T515" s="206"/>
      <c r="U515" s="206"/>
      <c r="V515" s="208"/>
      <c r="W515" s="196"/>
      <c r="X515" s="152" t="s">
        <v>2</v>
      </c>
      <c r="Z515" s="198"/>
      <c r="AA515" s="198"/>
    </row>
    <row r="516" spans="1:27" s="197" customFormat="1" ht="15" customHeight="1">
      <c r="A516" s="226"/>
      <c r="B516" s="224"/>
      <c r="C516" s="144"/>
      <c r="D516" s="206"/>
      <c r="E516" s="206"/>
      <c r="F516" s="206"/>
      <c r="G516" s="206"/>
      <c r="H516" s="206"/>
      <c r="I516" s="206"/>
      <c r="J516" s="207"/>
      <c r="K516" s="207"/>
      <c r="L516" s="155"/>
      <c r="M516" s="206"/>
      <c r="N516" s="206"/>
      <c r="O516" s="206"/>
      <c r="P516" s="206"/>
      <c r="Q516" s="206"/>
      <c r="R516" s="206"/>
      <c r="S516" s="206"/>
      <c r="T516" s="206"/>
      <c r="U516" s="206"/>
      <c r="V516" s="208"/>
      <c r="W516" s="196"/>
      <c r="X516" s="152"/>
      <c r="Z516" s="198"/>
      <c r="AA516" s="198"/>
    </row>
    <row r="517" spans="1:27" s="197" customFormat="1" ht="15" customHeight="1" thickBot="1">
      <c r="A517" s="226"/>
      <c r="B517" s="524"/>
      <c r="C517" s="524"/>
      <c r="D517" s="527"/>
      <c r="E517" s="527"/>
      <c r="F517" s="527"/>
      <c r="G517" s="527"/>
      <c r="H517" s="527"/>
      <c r="I517" s="527"/>
      <c r="J517" s="527"/>
      <c r="K517" s="527"/>
      <c r="L517" s="527"/>
      <c r="M517" s="527"/>
      <c r="N517" s="527"/>
      <c r="O517" s="527"/>
      <c r="P517" s="527"/>
      <c r="Q517" s="527"/>
      <c r="R517" s="527"/>
      <c r="S517" s="527"/>
      <c r="T517" s="527"/>
      <c r="U517" s="527"/>
      <c r="V517" s="527"/>
      <c r="W517" s="527"/>
      <c r="X517" s="528"/>
      <c r="Z517" s="198"/>
      <c r="AA517" s="198"/>
    </row>
    <row r="518" spans="1:27" ht="15" customHeight="1" thickBot="1">
      <c r="A518" s="290"/>
      <c r="B518" s="507" t="str">
        <f>IF(X519="","COMPOSIÇÃO CONE 1 TIJOLO",X519)</f>
        <v>COMPOSIÇÃO CONE 1 TIJOLO</v>
      </c>
      <c r="C518" s="314" t="s">
        <v>101</v>
      </c>
      <c r="D518" s="286" t="s">
        <v>102</v>
      </c>
      <c r="E518" s="286" t="s">
        <v>42</v>
      </c>
      <c r="F518" s="286" t="s">
        <v>42</v>
      </c>
      <c r="G518" s="286" t="s">
        <v>43</v>
      </c>
      <c r="H518" s="286" t="s">
        <v>44</v>
      </c>
      <c r="I518" s="286" t="s">
        <v>47</v>
      </c>
      <c r="J518" s="286" t="s">
        <v>103</v>
      </c>
      <c r="K518" s="286" t="s">
        <v>37</v>
      </c>
      <c r="L518" s="286" t="s">
        <v>39</v>
      </c>
      <c r="M518" s="286" t="s">
        <v>45</v>
      </c>
      <c r="N518" s="286" t="s">
        <v>46</v>
      </c>
      <c r="O518" s="310" t="s">
        <v>106</v>
      </c>
      <c r="P518" s="286" t="s">
        <v>52</v>
      </c>
      <c r="Q518" s="310" t="s">
        <v>53</v>
      </c>
      <c r="R518" s="286"/>
      <c r="S518" s="286"/>
      <c r="T518" s="286"/>
      <c r="U518" s="286" t="s">
        <v>677</v>
      </c>
      <c r="V518" s="287" t="s">
        <v>27</v>
      </c>
      <c r="W518" s="288"/>
      <c r="X518" s="289"/>
    </row>
    <row r="519" spans="1:27" ht="15" customHeight="1" thickBot="1">
      <c r="A519" s="226"/>
      <c r="B519" s="790" t="s">
        <v>1882</v>
      </c>
      <c r="C519" s="256">
        <f>SUMIF(Densidades!A:A,'Memória TOTAL'!X519,Densidades!B:B)</f>
        <v>0</v>
      </c>
      <c r="D519" s="145">
        <f>SUMIF(Densidades!A:A,'Memória TOTAL'!X519,Densidades!C:C)</f>
        <v>0</v>
      </c>
      <c r="E519" s="146">
        <f>IF(AND(E525=1,E526=2),SUMIF(Formatos!A:A,'Memória TOTAL'!X520,Formatos!D:D),SUMIF(Formatos!A:A,'Memória TOTAL'!X520,Formatos!E:E))</f>
        <v>0</v>
      </c>
      <c r="F519" s="146">
        <f>IF(AND(E525=1,E526=2),SUMIF(Formatos!A:A,'Memória TOTAL'!X520,Formatos!R:R),SUMIF(Formatos!A:A,'Memória TOTAL'!X520,Formatos!F:F))</f>
        <v>0</v>
      </c>
      <c r="G519" s="146">
        <f>SUMIF(Formatos!A:A,'Memória TOTAL'!X520,Formatos!C:C)</f>
        <v>0</v>
      </c>
      <c r="H519" s="146">
        <f>SUMIF(Formatos!A:A,'Memória TOTAL'!X520,Formatos!D:D)</f>
        <v>0</v>
      </c>
      <c r="I519" s="146">
        <f>SUMIF(Densidades!A:A,'Memória TOTAL'!X519,Densidades!H:H)</f>
        <v>0</v>
      </c>
      <c r="J519" s="147">
        <f>SUMIF(Formatos!A:A,'Memória TOTAL'!X520,Formatos!G:G)</f>
        <v>4.1130000000000004</v>
      </c>
      <c r="K519" s="148">
        <f>SUMIF(Densidades!A:A,'Memória TOTAL'!X519,Densidades!I:I)</f>
        <v>0</v>
      </c>
      <c r="L519" s="264">
        <v>0</v>
      </c>
      <c r="M519" s="267"/>
      <c r="N519" s="268"/>
      <c r="O519" s="268"/>
      <c r="P519" s="266">
        <f>O519-M519*2</f>
        <v>0</v>
      </c>
      <c r="Q519" s="268"/>
      <c r="R519" s="150"/>
      <c r="S519" s="271"/>
      <c r="T519" s="271"/>
      <c r="U519" s="268"/>
      <c r="V519" s="267" t="str">
        <f>IF(M519="","",IF(OR(M519=E519,M519=G519,M519=H519),ROUND(SUM(P530:P580),0),"ESP. ERRADA"))</f>
        <v/>
      </c>
      <c r="W519" s="273" t="e">
        <f>IF(C519=0,"",ROUNDUP(SUM(V519)*(1+L519),0))*U519</f>
        <v>#VALUE!</v>
      </c>
      <c r="X519" s="274"/>
    </row>
    <row r="520" spans="1:27" s="197" customFormat="1" ht="15" customHeight="1" thickBot="1">
      <c r="A520" s="226"/>
      <c r="B520" s="791"/>
      <c r="C520" s="247"/>
      <c r="D520" s="206"/>
      <c r="E520" s="206"/>
      <c r="F520" s="206"/>
      <c r="G520" s="206"/>
      <c r="H520" s="206"/>
      <c r="I520" s="206"/>
      <c r="J520" s="207"/>
      <c r="K520" s="207"/>
      <c r="L520" s="155"/>
      <c r="M520" s="206"/>
      <c r="N520" s="206"/>
      <c r="O520" s="206"/>
      <c r="P520" s="206"/>
      <c r="Q520" s="206"/>
      <c r="R520" s="206"/>
      <c r="S520" s="206"/>
      <c r="T520" s="206"/>
      <c r="U520" s="206"/>
      <c r="V520" s="208"/>
      <c r="W520" s="196"/>
      <c r="X520" s="152" t="str">
        <f>IF(B525="","",B525)</f>
        <v/>
      </c>
      <c r="Z520" s="198"/>
      <c r="AA520" s="198"/>
    </row>
    <row r="521" spans="1:27" s="197" customFormat="1" ht="15" customHeight="1">
      <c r="A521" s="226"/>
      <c r="B521" s="315"/>
      <c r="C521" s="247"/>
      <c r="D521" s="206"/>
      <c r="E521" s="206"/>
      <c r="F521" s="206"/>
      <c r="G521" s="206"/>
      <c r="H521" s="206"/>
      <c r="I521" s="206"/>
      <c r="J521" s="207"/>
      <c r="K521" s="207"/>
      <c r="L521" s="155"/>
      <c r="M521" s="206"/>
      <c r="N521" s="206"/>
      <c r="O521" s="206"/>
      <c r="P521" s="206"/>
      <c r="Q521" s="206"/>
      <c r="R521" s="206"/>
      <c r="S521" s="206"/>
      <c r="T521" s="206"/>
      <c r="U521" s="206"/>
      <c r="V521" s="208"/>
      <c r="W521" s="196"/>
      <c r="X521" s="152" t="s">
        <v>524</v>
      </c>
      <c r="Z521" s="198"/>
      <c r="AA521" s="198"/>
    </row>
    <row r="522" spans="1:27" s="197" customFormat="1" ht="15" customHeight="1">
      <c r="A522" s="226"/>
      <c r="B522" s="315"/>
      <c r="C522" s="313" t="str">
        <f t="shared" ref="C522:L522" si="83">C518</f>
        <v>Dens.</v>
      </c>
      <c r="D522" s="193" t="str">
        <f t="shared" si="83"/>
        <v>Emb.</v>
      </c>
      <c r="E522" s="193" t="str">
        <f t="shared" si="83"/>
        <v>Esp. Tij.</v>
      </c>
      <c r="F522" s="193" t="str">
        <f t="shared" si="83"/>
        <v>Esp. Tij.</v>
      </c>
      <c r="G522" s="193" t="str">
        <f t="shared" si="83"/>
        <v>Comp. Tij.</v>
      </c>
      <c r="H522" s="193" t="str">
        <f t="shared" si="83"/>
        <v>Larg. Tij.</v>
      </c>
      <c r="I522" s="193" t="str">
        <f t="shared" si="83"/>
        <v>Tipo Fator</v>
      </c>
      <c r="J522" s="193" t="str">
        <f t="shared" si="83"/>
        <v>Vol.</v>
      </c>
      <c r="K522" s="193" t="str">
        <f t="shared" si="83"/>
        <v>Class.</v>
      </c>
      <c r="L522" s="193" t="str">
        <f t="shared" si="83"/>
        <v>Coefic. (%)</v>
      </c>
      <c r="M522" s="206"/>
      <c r="N522" s="206"/>
      <c r="O522" s="206"/>
      <c r="P522" s="206"/>
      <c r="Q522" s="206"/>
      <c r="R522" s="206"/>
      <c r="S522" s="206"/>
      <c r="T522" s="206"/>
      <c r="U522" s="206"/>
      <c r="V522" s="163"/>
      <c r="W522" s="196"/>
      <c r="X522" s="152"/>
      <c r="Z522" s="198"/>
      <c r="AA522" s="198"/>
    </row>
    <row r="523" spans="1:27" s="197" customFormat="1" ht="15" customHeight="1" thickBot="1">
      <c r="A523" s="226"/>
      <c r="B523" s="316"/>
      <c r="C523" s="256">
        <f>SUMIF(Densidades!A:A,'Memória TOTAL'!X523,Densidades!B:B)</f>
        <v>0</v>
      </c>
      <c r="D523" s="145">
        <f>SUMIF(Densidades!A:A,'Memória TOTAL'!X523,Densidades!C:C)</f>
        <v>0</v>
      </c>
      <c r="E523" s="146">
        <f>SUMIF(Formatos!A:A,'Memória TOTAL'!X524,Formatos!E:E)</f>
        <v>0</v>
      </c>
      <c r="F523" s="146">
        <f>SUMIF(Formatos!A:A,'Memória TOTAL'!X524,Formatos!F:F)</f>
        <v>0</v>
      </c>
      <c r="G523" s="146">
        <f>SUMIF(Formatos!A:A,'Memória TOTAL'!X524,Formatos!C:C)</f>
        <v>0</v>
      </c>
      <c r="H523" s="146">
        <f>SUMIF(Formatos!A:A,'Memória TOTAL'!X524,Formatos!D:D)</f>
        <v>0</v>
      </c>
      <c r="I523" s="146">
        <f>SUMIF(Densidades!A:A,'Memória TOTAL'!X523,Densidades!H:H)</f>
        <v>0</v>
      </c>
      <c r="J523" s="147">
        <f>SUMIF(Formatos!A:A,'Memória TOTAL'!X524,Formatos!G:G)</f>
        <v>0</v>
      </c>
      <c r="K523" s="233">
        <f>SUMIF(Densidades!A:A,'Memória TOTAL'!X523,Densidades!I:I)</f>
        <v>0</v>
      </c>
      <c r="L523" s="234">
        <v>0</v>
      </c>
      <c r="M523" s="206"/>
      <c r="N523" s="206"/>
      <c r="O523" s="206"/>
      <c r="P523" s="206"/>
      <c r="Q523" s="206"/>
      <c r="R523" s="206"/>
      <c r="S523" s="206"/>
      <c r="T523" s="243"/>
      <c r="U523" s="246"/>
      <c r="V523" s="163"/>
      <c r="W523" s="196"/>
      <c r="X523" s="152"/>
      <c r="Z523" s="198"/>
      <c r="AA523" s="198"/>
    </row>
    <row r="524" spans="1:27" s="197" customFormat="1" ht="15" customHeight="1" thickBot="1">
      <c r="A524" s="275"/>
      <c r="B524" s="258" t="s">
        <v>675</v>
      </c>
      <c r="C524" s="247"/>
      <c r="D524" s="206"/>
      <c r="E524" s="206"/>
      <c r="F524" s="206"/>
      <c r="G524" s="206"/>
      <c r="H524" s="206"/>
      <c r="I524" s="206"/>
      <c r="J524" s="207"/>
      <c r="K524" s="207"/>
      <c r="L524" s="155"/>
      <c r="M524" s="206"/>
      <c r="N524" s="206"/>
      <c r="O524" s="206"/>
      <c r="P524" s="206"/>
      <c r="Q524" s="206"/>
      <c r="R524" s="206"/>
      <c r="S524" s="206"/>
      <c r="T524" s="206"/>
      <c r="U524" s="206"/>
      <c r="V524" s="163"/>
      <c r="W524" s="196"/>
      <c r="X524" s="152"/>
      <c r="Z524" s="198"/>
      <c r="AA524" s="198"/>
    </row>
    <row r="525" spans="1:27" s="197" customFormat="1" ht="15" customHeight="1" thickBot="1">
      <c r="A525" s="275"/>
      <c r="B525" s="274"/>
      <c r="C525" s="254" t="s">
        <v>54</v>
      </c>
      <c r="D525" s="250"/>
      <c r="E525" s="206">
        <f>SUMIF(Formatos!A:A,'Memória TOTAL'!X520,Formatos!S:S)</f>
        <v>2</v>
      </c>
      <c r="F525" s="206"/>
      <c r="G525" s="206"/>
      <c r="H525" s="251"/>
      <c r="I525" s="251"/>
      <c r="J525" s="207"/>
      <c r="K525" s="207"/>
      <c r="L525" s="155"/>
      <c r="M525" s="206"/>
      <c r="N525" s="206"/>
      <c r="O525" s="160"/>
      <c r="P525" s="160"/>
      <c r="Q525" s="161"/>
      <c r="R525" s="160"/>
      <c r="S525" s="160"/>
      <c r="T525" s="206"/>
      <c r="U525" s="206"/>
      <c r="V525" s="163"/>
      <c r="W525" s="196"/>
      <c r="X525" s="152"/>
      <c r="Z525" s="198"/>
      <c r="AA525" s="198"/>
    </row>
    <row r="526" spans="1:27" s="197" customFormat="1" ht="15" customHeight="1" thickBot="1">
      <c r="A526" s="275"/>
      <c r="B526" s="316"/>
      <c r="C526" s="254" t="s">
        <v>55</v>
      </c>
      <c r="D526" s="250"/>
      <c r="E526" s="206">
        <f>SUMIF(Formatos!A:A,'Memória TOTAL'!X524,Formatos!S:S)</f>
        <v>0</v>
      </c>
      <c r="F526" s="206"/>
      <c r="G526" s="206"/>
      <c r="H526" s="251"/>
      <c r="I526" s="251"/>
      <c r="J526" s="207"/>
      <c r="K526" s="207"/>
      <c r="L526" s="155"/>
      <c r="M526" s="206"/>
      <c r="N526" s="206"/>
      <c r="O526" s="162"/>
      <c r="P526" s="162"/>
      <c r="Q526" s="168"/>
      <c r="R526" s="162"/>
      <c r="S526" s="162"/>
      <c r="T526" s="206"/>
      <c r="U526" s="206"/>
      <c r="V526" s="163"/>
      <c r="W526" s="242"/>
      <c r="X526" s="152"/>
      <c r="Z526" s="198"/>
      <c r="AA526" s="198"/>
    </row>
    <row r="527" spans="1:27" s="166" customFormat="1" ht="15" customHeight="1" thickBot="1">
      <c r="A527" s="259"/>
      <c r="B527" s="258" t="s">
        <v>676</v>
      </c>
      <c r="C527" s="247"/>
      <c r="D527" s="206"/>
      <c r="E527" s="206"/>
      <c r="F527" s="206"/>
      <c r="G527" s="206"/>
      <c r="H527" s="206"/>
      <c r="I527" s="206"/>
      <c r="J527" s="207"/>
      <c r="K527" s="207"/>
      <c r="L527" s="206"/>
      <c r="M527" s="206"/>
      <c r="N527" s="206"/>
      <c r="O527" s="206"/>
      <c r="P527" s="206"/>
      <c r="Q527" s="206"/>
      <c r="R527" s="206"/>
      <c r="S527" s="206"/>
      <c r="T527" s="162"/>
      <c r="U527" s="162"/>
      <c r="V527" s="163"/>
      <c r="W527" s="164"/>
      <c r="X527" s="165"/>
      <c r="Z527" s="167"/>
      <c r="AA527" s="167"/>
    </row>
    <row r="528" spans="1:27" s="166" customFormat="1" ht="15" customHeight="1" thickBot="1">
      <c r="A528" s="259"/>
      <c r="B528" s="792"/>
      <c r="C528" s="247"/>
      <c r="D528" s="206"/>
      <c r="E528" s="206"/>
      <c r="F528" s="206"/>
      <c r="G528" s="206"/>
      <c r="H528" s="206"/>
      <c r="I528" s="206"/>
      <c r="J528" s="207"/>
      <c r="K528" s="207"/>
      <c r="L528" s="206"/>
      <c r="M528" s="206"/>
      <c r="N528" s="206"/>
      <c r="O528" s="206"/>
      <c r="P528" s="206"/>
      <c r="Q528" s="206"/>
      <c r="R528" s="206"/>
      <c r="S528" s="794" t="s">
        <v>2203</v>
      </c>
      <c r="T528" s="795"/>
      <c r="U528" s="162"/>
      <c r="V528" s="163"/>
      <c r="W528" s="164"/>
      <c r="X528" s="165"/>
      <c r="Z528" s="167"/>
      <c r="AA528" s="167"/>
    </row>
    <row r="529" spans="1:27" s="197" customFormat="1" ht="15" customHeight="1" thickBot="1">
      <c r="A529" s="226"/>
      <c r="B529" s="793"/>
      <c r="C529" s="311" t="s">
        <v>989</v>
      </c>
      <c r="D529" s="207" t="s">
        <v>2206</v>
      </c>
      <c r="E529" s="206" t="s">
        <v>22</v>
      </c>
      <c r="F529" s="206" t="s">
        <v>48</v>
      </c>
      <c r="G529" s="206" t="s">
        <v>985</v>
      </c>
      <c r="H529" s="206" t="s">
        <v>45</v>
      </c>
      <c r="I529" s="207" t="s">
        <v>46</v>
      </c>
      <c r="J529" s="207"/>
      <c r="K529" s="206" t="s">
        <v>54</v>
      </c>
      <c r="L529" s="207"/>
      <c r="M529" s="207"/>
      <c r="N529" s="206"/>
      <c r="O529" s="627" t="s">
        <v>53</v>
      </c>
      <c r="P529" s="206" t="s">
        <v>54</v>
      </c>
      <c r="Q529" s="206"/>
      <c r="R529" s="206"/>
      <c r="S529" s="311" t="s">
        <v>989</v>
      </c>
      <c r="T529" s="206" t="s">
        <v>988</v>
      </c>
      <c r="U529" s="206"/>
      <c r="V529" s="208"/>
      <c r="W529" s="196"/>
      <c r="X529" s="152"/>
      <c r="Z529" s="198"/>
      <c r="AA529" s="198"/>
    </row>
    <row r="530" spans="1:27" s="197" customFormat="1" ht="15" customHeight="1">
      <c r="A530" s="226"/>
      <c r="B530" s="224" t="s">
        <v>392</v>
      </c>
      <c r="C530" s="311">
        <f>O519</f>
        <v>0</v>
      </c>
      <c r="D530" s="646">
        <f>Q519</f>
        <v>0</v>
      </c>
      <c r="E530" s="645">
        <f>E519</f>
        <v>0</v>
      </c>
      <c r="F530" s="645">
        <f>F519</f>
        <v>0</v>
      </c>
      <c r="G530" s="645">
        <f>IF(M519=G519,H519,IF(M519=H519,G519,"Espessura Errada"))</f>
        <v>0</v>
      </c>
      <c r="H530" s="645">
        <f>M519</f>
        <v>0</v>
      </c>
      <c r="I530" s="646">
        <f>N519</f>
        <v>0</v>
      </c>
      <c r="J530" s="207"/>
      <c r="K530" s="243" t="e">
        <f t="shared" ref="K530:K561" si="84">C530*PI()/(E530+I530)</f>
        <v>#DIV/0!</v>
      </c>
      <c r="L530" s="207"/>
      <c r="M530" s="207"/>
      <c r="N530" s="206"/>
      <c r="O530" s="630">
        <v>360</v>
      </c>
      <c r="P530" s="206" t="e">
        <f>ROUND(K530/360*O530,0)</f>
        <v>#DIV/0!</v>
      </c>
      <c r="Q530" s="206"/>
      <c r="R530" s="206"/>
      <c r="S530" s="341" t="e">
        <f t="shared" ref="S530:S561" si="85">((E530+I530)*K530)-C530*PI()</f>
        <v>#DIV/0!</v>
      </c>
      <c r="T530" s="341" t="e">
        <f t="shared" ref="T530:T561" si="86">(((F530+I530)*K530)-(C530-(H530*2))*PI())/K530</f>
        <v>#DIV/0!</v>
      </c>
      <c r="U530" s="206"/>
      <c r="V530" s="208"/>
      <c r="W530" s="196"/>
      <c r="X530" s="152"/>
      <c r="Z530" s="198"/>
      <c r="AA530" s="198"/>
    </row>
    <row r="531" spans="1:27" s="197" customFormat="1" ht="15" customHeight="1">
      <c r="A531" s="226"/>
      <c r="B531" s="224" t="s">
        <v>984</v>
      </c>
      <c r="C531" s="312">
        <f t="shared" ref="C531:C562" si="87">C530+2*SIN(RADIANS(D531))*(G531+I531)</f>
        <v>0</v>
      </c>
      <c r="D531" s="646">
        <f t="shared" ref="D531:I531" si="88">D530</f>
        <v>0</v>
      </c>
      <c r="E531" s="645">
        <f t="shared" si="88"/>
        <v>0</v>
      </c>
      <c r="F531" s="645">
        <f t="shared" si="88"/>
        <v>0</v>
      </c>
      <c r="G531" s="645">
        <f t="shared" si="88"/>
        <v>0</v>
      </c>
      <c r="H531" s="645">
        <f t="shared" si="88"/>
        <v>0</v>
      </c>
      <c r="I531" s="646">
        <f t="shared" si="88"/>
        <v>0</v>
      </c>
      <c r="J531" s="207"/>
      <c r="K531" s="243" t="e">
        <f t="shared" si="84"/>
        <v>#DIV/0!</v>
      </c>
      <c r="L531" s="207"/>
      <c r="M531" s="207"/>
      <c r="N531" s="206"/>
      <c r="O531" s="631">
        <f>O530</f>
        <v>360</v>
      </c>
      <c r="P531" s="206" t="e">
        <f t="shared" ref="P531:P579" si="89">ROUND(K531/360*O531,0)</f>
        <v>#DIV/0!</v>
      </c>
      <c r="Q531" s="206"/>
      <c r="R531" s="206"/>
      <c r="S531" s="341" t="e">
        <f t="shared" si="85"/>
        <v>#DIV/0!</v>
      </c>
      <c r="T531" s="341" t="e">
        <f t="shared" si="86"/>
        <v>#DIV/0!</v>
      </c>
      <c r="U531" s="206"/>
      <c r="V531" s="208"/>
      <c r="W531" s="196"/>
      <c r="X531" s="152"/>
      <c r="Z531" s="198"/>
      <c r="AA531" s="198"/>
    </row>
    <row r="532" spans="1:27" s="197" customFormat="1" ht="15" customHeight="1">
      <c r="A532" s="226"/>
      <c r="B532" s="224" t="s">
        <v>393</v>
      </c>
      <c r="C532" s="312">
        <f t="shared" si="87"/>
        <v>0</v>
      </c>
      <c r="D532" s="646">
        <f t="shared" ref="D532:D579" si="90">D531</f>
        <v>0</v>
      </c>
      <c r="E532" s="645">
        <f t="shared" ref="E532:F547" si="91">E531</f>
        <v>0</v>
      </c>
      <c r="F532" s="645">
        <f t="shared" si="91"/>
        <v>0</v>
      </c>
      <c r="G532" s="645">
        <f t="shared" ref="G532:G579" si="92">G531</f>
        <v>0</v>
      </c>
      <c r="H532" s="645">
        <f t="shared" ref="H532:H579" si="93">H531</f>
        <v>0</v>
      </c>
      <c r="I532" s="646">
        <f t="shared" ref="I532:I579" si="94">I531</f>
        <v>0</v>
      </c>
      <c r="J532" s="207"/>
      <c r="K532" s="243" t="e">
        <f t="shared" si="84"/>
        <v>#DIV/0!</v>
      </c>
      <c r="L532" s="207"/>
      <c r="M532" s="207"/>
      <c r="N532" s="206"/>
      <c r="O532" s="631">
        <f t="shared" ref="O532:O579" si="95">O531</f>
        <v>360</v>
      </c>
      <c r="P532" s="206" t="e">
        <f t="shared" si="89"/>
        <v>#DIV/0!</v>
      </c>
      <c r="Q532" s="206"/>
      <c r="R532" s="206"/>
      <c r="S532" s="341" t="e">
        <f t="shared" si="85"/>
        <v>#DIV/0!</v>
      </c>
      <c r="T532" s="341" t="e">
        <f t="shared" si="86"/>
        <v>#DIV/0!</v>
      </c>
      <c r="U532" s="206"/>
      <c r="V532" s="208"/>
      <c r="W532" s="196"/>
      <c r="X532" s="152"/>
      <c r="Z532" s="198"/>
      <c r="AA532" s="198"/>
    </row>
    <row r="533" spans="1:27" s="197" customFormat="1" ht="15" customHeight="1">
      <c r="A533" s="226"/>
      <c r="B533" s="224" t="s">
        <v>394</v>
      </c>
      <c r="C533" s="312">
        <f t="shared" si="87"/>
        <v>0</v>
      </c>
      <c r="D533" s="646">
        <f t="shared" si="90"/>
        <v>0</v>
      </c>
      <c r="E533" s="645">
        <f t="shared" si="91"/>
        <v>0</v>
      </c>
      <c r="F533" s="645">
        <f t="shared" si="91"/>
        <v>0</v>
      </c>
      <c r="G533" s="645">
        <f t="shared" si="92"/>
        <v>0</v>
      </c>
      <c r="H533" s="645">
        <f t="shared" si="93"/>
        <v>0</v>
      </c>
      <c r="I533" s="646">
        <f t="shared" si="94"/>
        <v>0</v>
      </c>
      <c r="J533" s="207"/>
      <c r="K533" s="243" t="e">
        <f t="shared" si="84"/>
        <v>#DIV/0!</v>
      </c>
      <c r="L533" s="207"/>
      <c r="M533" s="207"/>
      <c r="N533" s="206"/>
      <c r="O533" s="631">
        <f t="shared" si="95"/>
        <v>360</v>
      </c>
      <c r="P533" s="206" t="e">
        <f t="shared" si="89"/>
        <v>#DIV/0!</v>
      </c>
      <c r="Q533" s="206"/>
      <c r="R533" s="206"/>
      <c r="S533" s="341" t="e">
        <f t="shared" si="85"/>
        <v>#DIV/0!</v>
      </c>
      <c r="T533" s="341" t="e">
        <f t="shared" si="86"/>
        <v>#DIV/0!</v>
      </c>
      <c r="U533" s="206"/>
      <c r="V533" s="208"/>
      <c r="W533" s="196"/>
      <c r="X533" s="152"/>
      <c r="Z533" s="198"/>
      <c r="AA533" s="198"/>
    </row>
    <row r="534" spans="1:27" s="197" customFormat="1" ht="15" customHeight="1">
      <c r="A534" s="226"/>
      <c r="B534" s="224" t="s">
        <v>395</v>
      </c>
      <c r="C534" s="312">
        <f t="shared" si="87"/>
        <v>0</v>
      </c>
      <c r="D534" s="646">
        <f t="shared" si="90"/>
        <v>0</v>
      </c>
      <c r="E534" s="645">
        <f t="shared" si="91"/>
        <v>0</v>
      </c>
      <c r="F534" s="645">
        <f t="shared" si="91"/>
        <v>0</v>
      </c>
      <c r="G534" s="645">
        <f t="shared" si="92"/>
        <v>0</v>
      </c>
      <c r="H534" s="645">
        <f t="shared" si="93"/>
        <v>0</v>
      </c>
      <c r="I534" s="646">
        <f t="shared" si="94"/>
        <v>0</v>
      </c>
      <c r="J534" s="207"/>
      <c r="K534" s="243" t="e">
        <f t="shared" si="84"/>
        <v>#DIV/0!</v>
      </c>
      <c r="L534" s="207"/>
      <c r="M534" s="207"/>
      <c r="N534" s="206"/>
      <c r="O534" s="631">
        <f t="shared" si="95"/>
        <v>360</v>
      </c>
      <c r="P534" s="206" t="e">
        <f t="shared" si="89"/>
        <v>#DIV/0!</v>
      </c>
      <c r="Q534" s="206"/>
      <c r="R534" s="206"/>
      <c r="S534" s="341" t="e">
        <f t="shared" si="85"/>
        <v>#DIV/0!</v>
      </c>
      <c r="T534" s="341" t="e">
        <f t="shared" si="86"/>
        <v>#DIV/0!</v>
      </c>
      <c r="U534" s="206"/>
      <c r="V534" s="208"/>
      <c r="W534" s="196"/>
      <c r="X534" s="152"/>
      <c r="Z534" s="198"/>
      <c r="AA534" s="198"/>
    </row>
    <row r="535" spans="1:27" s="197" customFormat="1" ht="15" customHeight="1">
      <c r="A535" s="226"/>
      <c r="B535" s="224" t="s">
        <v>396</v>
      </c>
      <c r="C535" s="312">
        <f t="shared" si="87"/>
        <v>0</v>
      </c>
      <c r="D535" s="646">
        <f t="shared" si="90"/>
        <v>0</v>
      </c>
      <c r="E535" s="645">
        <f t="shared" si="91"/>
        <v>0</v>
      </c>
      <c r="F535" s="645">
        <f t="shared" si="91"/>
        <v>0</v>
      </c>
      <c r="G535" s="645">
        <f t="shared" si="92"/>
        <v>0</v>
      </c>
      <c r="H535" s="645">
        <f t="shared" si="93"/>
        <v>0</v>
      </c>
      <c r="I535" s="646">
        <f t="shared" si="94"/>
        <v>0</v>
      </c>
      <c r="J535" s="207"/>
      <c r="K535" s="243" t="e">
        <f t="shared" si="84"/>
        <v>#DIV/0!</v>
      </c>
      <c r="L535" s="207"/>
      <c r="M535" s="207"/>
      <c r="N535" s="206"/>
      <c r="O535" s="631">
        <f t="shared" si="95"/>
        <v>360</v>
      </c>
      <c r="P535" s="206" t="e">
        <f t="shared" si="89"/>
        <v>#DIV/0!</v>
      </c>
      <c r="Q535" s="206"/>
      <c r="R535" s="206"/>
      <c r="S535" s="341" t="e">
        <f t="shared" si="85"/>
        <v>#DIV/0!</v>
      </c>
      <c r="T535" s="341" t="e">
        <f t="shared" si="86"/>
        <v>#DIV/0!</v>
      </c>
      <c r="U535" s="206"/>
      <c r="V535" s="208"/>
      <c r="W535" s="196"/>
      <c r="X535" s="152"/>
      <c r="Z535" s="198"/>
      <c r="AA535" s="198"/>
    </row>
    <row r="536" spans="1:27" s="197" customFormat="1" ht="15" customHeight="1">
      <c r="A536" s="226"/>
      <c r="B536" s="224" t="s">
        <v>397</v>
      </c>
      <c r="C536" s="312">
        <f t="shared" si="87"/>
        <v>0</v>
      </c>
      <c r="D536" s="646">
        <f t="shared" si="90"/>
        <v>0</v>
      </c>
      <c r="E536" s="645">
        <f t="shared" si="91"/>
        <v>0</v>
      </c>
      <c r="F536" s="645">
        <f t="shared" si="91"/>
        <v>0</v>
      </c>
      <c r="G536" s="645">
        <f t="shared" si="92"/>
        <v>0</v>
      </c>
      <c r="H536" s="645">
        <f t="shared" si="93"/>
        <v>0</v>
      </c>
      <c r="I536" s="646">
        <f t="shared" si="94"/>
        <v>0</v>
      </c>
      <c r="J536" s="207"/>
      <c r="K536" s="243" t="e">
        <f t="shared" si="84"/>
        <v>#DIV/0!</v>
      </c>
      <c r="L536" s="207"/>
      <c r="M536" s="207"/>
      <c r="N536" s="206"/>
      <c r="O536" s="631">
        <f t="shared" si="95"/>
        <v>360</v>
      </c>
      <c r="P536" s="206" t="e">
        <f t="shared" si="89"/>
        <v>#DIV/0!</v>
      </c>
      <c r="Q536" s="206"/>
      <c r="R536" s="206"/>
      <c r="S536" s="341" t="e">
        <f t="shared" si="85"/>
        <v>#DIV/0!</v>
      </c>
      <c r="T536" s="341" t="e">
        <f t="shared" si="86"/>
        <v>#DIV/0!</v>
      </c>
      <c r="U536" s="206"/>
      <c r="V536" s="208"/>
      <c r="W536" s="196"/>
      <c r="X536" s="152"/>
      <c r="Z536" s="198"/>
      <c r="AA536" s="198"/>
    </row>
    <row r="537" spans="1:27" s="197" customFormat="1" ht="15" customHeight="1">
      <c r="A537" s="226"/>
      <c r="B537" s="224" t="s">
        <v>398</v>
      </c>
      <c r="C537" s="312">
        <f t="shared" si="87"/>
        <v>0</v>
      </c>
      <c r="D537" s="646">
        <f t="shared" si="90"/>
        <v>0</v>
      </c>
      <c r="E537" s="645">
        <f t="shared" si="91"/>
        <v>0</v>
      </c>
      <c r="F537" s="645">
        <f t="shared" si="91"/>
        <v>0</v>
      </c>
      <c r="G537" s="645">
        <f t="shared" si="92"/>
        <v>0</v>
      </c>
      <c r="H537" s="645">
        <f t="shared" si="93"/>
        <v>0</v>
      </c>
      <c r="I537" s="646">
        <f t="shared" si="94"/>
        <v>0</v>
      </c>
      <c r="J537" s="207"/>
      <c r="K537" s="243" t="e">
        <f t="shared" si="84"/>
        <v>#DIV/0!</v>
      </c>
      <c r="L537" s="243"/>
      <c r="M537" s="243"/>
      <c r="N537" s="206"/>
      <c r="O537" s="631">
        <f t="shared" si="95"/>
        <v>360</v>
      </c>
      <c r="P537" s="206" t="e">
        <f t="shared" si="89"/>
        <v>#DIV/0!</v>
      </c>
      <c r="Q537" s="206"/>
      <c r="R537" s="206"/>
      <c r="S537" s="341" t="e">
        <f t="shared" si="85"/>
        <v>#DIV/0!</v>
      </c>
      <c r="T537" s="341" t="e">
        <f t="shared" si="86"/>
        <v>#DIV/0!</v>
      </c>
      <c r="U537" s="206"/>
      <c r="V537" s="208"/>
      <c r="W537" s="196"/>
      <c r="X537" s="152"/>
      <c r="Z537" s="198"/>
      <c r="AA537" s="198"/>
    </row>
    <row r="538" spans="1:27" s="197" customFormat="1" ht="15" customHeight="1">
      <c r="A538" s="226"/>
      <c r="B538" s="224" t="s">
        <v>399</v>
      </c>
      <c r="C538" s="312">
        <f t="shared" si="87"/>
        <v>0</v>
      </c>
      <c r="D538" s="646">
        <f t="shared" si="90"/>
        <v>0</v>
      </c>
      <c r="E538" s="645">
        <f t="shared" si="91"/>
        <v>0</v>
      </c>
      <c r="F538" s="645">
        <f t="shared" si="91"/>
        <v>0</v>
      </c>
      <c r="G538" s="645">
        <f t="shared" si="92"/>
        <v>0</v>
      </c>
      <c r="H538" s="645">
        <f t="shared" si="93"/>
        <v>0</v>
      </c>
      <c r="I538" s="646">
        <f t="shared" si="94"/>
        <v>0</v>
      </c>
      <c r="J538" s="207"/>
      <c r="K538" s="243" t="e">
        <f t="shared" si="84"/>
        <v>#DIV/0!</v>
      </c>
      <c r="L538" s="243"/>
      <c r="M538" s="243"/>
      <c r="N538" s="206"/>
      <c r="O538" s="631">
        <f t="shared" si="95"/>
        <v>360</v>
      </c>
      <c r="P538" s="206" t="e">
        <f t="shared" si="89"/>
        <v>#DIV/0!</v>
      </c>
      <c r="Q538" s="206"/>
      <c r="R538" s="206"/>
      <c r="S538" s="341" t="e">
        <f t="shared" si="85"/>
        <v>#DIV/0!</v>
      </c>
      <c r="T538" s="341" t="e">
        <f t="shared" si="86"/>
        <v>#DIV/0!</v>
      </c>
      <c r="U538" s="206"/>
      <c r="V538" s="208"/>
      <c r="W538" s="196"/>
      <c r="X538" s="152"/>
      <c r="Z538" s="198"/>
      <c r="AA538" s="198"/>
    </row>
    <row r="539" spans="1:27" s="197" customFormat="1" ht="15" customHeight="1">
      <c r="A539" s="226"/>
      <c r="B539" s="224" t="s">
        <v>400</v>
      </c>
      <c r="C539" s="312">
        <f t="shared" si="87"/>
        <v>0</v>
      </c>
      <c r="D539" s="646">
        <f t="shared" si="90"/>
        <v>0</v>
      </c>
      <c r="E539" s="645">
        <f t="shared" si="91"/>
        <v>0</v>
      </c>
      <c r="F539" s="645">
        <f t="shared" si="91"/>
        <v>0</v>
      </c>
      <c r="G539" s="645">
        <f t="shared" si="92"/>
        <v>0</v>
      </c>
      <c r="H539" s="645">
        <f t="shared" si="93"/>
        <v>0</v>
      </c>
      <c r="I539" s="646">
        <f t="shared" si="94"/>
        <v>0</v>
      </c>
      <c r="J539" s="207"/>
      <c r="K539" s="243" t="e">
        <f t="shared" si="84"/>
        <v>#DIV/0!</v>
      </c>
      <c r="L539" s="243"/>
      <c r="M539" s="243"/>
      <c r="N539" s="206"/>
      <c r="O539" s="631">
        <f t="shared" si="95"/>
        <v>360</v>
      </c>
      <c r="P539" s="206" t="e">
        <f t="shared" si="89"/>
        <v>#DIV/0!</v>
      </c>
      <c r="Q539" s="206"/>
      <c r="R539" s="206"/>
      <c r="S539" s="341" t="e">
        <f t="shared" si="85"/>
        <v>#DIV/0!</v>
      </c>
      <c r="T539" s="341" t="e">
        <f t="shared" si="86"/>
        <v>#DIV/0!</v>
      </c>
      <c r="U539" s="206"/>
      <c r="V539" s="208"/>
      <c r="W539" s="196"/>
      <c r="X539" s="152"/>
      <c r="Z539" s="198"/>
      <c r="AA539" s="198"/>
    </row>
    <row r="540" spans="1:27" s="197" customFormat="1" ht="15" customHeight="1">
      <c r="A540" s="226"/>
      <c r="B540" s="224" t="s">
        <v>401</v>
      </c>
      <c r="C540" s="312">
        <f t="shared" si="87"/>
        <v>0</v>
      </c>
      <c r="D540" s="646">
        <f t="shared" si="90"/>
        <v>0</v>
      </c>
      <c r="E540" s="645">
        <f t="shared" si="91"/>
        <v>0</v>
      </c>
      <c r="F540" s="645">
        <f t="shared" si="91"/>
        <v>0</v>
      </c>
      <c r="G540" s="645">
        <f t="shared" si="92"/>
        <v>0</v>
      </c>
      <c r="H540" s="645">
        <f t="shared" si="93"/>
        <v>0</v>
      </c>
      <c r="I540" s="646">
        <f t="shared" si="94"/>
        <v>0</v>
      </c>
      <c r="J540" s="207"/>
      <c r="K540" s="243" t="e">
        <f t="shared" si="84"/>
        <v>#DIV/0!</v>
      </c>
      <c r="L540" s="243"/>
      <c r="M540" s="243"/>
      <c r="N540" s="206"/>
      <c r="O540" s="631">
        <f t="shared" si="95"/>
        <v>360</v>
      </c>
      <c r="P540" s="206" t="e">
        <f t="shared" si="89"/>
        <v>#DIV/0!</v>
      </c>
      <c r="Q540" s="206"/>
      <c r="R540" s="206"/>
      <c r="S540" s="341" t="e">
        <f t="shared" si="85"/>
        <v>#DIV/0!</v>
      </c>
      <c r="T540" s="341" t="e">
        <f t="shared" si="86"/>
        <v>#DIV/0!</v>
      </c>
      <c r="U540" s="206"/>
      <c r="V540" s="208"/>
      <c r="W540" s="196"/>
      <c r="X540" s="152"/>
      <c r="Z540" s="198"/>
      <c r="AA540" s="198"/>
    </row>
    <row r="541" spans="1:27" s="197" customFormat="1" ht="15" customHeight="1">
      <c r="A541" s="226"/>
      <c r="B541" s="224" t="s">
        <v>402</v>
      </c>
      <c r="C541" s="312">
        <f t="shared" si="87"/>
        <v>0</v>
      </c>
      <c r="D541" s="646">
        <f t="shared" si="90"/>
        <v>0</v>
      </c>
      <c r="E541" s="645">
        <f t="shared" si="91"/>
        <v>0</v>
      </c>
      <c r="F541" s="645">
        <f t="shared" si="91"/>
        <v>0</v>
      </c>
      <c r="G541" s="645">
        <f t="shared" si="92"/>
        <v>0</v>
      </c>
      <c r="H541" s="645">
        <f t="shared" si="93"/>
        <v>0</v>
      </c>
      <c r="I541" s="646">
        <f t="shared" si="94"/>
        <v>0</v>
      </c>
      <c r="J541" s="207"/>
      <c r="K541" s="243" t="e">
        <f t="shared" si="84"/>
        <v>#DIV/0!</v>
      </c>
      <c r="L541" s="243"/>
      <c r="M541" s="243"/>
      <c r="N541" s="206"/>
      <c r="O541" s="631">
        <f t="shared" si="95"/>
        <v>360</v>
      </c>
      <c r="P541" s="206" t="e">
        <f t="shared" si="89"/>
        <v>#DIV/0!</v>
      </c>
      <c r="Q541" s="206"/>
      <c r="R541" s="206"/>
      <c r="S541" s="341" t="e">
        <f t="shared" si="85"/>
        <v>#DIV/0!</v>
      </c>
      <c r="T541" s="341" t="e">
        <f t="shared" si="86"/>
        <v>#DIV/0!</v>
      </c>
      <c r="U541" s="206"/>
      <c r="V541" s="208"/>
      <c r="W541" s="196"/>
      <c r="X541" s="152"/>
      <c r="Z541" s="198"/>
      <c r="AA541" s="198"/>
    </row>
    <row r="542" spans="1:27" s="197" customFormat="1" ht="15" customHeight="1">
      <c r="A542" s="226"/>
      <c r="B542" s="224" t="s">
        <v>403</v>
      </c>
      <c r="C542" s="312">
        <f t="shared" si="87"/>
        <v>0</v>
      </c>
      <c r="D542" s="646">
        <f t="shared" si="90"/>
        <v>0</v>
      </c>
      <c r="E542" s="645">
        <f t="shared" si="91"/>
        <v>0</v>
      </c>
      <c r="F542" s="645">
        <f t="shared" si="91"/>
        <v>0</v>
      </c>
      <c r="G542" s="645">
        <f t="shared" si="92"/>
        <v>0</v>
      </c>
      <c r="H542" s="645">
        <f t="shared" si="93"/>
        <v>0</v>
      </c>
      <c r="I542" s="646">
        <f t="shared" si="94"/>
        <v>0</v>
      </c>
      <c r="J542" s="207"/>
      <c r="K542" s="243" t="e">
        <f t="shared" si="84"/>
        <v>#DIV/0!</v>
      </c>
      <c r="L542" s="243"/>
      <c r="M542" s="243"/>
      <c r="N542" s="206"/>
      <c r="O542" s="631">
        <f t="shared" si="95"/>
        <v>360</v>
      </c>
      <c r="P542" s="206" t="e">
        <f t="shared" si="89"/>
        <v>#DIV/0!</v>
      </c>
      <c r="Q542" s="206"/>
      <c r="R542" s="206"/>
      <c r="S542" s="341" t="e">
        <f t="shared" si="85"/>
        <v>#DIV/0!</v>
      </c>
      <c r="T542" s="341" t="e">
        <f t="shared" si="86"/>
        <v>#DIV/0!</v>
      </c>
      <c r="U542" s="206"/>
      <c r="V542" s="208"/>
      <c r="W542" s="196"/>
      <c r="X542" s="152"/>
      <c r="Z542" s="198"/>
      <c r="AA542" s="198"/>
    </row>
    <row r="543" spans="1:27" s="197" customFormat="1" ht="15" customHeight="1">
      <c r="A543" s="226"/>
      <c r="B543" s="224" t="s">
        <v>404</v>
      </c>
      <c r="C543" s="312">
        <f t="shared" si="87"/>
        <v>0</v>
      </c>
      <c r="D543" s="646">
        <f t="shared" si="90"/>
        <v>0</v>
      </c>
      <c r="E543" s="645">
        <f t="shared" si="91"/>
        <v>0</v>
      </c>
      <c r="F543" s="645">
        <f t="shared" si="91"/>
        <v>0</v>
      </c>
      <c r="G543" s="645">
        <f t="shared" si="92"/>
        <v>0</v>
      </c>
      <c r="H543" s="645">
        <f t="shared" si="93"/>
        <v>0</v>
      </c>
      <c r="I543" s="646">
        <f t="shared" si="94"/>
        <v>0</v>
      </c>
      <c r="J543" s="207"/>
      <c r="K543" s="243" t="e">
        <f t="shared" si="84"/>
        <v>#DIV/0!</v>
      </c>
      <c r="L543" s="243"/>
      <c r="M543" s="243"/>
      <c r="N543" s="206"/>
      <c r="O543" s="631">
        <f t="shared" si="95"/>
        <v>360</v>
      </c>
      <c r="P543" s="206" t="e">
        <f t="shared" si="89"/>
        <v>#DIV/0!</v>
      </c>
      <c r="Q543" s="206"/>
      <c r="R543" s="206"/>
      <c r="S543" s="341" t="e">
        <f t="shared" si="85"/>
        <v>#DIV/0!</v>
      </c>
      <c r="T543" s="341" t="e">
        <f t="shared" si="86"/>
        <v>#DIV/0!</v>
      </c>
      <c r="U543" s="206"/>
      <c r="V543" s="208"/>
      <c r="W543" s="196"/>
      <c r="X543" s="152"/>
      <c r="Z543" s="198"/>
      <c r="AA543" s="198"/>
    </row>
    <row r="544" spans="1:27" s="197" customFormat="1" ht="15" customHeight="1">
      <c r="A544" s="226"/>
      <c r="B544" s="224" t="s">
        <v>405</v>
      </c>
      <c r="C544" s="312">
        <f t="shared" si="87"/>
        <v>0</v>
      </c>
      <c r="D544" s="646">
        <f t="shared" si="90"/>
        <v>0</v>
      </c>
      <c r="E544" s="645">
        <f t="shared" si="91"/>
        <v>0</v>
      </c>
      <c r="F544" s="645">
        <f t="shared" si="91"/>
        <v>0</v>
      </c>
      <c r="G544" s="645">
        <f t="shared" si="92"/>
        <v>0</v>
      </c>
      <c r="H544" s="645">
        <f t="shared" si="93"/>
        <v>0</v>
      </c>
      <c r="I544" s="646">
        <f t="shared" si="94"/>
        <v>0</v>
      </c>
      <c r="J544" s="207"/>
      <c r="K544" s="243" t="e">
        <f t="shared" si="84"/>
        <v>#DIV/0!</v>
      </c>
      <c r="L544" s="243"/>
      <c r="M544" s="243"/>
      <c r="N544" s="206"/>
      <c r="O544" s="631">
        <f t="shared" si="95"/>
        <v>360</v>
      </c>
      <c r="P544" s="206" t="e">
        <f t="shared" si="89"/>
        <v>#DIV/0!</v>
      </c>
      <c r="Q544" s="206"/>
      <c r="R544" s="206"/>
      <c r="S544" s="341" t="e">
        <f t="shared" si="85"/>
        <v>#DIV/0!</v>
      </c>
      <c r="T544" s="341" t="e">
        <f t="shared" si="86"/>
        <v>#DIV/0!</v>
      </c>
      <c r="U544" s="206"/>
      <c r="V544" s="208"/>
      <c r="W544" s="196"/>
      <c r="X544" s="152"/>
      <c r="Z544" s="198"/>
      <c r="AA544" s="198"/>
    </row>
    <row r="545" spans="1:27" s="197" customFormat="1" ht="15" customHeight="1">
      <c r="A545" s="226"/>
      <c r="B545" s="224" t="s">
        <v>406</v>
      </c>
      <c r="C545" s="312">
        <f t="shared" si="87"/>
        <v>0</v>
      </c>
      <c r="D545" s="646">
        <f t="shared" si="90"/>
        <v>0</v>
      </c>
      <c r="E545" s="645">
        <f t="shared" si="91"/>
        <v>0</v>
      </c>
      <c r="F545" s="645">
        <f t="shared" si="91"/>
        <v>0</v>
      </c>
      <c r="G545" s="645">
        <f t="shared" si="92"/>
        <v>0</v>
      </c>
      <c r="H545" s="645">
        <f t="shared" si="93"/>
        <v>0</v>
      </c>
      <c r="I545" s="646">
        <f t="shared" si="94"/>
        <v>0</v>
      </c>
      <c r="J545" s="207"/>
      <c r="K545" s="243" t="e">
        <f t="shared" si="84"/>
        <v>#DIV/0!</v>
      </c>
      <c r="L545" s="243"/>
      <c r="M545" s="243"/>
      <c r="N545" s="206"/>
      <c r="O545" s="631">
        <f t="shared" si="95"/>
        <v>360</v>
      </c>
      <c r="P545" s="206" t="e">
        <f t="shared" si="89"/>
        <v>#DIV/0!</v>
      </c>
      <c r="Q545" s="206"/>
      <c r="R545" s="206"/>
      <c r="S545" s="341" t="e">
        <f t="shared" si="85"/>
        <v>#DIV/0!</v>
      </c>
      <c r="T545" s="341" t="e">
        <f t="shared" si="86"/>
        <v>#DIV/0!</v>
      </c>
      <c r="U545" s="206"/>
      <c r="V545" s="208"/>
      <c r="W545" s="196"/>
      <c r="X545" s="152"/>
      <c r="Z545" s="198"/>
      <c r="AA545" s="198"/>
    </row>
    <row r="546" spans="1:27" s="197" customFormat="1" ht="15" customHeight="1">
      <c r="A546" s="226"/>
      <c r="B546" s="224" t="s">
        <v>407</v>
      </c>
      <c r="C546" s="312">
        <f t="shared" si="87"/>
        <v>0</v>
      </c>
      <c r="D546" s="646">
        <f t="shared" si="90"/>
        <v>0</v>
      </c>
      <c r="E546" s="645">
        <f t="shared" si="91"/>
        <v>0</v>
      </c>
      <c r="F546" s="645">
        <f t="shared" si="91"/>
        <v>0</v>
      </c>
      <c r="G546" s="645">
        <f t="shared" si="92"/>
        <v>0</v>
      </c>
      <c r="H546" s="645">
        <f t="shared" si="93"/>
        <v>0</v>
      </c>
      <c r="I546" s="646">
        <f t="shared" si="94"/>
        <v>0</v>
      </c>
      <c r="J546" s="207"/>
      <c r="K546" s="243" t="e">
        <f t="shared" si="84"/>
        <v>#DIV/0!</v>
      </c>
      <c r="L546" s="243"/>
      <c r="M546" s="243"/>
      <c r="N546" s="206"/>
      <c r="O546" s="631">
        <f t="shared" si="95"/>
        <v>360</v>
      </c>
      <c r="P546" s="206" t="e">
        <f t="shared" si="89"/>
        <v>#DIV/0!</v>
      </c>
      <c r="Q546" s="206"/>
      <c r="R546" s="206"/>
      <c r="S546" s="341" t="e">
        <f t="shared" si="85"/>
        <v>#DIV/0!</v>
      </c>
      <c r="T546" s="341" t="e">
        <f t="shared" si="86"/>
        <v>#DIV/0!</v>
      </c>
      <c r="U546" s="206"/>
      <c r="V546" s="208"/>
      <c r="W546" s="196"/>
      <c r="X546" s="152"/>
      <c r="Z546" s="198"/>
      <c r="AA546" s="198"/>
    </row>
    <row r="547" spans="1:27" s="197" customFormat="1" ht="15" customHeight="1">
      <c r="A547" s="226"/>
      <c r="B547" s="224" t="s">
        <v>408</v>
      </c>
      <c r="C547" s="312">
        <f t="shared" si="87"/>
        <v>0</v>
      </c>
      <c r="D547" s="646">
        <f t="shared" si="90"/>
        <v>0</v>
      </c>
      <c r="E547" s="645">
        <f t="shared" si="91"/>
        <v>0</v>
      </c>
      <c r="F547" s="645">
        <f t="shared" si="91"/>
        <v>0</v>
      </c>
      <c r="G547" s="645">
        <f t="shared" si="92"/>
        <v>0</v>
      </c>
      <c r="H547" s="645">
        <f t="shared" si="93"/>
        <v>0</v>
      </c>
      <c r="I547" s="646">
        <f t="shared" si="94"/>
        <v>0</v>
      </c>
      <c r="J547" s="207"/>
      <c r="K547" s="243" t="e">
        <f t="shared" si="84"/>
        <v>#DIV/0!</v>
      </c>
      <c r="L547" s="243"/>
      <c r="M547" s="243"/>
      <c r="N547" s="206"/>
      <c r="O547" s="631">
        <f t="shared" si="95"/>
        <v>360</v>
      </c>
      <c r="P547" s="206" t="e">
        <f t="shared" si="89"/>
        <v>#DIV/0!</v>
      </c>
      <c r="Q547" s="206"/>
      <c r="R547" s="206"/>
      <c r="S547" s="341" t="e">
        <f t="shared" si="85"/>
        <v>#DIV/0!</v>
      </c>
      <c r="T547" s="341" t="e">
        <f t="shared" si="86"/>
        <v>#DIV/0!</v>
      </c>
      <c r="U547" s="206"/>
      <c r="V547" s="208"/>
      <c r="W547" s="196"/>
      <c r="X547" s="152"/>
      <c r="Z547" s="198"/>
      <c r="AA547" s="198"/>
    </row>
    <row r="548" spans="1:27" s="197" customFormat="1" ht="15" customHeight="1">
      <c r="A548" s="226"/>
      <c r="B548" s="224" t="s">
        <v>409</v>
      </c>
      <c r="C548" s="312">
        <f t="shared" si="87"/>
        <v>0</v>
      </c>
      <c r="D548" s="646">
        <f t="shared" si="90"/>
        <v>0</v>
      </c>
      <c r="E548" s="645">
        <f t="shared" ref="E548:F563" si="96">E547</f>
        <v>0</v>
      </c>
      <c r="F548" s="645">
        <f t="shared" si="96"/>
        <v>0</v>
      </c>
      <c r="G548" s="645">
        <f t="shared" si="92"/>
        <v>0</v>
      </c>
      <c r="H548" s="645">
        <f t="shared" si="93"/>
        <v>0</v>
      </c>
      <c r="I548" s="646">
        <f t="shared" si="94"/>
        <v>0</v>
      </c>
      <c r="J548" s="207"/>
      <c r="K548" s="243" t="e">
        <f t="shared" si="84"/>
        <v>#DIV/0!</v>
      </c>
      <c r="L548" s="243"/>
      <c r="M548" s="243"/>
      <c r="N548" s="206"/>
      <c r="O548" s="631">
        <f t="shared" si="95"/>
        <v>360</v>
      </c>
      <c r="P548" s="206" t="e">
        <f t="shared" si="89"/>
        <v>#DIV/0!</v>
      </c>
      <c r="Q548" s="206"/>
      <c r="R548" s="206"/>
      <c r="S548" s="341" t="e">
        <f t="shared" si="85"/>
        <v>#DIV/0!</v>
      </c>
      <c r="T548" s="341" t="e">
        <f t="shared" si="86"/>
        <v>#DIV/0!</v>
      </c>
      <c r="U548" s="206"/>
      <c r="V548" s="208"/>
      <c r="W548" s="196"/>
      <c r="X548" s="152"/>
      <c r="Z548" s="198"/>
      <c r="AA548" s="198"/>
    </row>
    <row r="549" spans="1:27" s="197" customFormat="1" ht="15" customHeight="1">
      <c r="A549" s="226"/>
      <c r="B549" s="224" t="s">
        <v>410</v>
      </c>
      <c r="C549" s="312">
        <f t="shared" si="87"/>
        <v>0</v>
      </c>
      <c r="D549" s="646">
        <f t="shared" si="90"/>
        <v>0</v>
      </c>
      <c r="E549" s="645">
        <f t="shared" si="96"/>
        <v>0</v>
      </c>
      <c r="F549" s="645">
        <f t="shared" si="96"/>
        <v>0</v>
      </c>
      <c r="G549" s="645">
        <f t="shared" si="92"/>
        <v>0</v>
      </c>
      <c r="H549" s="645">
        <f t="shared" si="93"/>
        <v>0</v>
      </c>
      <c r="I549" s="646">
        <f t="shared" si="94"/>
        <v>0</v>
      </c>
      <c r="J549" s="207"/>
      <c r="K549" s="243" t="e">
        <f t="shared" si="84"/>
        <v>#DIV/0!</v>
      </c>
      <c r="L549" s="243"/>
      <c r="M549" s="243"/>
      <c r="N549" s="206"/>
      <c r="O549" s="631">
        <f t="shared" si="95"/>
        <v>360</v>
      </c>
      <c r="P549" s="206" t="e">
        <f t="shared" si="89"/>
        <v>#DIV/0!</v>
      </c>
      <c r="Q549" s="206"/>
      <c r="R549" s="206"/>
      <c r="S549" s="341" t="e">
        <f t="shared" si="85"/>
        <v>#DIV/0!</v>
      </c>
      <c r="T549" s="341" t="e">
        <f t="shared" si="86"/>
        <v>#DIV/0!</v>
      </c>
      <c r="U549" s="206"/>
      <c r="V549" s="208"/>
      <c r="W549" s="196"/>
      <c r="X549" s="152"/>
      <c r="Z549" s="198"/>
      <c r="AA549" s="198"/>
    </row>
    <row r="550" spans="1:27" s="197" customFormat="1" ht="15" customHeight="1">
      <c r="A550" s="226"/>
      <c r="B550" s="224" t="s">
        <v>411</v>
      </c>
      <c r="C550" s="312">
        <f t="shared" si="87"/>
        <v>0</v>
      </c>
      <c r="D550" s="646">
        <f t="shared" si="90"/>
        <v>0</v>
      </c>
      <c r="E550" s="645">
        <f t="shared" si="96"/>
        <v>0</v>
      </c>
      <c r="F550" s="645">
        <f t="shared" si="96"/>
        <v>0</v>
      </c>
      <c r="G550" s="645">
        <f t="shared" si="92"/>
        <v>0</v>
      </c>
      <c r="H550" s="645">
        <f t="shared" si="93"/>
        <v>0</v>
      </c>
      <c r="I550" s="646">
        <f t="shared" si="94"/>
        <v>0</v>
      </c>
      <c r="J550" s="207"/>
      <c r="K550" s="243" t="e">
        <f t="shared" si="84"/>
        <v>#DIV/0!</v>
      </c>
      <c r="L550" s="243"/>
      <c r="M550" s="243"/>
      <c r="N550" s="206"/>
      <c r="O550" s="631">
        <f t="shared" si="95"/>
        <v>360</v>
      </c>
      <c r="P550" s="206" t="e">
        <f t="shared" si="89"/>
        <v>#DIV/0!</v>
      </c>
      <c r="Q550" s="206"/>
      <c r="R550" s="206"/>
      <c r="S550" s="341" t="e">
        <f t="shared" si="85"/>
        <v>#DIV/0!</v>
      </c>
      <c r="T550" s="341" t="e">
        <f t="shared" si="86"/>
        <v>#DIV/0!</v>
      </c>
      <c r="U550" s="206"/>
      <c r="V550" s="208"/>
      <c r="W550" s="196"/>
      <c r="X550" s="152"/>
      <c r="Z550" s="198"/>
      <c r="AA550" s="198"/>
    </row>
    <row r="551" spans="1:27" s="197" customFormat="1" ht="15" customHeight="1">
      <c r="A551" s="226"/>
      <c r="B551" s="224" t="s">
        <v>412</v>
      </c>
      <c r="C551" s="312">
        <f t="shared" si="87"/>
        <v>0</v>
      </c>
      <c r="D551" s="646">
        <f t="shared" si="90"/>
        <v>0</v>
      </c>
      <c r="E551" s="645">
        <f t="shared" si="96"/>
        <v>0</v>
      </c>
      <c r="F551" s="645">
        <f t="shared" si="96"/>
        <v>0</v>
      </c>
      <c r="G551" s="645">
        <f t="shared" si="92"/>
        <v>0</v>
      </c>
      <c r="H551" s="645">
        <f t="shared" si="93"/>
        <v>0</v>
      </c>
      <c r="I551" s="646">
        <f t="shared" si="94"/>
        <v>0</v>
      </c>
      <c r="J551" s="207"/>
      <c r="K551" s="243" t="e">
        <f t="shared" si="84"/>
        <v>#DIV/0!</v>
      </c>
      <c r="L551" s="243"/>
      <c r="M551" s="243"/>
      <c r="N551" s="206"/>
      <c r="O551" s="631">
        <f t="shared" si="95"/>
        <v>360</v>
      </c>
      <c r="P551" s="206" t="e">
        <f t="shared" si="89"/>
        <v>#DIV/0!</v>
      </c>
      <c r="Q551" s="206"/>
      <c r="R551" s="206"/>
      <c r="S551" s="341" t="e">
        <f t="shared" si="85"/>
        <v>#DIV/0!</v>
      </c>
      <c r="T551" s="341" t="e">
        <f t="shared" si="86"/>
        <v>#DIV/0!</v>
      </c>
      <c r="U551" s="206"/>
      <c r="V551" s="208"/>
      <c r="W551" s="196"/>
      <c r="X551" s="152"/>
      <c r="Z551" s="198"/>
      <c r="AA551" s="198"/>
    </row>
    <row r="552" spans="1:27" s="197" customFormat="1" ht="15" customHeight="1">
      <c r="A552" s="226"/>
      <c r="B552" s="224" t="s">
        <v>413</v>
      </c>
      <c r="C552" s="312">
        <f t="shared" si="87"/>
        <v>0</v>
      </c>
      <c r="D552" s="646">
        <f t="shared" si="90"/>
        <v>0</v>
      </c>
      <c r="E552" s="645">
        <f t="shared" si="96"/>
        <v>0</v>
      </c>
      <c r="F552" s="645">
        <f t="shared" si="96"/>
        <v>0</v>
      </c>
      <c r="G552" s="645">
        <f t="shared" si="92"/>
        <v>0</v>
      </c>
      <c r="H552" s="645">
        <f t="shared" si="93"/>
        <v>0</v>
      </c>
      <c r="I552" s="646">
        <f t="shared" si="94"/>
        <v>0</v>
      </c>
      <c r="J552" s="207"/>
      <c r="K552" s="243" t="e">
        <f t="shared" si="84"/>
        <v>#DIV/0!</v>
      </c>
      <c r="L552" s="243"/>
      <c r="M552" s="243"/>
      <c r="N552" s="206"/>
      <c r="O552" s="631">
        <f t="shared" si="95"/>
        <v>360</v>
      </c>
      <c r="P552" s="206" t="e">
        <f t="shared" si="89"/>
        <v>#DIV/0!</v>
      </c>
      <c r="Q552" s="206"/>
      <c r="R552" s="206"/>
      <c r="S552" s="341" t="e">
        <f t="shared" si="85"/>
        <v>#DIV/0!</v>
      </c>
      <c r="T552" s="341" t="e">
        <f t="shared" si="86"/>
        <v>#DIV/0!</v>
      </c>
      <c r="U552" s="206"/>
      <c r="V552" s="208"/>
      <c r="W552" s="196"/>
      <c r="X552" s="152"/>
      <c r="Z552" s="198"/>
      <c r="AA552" s="198"/>
    </row>
    <row r="553" spans="1:27" s="197" customFormat="1" ht="15" customHeight="1">
      <c r="A553" s="226"/>
      <c r="B553" s="224" t="s">
        <v>414</v>
      </c>
      <c r="C553" s="312">
        <f t="shared" si="87"/>
        <v>0</v>
      </c>
      <c r="D553" s="646">
        <f t="shared" si="90"/>
        <v>0</v>
      </c>
      <c r="E553" s="645">
        <f t="shared" si="96"/>
        <v>0</v>
      </c>
      <c r="F553" s="645">
        <f t="shared" si="96"/>
        <v>0</v>
      </c>
      <c r="G553" s="645">
        <f t="shared" si="92"/>
        <v>0</v>
      </c>
      <c r="H553" s="645">
        <f t="shared" si="93"/>
        <v>0</v>
      </c>
      <c r="I553" s="646">
        <f t="shared" si="94"/>
        <v>0</v>
      </c>
      <c r="J553" s="207"/>
      <c r="K553" s="243" t="e">
        <f t="shared" si="84"/>
        <v>#DIV/0!</v>
      </c>
      <c r="L553" s="243"/>
      <c r="M553" s="243"/>
      <c r="N553" s="206"/>
      <c r="O553" s="631">
        <f t="shared" si="95"/>
        <v>360</v>
      </c>
      <c r="P553" s="206" t="e">
        <f t="shared" si="89"/>
        <v>#DIV/0!</v>
      </c>
      <c r="Q553" s="206"/>
      <c r="R553" s="206"/>
      <c r="S553" s="341" t="e">
        <f t="shared" si="85"/>
        <v>#DIV/0!</v>
      </c>
      <c r="T553" s="341" t="e">
        <f t="shared" si="86"/>
        <v>#DIV/0!</v>
      </c>
      <c r="U553" s="206"/>
      <c r="V553" s="208"/>
      <c r="W553" s="196"/>
      <c r="X553" s="152"/>
      <c r="Z553" s="198"/>
      <c r="AA553" s="198"/>
    </row>
    <row r="554" spans="1:27" s="197" customFormat="1" ht="15" customHeight="1">
      <c r="A554" s="226"/>
      <c r="B554" s="224" t="s">
        <v>415</v>
      </c>
      <c r="C554" s="312">
        <f t="shared" si="87"/>
        <v>0</v>
      </c>
      <c r="D554" s="646">
        <f t="shared" si="90"/>
        <v>0</v>
      </c>
      <c r="E554" s="645">
        <f t="shared" si="96"/>
        <v>0</v>
      </c>
      <c r="F554" s="645">
        <f t="shared" si="96"/>
        <v>0</v>
      </c>
      <c r="G554" s="645">
        <f t="shared" si="92"/>
        <v>0</v>
      </c>
      <c r="H554" s="645">
        <f t="shared" si="93"/>
        <v>0</v>
      </c>
      <c r="I554" s="646">
        <f t="shared" si="94"/>
        <v>0</v>
      </c>
      <c r="J554" s="207"/>
      <c r="K554" s="243" t="e">
        <f t="shared" si="84"/>
        <v>#DIV/0!</v>
      </c>
      <c r="L554" s="243"/>
      <c r="M554" s="243"/>
      <c r="N554" s="206"/>
      <c r="O554" s="631">
        <f t="shared" si="95"/>
        <v>360</v>
      </c>
      <c r="P554" s="206" t="e">
        <f t="shared" si="89"/>
        <v>#DIV/0!</v>
      </c>
      <c r="Q554" s="206"/>
      <c r="R554" s="206"/>
      <c r="S554" s="341" t="e">
        <f t="shared" si="85"/>
        <v>#DIV/0!</v>
      </c>
      <c r="T554" s="341" t="e">
        <f t="shared" si="86"/>
        <v>#DIV/0!</v>
      </c>
      <c r="U554" s="206"/>
      <c r="V554" s="208"/>
      <c r="W554" s="196"/>
      <c r="X554" s="152"/>
      <c r="Z554" s="198"/>
      <c r="AA554" s="198"/>
    </row>
    <row r="555" spans="1:27" s="197" customFormat="1" ht="15" customHeight="1">
      <c r="A555" s="226"/>
      <c r="B555" s="224" t="s">
        <v>416</v>
      </c>
      <c r="C555" s="312">
        <f t="shared" si="87"/>
        <v>0</v>
      </c>
      <c r="D555" s="646">
        <f t="shared" si="90"/>
        <v>0</v>
      </c>
      <c r="E555" s="645">
        <f t="shared" si="96"/>
        <v>0</v>
      </c>
      <c r="F555" s="645">
        <f t="shared" si="96"/>
        <v>0</v>
      </c>
      <c r="G555" s="645">
        <f t="shared" si="92"/>
        <v>0</v>
      </c>
      <c r="H555" s="645">
        <f t="shared" si="93"/>
        <v>0</v>
      </c>
      <c r="I555" s="646">
        <f t="shared" si="94"/>
        <v>0</v>
      </c>
      <c r="J555" s="207"/>
      <c r="K555" s="243" t="e">
        <f t="shared" si="84"/>
        <v>#DIV/0!</v>
      </c>
      <c r="L555" s="243"/>
      <c r="M555" s="243"/>
      <c r="N555" s="206"/>
      <c r="O555" s="631">
        <f t="shared" si="95"/>
        <v>360</v>
      </c>
      <c r="P555" s="206" t="e">
        <f t="shared" si="89"/>
        <v>#DIV/0!</v>
      </c>
      <c r="Q555" s="206"/>
      <c r="R555" s="206"/>
      <c r="S555" s="341" t="e">
        <f t="shared" si="85"/>
        <v>#DIV/0!</v>
      </c>
      <c r="T555" s="341" t="e">
        <f t="shared" si="86"/>
        <v>#DIV/0!</v>
      </c>
      <c r="U555" s="206"/>
      <c r="V555" s="208"/>
      <c r="W555" s="196"/>
      <c r="X555" s="152"/>
      <c r="Z555" s="198"/>
      <c r="AA555" s="198"/>
    </row>
    <row r="556" spans="1:27" s="197" customFormat="1" ht="15" customHeight="1">
      <c r="A556" s="226"/>
      <c r="B556" s="224" t="s">
        <v>417</v>
      </c>
      <c r="C556" s="312">
        <f t="shared" si="87"/>
        <v>0</v>
      </c>
      <c r="D556" s="646">
        <f t="shared" si="90"/>
        <v>0</v>
      </c>
      <c r="E556" s="645">
        <f t="shared" si="96"/>
        <v>0</v>
      </c>
      <c r="F556" s="645">
        <f t="shared" si="96"/>
        <v>0</v>
      </c>
      <c r="G556" s="645">
        <f t="shared" si="92"/>
        <v>0</v>
      </c>
      <c r="H556" s="645">
        <f t="shared" si="93"/>
        <v>0</v>
      </c>
      <c r="I556" s="646">
        <f t="shared" si="94"/>
        <v>0</v>
      </c>
      <c r="J556" s="207"/>
      <c r="K556" s="243" t="e">
        <f t="shared" si="84"/>
        <v>#DIV/0!</v>
      </c>
      <c r="L556" s="243"/>
      <c r="M556" s="243"/>
      <c r="N556" s="206"/>
      <c r="O556" s="631">
        <f t="shared" si="95"/>
        <v>360</v>
      </c>
      <c r="P556" s="206" t="e">
        <f t="shared" si="89"/>
        <v>#DIV/0!</v>
      </c>
      <c r="Q556" s="206"/>
      <c r="R556" s="206"/>
      <c r="S556" s="341" t="e">
        <f t="shared" si="85"/>
        <v>#DIV/0!</v>
      </c>
      <c r="T556" s="341" t="e">
        <f t="shared" si="86"/>
        <v>#DIV/0!</v>
      </c>
      <c r="U556" s="206"/>
      <c r="V556" s="208"/>
      <c r="W556" s="196"/>
      <c r="X556" s="152"/>
      <c r="Z556" s="198"/>
      <c r="AA556" s="198"/>
    </row>
    <row r="557" spans="1:27" s="197" customFormat="1" ht="15" customHeight="1">
      <c r="A557" s="226"/>
      <c r="B557" s="224" t="s">
        <v>418</v>
      </c>
      <c r="C557" s="312">
        <f t="shared" si="87"/>
        <v>0</v>
      </c>
      <c r="D557" s="646">
        <f t="shared" si="90"/>
        <v>0</v>
      </c>
      <c r="E557" s="645">
        <f t="shared" si="96"/>
        <v>0</v>
      </c>
      <c r="F557" s="645">
        <f t="shared" si="96"/>
        <v>0</v>
      </c>
      <c r="G557" s="645">
        <f t="shared" si="92"/>
        <v>0</v>
      </c>
      <c r="H557" s="645">
        <f t="shared" si="93"/>
        <v>0</v>
      </c>
      <c r="I557" s="646">
        <f t="shared" si="94"/>
        <v>0</v>
      </c>
      <c r="J557" s="207"/>
      <c r="K557" s="243" t="e">
        <f t="shared" si="84"/>
        <v>#DIV/0!</v>
      </c>
      <c r="L557" s="243"/>
      <c r="M557" s="243"/>
      <c r="N557" s="206"/>
      <c r="O557" s="631">
        <f t="shared" si="95"/>
        <v>360</v>
      </c>
      <c r="P557" s="206" t="e">
        <f t="shared" si="89"/>
        <v>#DIV/0!</v>
      </c>
      <c r="Q557" s="206"/>
      <c r="R557" s="206"/>
      <c r="S557" s="341" t="e">
        <f t="shared" si="85"/>
        <v>#DIV/0!</v>
      </c>
      <c r="T557" s="341" t="e">
        <f t="shared" si="86"/>
        <v>#DIV/0!</v>
      </c>
      <c r="U557" s="206"/>
      <c r="V557" s="208"/>
      <c r="W557" s="196"/>
      <c r="X557" s="152"/>
      <c r="Z557" s="198"/>
      <c r="AA557" s="198"/>
    </row>
    <row r="558" spans="1:27" s="197" customFormat="1" ht="15" customHeight="1">
      <c r="A558" s="226"/>
      <c r="B558" s="224" t="s">
        <v>419</v>
      </c>
      <c r="C558" s="312">
        <f t="shared" si="87"/>
        <v>0</v>
      </c>
      <c r="D558" s="646">
        <f t="shared" si="90"/>
        <v>0</v>
      </c>
      <c r="E558" s="645">
        <f t="shared" si="96"/>
        <v>0</v>
      </c>
      <c r="F558" s="645">
        <f t="shared" si="96"/>
        <v>0</v>
      </c>
      <c r="G558" s="645">
        <f t="shared" si="92"/>
        <v>0</v>
      </c>
      <c r="H558" s="645">
        <f t="shared" si="93"/>
        <v>0</v>
      </c>
      <c r="I558" s="646">
        <f t="shared" si="94"/>
        <v>0</v>
      </c>
      <c r="J558" s="207"/>
      <c r="K558" s="243" t="e">
        <f t="shared" si="84"/>
        <v>#DIV/0!</v>
      </c>
      <c r="L558" s="243"/>
      <c r="M558" s="243"/>
      <c r="N558" s="206"/>
      <c r="O558" s="631">
        <f t="shared" si="95"/>
        <v>360</v>
      </c>
      <c r="P558" s="206" t="e">
        <f t="shared" si="89"/>
        <v>#DIV/0!</v>
      </c>
      <c r="Q558" s="206"/>
      <c r="R558" s="206"/>
      <c r="S558" s="341" t="e">
        <f t="shared" si="85"/>
        <v>#DIV/0!</v>
      </c>
      <c r="T558" s="341" t="e">
        <f t="shared" si="86"/>
        <v>#DIV/0!</v>
      </c>
      <c r="U558" s="206"/>
      <c r="V558" s="208"/>
      <c r="W558" s="196"/>
      <c r="X558" s="152"/>
      <c r="Z558" s="198"/>
      <c r="AA558" s="198"/>
    </row>
    <row r="559" spans="1:27" s="197" customFormat="1" ht="15" customHeight="1">
      <c r="A559" s="226"/>
      <c r="B559" s="224" t="s">
        <v>420</v>
      </c>
      <c r="C559" s="312">
        <f t="shared" si="87"/>
        <v>0</v>
      </c>
      <c r="D559" s="646">
        <f t="shared" si="90"/>
        <v>0</v>
      </c>
      <c r="E559" s="645">
        <f t="shared" si="96"/>
        <v>0</v>
      </c>
      <c r="F559" s="645">
        <f t="shared" si="96"/>
        <v>0</v>
      </c>
      <c r="G559" s="645">
        <f t="shared" si="92"/>
        <v>0</v>
      </c>
      <c r="H559" s="645">
        <f t="shared" si="93"/>
        <v>0</v>
      </c>
      <c r="I559" s="646">
        <f t="shared" si="94"/>
        <v>0</v>
      </c>
      <c r="J559" s="207"/>
      <c r="K559" s="243" t="e">
        <f t="shared" si="84"/>
        <v>#DIV/0!</v>
      </c>
      <c r="L559" s="243"/>
      <c r="M559" s="243"/>
      <c r="N559" s="206"/>
      <c r="O559" s="631">
        <f t="shared" si="95"/>
        <v>360</v>
      </c>
      <c r="P559" s="206" t="e">
        <f t="shared" si="89"/>
        <v>#DIV/0!</v>
      </c>
      <c r="Q559" s="206"/>
      <c r="R559" s="206"/>
      <c r="S559" s="341" t="e">
        <f t="shared" si="85"/>
        <v>#DIV/0!</v>
      </c>
      <c r="T559" s="341" t="e">
        <f t="shared" si="86"/>
        <v>#DIV/0!</v>
      </c>
      <c r="U559" s="206"/>
      <c r="V559" s="208"/>
      <c r="W559" s="196"/>
      <c r="X559" s="152"/>
      <c r="Z559" s="198"/>
      <c r="AA559" s="198"/>
    </row>
    <row r="560" spans="1:27" s="197" customFormat="1" ht="15" customHeight="1">
      <c r="A560" s="226"/>
      <c r="B560" s="224" t="s">
        <v>990</v>
      </c>
      <c r="C560" s="312">
        <f t="shared" si="87"/>
        <v>0</v>
      </c>
      <c r="D560" s="646">
        <f t="shared" si="90"/>
        <v>0</v>
      </c>
      <c r="E560" s="645">
        <f t="shared" si="96"/>
        <v>0</v>
      </c>
      <c r="F560" s="645">
        <f t="shared" si="96"/>
        <v>0</v>
      </c>
      <c r="G560" s="645">
        <f t="shared" si="92"/>
        <v>0</v>
      </c>
      <c r="H560" s="645">
        <f t="shared" si="93"/>
        <v>0</v>
      </c>
      <c r="I560" s="646">
        <f t="shared" si="94"/>
        <v>0</v>
      </c>
      <c r="J560" s="207"/>
      <c r="K560" s="243" t="e">
        <f t="shared" si="84"/>
        <v>#DIV/0!</v>
      </c>
      <c r="L560" s="243"/>
      <c r="M560" s="243"/>
      <c r="N560" s="206"/>
      <c r="O560" s="631">
        <f t="shared" si="95"/>
        <v>360</v>
      </c>
      <c r="P560" s="206" t="e">
        <f t="shared" si="89"/>
        <v>#DIV/0!</v>
      </c>
      <c r="Q560" s="206"/>
      <c r="R560" s="206"/>
      <c r="S560" s="341" t="e">
        <f t="shared" si="85"/>
        <v>#DIV/0!</v>
      </c>
      <c r="T560" s="341" t="e">
        <f t="shared" si="86"/>
        <v>#DIV/0!</v>
      </c>
      <c r="U560" s="206"/>
      <c r="V560" s="208"/>
      <c r="W560" s="196"/>
      <c r="X560" s="152"/>
      <c r="Z560" s="198"/>
      <c r="AA560" s="198"/>
    </row>
    <row r="561" spans="1:27" s="197" customFormat="1" ht="15" customHeight="1">
      <c r="A561" s="226"/>
      <c r="B561" s="224" t="s">
        <v>991</v>
      </c>
      <c r="C561" s="312">
        <f t="shared" si="87"/>
        <v>0</v>
      </c>
      <c r="D561" s="646">
        <f t="shared" si="90"/>
        <v>0</v>
      </c>
      <c r="E561" s="645">
        <f t="shared" si="96"/>
        <v>0</v>
      </c>
      <c r="F561" s="645">
        <f t="shared" si="96"/>
        <v>0</v>
      </c>
      <c r="G561" s="645">
        <f t="shared" si="92"/>
        <v>0</v>
      </c>
      <c r="H561" s="645">
        <f t="shared" si="93"/>
        <v>0</v>
      </c>
      <c r="I561" s="646">
        <f t="shared" si="94"/>
        <v>0</v>
      </c>
      <c r="J561" s="207"/>
      <c r="K561" s="243" t="e">
        <f t="shared" si="84"/>
        <v>#DIV/0!</v>
      </c>
      <c r="L561" s="243"/>
      <c r="M561" s="243"/>
      <c r="N561" s="206"/>
      <c r="O561" s="631">
        <f t="shared" si="95"/>
        <v>360</v>
      </c>
      <c r="P561" s="206" t="e">
        <f t="shared" si="89"/>
        <v>#DIV/0!</v>
      </c>
      <c r="Q561" s="206"/>
      <c r="R561" s="206"/>
      <c r="S561" s="341" t="e">
        <f t="shared" si="85"/>
        <v>#DIV/0!</v>
      </c>
      <c r="T561" s="341" t="e">
        <f t="shared" si="86"/>
        <v>#DIV/0!</v>
      </c>
      <c r="U561" s="206"/>
      <c r="V561" s="208"/>
      <c r="W561" s="196"/>
      <c r="X561" s="152"/>
      <c r="Z561" s="198"/>
      <c r="AA561" s="198"/>
    </row>
    <row r="562" spans="1:27" s="197" customFormat="1" ht="15" customHeight="1">
      <c r="A562" s="226"/>
      <c r="B562" s="224" t="s">
        <v>992</v>
      </c>
      <c r="C562" s="312">
        <f t="shared" si="87"/>
        <v>0</v>
      </c>
      <c r="D562" s="646">
        <f t="shared" si="90"/>
        <v>0</v>
      </c>
      <c r="E562" s="645">
        <f t="shared" si="96"/>
        <v>0</v>
      </c>
      <c r="F562" s="645">
        <f t="shared" si="96"/>
        <v>0</v>
      </c>
      <c r="G562" s="645">
        <f t="shared" si="92"/>
        <v>0</v>
      </c>
      <c r="H562" s="645">
        <f t="shared" si="93"/>
        <v>0</v>
      </c>
      <c r="I562" s="646">
        <f t="shared" si="94"/>
        <v>0</v>
      </c>
      <c r="J562" s="207"/>
      <c r="K562" s="243" t="e">
        <f t="shared" ref="K562:K579" si="97">C562*PI()/(E562+I562)</f>
        <v>#DIV/0!</v>
      </c>
      <c r="L562" s="243"/>
      <c r="M562" s="243"/>
      <c r="N562" s="206"/>
      <c r="O562" s="631">
        <f t="shared" si="95"/>
        <v>360</v>
      </c>
      <c r="P562" s="206" t="e">
        <f t="shared" si="89"/>
        <v>#DIV/0!</v>
      </c>
      <c r="Q562" s="206"/>
      <c r="R562" s="206"/>
      <c r="S562" s="341" t="e">
        <f t="shared" ref="S562:S579" si="98">((E562+I562)*K562)-C562*PI()</f>
        <v>#DIV/0!</v>
      </c>
      <c r="T562" s="341" t="e">
        <f t="shared" ref="T562:T579" si="99">(((F562+I562)*K562)-(C562-(H562*2))*PI())/K562</f>
        <v>#DIV/0!</v>
      </c>
      <c r="U562" s="206"/>
      <c r="V562" s="208"/>
      <c r="W562" s="196"/>
      <c r="X562" s="152"/>
      <c r="Z562" s="198"/>
      <c r="AA562" s="198"/>
    </row>
    <row r="563" spans="1:27" s="197" customFormat="1" ht="15" customHeight="1">
      <c r="A563" s="226"/>
      <c r="B563" s="224" t="s">
        <v>993</v>
      </c>
      <c r="C563" s="312">
        <f t="shared" ref="C563:C579" si="100">C562+2*SIN(RADIANS(D563))*(G563+I563)</f>
        <v>0</v>
      </c>
      <c r="D563" s="646">
        <f t="shared" si="90"/>
        <v>0</v>
      </c>
      <c r="E563" s="645">
        <f t="shared" si="96"/>
        <v>0</v>
      </c>
      <c r="F563" s="645">
        <f t="shared" si="96"/>
        <v>0</v>
      </c>
      <c r="G563" s="645">
        <f t="shared" si="92"/>
        <v>0</v>
      </c>
      <c r="H563" s="645">
        <f t="shared" si="93"/>
        <v>0</v>
      </c>
      <c r="I563" s="646">
        <f t="shared" si="94"/>
        <v>0</v>
      </c>
      <c r="J563" s="207"/>
      <c r="K563" s="243" t="e">
        <f t="shared" si="97"/>
        <v>#DIV/0!</v>
      </c>
      <c r="L563" s="243"/>
      <c r="M563" s="243"/>
      <c r="N563" s="206"/>
      <c r="O563" s="631">
        <f t="shared" si="95"/>
        <v>360</v>
      </c>
      <c r="P563" s="206" t="e">
        <f t="shared" si="89"/>
        <v>#DIV/0!</v>
      </c>
      <c r="Q563" s="206"/>
      <c r="R563" s="206"/>
      <c r="S563" s="341" t="e">
        <f t="shared" si="98"/>
        <v>#DIV/0!</v>
      </c>
      <c r="T563" s="341" t="e">
        <f t="shared" si="99"/>
        <v>#DIV/0!</v>
      </c>
      <c r="U563" s="206"/>
      <c r="V563" s="208"/>
      <c r="W563" s="196"/>
      <c r="X563" s="152"/>
      <c r="Z563" s="198"/>
      <c r="AA563" s="198"/>
    </row>
    <row r="564" spans="1:27" s="197" customFormat="1" ht="15" customHeight="1">
      <c r="A564" s="226"/>
      <c r="B564" s="224" t="s">
        <v>994</v>
      </c>
      <c r="C564" s="312">
        <f t="shared" si="100"/>
        <v>0</v>
      </c>
      <c r="D564" s="646">
        <f t="shared" si="90"/>
        <v>0</v>
      </c>
      <c r="E564" s="645">
        <f t="shared" ref="E564:F579" si="101">E563</f>
        <v>0</v>
      </c>
      <c r="F564" s="645">
        <f t="shared" si="101"/>
        <v>0</v>
      </c>
      <c r="G564" s="645">
        <f t="shared" si="92"/>
        <v>0</v>
      </c>
      <c r="H564" s="645">
        <f t="shared" si="93"/>
        <v>0</v>
      </c>
      <c r="I564" s="646">
        <f t="shared" si="94"/>
        <v>0</v>
      </c>
      <c r="J564" s="207"/>
      <c r="K564" s="243" t="e">
        <f t="shared" si="97"/>
        <v>#DIV/0!</v>
      </c>
      <c r="L564" s="243"/>
      <c r="M564" s="243"/>
      <c r="N564" s="206"/>
      <c r="O564" s="631">
        <f t="shared" si="95"/>
        <v>360</v>
      </c>
      <c r="P564" s="206" t="e">
        <f t="shared" si="89"/>
        <v>#DIV/0!</v>
      </c>
      <c r="Q564" s="206"/>
      <c r="R564" s="206"/>
      <c r="S564" s="341" t="e">
        <f t="shared" si="98"/>
        <v>#DIV/0!</v>
      </c>
      <c r="T564" s="341" t="e">
        <f t="shared" si="99"/>
        <v>#DIV/0!</v>
      </c>
      <c r="U564" s="206"/>
      <c r="V564" s="208"/>
      <c r="W564" s="196"/>
      <c r="X564" s="152"/>
      <c r="Z564" s="198"/>
      <c r="AA564" s="198"/>
    </row>
    <row r="565" spans="1:27" s="197" customFormat="1" ht="15" customHeight="1">
      <c r="A565" s="226"/>
      <c r="B565" s="224" t="s">
        <v>995</v>
      </c>
      <c r="C565" s="312">
        <f t="shared" si="100"/>
        <v>0</v>
      </c>
      <c r="D565" s="646">
        <f t="shared" si="90"/>
        <v>0</v>
      </c>
      <c r="E565" s="645">
        <f t="shared" si="101"/>
        <v>0</v>
      </c>
      <c r="F565" s="645">
        <f t="shared" si="101"/>
        <v>0</v>
      </c>
      <c r="G565" s="645">
        <f t="shared" si="92"/>
        <v>0</v>
      </c>
      <c r="H565" s="645">
        <f t="shared" si="93"/>
        <v>0</v>
      </c>
      <c r="I565" s="646">
        <f t="shared" si="94"/>
        <v>0</v>
      </c>
      <c r="J565" s="207"/>
      <c r="K565" s="243" t="e">
        <f t="shared" si="97"/>
        <v>#DIV/0!</v>
      </c>
      <c r="L565" s="243"/>
      <c r="M565" s="243"/>
      <c r="N565" s="206"/>
      <c r="O565" s="631">
        <f t="shared" si="95"/>
        <v>360</v>
      </c>
      <c r="P565" s="206" t="e">
        <f t="shared" si="89"/>
        <v>#DIV/0!</v>
      </c>
      <c r="Q565" s="206"/>
      <c r="R565" s="206"/>
      <c r="S565" s="341" t="e">
        <f t="shared" si="98"/>
        <v>#DIV/0!</v>
      </c>
      <c r="T565" s="341" t="e">
        <f t="shared" si="99"/>
        <v>#DIV/0!</v>
      </c>
      <c r="U565" s="206"/>
      <c r="V565" s="208"/>
      <c r="W565" s="196"/>
      <c r="X565" s="152"/>
      <c r="Z565" s="198"/>
      <c r="AA565" s="198"/>
    </row>
    <row r="566" spans="1:27" s="197" customFormat="1" ht="15" customHeight="1">
      <c r="A566" s="226"/>
      <c r="B566" s="224" t="s">
        <v>996</v>
      </c>
      <c r="C566" s="312">
        <f t="shared" si="100"/>
        <v>0</v>
      </c>
      <c r="D566" s="646">
        <f t="shared" si="90"/>
        <v>0</v>
      </c>
      <c r="E566" s="645">
        <f t="shared" si="101"/>
        <v>0</v>
      </c>
      <c r="F566" s="645">
        <f t="shared" si="101"/>
        <v>0</v>
      </c>
      <c r="G566" s="645">
        <f t="shared" si="92"/>
        <v>0</v>
      </c>
      <c r="H566" s="645">
        <f t="shared" si="93"/>
        <v>0</v>
      </c>
      <c r="I566" s="646">
        <f t="shared" si="94"/>
        <v>0</v>
      </c>
      <c r="J566" s="207"/>
      <c r="K566" s="243" t="e">
        <f t="shared" si="97"/>
        <v>#DIV/0!</v>
      </c>
      <c r="L566" s="243"/>
      <c r="M566" s="243"/>
      <c r="N566" s="206"/>
      <c r="O566" s="631">
        <f t="shared" si="95"/>
        <v>360</v>
      </c>
      <c r="P566" s="206" t="e">
        <f t="shared" si="89"/>
        <v>#DIV/0!</v>
      </c>
      <c r="Q566" s="206"/>
      <c r="R566" s="206"/>
      <c r="S566" s="341" t="e">
        <f t="shared" si="98"/>
        <v>#DIV/0!</v>
      </c>
      <c r="T566" s="341" t="e">
        <f t="shared" si="99"/>
        <v>#DIV/0!</v>
      </c>
      <c r="U566" s="206"/>
      <c r="V566" s="208"/>
      <c r="W566" s="196"/>
      <c r="X566" s="152"/>
      <c r="Z566" s="198"/>
      <c r="AA566" s="198"/>
    </row>
    <row r="567" spans="1:27" s="197" customFormat="1" ht="15" customHeight="1">
      <c r="A567" s="226"/>
      <c r="B567" s="224" t="s">
        <v>997</v>
      </c>
      <c r="C567" s="312">
        <f t="shared" si="100"/>
        <v>0</v>
      </c>
      <c r="D567" s="646">
        <f t="shared" si="90"/>
        <v>0</v>
      </c>
      <c r="E567" s="645">
        <f t="shared" si="101"/>
        <v>0</v>
      </c>
      <c r="F567" s="645">
        <f t="shared" si="101"/>
        <v>0</v>
      </c>
      <c r="G567" s="645">
        <f t="shared" si="92"/>
        <v>0</v>
      </c>
      <c r="H567" s="645">
        <f t="shared" si="93"/>
        <v>0</v>
      </c>
      <c r="I567" s="646">
        <f t="shared" si="94"/>
        <v>0</v>
      </c>
      <c r="J567" s="207"/>
      <c r="K567" s="243" t="e">
        <f t="shared" si="97"/>
        <v>#DIV/0!</v>
      </c>
      <c r="L567" s="243"/>
      <c r="M567" s="243"/>
      <c r="N567" s="206"/>
      <c r="O567" s="631">
        <f t="shared" si="95"/>
        <v>360</v>
      </c>
      <c r="P567" s="206" t="e">
        <f t="shared" si="89"/>
        <v>#DIV/0!</v>
      </c>
      <c r="Q567" s="206"/>
      <c r="R567" s="206"/>
      <c r="S567" s="341" t="e">
        <f t="shared" si="98"/>
        <v>#DIV/0!</v>
      </c>
      <c r="T567" s="341" t="e">
        <f t="shared" si="99"/>
        <v>#DIV/0!</v>
      </c>
      <c r="U567" s="206"/>
      <c r="V567" s="208"/>
      <c r="W567" s="196"/>
      <c r="X567" s="152"/>
      <c r="Z567" s="198"/>
      <c r="AA567" s="198"/>
    </row>
    <row r="568" spans="1:27" s="197" customFormat="1" ht="15" customHeight="1">
      <c r="A568" s="226"/>
      <c r="B568" s="224" t="s">
        <v>998</v>
      </c>
      <c r="C568" s="312">
        <f t="shared" si="100"/>
        <v>0</v>
      </c>
      <c r="D568" s="646">
        <f t="shared" si="90"/>
        <v>0</v>
      </c>
      <c r="E568" s="645">
        <f t="shared" si="101"/>
        <v>0</v>
      </c>
      <c r="F568" s="645">
        <f t="shared" si="101"/>
        <v>0</v>
      </c>
      <c r="G568" s="645">
        <f t="shared" si="92"/>
        <v>0</v>
      </c>
      <c r="H568" s="645">
        <f t="shared" si="93"/>
        <v>0</v>
      </c>
      <c r="I568" s="646">
        <f t="shared" si="94"/>
        <v>0</v>
      </c>
      <c r="J568" s="207"/>
      <c r="K568" s="243" t="e">
        <f t="shared" si="97"/>
        <v>#DIV/0!</v>
      </c>
      <c r="L568" s="243"/>
      <c r="M568" s="243"/>
      <c r="N568" s="206"/>
      <c r="O568" s="631">
        <f t="shared" si="95"/>
        <v>360</v>
      </c>
      <c r="P568" s="206" t="e">
        <f t="shared" si="89"/>
        <v>#DIV/0!</v>
      </c>
      <c r="Q568" s="206"/>
      <c r="R568" s="206"/>
      <c r="S568" s="341" t="e">
        <f t="shared" si="98"/>
        <v>#DIV/0!</v>
      </c>
      <c r="T568" s="341" t="e">
        <f t="shared" si="99"/>
        <v>#DIV/0!</v>
      </c>
      <c r="U568" s="206"/>
      <c r="V568" s="208"/>
      <c r="W568" s="196"/>
      <c r="X568" s="152"/>
      <c r="Z568" s="198"/>
      <c r="AA568" s="198"/>
    </row>
    <row r="569" spans="1:27" s="197" customFormat="1" ht="15" customHeight="1">
      <c r="A569" s="226"/>
      <c r="B569" s="224" t="s">
        <v>999</v>
      </c>
      <c r="C569" s="312">
        <f t="shared" si="100"/>
        <v>0</v>
      </c>
      <c r="D569" s="646">
        <f t="shared" si="90"/>
        <v>0</v>
      </c>
      <c r="E569" s="645">
        <f t="shared" si="101"/>
        <v>0</v>
      </c>
      <c r="F569" s="645">
        <f t="shared" si="101"/>
        <v>0</v>
      </c>
      <c r="G569" s="645">
        <f t="shared" si="92"/>
        <v>0</v>
      </c>
      <c r="H569" s="645">
        <f t="shared" si="93"/>
        <v>0</v>
      </c>
      <c r="I569" s="646">
        <f t="shared" si="94"/>
        <v>0</v>
      </c>
      <c r="J569" s="207"/>
      <c r="K569" s="243" t="e">
        <f t="shared" si="97"/>
        <v>#DIV/0!</v>
      </c>
      <c r="L569" s="243"/>
      <c r="M569" s="243"/>
      <c r="N569" s="206"/>
      <c r="O569" s="631">
        <f t="shared" si="95"/>
        <v>360</v>
      </c>
      <c r="P569" s="206" t="e">
        <f t="shared" si="89"/>
        <v>#DIV/0!</v>
      </c>
      <c r="Q569" s="206"/>
      <c r="R569" s="206"/>
      <c r="S569" s="341" t="e">
        <f t="shared" si="98"/>
        <v>#DIV/0!</v>
      </c>
      <c r="T569" s="341" t="e">
        <f t="shared" si="99"/>
        <v>#DIV/0!</v>
      </c>
      <c r="U569" s="206"/>
      <c r="V569" s="208"/>
      <c r="W569" s="196"/>
      <c r="X569" s="152"/>
      <c r="Z569" s="198"/>
      <c r="AA569" s="198"/>
    </row>
    <row r="570" spans="1:27" s="197" customFormat="1" ht="15" customHeight="1">
      <c r="A570" s="226"/>
      <c r="B570" s="224" t="s">
        <v>1000</v>
      </c>
      <c r="C570" s="312">
        <f t="shared" si="100"/>
        <v>0</v>
      </c>
      <c r="D570" s="646">
        <f t="shared" si="90"/>
        <v>0</v>
      </c>
      <c r="E570" s="645">
        <f t="shared" si="101"/>
        <v>0</v>
      </c>
      <c r="F570" s="645">
        <f t="shared" si="101"/>
        <v>0</v>
      </c>
      <c r="G570" s="645">
        <f t="shared" si="92"/>
        <v>0</v>
      </c>
      <c r="H570" s="645">
        <f t="shared" si="93"/>
        <v>0</v>
      </c>
      <c r="I570" s="646">
        <f t="shared" si="94"/>
        <v>0</v>
      </c>
      <c r="J570" s="207"/>
      <c r="K570" s="243" t="e">
        <f t="shared" si="97"/>
        <v>#DIV/0!</v>
      </c>
      <c r="L570" s="243"/>
      <c r="M570" s="243"/>
      <c r="N570" s="206"/>
      <c r="O570" s="631">
        <f t="shared" si="95"/>
        <v>360</v>
      </c>
      <c r="P570" s="206" t="e">
        <f t="shared" si="89"/>
        <v>#DIV/0!</v>
      </c>
      <c r="Q570" s="206"/>
      <c r="R570" s="206"/>
      <c r="S570" s="341" t="e">
        <f t="shared" si="98"/>
        <v>#DIV/0!</v>
      </c>
      <c r="T570" s="341" t="e">
        <f t="shared" si="99"/>
        <v>#DIV/0!</v>
      </c>
      <c r="U570" s="206"/>
      <c r="V570" s="208"/>
      <c r="W570" s="196"/>
      <c r="X570" s="152"/>
      <c r="Z570" s="198"/>
      <c r="AA570" s="198"/>
    </row>
    <row r="571" spans="1:27" s="197" customFormat="1" ht="15" customHeight="1">
      <c r="A571" s="226"/>
      <c r="B571" s="224" t="s">
        <v>1001</v>
      </c>
      <c r="C571" s="312">
        <f t="shared" si="100"/>
        <v>0</v>
      </c>
      <c r="D571" s="646">
        <f t="shared" si="90"/>
        <v>0</v>
      </c>
      <c r="E571" s="645">
        <f t="shared" si="101"/>
        <v>0</v>
      </c>
      <c r="F571" s="645">
        <f t="shared" si="101"/>
        <v>0</v>
      </c>
      <c r="G571" s="645">
        <f t="shared" si="92"/>
        <v>0</v>
      </c>
      <c r="H571" s="645">
        <f t="shared" si="93"/>
        <v>0</v>
      </c>
      <c r="I571" s="646">
        <f t="shared" si="94"/>
        <v>0</v>
      </c>
      <c r="J571" s="207"/>
      <c r="K571" s="243" t="e">
        <f t="shared" si="97"/>
        <v>#DIV/0!</v>
      </c>
      <c r="L571" s="243"/>
      <c r="M571" s="243"/>
      <c r="N571" s="206"/>
      <c r="O571" s="631">
        <f t="shared" si="95"/>
        <v>360</v>
      </c>
      <c r="P571" s="206" t="e">
        <f t="shared" si="89"/>
        <v>#DIV/0!</v>
      </c>
      <c r="Q571" s="206"/>
      <c r="R571" s="206"/>
      <c r="S571" s="341" t="e">
        <f t="shared" si="98"/>
        <v>#DIV/0!</v>
      </c>
      <c r="T571" s="341" t="e">
        <f t="shared" si="99"/>
        <v>#DIV/0!</v>
      </c>
      <c r="U571" s="206"/>
      <c r="V571" s="208"/>
      <c r="W571" s="196"/>
      <c r="X571" s="152"/>
      <c r="Z571" s="198"/>
      <c r="AA571" s="198"/>
    </row>
    <row r="572" spans="1:27" s="197" customFormat="1" ht="15" customHeight="1">
      <c r="A572" s="226"/>
      <c r="B572" s="224" t="s">
        <v>1002</v>
      </c>
      <c r="C572" s="312">
        <f t="shared" si="100"/>
        <v>0</v>
      </c>
      <c r="D572" s="646">
        <f t="shared" si="90"/>
        <v>0</v>
      </c>
      <c r="E572" s="645">
        <f t="shared" si="101"/>
        <v>0</v>
      </c>
      <c r="F572" s="645">
        <f t="shared" si="101"/>
        <v>0</v>
      </c>
      <c r="G572" s="645">
        <f t="shared" si="92"/>
        <v>0</v>
      </c>
      <c r="H572" s="645">
        <f t="shared" si="93"/>
        <v>0</v>
      </c>
      <c r="I572" s="646">
        <f t="shared" si="94"/>
        <v>0</v>
      </c>
      <c r="J572" s="207"/>
      <c r="K572" s="243" t="e">
        <f t="shared" si="97"/>
        <v>#DIV/0!</v>
      </c>
      <c r="L572" s="243"/>
      <c r="M572" s="243"/>
      <c r="N572" s="206"/>
      <c r="O572" s="631">
        <f t="shared" si="95"/>
        <v>360</v>
      </c>
      <c r="P572" s="206" t="e">
        <f t="shared" si="89"/>
        <v>#DIV/0!</v>
      </c>
      <c r="Q572" s="206"/>
      <c r="R572" s="206"/>
      <c r="S572" s="341" t="e">
        <f t="shared" si="98"/>
        <v>#DIV/0!</v>
      </c>
      <c r="T572" s="341" t="e">
        <f t="shared" si="99"/>
        <v>#DIV/0!</v>
      </c>
      <c r="U572" s="206"/>
      <c r="V572" s="208"/>
      <c r="W572" s="196"/>
      <c r="X572" s="152"/>
      <c r="Z572" s="198"/>
      <c r="AA572" s="198"/>
    </row>
    <row r="573" spans="1:27" s="197" customFormat="1" ht="15" customHeight="1">
      <c r="A573" s="226"/>
      <c r="B573" s="224" t="s">
        <v>1003</v>
      </c>
      <c r="C573" s="312">
        <f t="shared" si="100"/>
        <v>0</v>
      </c>
      <c r="D573" s="646">
        <f t="shared" si="90"/>
        <v>0</v>
      </c>
      <c r="E573" s="645">
        <f t="shared" si="101"/>
        <v>0</v>
      </c>
      <c r="F573" s="645">
        <f t="shared" si="101"/>
        <v>0</v>
      </c>
      <c r="G573" s="645">
        <f t="shared" si="92"/>
        <v>0</v>
      </c>
      <c r="H573" s="645">
        <f t="shared" si="93"/>
        <v>0</v>
      </c>
      <c r="I573" s="646">
        <f t="shared" si="94"/>
        <v>0</v>
      </c>
      <c r="J573" s="207"/>
      <c r="K573" s="243" t="e">
        <f t="shared" si="97"/>
        <v>#DIV/0!</v>
      </c>
      <c r="L573" s="243"/>
      <c r="M573" s="243"/>
      <c r="N573" s="206"/>
      <c r="O573" s="631">
        <f t="shared" si="95"/>
        <v>360</v>
      </c>
      <c r="P573" s="206" t="e">
        <f t="shared" si="89"/>
        <v>#DIV/0!</v>
      </c>
      <c r="Q573" s="206"/>
      <c r="R573" s="206"/>
      <c r="S573" s="341" t="e">
        <f t="shared" si="98"/>
        <v>#DIV/0!</v>
      </c>
      <c r="T573" s="341" t="e">
        <f t="shared" si="99"/>
        <v>#DIV/0!</v>
      </c>
      <c r="U573" s="206"/>
      <c r="V573" s="208"/>
      <c r="W573" s="196"/>
      <c r="X573" s="152"/>
      <c r="Z573" s="198"/>
      <c r="AA573" s="198"/>
    </row>
    <row r="574" spans="1:27" s="197" customFormat="1" ht="15" customHeight="1">
      <c r="A574" s="226"/>
      <c r="B574" s="224" t="s">
        <v>1004</v>
      </c>
      <c r="C574" s="312">
        <f t="shared" si="100"/>
        <v>0</v>
      </c>
      <c r="D574" s="646">
        <f t="shared" si="90"/>
        <v>0</v>
      </c>
      <c r="E574" s="645">
        <f t="shared" si="101"/>
        <v>0</v>
      </c>
      <c r="F574" s="645">
        <f t="shared" si="101"/>
        <v>0</v>
      </c>
      <c r="G574" s="645">
        <f t="shared" si="92"/>
        <v>0</v>
      </c>
      <c r="H574" s="645">
        <f t="shared" si="93"/>
        <v>0</v>
      </c>
      <c r="I574" s="646">
        <f t="shared" si="94"/>
        <v>0</v>
      </c>
      <c r="J574" s="207"/>
      <c r="K574" s="243" t="e">
        <f t="shared" si="97"/>
        <v>#DIV/0!</v>
      </c>
      <c r="L574" s="243"/>
      <c r="M574" s="243"/>
      <c r="N574" s="206"/>
      <c r="O574" s="631">
        <f t="shared" si="95"/>
        <v>360</v>
      </c>
      <c r="P574" s="206" t="e">
        <f t="shared" si="89"/>
        <v>#DIV/0!</v>
      </c>
      <c r="Q574" s="206"/>
      <c r="R574" s="206"/>
      <c r="S574" s="341" t="e">
        <f t="shared" si="98"/>
        <v>#DIV/0!</v>
      </c>
      <c r="T574" s="341" t="e">
        <f t="shared" si="99"/>
        <v>#DIV/0!</v>
      </c>
      <c r="U574" s="206"/>
      <c r="V574" s="208"/>
      <c r="W574" s="196"/>
      <c r="X574" s="152"/>
      <c r="Z574" s="198"/>
      <c r="AA574" s="198"/>
    </row>
    <row r="575" spans="1:27" s="197" customFormat="1" ht="15" customHeight="1">
      <c r="A575" s="226"/>
      <c r="B575" s="224" t="s">
        <v>1005</v>
      </c>
      <c r="C575" s="312">
        <f t="shared" si="100"/>
        <v>0</v>
      </c>
      <c r="D575" s="646">
        <f t="shared" si="90"/>
        <v>0</v>
      </c>
      <c r="E575" s="645">
        <f t="shared" si="101"/>
        <v>0</v>
      </c>
      <c r="F575" s="645">
        <f t="shared" si="101"/>
        <v>0</v>
      </c>
      <c r="G575" s="645">
        <f t="shared" si="92"/>
        <v>0</v>
      </c>
      <c r="H575" s="645">
        <f t="shared" si="93"/>
        <v>0</v>
      </c>
      <c r="I575" s="646">
        <f t="shared" si="94"/>
        <v>0</v>
      </c>
      <c r="J575" s="207"/>
      <c r="K575" s="243" t="e">
        <f t="shared" si="97"/>
        <v>#DIV/0!</v>
      </c>
      <c r="L575" s="243"/>
      <c r="M575" s="243"/>
      <c r="N575" s="206"/>
      <c r="O575" s="631">
        <f t="shared" si="95"/>
        <v>360</v>
      </c>
      <c r="P575" s="206" t="e">
        <f t="shared" si="89"/>
        <v>#DIV/0!</v>
      </c>
      <c r="Q575" s="206"/>
      <c r="R575" s="206"/>
      <c r="S575" s="341" t="e">
        <f t="shared" si="98"/>
        <v>#DIV/0!</v>
      </c>
      <c r="T575" s="341" t="e">
        <f t="shared" si="99"/>
        <v>#DIV/0!</v>
      </c>
      <c r="U575" s="206"/>
      <c r="V575" s="208"/>
      <c r="W575" s="196"/>
      <c r="X575" s="152"/>
      <c r="Z575" s="198"/>
      <c r="AA575" s="198"/>
    </row>
    <row r="576" spans="1:27" s="197" customFormat="1" ht="15" customHeight="1">
      <c r="A576" s="226"/>
      <c r="B576" s="224" t="s">
        <v>1006</v>
      </c>
      <c r="C576" s="312">
        <f t="shared" si="100"/>
        <v>0</v>
      </c>
      <c r="D576" s="646">
        <f t="shared" si="90"/>
        <v>0</v>
      </c>
      <c r="E576" s="645">
        <f t="shared" si="101"/>
        <v>0</v>
      </c>
      <c r="F576" s="645">
        <f t="shared" si="101"/>
        <v>0</v>
      </c>
      <c r="G576" s="645">
        <f t="shared" si="92"/>
        <v>0</v>
      </c>
      <c r="H576" s="645">
        <f t="shared" si="93"/>
        <v>0</v>
      </c>
      <c r="I576" s="646">
        <f t="shared" si="94"/>
        <v>0</v>
      </c>
      <c r="J576" s="207"/>
      <c r="K576" s="243" t="e">
        <f t="shared" si="97"/>
        <v>#DIV/0!</v>
      </c>
      <c r="L576" s="243"/>
      <c r="M576" s="243"/>
      <c r="N576" s="206"/>
      <c r="O576" s="631">
        <f t="shared" si="95"/>
        <v>360</v>
      </c>
      <c r="P576" s="206" t="e">
        <f t="shared" si="89"/>
        <v>#DIV/0!</v>
      </c>
      <c r="Q576" s="206"/>
      <c r="R576" s="206"/>
      <c r="S576" s="341" t="e">
        <f t="shared" si="98"/>
        <v>#DIV/0!</v>
      </c>
      <c r="T576" s="341" t="e">
        <f t="shared" si="99"/>
        <v>#DIV/0!</v>
      </c>
      <c r="U576" s="206"/>
      <c r="V576" s="208"/>
      <c r="W576" s="196"/>
      <c r="X576" s="152"/>
      <c r="Z576" s="198"/>
      <c r="AA576" s="198"/>
    </row>
    <row r="577" spans="1:27" s="197" customFormat="1" ht="15" customHeight="1">
      <c r="A577" s="226"/>
      <c r="B577" s="224" t="s">
        <v>1007</v>
      </c>
      <c r="C577" s="312">
        <f t="shared" si="100"/>
        <v>0</v>
      </c>
      <c r="D577" s="646">
        <f t="shared" si="90"/>
        <v>0</v>
      </c>
      <c r="E577" s="645">
        <f t="shared" si="101"/>
        <v>0</v>
      </c>
      <c r="F577" s="645">
        <f t="shared" si="101"/>
        <v>0</v>
      </c>
      <c r="G577" s="645">
        <f t="shared" si="92"/>
        <v>0</v>
      </c>
      <c r="H577" s="645">
        <f t="shared" si="93"/>
        <v>0</v>
      </c>
      <c r="I577" s="646">
        <f t="shared" si="94"/>
        <v>0</v>
      </c>
      <c r="J577" s="207"/>
      <c r="K577" s="243" t="e">
        <f t="shared" si="97"/>
        <v>#DIV/0!</v>
      </c>
      <c r="L577" s="243"/>
      <c r="M577" s="243"/>
      <c r="N577" s="206"/>
      <c r="O577" s="631">
        <f t="shared" si="95"/>
        <v>360</v>
      </c>
      <c r="P577" s="206" t="e">
        <f t="shared" si="89"/>
        <v>#DIV/0!</v>
      </c>
      <c r="Q577" s="206"/>
      <c r="R577" s="206"/>
      <c r="S577" s="341" t="e">
        <f t="shared" si="98"/>
        <v>#DIV/0!</v>
      </c>
      <c r="T577" s="341" t="e">
        <f t="shared" si="99"/>
        <v>#DIV/0!</v>
      </c>
      <c r="U577" s="206"/>
      <c r="V577" s="208"/>
      <c r="W577" s="196"/>
      <c r="X577" s="152"/>
      <c r="Z577" s="198"/>
      <c r="AA577" s="198"/>
    </row>
    <row r="578" spans="1:27" s="197" customFormat="1" ht="15" customHeight="1">
      <c r="A578" s="226"/>
      <c r="B578" s="224" t="s">
        <v>1008</v>
      </c>
      <c r="C578" s="312">
        <f t="shared" si="100"/>
        <v>0</v>
      </c>
      <c r="D578" s="646">
        <f t="shared" si="90"/>
        <v>0</v>
      </c>
      <c r="E578" s="645">
        <f t="shared" si="101"/>
        <v>0</v>
      </c>
      <c r="F578" s="645">
        <f t="shared" si="101"/>
        <v>0</v>
      </c>
      <c r="G578" s="645">
        <f t="shared" si="92"/>
        <v>0</v>
      </c>
      <c r="H578" s="645">
        <f t="shared" si="93"/>
        <v>0</v>
      </c>
      <c r="I578" s="646">
        <f t="shared" si="94"/>
        <v>0</v>
      </c>
      <c r="J578" s="207"/>
      <c r="K578" s="243" t="e">
        <f t="shared" si="97"/>
        <v>#DIV/0!</v>
      </c>
      <c r="L578" s="243"/>
      <c r="M578" s="243"/>
      <c r="N578" s="206"/>
      <c r="O578" s="631">
        <f t="shared" si="95"/>
        <v>360</v>
      </c>
      <c r="P578" s="206" t="e">
        <f t="shared" si="89"/>
        <v>#DIV/0!</v>
      </c>
      <c r="Q578" s="206"/>
      <c r="R578" s="206"/>
      <c r="S578" s="341" t="e">
        <f t="shared" si="98"/>
        <v>#DIV/0!</v>
      </c>
      <c r="T578" s="341" t="e">
        <f t="shared" si="99"/>
        <v>#DIV/0!</v>
      </c>
      <c r="U578" s="206"/>
      <c r="V578" s="208"/>
      <c r="W578" s="196"/>
      <c r="X578" s="152"/>
      <c r="Z578" s="198"/>
      <c r="AA578" s="198"/>
    </row>
    <row r="579" spans="1:27" s="197" customFormat="1" ht="15" customHeight="1" thickBot="1">
      <c r="A579" s="226"/>
      <c r="B579" s="224" t="s">
        <v>1009</v>
      </c>
      <c r="C579" s="312">
        <f t="shared" si="100"/>
        <v>0</v>
      </c>
      <c r="D579" s="646">
        <f t="shared" si="90"/>
        <v>0</v>
      </c>
      <c r="E579" s="645">
        <f t="shared" si="101"/>
        <v>0</v>
      </c>
      <c r="F579" s="645">
        <f t="shared" si="101"/>
        <v>0</v>
      </c>
      <c r="G579" s="645">
        <f t="shared" si="92"/>
        <v>0</v>
      </c>
      <c r="H579" s="645">
        <f t="shared" si="93"/>
        <v>0</v>
      </c>
      <c r="I579" s="646">
        <f t="shared" si="94"/>
        <v>0</v>
      </c>
      <c r="J579" s="207"/>
      <c r="K579" s="243" t="e">
        <f t="shared" si="97"/>
        <v>#DIV/0!</v>
      </c>
      <c r="L579" s="243"/>
      <c r="M579" s="243"/>
      <c r="N579" s="206"/>
      <c r="O579" s="632">
        <f t="shared" si="95"/>
        <v>360</v>
      </c>
      <c r="P579" s="206" t="e">
        <f t="shared" si="89"/>
        <v>#DIV/0!</v>
      </c>
      <c r="Q579" s="206"/>
      <c r="R579" s="206"/>
      <c r="S579" s="341" t="e">
        <f t="shared" si="98"/>
        <v>#DIV/0!</v>
      </c>
      <c r="T579" s="341" t="e">
        <f t="shared" si="99"/>
        <v>#DIV/0!</v>
      </c>
      <c r="U579" s="206"/>
      <c r="V579" s="208"/>
      <c r="W579" s="196"/>
      <c r="X579" s="152"/>
      <c r="Z579" s="198"/>
      <c r="AA579" s="198"/>
    </row>
    <row r="580" spans="1:27" s="197" customFormat="1" ht="15" customHeight="1">
      <c r="A580" s="226"/>
      <c r="B580" s="221"/>
      <c r="C580" s="312"/>
      <c r="D580" s="206"/>
      <c r="E580" s="146"/>
      <c r="F580" s="146"/>
      <c r="G580" s="146"/>
      <c r="H580" s="146"/>
      <c r="I580" s="243"/>
      <c r="J580" s="243"/>
      <c r="K580" s="243"/>
      <c r="L580" s="243"/>
      <c r="M580" s="243"/>
      <c r="N580" s="206"/>
      <c r="O580" s="155"/>
      <c r="P580" s="206"/>
      <c r="Q580" s="206"/>
      <c r="R580" s="206"/>
      <c r="S580" s="206"/>
      <c r="T580" s="206"/>
      <c r="U580" s="206"/>
      <c r="V580" s="208"/>
      <c r="W580" s="196"/>
      <c r="X580" s="152"/>
      <c r="Z580" s="198"/>
      <c r="AA580" s="198"/>
    </row>
    <row r="581" spans="1:27" s="197" customFormat="1" ht="15" customHeight="1" thickBot="1">
      <c r="A581" s="226"/>
      <c r="B581" s="291" t="s">
        <v>1010</v>
      </c>
      <c r="C581" s="292"/>
      <c r="D581" s="293"/>
      <c r="E581" s="293"/>
      <c r="F581" s="293"/>
      <c r="G581" s="293"/>
      <c r="H581" s="293"/>
      <c r="I581" s="293"/>
      <c r="J581" s="294"/>
      <c r="K581" s="294"/>
      <c r="L581" s="295"/>
      <c r="M581" s="293"/>
      <c r="N581" s="293"/>
      <c r="O581" s="293"/>
      <c r="P581" s="293"/>
      <c r="Q581" s="293"/>
      <c r="R581" s="293"/>
      <c r="S581" s="296"/>
      <c r="T581" s="293"/>
      <c r="U581" s="293" t="s">
        <v>678</v>
      </c>
      <c r="V581" s="297" t="s">
        <v>27</v>
      </c>
      <c r="W581" s="298"/>
      <c r="X581" s="299"/>
      <c r="Z581" s="198"/>
      <c r="AA581" s="198"/>
    </row>
    <row r="582" spans="1:27" s="197" customFormat="1" ht="15" customHeight="1" thickBot="1">
      <c r="A582" s="226"/>
      <c r="B582" s="221"/>
      <c r="C582" s="144">
        <f>SUMIF(Densidades!A:A,'Memória TOTAL'!X582,Densidades!B:B)</f>
        <v>0</v>
      </c>
      <c r="D582" s="145">
        <f>SUMIF(Densidades!A:A,'Memória TOTAL'!X582,Densidades!C:C)</f>
        <v>0</v>
      </c>
      <c r="E582" s="145" t="str">
        <f>IF(I582=15,"FIRECLAY MORTAR",IF(I582=16,"ALUMINA MORTAR",IF(I582=17,"BASIC MORTAR",IF(I582=18,"MORTAR","-"))))</f>
        <v>-</v>
      </c>
      <c r="F582" s="145" t="str">
        <f>IF(I582=15,"FIRECLAY MORTAR",IF(I582=16,"ALUMINA MORTAR",IF(I582=17,"BASIC MORTAR",IF(I582=18,"MORTAR","-"))))</f>
        <v>-</v>
      </c>
      <c r="G582" s="145" t="str">
        <f>IF(I582=15,"FIRECLAY MORTAR",IF(I582=16,"ALUMINA MORTAR",IF(I582=17,"BASIC MORTAR",IF(I582=18,"MORTAR","-"))))</f>
        <v>-</v>
      </c>
      <c r="H582" s="145" t="str">
        <f>IF(I582=15,"FIRECLAY MORTAR",IF(I582=16,"ALUMINA MORTAR",IF(I582=17,"BASIC MORTAR",IF(I582=18,"MORTAR","-"))))</f>
        <v>-</v>
      </c>
      <c r="I582" s="145">
        <f>SUMIF(Densidades!A:A,'Memória TOTAL'!X582,Densidades!G:G)</f>
        <v>0</v>
      </c>
      <c r="J582" s="147">
        <f>SUMIF(Formatos!A:A,'Memória TOTAL'!X583,Formatos!G:G)</f>
        <v>0</v>
      </c>
      <c r="K582" s="148">
        <f>SUMIF(Densidades!A:A,'Memória TOTAL'!X582,Densidades!I:I)</f>
        <v>0</v>
      </c>
      <c r="L582" s="199">
        <v>0</v>
      </c>
      <c r="M582" s="200"/>
      <c r="N582" s="200"/>
      <c r="O582" s="200"/>
      <c r="P582" s="200"/>
      <c r="Q582" s="200"/>
      <c r="R582" s="200"/>
      <c r="S582" s="200"/>
      <c r="T582" s="201"/>
      <c r="U582" s="302">
        <v>0.06</v>
      </c>
      <c r="V582" s="203" t="e">
        <f>(W519*J519*C582+W523*J523*C582)*U582</f>
        <v>#VALUE!</v>
      </c>
      <c r="W582" s="204" t="str">
        <f>IF(C582=0,"",ROUNDUP(SUM(V582:V584)*(1+L582)/D582,0)*D582)</f>
        <v/>
      </c>
      <c r="X582" s="274"/>
      <c r="Z582" s="198"/>
      <c r="AA582" s="198"/>
    </row>
    <row r="583" spans="1:27" s="197" customFormat="1" ht="15" customHeight="1">
      <c r="A583" s="226"/>
      <c r="B583" s="221"/>
      <c r="C583" s="144"/>
      <c r="D583" s="206"/>
      <c r="E583" s="206"/>
      <c r="F583" s="206"/>
      <c r="G583" s="206"/>
      <c r="H583" s="206"/>
      <c r="I583" s="206"/>
      <c r="J583" s="207"/>
      <c r="K583" s="207"/>
      <c r="L583" s="155"/>
      <c r="M583" s="206"/>
      <c r="N583" s="206"/>
      <c r="O583" s="206"/>
      <c r="P583" s="206"/>
      <c r="Q583" s="206"/>
      <c r="R583" s="206"/>
      <c r="S583" s="206"/>
      <c r="T583" s="206"/>
      <c r="U583" s="206"/>
      <c r="V583" s="208"/>
      <c r="W583" s="196"/>
      <c r="X583" s="152" t="str">
        <f>IF(AND(H582="-",G582="-",F582="-"),E582,IF(AND(H582="-",G582="-",E582="-"),F582,IF(AND(H582="-",F582="-",E582="-"),G582,H582)))</f>
        <v>-</v>
      </c>
      <c r="Z583" s="198"/>
      <c r="AA583" s="198"/>
    </row>
    <row r="584" spans="1:27" s="197" customFormat="1" ht="15" customHeight="1">
      <c r="A584" s="226"/>
      <c r="B584" s="224"/>
      <c r="C584" s="144"/>
      <c r="D584" s="206"/>
      <c r="E584" s="206"/>
      <c r="F584" s="206"/>
      <c r="G584" s="206"/>
      <c r="H584" s="206"/>
      <c r="I584" s="206"/>
      <c r="J584" s="207"/>
      <c r="K584" s="207"/>
      <c r="L584" s="155"/>
      <c r="M584" s="206"/>
      <c r="N584" s="206"/>
      <c r="O584" s="206"/>
      <c r="P584" s="206"/>
      <c r="Q584" s="206"/>
      <c r="R584" s="206"/>
      <c r="S584" s="206"/>
      <c r="T584" s="206"/>
      <c r="U584" s="206"/>
      <c r="V584" s="208"/>
      <c r="W584" s="196"/>
      <c r="X584" s="152" t="s">
        <v>2</v>
      </c>
      <c r="Z584" s="198"/>
      <c r="AA584" s="198"/>
    </row>
    <row r="585" spans="1:27" ht="15" customHeight="1">
      <c r="A585" s="226"/>
      <c r="B585" s="142"/>
      <c r="C585" s="180"/>
      <c r="D585" s="181"/>
      <c r="E585" s="181"/>
      <c r="F585" s="181"/>
      <c r="G585" s="181"/>
      <c r="H585" s="181"/>
      <c r="I585" s="181"/>
      <c r="J585" s="182"/>
      <c r="K585" s="182"/>
      <c r="L585" s="183"/>
      <c r="M585" s="181"/>
      <c r="N585" s="181"/>
      <c r="O585" s="181"/>
      <c r="P585" s="181"/>
      <c r="Q585" s="181"/>
      <c r="R585" s="181"/>
      <c r="S585" s="181"/>
      <c r="T585" s="181"/>
      <c r="U585" s="181"/>
      <c r="V585" s="184"/>
      <c r="W585" s="185"/>
      <c r="X585" s="186"/>
    </row>
    <row r="586" spans="1:27" s="197" customFormat="1" ht="15" customHeight="1" thickBot="1">
      <c r="A586" s="226"/>
      <c r="B586" s="291" t="s">
        <v>1011</v>
      </c>
      <c r="C586" s="292"/>
      <c r="D586" s="293"/>
      <c r="E586" s="293"/>
      <c r="F586" s="293"/>
      <c r="G586" s="293"/>
      <c r="H586" s="293"/>
      <c r="I586" s="293"/>
      <c r="J586" s="294"/>
      <c r="K586" s="294"/>
      <c r="L586" s="295"/>
      <c r="M586" s="293"/>
      <c r="N586" s="293"/>
      <c r="O586" s="293"/>
      <c r="P586" s="293"/>
      <c r="Q586" s="293"/>
      <c r="R586" s="293" t="s">
        <v>636</v>
      </c>
      <c r="S586" s="296" t="s">
        <v>637</v>
      </c>
      <c r="T586" s="293" t="s">
        <v>638</v>
      </c>
      <c r="U586" s="293" t="s">
        <v>38</v>
      </c>
      <c r="V586" s="297" t="s">
        <v>27</v>
      </c>
      <c r="W586" s="298"/>
      <c r="X586" s="299"/>
      <c r="Z586" s="198"/>
      <c r="AA586" s="198"/>
    </row>
    <row r="587" spans="1:27" s="197" customFormat="1" ht="15" customHeight="1" thickBot="1">
      <c r="A587" s="226"/>
      <c r="B587" s="221"/>
      <c r="C587" s="144">
        <f>SUMIF(Densidades!A:A,'Memória TOTAL'!X587,Densidades!B:B)</f>
        <v>0</v>
      </c>
      <c r="D587" s="145">
        <f>SUMIF(Densidades!A:A,'Memória TOTAL'!X587,Densidades!C:C)</f>
        <v>0</v>
      </c>
      <c r="E587" s="145" t="str">
        <f>IF(I587=15,"FIRECLAY MORTAR",IF(I587=16,"ALUMINA MORTAR",IF(I587=17,"BASIC MORTAR",IF(I587=18,"MORTAR","-"))))</f>
        <v>-</v>
      </c>
      <c r="F587" s="145" t="str">
        <f>IF(I587=15,"FIRECLAY MORTAR",IF(I587=16,"ALUMINA MORTAR",IF(I587=17,"BASIC MORTAR",IF(I587=18,"MORTAR","-"))))</f>
        <v>-</v>
      </c>
      <c r="G587" s="145" t="str">
        <f>IF(I587=15,"FIRECLAY MORTAR",IF(I587=16,"ALUMINA MORTAR",IF(I587=17,"BASIC MORTAR",IF(I587=18,"MORTAR","-"))))</f>
        <v>-</v>
      </c>
      <c r="H587" s="145" t="str">
        <f>IF(I587=15,"FIRECLAY MORTAR",IF(I587=16,"ALUMINA MORTAR",IF(I587=17,"BASIC MORTAR",IF(I587=18,"MORTAR","-"))))</f>
        <v>-</v>
      </c>
      <c r="I587" s="145">
        <f>SUMIF(Densidades!A:A,'Memória TOTAL'!X587,Densidades!G:G)</f>
        <v>0</v>
      </c>
      <c r="J587" s="147">
        <f>SUMIF(Formatos!A:A,'Memória TOTAL'!X588,Formatos!G:G)</f>
        <v>0</v>
      </c>
      <c r="K587" s="233">
        <f>SUMIF(Densidades!A:A,'Memória TOTAL'!X587,Densidades!I:I)</f>
        <v>0</v>
      </c>
      <c r="L587" s="199">
        <v>0</v>
      </c>
      <c r="M587" s="200"/>
      <c r="N587" s="200"/>
      <c r="O587" s="200"/>
      <c r="P587" s="200"/>
      <c r="Q587" s="200"/>
      <c r="R587" s="201">
        <f>((G519*H519)+(G519*E519)+(H519*E519))/1000000</f>
        <v>0</v>
      </c>
      <c r="S587" s="270">
        <v>2</v>
      </c>
      <c r="T587" s="201">
        <f>R587*S587</f>
        <v>0</v>
      </c>
      <c r="U587" s="202" t="e">
        <f>SUM(W519:W524)</f>
        <v>#VALUE!</v>
      </c>
      <c r="V587" s="203" t="e">
        <f>(T587*C587*(1+L587))*U587</f>
        <v>#VALUE!</v>
      </c>
      <c r="W587" s="151" t="str">
        <f>IF(C587=0,"",ROUNDUP(SUM(V587:V589)*(1+L587)/D587,0)*D587)</f>
        <v/>
      </c>
      <c r="X587" s="274"/>
      <c r="Z587" s="198"/>
      <c r="AA587" s="198"/>
    </row>
    <row r="588" spans="1:27" s="197" customFormat="1" ht="15" customHeight="1">
      <c r="A588" s="226"/>
      <c r="B588" s="221"/>
      <c r="C588" s="144"/>
      <c r="D588" s="206"/>
      <c r="E588" s="206"/>
      <c r="F588" s="206"/>
      <c r="G588" s="206"/>
      <c r="H588" s="206"/>
      <c r="I588" s="206"/>
      <c r="J588" s="207"/>
      <c r="K588" s="207"/>
      <c r="L588" s="155"/>
      <c r="M588" s="206"/>
      <c r="N588" s="206"/>
      <c r="O588" s="206"/>
      <c r="P588" s="206"/>
      <c r="Q588" s="206"/>
      <c r="R588" s="206"/>
      <c r="S588" s="206"/>
      <c r="T588" s="206"/>
      <c r="U588" s="206"/>
      <c r="V588" s="208"/>
      <c r="W588" s="196"/>
      <c r="X588" s="152" t="str">
        <f>IF(AND(H587="-",G587="-",F587="-"),E587,IF(AND(H587="-",G587="-",E587="-"),F587,IF(AND(H587="-",F587="-",E587="-"),G587,H587)))</f>
        <v>-</v>
      </c>
      <c r="Z588" s="198"/>
      <c r="AA588" s="198"/>
    </row>
    <row r="589" spans="1:27" s="197" customFormat="1" ht="15" customHeight="1">
      <c r="A589" s="226"/>
      <c r="B589" s="224"/>
      <c r="C589" s="144"/>
      <c r="D589" s="206"/>
      <c r="E589" s="206"/>
      <c r="F589" s="206"/>
      <c r="G589" s="206"/>
      <c r="H589" s="206"/>
      <c r="I589" s="206"/>
      <c r="J589" s="207"/>
      <c r="K589" s="207"/>
      <c r="L589" s="155"/>
      <c r="M589" s="206"/>
      <c r="N589" s="206"/>
      <c r="O589" s="206"/>
      <c r="P589" s="206"/>
      <c r="Q589" s="206"/>
      <c r="R589" s="206"/>
      <c r="S589" s="206"/>
      <c r="T589" s="206"/>
      <c r="U589" s="206"/>
      <c r="V589" s="208"/>
      <c r="W589" s="196"/>
      <c r="X589" s="152" t="s">
        <v>2</v>
      </c>
      <c r="Z589" s="198"/>
      <c r="AA589" s="198"/>
    </row>
    <row r="590" spans="1:27" s="197" customFormat="1" ht="15" customHeight="1">
      <c r="A590" s="226"/>
      <c r="B590" s="221"/>
      <c r="C590" s="312"/>
      <c r="D590" s="206"/>
      <c r="E590" s="206"/>
      <c r="F590" s="206"/>
      <c r="G590" s="206"/>
      <c r="H590" s="206"/>
      <c r="I590" s="206"/>
      <c r="J590" s="207"/>
      <c r="K590" s="207"/>
      <c r="L590" s="155"/>
      <c r="M590" s="206"/>
      <c r="N590" s="206"/>
      <c r="O590" s="206"/>
      <c r="P590" s="206"/>
      <c r="Q590" s="206"/>
      <c r="R590" s="206"/>
      <c r="S590" s="206"/>
      <c r="T590" s="206"/>
      <c r="U590" s="206"/>
      <c r="V590" s="208"/>
      <c r="W590" s="196"/>
      <c r="X590" s="152"/>
      <c r="Z590" s="198"/>
      <c r="AA590" s="198"/>
    </row>
    <row r="591" spans="1:27" s="197" customFormat="1" ht="15" customHeight="1" thickBot="1">
      <c r="A591" s="226"/>
      <c r="B591" s="524"/>
      <c r="C591" s="524"/>
      <c r="D591" s="527"/>
      <c r="E591" s="527"/>
      <c r="F591" s="527"/>
      <c r="G591" s="527"/>
      <c r="H591" s="527"/>
      <c r="I591" s="527"/>
      <c r="J591" s="527"/>
      <c r="K591" s="527"/>
      <c r="L591" s="527"/>
      <c r="M591" s="527"/>
      <c r="N591" s="527"/>
      <c r="O591" s="527"/>
      <c r="P591" s="527"/>
      <c r="Q591" s="527"/>
      <c r="R591" s="527"/>
      <c r="S591" s="527"/>
      <c r="T591" s="527"/>
      <c r="U591" s="527"/>
      <c r="V591" s="527"/>
      <c r="W591" s="527"/>
      <c r="X591" s="528"/>
      <c r="Z591" s="198"/>
      <c r="AA591" s="198"/>
    </row>
    <row r="592" spans="1:27" ht="15" customHeight="1" thickBot="1">
      <c r="A592" s="225"/>
      <c r="B592" s="284" t="str">
        <f>IF(X593="","BLANKET/FELT/PAPER (pcs)",X593)</f>
        <v>BLANKET/FELT/PAPER (pcs)</v>
      </c>
      <c r="C592" s="285" t="s">
        <v>101</v>
      </c>
      <c r="D592" s="286" t="s">
        <v>102</v>
      </c>
      <c r="E592" s="286" t="s">
        <v>42</v>
      </c>
      <c r="F592" s="286" t="s">
        <v>42</v>
      </c>
      <c r="G592" s="286" t="s">
        <v>43</v>
      </c>
      <c r="H592" s="286" t="s">
        <v>44</v>
      </c>
      <c r="I592" s="286" t="s">
        <v>47</v>
      </c>
      <c r="J592" s="286" t="s">
        <v>103</v>
      </c>
      <c r="K592" s="286" t="s">
        <v>37</v>
      </c>
      <c r="L592" s="286" t="s">
        <v>39</v>
      </c>
      <c r="M592" s="286" t="s">
        <v>41</v>
      </c>
      <c r="N592" s="286" t="s">
        <v>46</v>
      </c>
      <c r="O592" s="286"/>
      <c r="P592" s="286" t="s">
        <v>113</v>
      </c>
      <c r="Q592" s="286"/>
      <c r="R592" s="286"/>
      <c r="S592" s="286" t="s">
        <v>70</v>
      </c>
      <c r="T592" s="286" t="s">
        <v>26</v>
      </c>
      <c r="U592" s="286" t="s">
        <v>38</v>
      </c>
      <c r="V592" s="287" t="s">
        <v>27</v>
      </c>
      <c r="W592" s="288"/>
      <c r="X592" s="289"/>
    </row>
    <row r="593" spans="1:27" ht="15" customHeight="1" thickBot="1">
      <c r="A593" s="225"/>
      <c r="B593" s="221"/>
      <c r="C593" s="144">
        <f>SUMIF(Densidades!A:A,'Memória TOTAL'!X593,Densidades!B:B)</f>
        <v>0</v>
      </c>
      <c r="D593" s="145">
        <f>SUMIF(Densidades!A:A,'Memória TOTAL'!X593,Densidades!C:C)</f>
        <v>0</v>
      </c>
      <c r="E593" s="146">
        <f>SUMIF(Formatos!A:A,'Memória TOTAL'!X594,Formatos!E:E)</f>
        <v>0</v>
      </c>
      <c r="F593" s="146">
        <f>SUMIF(Formatos!A:A,'Memória TOTAL'!X594,Formatos!F:F)</f>
        <v>0</v>
      </c>
      <c r="G593" s="146">
        <f>SUMIF(Formatos!A:A,'Memória TOTAL'!X594,Formatos!C:C)</f>
        <v>0</v>
      </c>
      <c r="H593" s="146">
        <f>SUMIF(Formatos!A:A,'Memória TOTAL'!X594,Formatos!D:D)</f>
        <v>0</v>
      </c>
      <c r="I593" s="146">
        <f>SUMIF(Densidades!A:A,'Memória TOTAL'!X593,Densidades!H:H)</f>
        <v>0</v>
      </c>
      <c r="J593" s="147">
        <f>SUMIF(Formatos!A:A,'Memória TOTAL'!X594,Formatos!G:G)</f>
        <v>0</v>
      </c>
      <c r="K593" s="148">
        <f>SUMIF(Densidades!A:A,'Memória TOTAL'!X593,Densidades!I:I)</f>
        <v>0</v>
      </c>
      <c r="L593" s="149">
        <v>0</v>
      </c>
      <c r="M593" s="150"/>
      <c r="N593" s="268"/>
      <c r="O593" s="150"/>
      <c r="P593" s="150"/>
      <c r="Q593" s="150"/>
      <c r="R593" s="150"/>
      <c r="S593" s="150"/>
      <c r="T593" s="150"/>
      <c r="U593" s="150"/>
      <c r="V593" s="156"/>
      <c r="W593" s="204" t="str">
        <f>IF(C593=0,"",ROUNDUP(SUM(V595:V598)*(1+L593),0))</f>
        <v/>
      </c>
      <c r="X593" s="274"/>
    </row>
    <row r="594" spans="1:27" ht="15" customHeight="1" thickBot="1">
      <c r="A594" s="225"/>
      <c r="B594" s="222"/>
      <c r="C594" s="153"/>
      <c r="D594" s="150"/>
      <c r="E594" s="146">
        <f t="shared" ref="E594:K594" si="102">E593</f>
        <v>0</v>
      </c>
      <c r="F594" s="146">
        <f t="shared" si="102"/>
        <v>0</v>
      </c>
      <c r="G594" s="146">
        <f t="shared" si="102"/>
        <v>0</v>
      </c>
      <c r="H594" s="146">
        <f t="shared" si="102"/>
        <v>0</v>
      </c>
      <c r="I594" s="146">
        <f t="shared" si="102"/>
        <v>0</v>
      </c>
      <c r="J594" s="146">
        <f t="shared" si="102"/>
        <v>0</v>
      </c>
      <c r="K594" s="148">
        <f t="shared" si="102"/>
        <v>0</v>
      </c>
      <c r="L594" s="155"/>
      <c r="M594" s="150"/>
      <c r="N594" s="146">
        <f>N593</f>
        <v>0</v>
      </c>
      <c r="O594" s="150"/>
      <c r="P594" s="150"/>
      <c r="Q594" s="150"/>
      <c r="R594" s="150"/>
      <c r="S594" s="150"/>
      <c r="T594" s="150"/>
      <c r="U594" s="150"/>
      <c r="V594" s="156"/>
      <c r="W594" s="157"/>
      <c r="X594" s="274"/>
    </row>
    <row r="595" spans="1:27" ht="15" customHeight="1" thickBot="1">
      <c r="A595" s="225"/>
      <c r="B595" s="223" t="s">
        <v>71</v>
      </c>
      <c r="C595" s="153"/>
      <c r="D595" s="150"/>
      <c r="E595" s="146">
        <f t="shared" ref="E595:K595" si="103">E594</f>
        <v>0</v>
      </c>
      <c r="F595" s="146">
        <f t="shared" si="103"/>
        <v>0</v>
      </c>
      <c r="G595" s="146">
        <f t="shared" si="103"/>
        <v>0</v>
      </c>
      <c r="H595" s="146">
        <f t="shared" si="103"/>
        <v>0</v>
      </c>
      <c r="I595" s="146">
        <f t="shared" si="103"/>
        <v>0</v>
      </c>
      <c r="J595" s="146">
        <f t="shared" si="103"/>
        <v>0</v>
      </c>
      <c r="K595" s="148">
        <f t="shared" si="103"/>
        <v>0</v>
      </c>
      <c r="L595" s="155"/>
      <c r="M595" s="150"/>
      <c r="N595" s="146">
        <f>N594</f>
        <v>0</v>
      </c>
      <c r="O595" s="150"/>
      <c r="P595" s="150"/>
      <c r="Q595" s="150"/>
      <c r="R595" s="150"/>
      <c r="S595" s="150"/>
      <c r="T595" s="150"/>
      <c r="U595" s="206"/>
      <c r="V595" s="156"/>
      <c r="W595" s="157"/>
      <c r="X595" s="158" t="s">
        <v>524</v>
      </c>
    </row>
    <row r="596" spans="1:27" ht="15" customHeight="1" thickBot="1">
      <c r="A596" s="225"/>
      <c r="B596" s="217"/>
      <c r="C596" s="170"/>
      <c r="D596" s="171"/>
      <c r="E596" s="187">
        <f t="shared" ref="E596:K596" si="104">E595</f>
        <v>0</v>
      </c>
      <c r="F596" s="187">
        <f t="shared" si="104"/>
        <v>0</v>
      </c>
      <c r="G596" s="187">
        <f t="shared" si="104"/>
        <v>0</v>
      </c>
      <c r="H596" s="187">
        <f t="shared" si="104"/>
        <v>0</v>
      </c>
      <c r="I596" s="187">
        <f t="shared" si="104"/>
        <v>0</v>
      </c>
      <c r="J596" s="187">
        <f t="shared" si="104"/>
        <v>0</v>
      </c>
      <c r="K596" s="188">
        <f t="shared" si="104"/>
        <v>0</v>
      </c>
      <c r="L596" s="173"/>
      <c r="M596" s="171"/>
      <c r="N596" s="187">
        <f>N595</f>
        <v>0</v>
      </c>
      <c r="O596" s="171"/>
      <c r="P596" s="268"/>
      <c r="Q596" s="171"/>
      <c r="R596" s="171"/>
      <c r="S596" s="268"/>
      <c r="T596" s="189" t="str">
        <f>IF(S596="","-",IF(COUNTIF(E596:H596,P596)&lt;1,"Esp. Errada",ROUNDUP(S596/((G596+N596)*(H596+N596)*((E596+N596)+(F596+N596))/2/(P596+N596)),0)))</f>
        <v>-</v>
      </c>
      <c r="U596" s="268"/>
      <c r="V596" s="190">
        <f>IF(S596="",0,IF(OR(P596=E596,P596=G596,P596=H596),T596*U596,"ESP. ERRADA"))</f>
        <v>0</v>
      </c>
      <c r="W596" s="191"/>
      <c r="X596" s="192"/>
    </row>
    <row r="597" spans="1:27" s="197" customFormat="1" ht="15" customHeight="1" thickBot="1">
      <c r="A597" s="225"/>
      <c r="B597" s="217"/>
      <c r="C597" s="235"/>
      <c r="D597" s="212"/>
      <c r="E597" s="187">
        <f t="shared" ref="E597:K597" si="105">E595</f>
        <v>0</v>
      </c>
      <c r="F597" s="187">
        <f t="shared" si="105"/>
        <v>0</v>
      </c>
      <c r="G597" s="187">
        <f t="shared" si="105"/>
        <v>0</v>
      </c>
      <c r="H597" s="187">
        <f t="shared" si="105"/>
        <v>0</v>
      </c>
      <c r="I597" s="187">
        <f t="shared" si="105"/>
        <v>0</v>
      </c>
      <c r="J597" s="187">
        <f t="shared" si="105"/>
        <v>0</v>
      </c>
      <c r="K597" s="236">
        <f t="shared" si="105"/>
        <v>0</v>
      </c>
      <c r="L597" s="173"/>
      <c r="M597" s="281"/>
      <c r="N597" s="187">
        <f>N595</f>
        <v>0</v>
      </c>
      <c r="O597" s="212"/>
      <c r="P597" s="268"/>
      <c r="Q597" s="212"/>
      <c r="R597" s="212"/>
      <c r="S597" s="212"/>
      <c r="T597" s="238" t="str">
        <f>IF(M597="","-",IF(COUNTIF(E597:H597,P597)&lt;1,"Esp. Errada",ROUNDUP(M597/IF(G597=P597,G597,(G597+N597))/IF(H597=P597,H597,(H597+N597))/IF(E597=P597,E597,(E597+N597)),0)))</f>
        <v>-</v>
      </c>
      <c r="U597" s="268"/>
      <c r="V597" s="190">
        <f>IF(M597="",0,IF(OR(P597=E597,P597=G597,P597=H597),T597*U597,"ESP. ERRADA"))</f>
        <v>0</v>
      </c>
      <c r="W597" s="240"/>
      <c r="X597" s="241"/>
      <c r="Z597" s="198"/>
      <c r="AA597" s="198"/>
    </row>
    <row r="598" spans="1:27" s="197" customFormat="1" ht="15" customHeight="1">
      <c r="A598" s="226"/>
      <c r="B598" s="221"/>
      <c r="C598" s="211"/>
      <c r="D598" s="206"/>
      <c r="E598" s="206"/>
      <c r="F598" s="206"/>
      <c r="G598" s="206"/>
      <c r="H598" s="206"/>
      <c r="I598" s="206"/>
      <c r="J598" s="207"/>
      <c r="K598" s="207"/>
      <c r="L598" s="155"/>
      <c r="M598" s="206"/>
      <c r="N598" s="206"/>
      <c r="O598" s="206"/>
      <c r="P598" s="206"/>
      <c r="Q598" s="206"/>
      <c r="R598" s="206"/>
      <c r="S598" s="206"/>
      <c r="T598" s="206"/>
      <c r="U598" s="206"/>
      <c r="V598" s="208"/>
      <c r="W598" s="196"/>
      <c r="X598" s="152"/>
      <c r="Z598" s="198"/>
      <c r="AA598" s="198"/>
    </row>
    <row r="599" spans="1:27" s="197" customFormat="1" ht="15" customHeight="1" thickBot="1">
      <c r="A599" s="226"/>
      <c r="B599" s="524"/>
      <c r="C599" s="524"/>
      <c r="D599" s="527"/>
      <c r="E599" s="527"/>
      <c r="F599" s="527"/>
      <c r="G599" s="527"/>
      <c r="H599" s="527"/>
      <c r="I599" s="527"/>
      <c r="J599" s="527"/>
      <c r="K599" s="527"/>
      <c r="L599" s="527"/>
      <c r="M599" s="527"/>
      <c r="N599" s="527"/>
      <c r="O599" s="527"/>
      <c r="P599" s="527"/>
      <c r="Q599" s="527"/>
      <c r="R599" s="527"/>
      <c r="S599" s="527"/>
      <c r="T599" s="527"/>
      <c r="U599" s="527"/>
      <c r="V599" s="527"/>
      <c r="W599" s="527"/>
      <c r="X599" s="528"/>
      <c r="Z599" s="198"/>
      <c r="AA599" s="198"/>
    </row>
    <row r="600" spans="1:27" ht="15" customHeight="1" thickBot="1">
      <c r="A600" s="225"/>
      <c r="B600" s="284" t="str">
        <f>IF(X601="","JOINT PANEL (pcs)",X601)</f>
        <v>JOINT PANEL (pcs)</v>
      </c>
      <c r="C600" s="285" t="s">
        <v>101</v>
      </c>
      <c r="D600" s="286" t="s">
        <v>102</v>
      </c>
      <c r="E600" s="286" t="s">
        <v>42</v>
      </c>
      <c r="F600" s="286" t="s">
        <v>42</v>
      </c>
      <c r="G600" s="286" t="s">
        <v>43</v>
      </c>
      <c r="H600" s="286" t="s">
        <v>44</v>
      </c>
      <c r="I600" s="286" t="s">
        <v>47</v>
      </c>
      <c r="J600" s="286" t="s">
        <v>103</v>
      </c>
      <c r="K600" s="286" t="s">
        <v>37</v>
      </c>
      <c r="L600" s="286" t="s">
        <v>39</v>
      </c>
      <c r="M600" s="286"/>
      <c r="N600" s="286"/>
      <c r="O600" s="286"/>
      <c r="P600" s="194" t="s">
        <v>1095</v>
      </c>
      <c r="Q600" s="286" t="s">
        <v>107</v>
      </c>
      <c r="R600" s="194" t="s">
        <v>65</v>
      </c>
      <c r="S600" s="286" t="s">
        <v>70</v>
      </c>
      <c r="T600" s="286" t="s">
        <v>26</v>
      </c>
      <c r="U600" s="286" t="s">
        <v>38</v>
      </c>
      <c r="V600" s="287" t="s">
        <v>27</v>
      </c>
      <c r="W600" s="288"/>
      <c r="X600" s="289"/>
    </row>
    <row r="601" spans="1:27" ht="15" customHeight="1" thickBot="1">
      <c r="A601" s="225"/>
      <c r="B601" s="221"/>
      <c r="C601" s="144">
        <f>SUMIF(Densidades!A:A,'Memória TOTAL'!X601,Densidades!B:B)</f>
        <v>0</v>
      </c>
      <c r="D601" s="145">
        <f>SUMIF(Densidades!A:A,'Memória TOTAL'!X601,Densidades!C:C)</f>
        <v>0</v>
      </c>
      <c r="E601" s="146">
        <f>SUMIF(Formatos!A:A,'Memória TOTAL'!X602,Formatos!E:E)</f>
        <v>0</v>
      </c>
      <c r="F601" s="146">
        <f>SUMIF(Formatos!A:A,'Memória TOTAL'!X602,Formatos!F:F)</f>
        <v>0</v>
      </c>
      <c r="G601" s="146">
        <f>SUMIF(Formatos!A:A,'Memória TOTAL'!X602,Formatos!C:C)</f>
        <v>0</v>
      </c>
      <c r="H601" s="146">
        <f>SUMIF(Formatos!A:A,'Memória TOTAL'!X602,Formatos!D:D)</f>
        <v>0</v>
      </c>
      <c r="I601" s="146">
        <f>SUMIF(Densidades!A:A,'Memória TOTAL'!X601,Densidades!H:H)</f>
        <v>0</v>
      </c>
      <c r="J601" s="147">
        <f>SUMIF(Formatos!A:A,'Memória TOTAL'!X602,Formatos!G:G)</f>
        <v>0</v>
      </c>
      <c r="K601" s="148">
        <f>SUMIF(Densidades!A:A,'Memória TOTAL'!X601,Densidades!I:I)</f>
        <v>0</v>
      </c>
      <c r="L601" s="149">
        <v>0</v>
      </c>
      <c r="M601" s="150"/>
      <c r="N601" s="150"/>
      <c r="O601" s="150"/>
      <c r="P601" s="150"/>
      <c r="Q601" s="150"/>
      <c r="R601" s="150"/>
      <c r="S601" s="150"/>
      <c r="T601" s="150"/>
      <c r="U601" s="150"/>
      <c r="V601" s="156"/>
      <c r="W601" s="204" t="str">
        <f>IF(C601=0,"",ROUNDUP(SUM(V603:V605)*(1+L601),0))</f>
        <v/>
      </c>
      <c r="X601" s="274"/>
    </row>
    <row r="602" spans="1:27" ht="15" customHeight="1" thickBot="1">
      <c r="A602" s="225"/>
      <c r="B602" s="222"/>
      <c r="C602" s="153"/>
      <c r="D602" s="150"/>
      <c r="E602" s="146">
        <f t="shared" ref="E602:K602" si="106">E601</f>
        <v>0</v>
      </c>
      <c r="F602" s="146">
        <f t="shared" si="106"/>
        <v>0</v>
      </c>
      <c r="G602" s="146">
        <f t="shared" si="106"/>
        <v>0</v>
      </c>
      <c r="H602" s="146">
        <f t="shared" si="106"/>
        <v>0</v>
      </c>
      <c r="I602" s="146">
        <f t="shared" si="106"/>
        <v>0</v>
      </c>
      <c r="J602" s="146">
        <f t="shared" si="106"/>
        <v>0</v>
      </c>
      <c r="K602" s="148">
        <f t="shared" si="106"/>
        <v>0</v>
      </c>
      <c r="L602" s="155"/>
      <c r="M602" s="150"/>
      <c r="N602" s="146"/>
      <c r="O602" s="150"/>
      <c r="P602" s="150"/>
      <c r="Q602" s="150"/>
      <c r="R602" s="150"/>
      <c r="S602" s="150"/>
      <c r="T602" s="150"/>
      <c r="U602" s="150"/>
      <c r="V602" s="156"/>
      <c r="W602" s="157"/>
      <c r="X602" s="274"/>
    </row>
    <row r="603" spans="1:27" ht="15" customHeight="1" thickBot="1">
      <c r="A603" s="225"/>
      <c r="B603" s="223" t="s">
        <v>71</v>
      </c>
      <c r="C603" s="153"/>
      <c r="D603" s="150"/>
      <c r="E603" s="146">
        <f t="shared" ref="E603:K603" si="107">E602</f>
        <v>0</v>
      </c>
      <c r="F603" s="146">
        <f t="shared" si="107"/>
        <v>0</v>
      </c>
      <c r="G603" s="146">
        <f t="shared" si="107"/>
        <v>0</v>
      </c>
      <c r="H603" s="146">
        <f t="shared" si="107"/>
        <v>0</v>
      </c>
      <c r="I603" s="146">
        <f t="shared" si="107"/>
        <v>0</v>
      </c>
      <c r="J603" s="146">
        <f t="shared" si="107"/>
        <v>0</v>
      </c>
      <c r="K603" s="148">
        <f t="shared" si="107"/>
        <v>0</v>
      </c>
      <c r="L603" s="155"/>
      <c r="M603" s="150"/>
      <c r="N603" s="146"/>
      <c r="O603" s="150"/>
      <c r="P603" s="150"/>
      <c r="Q603" s="150"/>
      <c r="R603" s="150"/>
      <c r="S603" s="150"/>
      <c r="T603" s="150"/>
      <c r="U603" s="206" t="s">
        <v>673</v>
      </c>
      <c r="V603" s="156"/>
      <c r="W603" s="157"/>
      <c r="X603" s="158" t="s">
        <v>524</v>
      </c>
    </row>
    <row r="604" spans="1:27" ht="15" customHeight="1" thickBot="1">
      <c r="A604" s="225"/>
      <c r="B604" s="217"/>
      <c r="C604" s="170"/>
      <c r="D604" s="171"/>
      <c r="E604" s="187">
        <f t="shared" ref="E604:K604" si="108">E603</f>
        <v>0</v>
      </c>
      <c r="F604" s="187">
        <f t="shared" si="108"/>
        <v>0</v>
      </c>
      <c r="G604" s="187">
        <f t="shared" si="108"/>
        <v>0</v>
      </c>
      <c r="H604" s="187">
        <f t="shared" si="108"/>
        <v>0</v>
      </c>
      <c r="I604" s="187">
        <f t="shared" si="108"/>
        <v>0</v>
      </c>
      <c r="J604" s="187">
        <f t="shared" si="108"/>
        <v>0</v>
      </c>
      <c r="K604" s="188">
        <f t="shared" si="108"/>
        <v>0</v>
      </c>
      <c r="L604" s="173"/>
      <c r="M604" s="171"/>
      <c r="N604" s="187"/>
      <c r="O604" s="171"/>
      <c r="P604" s="268"/>
      <c r="Q604" s="171"/>
      <c r="R604" s="268"/>
      <c r="S604" s="268"/>
      <c r="T604" s="238" t="e">
        <f>ROUNDUP((((S604/P604/P604)*(P604*2)*R604)/G604/H604),0)</f>
        <v>#DIV/0!</v>
      </c>
      <c r="U604" s="268"/>
      <c r="V604" s="190" t="e">
        <f>U604*T604</f>
        <v>#DIV/0!</v>
      </c>
      <c r="W604" s="191"/>
      <c r="X604" s="192"/>
    </row>
    <row r="605" spans="1:27" s="197" customFormat="1" ht="15" customHeight="1">
      <c r="A605" s="226"/>
      <c r="B605" s="221"/>
      <c r="C605" s="211"/>
      <c r="D605" s="206"/>
      <c r="E605" s="206"/>
      <c r="F605" s="206"/>
      <c r="G605" s="206"/>
      <c r="H605" s="206"/>
      <c r="I605" s="206"/>
      <c r="J605" s="207"/>
      <c r="K605" s="207"/>
      <c r="L605" s="155"/>
      <c r="M605" s="206"/>
      <c r="N605" s="206"/>
      <c r="O605" s="206"/>
      <c r="P605" s="206"/>
      <c r="Q605" s="206"/>
      <c r="R605" s="206"/>
      <c r="S605" s="206"/>
      <c r="T605" s="206"/>
      <c r="U605" s="206"/>
      <c r="V605" s="208"/>
      <c r="W605" s="196"/>
      <c r="X605" s="152"/>
      <c r="Z605" s="198"/>
      <c r="AA605" s="198"/>
    </row>
    <row r="606" spans="1:27" s="197" customFormat="1" ht="15" customHeight="1" thickBot="1">
      <c r="A606" s="226"/>
      <c r="B606" s="524"/>
      <c r="C606" s="524"/>
      <c r="D606" s="527"/>
      <c r="E606" s="527"/>
      <c r="F606" s="527"/>
      <c r="G606" s="527"/>
      <c r="H606" s="527"/>
      <c r="I606" s="527"/>
      <c r="J606" s="527"/>
      <c r="K606" s="527"/>
      <c r="L606" s="527"/>
      <c r="M606" s="527"/>
      <c r="N606" s="527"/>
      <c r="O606" s="527"/>
      <c r="P606" s="527"/>
      <c r="Q606" s="527"/>
      <c r="R606" s="527"/>
      <c r="S606" s="527"/>
      <c r="T606" s="527"/>
      <c r="U606" s="527"/>
      <c r="V606" s="527"/>
      <c r="W606" s="527"/>
      <c r="X606" s="528"/>
      <c r="Z606" s="198"/>
      <c r="AA606" s="198"/>
    </row>
    <row r="607" spans="1:27" s="197" customFormat="1" ht="15" customHeight="1" thickBot="1">
      <c r="A607" s="225"/>
      <c r="B607" s="213" t="str">
        <f>IF(X608="","FIBRA",X608)</f>
        <v>CER. FIBER WOOL 96/1260</v>
      </c>
      <c r="C607" s="230" t="s">
        <v>101</v>
      </c>
      <c r="D607" s="194" t="s">
        <v>102</v>
      </c>
      <c r="E607" s="194"/>
      <c r="F607" s="194"/>
      <c r="G607" s="194"/>
      <c r="H607" s="194"/>
      <c r="I607" s="194"/>
      <c r="J607" s="194" t="s">
        <v>103</v>
      </c>
      <c r="K607" s="194" t="s">
        <v>37</v>
      </c>
      <c r="L607" s="194" t="s">
        <v>39</v>
      </c>
      <c r="M607" s="194" t="s">
        <v>10</v>
      </c>
      <c r="N607" s="194"/>
      <c r="O607" s="194"/>
      <c r="P607" s="194"/>
      <c r="Q607" s="194"/>
      <c r="R607" s="194"/>
      <c r="S607" s="194"/>
      <c r="T607" s="194" t="s">
        <v>26</v>
      </c>
      <c r="U607" s="194" t="s">
        <v>38</v>
      </c>
      <c r="V607" s="195" t="s">
        <v>27</v>
      </c>
      <c r="W607" s="231"/>
      <c r="X607" s="232"/>
      <c r="Z607" s="198"/>
      <c r="AA607" s="198"/>
    </row>
    <row r="608" spans="1:27" s="197" customFormat="1" ht="15" customHeight="1" thickBot="1">
      <c r="A608" s="225"/>
      <c r="B608" s="205"/>
      <c r="C608" s="144">
        <f>SUMIF(Densidades!A:A,'Memória TOTAL'!X608,Densidades!B:B)</f>
        <v>9.6000000000000002E-2</v>
      </c>
      <c r="D608" s="145">
        <f>SUMIF(Densidades!A:A,'Memória TOTAL'!X608,Densidades!C:C)</f>
        <v>1</v>
      </c>
      <c r="E608" s="145"/>
      <c r="F608" s="145"/>
      <c r="G608" s="145"/>
      <c r="H608" s="145"/>
      <c r="I608" s="145"/>
      <c r="J608" s="147">
        <f>SUMIF(Formatos!A:A,'Memória TOTAL'!X609,Formatos!G:G)</f>
        <v>1</v>
      </c>
      <c r="K608" s="233">
        <f>SUMIF(Densidades!A:A,'Memória TOTAL'!X608,Densidades!I:I)</f>
        <v>4</v>
      </c>
      <c r="L608" s="234">
        <v>0</v>
      </c>
      <c r="M608" s="206"/>
      <c r="N608" s="206"/>
      <c r="O608" s="206"/>
      <c r="P608" s="206"/>
      <c r="Q608" s="206"/>
      <c r="R608" s="206"/>
      <c r="S608" s="206"/>
      <c r="T608" s="206"/>
      <c r="U608" s="206"/>
      <c r="V608" s="208"/>
      <c r="W608" s="204">
        <f>IF(C608=0,"",ROUNDUP(SUM(V612:V612)*(1+L608),0))</f>
        <v>0</v>
      </c>
      <c r="X608" s="274" t="s">
        <v>1811</v>
      </c>
      <c r="Z608" s="198"/>
      <c r="AA608" s="198"/>
    </row>
    <row r="609" spans="1:27" s="197" customFormat="1" ht="15" customHeight="1" thickBot="1">
      <c r="A609" s="225"/>
      <c r="B609" s="205"/>
      <c r="C609" s="211"/>
      <c r="D609" s="206"/>
      <c r="E609" s="206"/>
      <c r="F609" s="206"/>
      <c r="G609" s="206"/>
      <c r="H609" s="206"/>
      <c r="I609" s="206"/>
      <c r="J609" s="207"/>
      <c r="K609" s="207"/>
      <c r="L609" s="155"/>
      <c r="M609" s="206"/>
      <c r="N609" s="206"/>
      <c r="O609" s="206"/>
      <c r="P609" s="206"/>
      <c r="Q609" s="206"/>
      <c r="R609" s="206"/>
      <c r="S609" s="206"/>
      <c r="T609" s="206"/>
      <c r="U609" s="206"/>
      <c r="V609" s="208"/>
      <c r="W609" s="196"/>
      <c r="X609" s="274" t="s">
        <v>1841</v>
      </c>
      <c r="Z609" s="198"/>
      <c r="AA609" s="198"/>
    </row>
    <row r="610" spans="1:27" s="197" customFormat="1" ht="15" customHeight="1">
      <c r="A610" s="225"/>
      <c r="B610" s="205"/>
      <c r="C610" s="211"/>
      <c r="D610" s="206"/>
      <c r="E610" s="206"/>
      <c r="F610" s="206"/>
      <c r="G610" s="206"/>
      <c r="H610" s="206"/>
      <c r="I610" s="206"/>
      <c r="J610" s="207"/>
      <c r="K610" s="207"/>
      <c r="L610" s="155"/>
      <c r="M610" s="206"/>
      <c r="N610" s="206"/>
      <c r="O610" s="206"/>
      <c r="P610" s="206"/>
      <c r="Q610" s="206"/>
      <c r="R610" s="206"/>
      <c r="S610" s="206"/>
      <c r="T610" s="206"/>
      <c r="U610" s="206"/>
      <c r="V610" s="208"/>
      <c r="W610" s="196"/>
      <c r="X610" s="152" t="s">
        <v>2</v>
      </c>
      <c r="Z610" s="198"/>
      <c r="AA610" s="198"/>
    </row>
    <row r="611" spans="1:27" s="197" customFormat="1" ht="15" customHeight="1" thickBot="1">
      <c r="A611" s="225"/>
      <c r="B611" s="179"/>
      <c r="C611" s="211"/>
      <c r="D611" s="206"/>
      <c r="E611" s="206"/>
      <c r="F611" s="206"/>
      <c r="G611" s="206"/>
      <c r="H611" s="206"/>
      <c r="I611" s="206"/>
      <c r="J611" s="207"/>
      <c r="K611" s="207"/>
      <c r="L611" s="155"/>
      <c r="M611" s="206"/>
      <c r="N611" s="206"/>
      <c r="O611" s="206"/>
      <c r="P611" s="206"/>
      <c r="Q611" s="206"/>
      <c r="R611" s="206"/>
      <c r="S611" s="206"/>
      <c r="T611" s="206"/>
      <c r="U611" s="206"/>
      <c r="V611" s="208"/>
      <c r="W611" s="196"/>
      <c r="X611" s="152"/>
      <c r="Z611" s="198"/>
      <c r="AA611" s="198"/>
    </row>
    <row r="612" spans="1:27" s="197" customFormat="1" ht="15" customHeight="1" thickBot="1">
      <c r="A612" s="225"/>
      <c r="B612" s="217"/>
      <c r="C612" s="209">
        <f>C608</f>
        <v>9.6000000000000002E-2</v>
      </c>
      <c r="D612" s="212"/>
      <c r="E612" s="212"/>
      <c r="F612" s="212"/>
      <c r="G612" s="212"/>
      <c r="H612" s="212"/>
      <c r="I612" s="212"/>
      <c r="J612" s="245"/>
      <c r="K612" s="245"/>
      <c r="L612" s="248">
        <v>0</v>
      </c>
      <c r="M612" s="268"/>
      <c r="N612" s="212"/>
      <c r="O612" s="212"/>
      <c r="P612" s="212"/>
      <c r="Q612" s="212"/>
      <c r="R612" s="212"/>
      <c r="S612" s="212"/>
      <c r="T612" s="238">
        <f>M612/10^6</f>
        <v>0</v>
      </c>
      <c r="U612" s="270">
        <v>1</v>
      </c>
      <c r="V612" s="239">
        <f>ROUNDUP(T612*C612*(1+L612),0)*U612</f>
        <v>0</v>
      </c>
      <c r="W612" s="240"/>
      <c r="X612" s="241"/>
      <c r="Z612" s="198"/>
      <c r="AA612" s="198"/>
    </row>
    <row r="613" spans="1:27" s="197" customFormat="1" ht="15" customHeight="1">
      <c r="A613" s="225"/>
      <c r="B613" s="205"/>
      <c r="C613" s="211"/>
      <c r="D613" s="206"/>
      <c r="E613" s="206"/>
      <c r="F613" s="206"/>
      <c r="G613" s="206"/>
      <c r="H613" s="206"/>
      <c r="I613" s="206"/>
      <c r="J613" s="207"/>
      <c r="K613" s="207"/>
      <c r="L613" s="155"/>
      <c r="M613" s="206"/>
      <c r="N613" s="206"/>
      <c r="O613" s="206"/>
      <c r="P613" s="206"/>
      <c r="Q613" s="206"/>
      <c r="R613" s="206"/>
      <c r="S613" s="206"/>
      <c r="T613" s="206"/>
      <c r="U613" s="206"/>
      <c r="V613" s="208"/>
      <c r="W613" s="196"/>
      <c r="X613" s="152"/>
      <c r="Z613" s="198"/>
      <c r="AA613" s="198"/>
    </row>
    <row r="614" spans="1:27" s="197" customFormat="1" ht="15" customHeight="1" thickBot="1">
      <c r="A614" s="225"/>
      <c r="B614" s="524"/>
      <c r="C614" s="524"/>
      <c r="D614" s="527"/>
      <c r="E614" s="527"/>
      <c r="F614" s="527"/>
      <c r="G614" s="527"/>
      <c r="H614" s="527"/>
      <c r="I614" s="527"/>
      <c r="J614" s="527"/>
      <c r="K614" s="527"/>
      <c r="L614" s="527"/>
      <c r="M614" s="527"/>
      <c r="N614" s="527"/>
      <c r="O614" s="527"/>
      <c r="P614" s="527"/>
      <c r="Q614" s="527"/>
      <c r="R614" s="527"/>
      <c r="S614" s="527"/>
      <c r="T614" s="527"/>
      <c r="U614" s="527"/>
      <c r="V614" s="527"/>
      <c r="W614" s="527"/>
      <c r="X614" s="528"/>
      <c r="Z614" s="198"/>
      <c r="AA614" s="198"/>
    </row>
    <row r="615" spans="1:27" ht="15" customHeight="1" thickBot="1">
      <c r="A615" s="290"/>
      <c r="B615" s="284" t="str">
        <f>IF(X616="","ESPINHA DE PEIXE-FUNDO ESF.",X616)</f>
        <v>ESPINHA DE PEIXE-FUNDO ESF.</v>
      </c>
      <c r="C615" s="285" t="s">
        <v>101</v>
      </c>
      <c r="D615" s="286" t="s">
        <v>102</v>
      </c>
      <c r="E615" s="286" t="s">
        <v>42</v>
      </c>
      <c r="F615" s="286" t="s">
        <v>42</v>
      </c>
      <c r="G615" s="286" t="s">
        <v>43</v>
      </c>
      <c r="H615" s="286" t="s">
        <v>44</v>
      </c>
      <c r="I615" s="286" t="s">
        <v>47</v>
      </c>
      <c r="J615" s="286" t="s">
        <v>103</v>
      </c>
      <c r="K615" s="286" t="s">
        <v>37</v>
      </c>
      <c r="L615" s="286" t="s">
        <v>39</v>
      </c>
      <c r="M615" s="286" t="s">
        <v>45</v>
      </c>
      <c r="N615" s="286" t="s">
        <v>46</v>
      </c>
      <c r="O615" s="286" t="s">
        <v>672</v>
      </c>
      <c r="P615" s="286" t="s">
        <v>51</v>
      </c>
      <c r="Q615" s="286" t="s">
        <v>52</v>
      </c>
      <c r="R615" s="310" t="s">
        <v>1012</v>
      </c>
      <c r="S615" s="286"/>
      <c r="T615" s="286"/>
      <c r="U615" s="310" t="s">
        <v>38</v>
      </c>
      <c r="V615" s="287" t="s">
        <v>27</v>
      </c>
      <c r="W615" s="288"/>
      <c r="X615" s="289"/>
    </row>
    <row r="616" spans="1:27" ht="15" customHeight="1" thickBot="1">
      <c r="A616" s="255"/>
      <c r="B616" s="257"/>
      <c r="C616" s="256">
        <f>SUMIF(Densidades!A:A,'Memória TOTAL'!X616,Densidades!B:B)</f>
        <v>0</v>
      </c>
      <c r="D616" s="145">
        <f>SUMIF(Densidades!A:A,'Memória TOTAL'!X616,Densidades!C:C)</f>
        <v>0</v>
      </c>
      <c r="E616" s="146">
        <f>IF(AND(E622=1,E623=2),SUMIF(Formatos!A:A,'Memória TOTAL'!X617,Formatos!D:D),SUMIF(Formatos!A:A,'Memória TOTAL'!X617,Formatos!E:E))</f>
        <v>0</v>
      </c>
      <c r="F616" s="146">
        <f>IF(AND(E622=1,E623=2),SUMIF(Formatos!A:A,'Memória TOTAL'!X617,Formatos!R:R),SUMIF(Formatos!A:A,'Memória TOTAL'!X617,Formatos!F:F))</f>
        <v>0</v>
      </c>
      <c r="G616" s="146">
        <f>SUMIF(Formatos!A:A,'Memória TOTAL'!X617,Formatos!C:C)</f>
        <v>0</v>
      </c>
      <c r="H616" s="146">
        <f>SUMIF(Formatos!A:A,'Memória TOTAL'!X617,Formatos!D:D)</f>
        <v>0</v>
      </c>
      <c r="I616" s="146">
        <f>SUMIF(Densidades!A:A,'Memória TOTAL'!X616,Densidades!H:H)</f>
        <v>0</v>
      </c>
      <c r="J616" s="147">
        <f>SUMIF(Formatos!A:A,'Memória TOTAL'!X617,Formatos!G:G)</f>
        <v>4.1130000000000004</v>
      </c>
      <c r="K616" s="148">
        <f>SUMIF(Densidades!A:A,'Memória TOTAL'!X616,Densidades!I:I)</f>
        <v>0</v>
      </c>
      <c r="L616" s="264">
        <v>0</v>
      </c>
      <c r="M616" s="267"/>
      <c r="N616" s="265">
        <v>0</v>
      </c>
      <c r="O616" s="268"/>
      <c r="P616" s="266">
        <f>O616*2</f>
        <v>0</v>
      </c>
      <c r="Q616" s="150">
        <f>P616-(2*M616)</f>
        <v>0</v>
      </c>
      <c r="R616" s="268"/>
      <c r="S616" s="271"/>
      <c r="T616" s="206"/>
      <c r="U616" s="268"/>
      <c r="V616" s="267" t="str">
        <f>IF(M616="","",IF(OR(M616=E616,M616=G616,M616=H616),ROUND(R623,0),"ESP. ERRADA"))</f>
        <v/>
      </c>
      <c r="W616" s="273" t="str">
        <f>IFERROR(IF(C616=0,"",ROUNDUP(SUM(V616)*(1+L616),0))*U616,"")</f>
        <v/>
      </c>
      <c r="X616" s="274"/>
    </row>
    <row r="617" spans="1:27" s="197" customFormat="1" ht="15" customHeight="1">
      <c r="A617" s="226"/>
      <c r="B617" s="315"/>
      <c r="C617" s="247"/>
      <c r="D617" s="206"/>
      <c r="E617" s="206"/>
      <c r="F617" s="206"/>
      <c r="G617" s="206"/>
      <c r="H617" s="206"/>
      <c r="I617" s="206"/>
      <c r="J617" s="207"/>
      <c r="K617" s="207"/>
      <c r="L617" s="155"/>
      <c r="M617" s="206"/>
      <c r="N617" s="206"/>
      <c r="O617" s="206"/>
      <c r="P617" s="206"/>
      <c r="Q617" s="206"/>
      <c r="R617" s="206"/>
      <c r="S617" s="206"/>
      <c r="T617" s="206"/>
      <c r="U617" s="206"/>
      <c r="V617" s="208"/>
      <c r="W617" s="196"/>
      <c r="X617" s="152" t="str">
        <f>IF(B622="","",B622)</f>
        <v/>
      </c>
      <c r="Z617" s="198"/>
      <c r="AA617" s="198"/>
    </row>
    <row r="618" spans="1:27" s="197" customFormat="1" ht="15" customHeight="1">
      <c r="A618" s="226"/>
      <c r="B618" s="315"/>
      <c r="C618" s="247"/>
      <c r="D618" s="206"/>
      <c r="E618" s="206"/>
      <c r="F618" s="206"/>
      <c r="G618" s="206"/>
      <c r="H618" s="206"/>
      <c r="I618" s="206"/>
      <c r="J618" s="207"/>
      <c r="K618" s="207"/>
      <c r="L618" s="155"/>
      <c r="M618" s="206"/>
      <c r="N618" s="206"/>
      <c r="O618" s="206"/>
      <c r="P618" s="206"/>
      <c r="Q618" s="206"/>
      <c r="R618" s="206"/>
      <c r="S618" s="206"/>
      <c r="T618" s="206"/>
      <c r="U618" s="206"/>
      <c r="V618" s="208"/>
      <c r="W618" s="196"/>
      <c r="X618" s="152" t="s">
        <v>524</v>
      </c>
      <c r="Z618" s="198"/>
      <c r="AA618" s="198"/>
    </row>
    <row r="619" spans="1:27" s="197" customFormat="1" ht="15" customHeight="1" thickBot="1">
      <c r="A619" s="226"/>
      <c r="B619" s="315"/>
      <c r="C619" s="247" t="str">
        <f t="shared" ref="C619:L619" si="109">C615</f>
        <v>Dens.</v>
      </c>
      <c r="D619" s="206" t="str">
        <f t="shared" si="109"/>
        <v>Emb.</v>
      </c>
      <c r="E619" s="249" t="str">
        <f t="shared" si="109"/>
        <v>Esp. Tij.</v>
      </c>
      <c r="F619" s="249" t="str">
        <f t="shared" si="109"/>
        <v>Esp. Tij.</v>
      </c>
      <c r="G619" s="249" t="str">
        <f t="shared" si="109"/>
        <v>Comp. Tij.</v>
      </c>
      <c r="H619" s="249" t="str">
        <f t="shared" si="109"/>
        <v>Larg. Tij.</v>
      </c>
      <c r="I619" s="249" t="str">
        <f t="shared" si="109"/>
        <v>Tipo Fator</v>
      </c>
      <c r="J619" s="249" t="str">
        <f t="shared" si="109"/>
        <v>Vol.</v>
      </c>
      <c r="K619" s="249" t="str">
        <f t="shared" si="109"/>
        <v>Class.</v>
      </c>
      <c r="L619" s="206" t="str">
        <f t="shared" si="109"/>
        <v>Coefic. (%)</v>
      </c>
      <c r="M619" s="206"/>
      <c r="N619" s="206"/>
      <c r="O619" s="206"/>
      <c r="P619" s="206"/>
      <c r="Q619" s="206"/>
      <c r="R619" s="206"/>
      <c r="S619" s="206"/>
      <c r="T619" s="206"/>
      <c r="U619" s="206"/>
      <c r="V619" s="253"/>
      <c r="W619" s="196"/>
      <c r="X619" s="152"/>
      <c r="Z619" s="198"/>
      <c r="AA619" s="198"/>
    </row>
    <row r="620" spans="1:27" s="197" customFormat="1" ht="15" customHeight="1" thickBot="1">
      <c r="A620" s="226"/>
      <c r="B620" s="315"/>
      <c r="C620" s="256">
        <f>SUMIF(Densidades!A:A,'Memória TOTAL'!X620,Densidades!B:B)</f>
        <v>0</v>
      </c>
      <c r="D620" s="145">
        <f>SUMIF(Densidades!A:A,'Memória TOTAL'!X620,Densidades!C:C)</f>
        <v>570</v>
      </c>
      <c r="E620" s="146">
        <f>SUMIF(Formatos!A:A,'Memória TOTAL'!X621,Formatos!E:E)</f>
        <v>0</v>
      </c>
      <c r="F620" s="146">
        <f>SUMIF(Formatos!A:A,'Memória TOTAL'!X621,Formatos!F:F)</f>
        <v>0</v>
      </c>
      <c r="G620" s="146">
        <f>SUMIF(Formatos!A:A,'Memória TOTAL'!X621,Formatos!C:C)</f>
        <v>0</v>
      </c>
      <c r="H620" s="146">
        <f>SUMIF(Formatos!A:A,'Memória TOTAL'!X621,Formatos!D:D)</f>
        <v>0</v>
      </c>
      <c r="I620" s="146">
        <f>SUMIF(Densidades!A:A,'Memória TOTAL'!X620,Densidades!H:H)</f>
        <v>0</v>
      </c>
      <c r="J620" s="147">
        <f>SUMIF(Formatos!A:A,'Memória TOTAL'!X621,Formatos!G:G)</f>
        <v>4.1130000000000004</v>
      </c>
      <c r="K620" s="233">
        <f>SUMIF(Densidades!A:A,'Memória TOTAL'!X620,Densidades!I:I)</f>
        <v>167</v>
      </c>
      <c r="L620" s="234">
        <v>0</v>
      </c>
      <c r="M620" s="206"/>
      <c r="N620" s="206"/>
      <c r="O620" s="206"/>
      <c r="P620" s="206"/>
      <c r="Q620" s="206"/>
      <c r="R620" s="206"/>
      <c r="S620" s="206"/>
      <c r="T620" s="243"/>
      <c r="U620" s="246"/>
      <c r="V620" s="267" t="str">
        <f>IF(M616="","",IF(OR(M616=E616,M616=G616,M616=H616),ROUND(S623,0),"ESP. ERRADA"))</f>
        <v/>
      </c>
      <c r="W620" s="278" t="str">
        <f>IFERROR(IF(C620=0,"",ROUNDUP(SUM(V620)*(1+L620),0))*U616,"")</f>
        <v/>
      </c>
      <c r="X620" s="152" t="str">
        <f>IF(X616="","",X616)</f>
        <v/>
      </c>
      <c r="Z620" s="198"/>
      <c r="AA620" s="198"/>
    </row>
    <row r="621" spans="1:27" s="197" customFormat="1" ht="15" customHeight="1">
      <c r="A621" s="226"/>
      <c r="B621" s="315"/>
      <c r="C621" s="247"/>
      <c r="D621" s="206"/>
      <c r="E621" s="206"/>
      <c r="F621" s="206"/>
      <c r="G621" s="206"/>
      <c r="H621" s="206"/>
      <c r="I621" s="206"/>
      <c r="J621" s="207"/>
      <c r="K621" s="207"/>
      <c r="L621" s="155"/>
      <c r="M621" s="206"/>
      <c r="N621" s="206"/>
      <c r="O621" s="206"/>
      <c r="P621" s="206"/>
      <c r="Q621" s="206"/>
      <c r="R621" s="206"/>
      <c r="S621" s="206"/>
      <c r="T621" s="206"/>
      <c r="U621" s="206"/>
      <c r="V621" s="208"/>
      <c r="W621" s="196"/>
      <c r="X621" s="152" t="str">
        <f>IF(B623="","",B623)</f>
        <v/>
      </c>
      <c r="Z621" s="198"/>
      <c r="AA621" s="198"/>
    </row>
    <row r="622" spans="1:27" s="197" customFormat="1" ht="15" customHeight="1">
      <c r="A622" s="226"/>
      <c r="B622" s="315"/>
      <c r="C622" s="254" t="s">
        <v>54</v>
      </c>
      <c r="D622" s="250"/>
      <c r="E622" s="206">
        <f>SUMIF(Formatos!A:A,'Memória TOTAL'!X617,Formatos!S:S)</f>
        <v>2</v>
      </c>
      <c r="F622" s="249"/>
      <c r="G622" s="249"/>
      <c r="H622" s="159" t="s">
        <v>54</v>
      </c>
      <c r="I622" s="159" t="s">
        <v>55</v>
      </c>
      <c r="J622" s="207"/>
      <c r="K622" s="206" t="s">
        <v>1076</v>
      </c>
      <c r="L622" s="155"/>
      <c r="M622" s="206"/>
      <c r="N622" s="206" t="s">
        <v>22</v>
      </c>
      <c r="O622" s="160" t="s">
        <v>48</v>
      </c>
      <c r="P622" s="160" t="s">
        <v>49</v>
      </c>
      <c r="Q622" s="161" t="s">
        <v>50</v>
      </c>
      <c r="R622" s="160" t="s">
        <v>54</v>
      </c>
      <c r="S622" s="160" t="s">
        <v>55</v>
      </c>
      <c r="T622" s="206"/>
      <c r="U622" s="206"/>
      <c r="V622" s="208"/>
      <c r="W622" s="196"/>
      <c r="X622" s="152" t="s">
        <v>524</v>
      </c>
      <c r="Z622" s="198"/>
      <c r="AA622" s="198"/>
    </row>
    <row r="623" spans="1:27" s="197" customFormat="1" ht="15" customHeight="1" thickBot="1">
      <c r="A623" s="226"/>
      <c r="B623" s="316"/>
      <c r="C623" s="254" t="s">
        <v>55</v>
      </c>
      <c r="D623" s="250"/>
      <c r="E623" s="206">
        <f>SUMIF(Formatos!A:A,'Memória TOTAL'!X621,Formatos!S:S)</f>
        <v>2</v>
      </c>
      <c r="F623" s="206"/>
      <c r="G623" s="206"/>
      <c r="H623" s="318" t="e">
        <f>(1/(-(N623+N616)*(Q623+N616)+(O623+N616)*(P623+N616)))*3.1416*(-P616*(Q623+N616)+Q616*(P623+N616))</f>
        <v>#DIV/0!</v>
      </c>
      <c r="I623" s="318" t="e">
        <f>((P616*PI())-(H623*(N623+N616)))/(P623+N616)</f>
        <v>#DIV/0!</v>
      </c>
      <c r="J623" s="207"/>
      <c r="K623" s="206">
        <f>(P616*PI()/360*R616)^2*PI()/4</f>
        <v>0</v>
      </c>
      <c r="L623" s="155"/>
      <c r="M623" s="206"/>
      <c r="N623" s="206">
        <f>E616</f>
        <v>0</v>
      </c>
      <c r="O623" s="162">
        <f>F616</f>
        <v>0</v>
      </c>
      <c r="P623" s="162">
        <f>E620</f>
        <v>0</v>
      </c>
      <c r="Q623" s="168">
        <f>F620</f>
        <v>0</v>
      </c>
      <c r="R623" s="162" t="e">
        <f>ROUNDUP(K623/E616/H616*H624,0)</f>
        <v>#DIV/0!</v>
      </c>
      <c r="S623" s="162" t="e">
        <f>ROUNDUP(K623/E620/H620*I624,)</f>
        <v>#DIV/0!</v>
      </c>
      <c r="T623" s="206"/>
      <c r="U623" s="206"/>
      <c r="V623" s="208"/>
      <c r="W623" s="242"/>
      <c r="X623" s="152"/>
      <c r="Z623" s="198"/>
      <c r="AA623" s="198"/>
    </row>
    <row r="624" spans="1:27" s="166" customFormat="1" ht="15" customHeight="1" thickBot="1">
      <c r="A624" s="259"/>
      <c r="B624" s="258" t="s">
        <v>676</v>
      </c>
      <c r="C624" s="247"/>
      <c r="D624" s="206"/>
      <c r="E624" s="206"/>
      <c r="F624" s="206"/>
      <c r="G624" s="206"/>
      <c r="H624" s="318" t="e">
        <f>H623/(H623+I623)</f>
        <v>#DIV/0!</v>
      </c>
      <c r="I624" s="318" t="e">
        <f>I623/(H623+I623)</f>
        <v>#DIV/0!</v>
      </c>
      <c r="J624" s="207"/>
      <c r="K624" s="207"/>
      <c r="L624" s="206"/>
      <c r="M624" s="206"/>
      <c r="N624" s="206"/>
      <c r="O624" s="206"/>
      <c r="P624" s="206"/>
      <c r="Q624" s="206"/>
      <c r="R624" s="206"/>
      <c r="S624" s="206"/>
      <c r="T624" s="162"/>
      <c r="U624" s="162"/>
      <c r="V624" s="163"/>
      <c r="W624" s="164"/>
      <c r="X624" s="165"/>
      <c r="Z624" s="167"/>
      <c r="AA624" s="167"/>
    </row>
    <row r="625" spans="1:27" s="197" customFormat="1" ht="15" customHeight="1">
      <c r="A625" s="226"/>
      <c r="B625" s="221"/>
      <c r="C625" s="312"/>
      <c r="D625" s="206"/>
      <c r="E625" s="146"/>
      <c r="F625" s="146"/>
      <c r="G625" s="146"/>
      <c r="H625" s="146"/>
      <c r="I625" s="243"/>
      <c r="J625" s="243"/>
      <c r="K625" s="243"/>
      <c r="L625" s="206"/>
      <c r="M625" s="206"/>
      <c r="N625" s="206"/>
      <c r="O625" s="155"/>
      <c r="P625" s="206"/>
      <c r="Q625" s="206"/>
      <c r="R625" s="206"/>
      <c r="S625" s="206"/>
      <c r="T625" s="206"/>
      <c r="U625" s="206"/>
      <c r="V625" s="208"/>
      <c r="W625" s="196"/>
      <c r="X625" s="152"/>
      <c r="Z625" s="198"/>
      <c r="AA625" s="198"/>
    </row>
    <row r="626" spans="1:27" s="197" customFormat="1" ht="15" customHeight="1">
      <c r="A626" s="226"/>
      <c r="B626" s="221"/>
      <c r="C626" s="312"/>
      <c r="D626" s="206"/>
      <c r="E626" s="146"/>
      <c r="F626" s="146"/>
      <c r="G626" s="146"/>
      <c r="H626" s="146"/>
      <c r="I626" s="243"/>
      <c r="J626" s="243"/>
      <c r="K626" s="243"/>
      <c r="L626" s="206"/>
      <c r="M626" s="206"/>
      <c r="N626" s="206"/>
      <c r="O626" s="155"/>
      <c r="P626" s="206"/>
      <c r="Q626" s="206"/>
      <c r="R626" s="206"/>
      <c r="S626" s="206"/>
      <c r="T626" s="206"/>
      <c r="U626" s="206"/>
      <c r="V626" s="208"/>
      <c r="W626" s="196"/>
      <c r="X626" s="152"/>
      <c r="Z626" s="198"/>
      <c r="AA626" s="198"/>
    </row>
    <row r="627" spans="1:27" s="197" customFormat="1" ht="15" customHeight="1" thickBot="1">
      <c r="A627" s="226"/>
      <c r="B627" s="291" t="s">
        <v>1010</v>
      </c>
      <c r="C627" s="292"/>
      <c r="D627" s="293"/>
      <c r="E627" s="293"/>
      <c r="F627" s="293"/>
      <c r="G627" s="293"/>
      <c r="H627" s="293"/>
      <c r="I627" s="293"/>
      <c r="J627" s="294"/>
      <c r="K627" s="294"/>
      <c r="L627" s="295"/>
      <c r="M627" s="293"/>
      <c r="N627" s="293"/>
      <c r="O627" s="293"/>
      <c r="P627" s="293"/>
      <c r="Q627" s="293"/>
      <c r="R627" s="293"/>
      <c r="S627" s="296"/>
      <c r="T627" s="293"/>
      <c r="U627" s="293" t="s">
        <v>678</v>
      </c>
      <c r="V627" s="297" t="s">
        <v>27</v>
      </c>
      <c r="W627" s="298"/>
      <c r="X627" s="299"/>
      <c r="Z627" s="198"/>
      <c r="AA627" s="198"/>
    </row>
    <row r="628" spans="1:27" s="197" customFormat="1" ht="15" customHeight="1" thickBot="1">
      <c r="A628" s="226"/>
      <c r="B628" s="221"/>
      <c r="C628" s="144">
        <f>SUMIF(Densidades!A:A,'Memória TOTAL'!X628,Densidades!B:B)</f>
        <v>0</v>
      </c>
      <c r="D628" s="145">
        <f>SUMIF(Densidades!A:A,'Memória TOTAL'!X628,Densidades!C:C)</f>
        <v>0</v>
      </c>
      <c r="E628" s="145" t="str">
        <f>IF(I628=15,"FIRECLAY MORTAR",IF(I628=16,"ALUMINA MORTAR",IF(I628=17,"BASIC MORTAR",IF(I628=18,"MORTAR","-"))))</f>
        <v>-</v>
      </c>
      <c r="F628" s="145" t="str">
        <f>IF(I628=15,"FIRECLAY MORTAR",IF(I628=16,"ALUMINA MORTAR",IF(I628=17,"BASIC MORTAR",IF(I628=18,"MORTAR","-"))))</f>
        <v>-</v>
      </c>
      <c r="G628" s="145" t="str">
        <f>IF(I628=15,"FIRECLAY MORTAR",IF(I628=16,"ALUMINA MORTAR",IF(I628=17,"BASIC MORTAR",IF(I628=18,"MORTAR","-"))))</f>
        <v>-</v>
      </c>
      <c r="H628" s="145" t="str">
        <f>IF(I628=15,"FIRECLAY MORTAR",IF(I628=16,"ALUMINA MORTAR",IF(I628=17,"BASIC MORTAR",IF(I628=18,"MORTAR","-"))))</f>
        <v>-</v>
      </c>
      <c r="I628" s="145">
        <f>SUMIF(Densidades!A:A,'Memória TOTAL'!X628,Densidades!G:G)</f>
        <v>0</v>
      </c>
      <c r="J628" s="147">
        <f>SUMIF(Formatos!A:A,'Memória TOTAL'!X629,Formatos!G:G)</f>
        <v>0</v>
      </c>
      <c r="K628" s="148">
        <f>SUMIF(Densidades!A:A,'Memória TOTAL'!X628,Densidades!I:I)</f>
        <v>0</v>
      </c>
      <c r="L628" s="199">
        <v>0</v>
      </c>
      <c r="M628" s="200"/>
      <c r="N628" s="200"/>
      <c r="O628" s="200"/>
      <c r="P628" s="200"/>
      <c r="Q628" s="200"/>
      <c r="R628" s="200"/>
      <c r="S628" s="200"/>
      <c r="T628" s="201"/>
      <c r="U628" s="302">
        <v>0.06</v>
      </c>
      <c r="V628" s="203" t="e">
        <f>(W616*J616*C628+W620*J620*C628)*U628</f>
        <v>#VALUE!</v>
      </c>
      <c r="W628" s="204" t="str">
        <f>IF(C628=0,"",ROUNDUP(SUM(V628:V629)*(1+L628)/D628,0)*D628)</f>
        <v/>
      </c>
      <c r="X628" s="274"/>
      <c r="Z628" s="198"/>
      <c r="AA628" s="198"/>
    </row>
    <row r="629" spans="1:27" s="197" customFormat="1" ht="15" customHeight="1">
      <c r="A629" s="226"/>
      <c r="B629" s="221"/>
      <c r="C629" s="144"/>
      <c r="D629" s="206"/>
      <c r="E629" s="206"/>
      <c r="F629" s="206"/>
      <c r="G629" s="206"/>
      <c r="H629" s="206"/>
      <c r="I629" s="206"/>
      <c r="J629" s="207"/>
      <c r="K629" s="207"/>
      <c r="L629" s="155"/>
      <c r="M629" s="206"/>
      <c r="N629" s="206"/>
      <c r="O629" s="206"/>
      <c r="P629" s="206"/>
      <c r="Q629" s="206"/>
      <c r="R629" s="206"/>
      <c r="S629" s="206"/>
      <c r="T629" s="206"/>
      <c r="U629" s="206"/>
      <c r="V629" s="208"/>
      <c r="W629" s="196"/>
      <c r="X629" s="152" t="str">
        <f>IF(AND(H628="-",G628="-",F628="-"),E628,IF(AND(H628="-",G628="-",E628="-"),F628,IF(AND(H628="-",F628="-",E628="-"),G628,H628)))</f>
        <v>-</v>
      </c>
      <c r="Z629" s="198"/>
      <c r="AA629" s="198"/>
    </row>
    <row r="630" spans="1:27" s="197" customFormat="1" ht="15" customHeight="1">
      <c r="A630" s="226"/>
      <c r="B630" s="224"/>
      <c r="C630" s="144"/>
      <c r="D630" s="206"/>
      <c r="E630" s="206"/>
      <c r="F630" s="206"/>
      <c r="G630" s="206"/>
      <c r="H630" s="206"/>
      <c r="I630" s="206"/>
      <c r="J630" s="207"/>
      <c r="K630" s="207"/>
      <c r="L630" s="155"/>
      <c r="M630" s="206"/>
      <c r="N630" s="206"/>
      <c r="O630" s="206"/>
      <c r="P630" s="206"/>
      <c r="Q630" s="206"/>
      <c r="R630" s="206"/>
      <c r="S630" s="206"/>
      <c r="T630" s="206"/>
      <c r="U630" s="206"/>
      <c r="V630" s="208"/>
      <c r="W630" s="196"/>
      <c r="X630" s="152" t="s">
        <v>2</v>
      </c>
      <c r="Z630" s="198"/>
      <c r="AA630" s="198"/>
    </row>
    <row r="631" spans="1:27" ht="15" customHeight="1">
      <c r="A631" s="226"/>
      <c r="B631" s="142"/>
      <c r="C631" s="180"/>
      <c r="D631" s="181"/>
      <c r="E631" s="181"/>
      <c r="F631" s="181"/>
      <c r="G631" s="181"/>
      <c r="H631" s="181"/>
      <c r="I631" s="181"/>
      <c r="J631" s="182"/>
      <c r="K631" s="182"/>
      <c r="L631" s="183"/>
      <c r="M631" s="181"/>
      <c r="N631" s="181"/>
      <c r="O631" s="181"/>
      <c r="P631" s="181"/>
      <c r="Q631" s="181"/>
      <c r="R631" s="181"/>
      <c r="S631" s="181"/>
      <c r="T631" s="181"/>
      <c r="U631" s="181"/>
      <c r="V631" s="184"/>
      <c r="W631" s="185"/>
      <c r="X631" s="186"/>
    </row>
    <row r="632" spans="1:27" s="197" customFormat="1" ht="15" customHeight="1" thickBot="1">
      <c r="A632" s="226"/>
      <c r="B632" s="291" t="s">
        <v>1011</v>
      </c>
      <c r="C632" s="292"/>
      <c r="D632" s="293"/>
      <c r="E632" s="293"/>
      <c r="F632" s="293"/>
      <c r="G632" s="293"/>
      <c r="H632" s="293"/>
      <c r="I632" s="293"/>
      <c r="J632" s="294"/>
      <c r="K632" s="294"/>
      <c r="L632" s="295"/>
      <c r="M632" s="293"/>
      <c r="N632" s="293"/>
      <c r="O632" s="293"/>
      <c r="P632" s="293"/>
      <c r="Q632" s="293"/>
      <c r="R632" s="293" t="s">
        <v>636</v>
      </c>
      <c r="S632" s="296" t="s">
        <v>637</v>
      </c>
      <c r="T632" s="293" t="s">
        <v>638</v>
      </c>
      <c r="U632" s="293" t="s">
        <v>38</v>
      </c>
      <c r="V632" s="297" t="s">
        <v>27</v>
      </c>
      <c r="W632" s="298"/>
      <c r="X632" s="299"/>
      <c r="Z632" s="198"/>
      <c r="AA632" s="198"/>
    </row>
    <row r="633" spans="1:27" s="197" customFormat="1" ht="15" customHeight="1" thickBot="1">
      <c r="A633" s="226"/>
      <c r="B633" s="221"/>
      <c r="C633" s="144">
        <f>SUMIF(Densidades!A:A,'Memória TOTAL'!X633,Densidades!B:B)</f>
        <v>0</v>
      </c>
      <c r="D633" s="145">
        <f>SUMIF(Densidades!A:A,'Memória TOTAL'!X633,Densidades!C:C)</f>
        <v>0</v>
      </c>
      <c r="E633" s="145" t="str">
        <f>IF(I633=15,"FIRECLAY MORTAR",IF(I633=16,"ALUMINA MORTAR",IF(I633=17,"BASIC MORTAR",IF(I633=18,"MORTAR","-"))))</f>
        <v>-</v>
      </c>
      <c r="F633" s="145" t="str">
        <f>IF(I633=15,"FIRECLAY MORTAR",IF(I633=16,"ALUMINA MORTAR",IF(I633=17,"BASIC MORTAR",IF(I633=18,"MORTAR","-"))))</f>
        <v>-</v>
      </c>
      <c r="G633" s="145" t="str">
        <f>IF(I633=15,"FIRECLAY MORTAR",IF(I633=16,"ALUMINA MORTAR",IF(I633=17,"BASIC MORTAR",IF(I633=18,"MORTAR","-"))))</f>
        <v>-</v>
      </c>
      <c r="H633" s="145" t="str">
        <f>IF(I633=15,"FIRECLAY MORTAR",IF(I633=16,"ALUMINA MORTAR",IF(I633=17,"BASIC MORTAR",IF(I633=18,"MORTAR","-"))))</f>
        <v>-</v>
      </c>
      <c r="I633" s="145">
        <f>SUMIF(Densidades!A:A,'Memória TOTAL'!X633,Densidades!G:G)</f>
        <v>0</v>
      </c>
      <c r="J633" s="147">
        <f>SUMIF(Formatos!A:A,'Memória TOTAL'!X634,Formatos!G:G)</f>
        <v>0</v>
      </c>
      <c r="K633" s="233">
        <f>SUMIF(Densidades!A:A,'Memória TOTAL'!X633,Densidades!I:I)</f>
        <v>0</v>
      </c>
      <c r="L633" s="199">
        <v>0</v>
      </c>
      <c r="M633" s="200"/>
      <c r="N633" s="200"/>
      <c r="O633" s="200"/>
      <c r="P633" s="200"/>
      <c r="Q633" s="200"/>
      <c r="R633" s="201">
        <f>((G616*H616)+(G616*E616)+(H616*E616))/1000000</f>
        <v>0</v>
      </c>
      <c r="S633" s="270">
        <v>2</v>
      </c>
      <c r="T633" s="201">
        <f>R633*S633</f>
        <v>0</v>
      </c>
      <c r="U633" s="202">
        <f>SUM(W616:W621)</f>
        <v>0</v>
      </c>
      <c r="V633" s="203">
        <f>(T633*C633*(1+L633))*U633</f>
        <v>0</v>
      </c>
      <c r="W633" s="151" t="str">
        <f>IF(C633=0,"",ROUNDUP(SUM(V633:V634)*(1+L633)/D633,0)*D633)</f>
        <v/>
      </c>
      <c r="X633" s="274"/>
      <c r="Z633" s="198"/>
      <c r="AA633" s="198"/>
    </row>
    <row r="634" spans="1:27" s="197" customFormat="1" ht="15" customHeight="1">
      <c r="A634" s="226"/>
      <c r="B634" s="221"/>
      <c r="C634" s="144"/>
      <c r="D634" s="206"/>
      <c r="E634" s="206"/>
      <c r="F634" s="206"/>
      <c r="G634" s="206"/>
      <c r="H634" s="206"/>
      <c r="I634" s="206"/>
      <c r="J634" s="207"/>
      <c r="K634" s="207"/>
      <c r="L634" s="155"/>
      <c r="M634" s="206"/>
      <c r="N634" s="206"/>
      <c r="O634" s="206"/>
      <c r="P634" s="206"/>
      <c r="Q634" s="206"/>
      <c r="R634" s="206"/>
      <c r="S634" s="206"/>
      <c r="T634" s="206"/>
      <c r="U634" s="206"/>
      <c r="V634" s="208"/>
      <c r="W634" s="196"/>
      <c r="X634" s="152" t="str">
        <f>IF(AND(H633="-",G633="-",F633="-"),E633,IF(AND(H633="-",G633="-",E633="-"),F633,IF(AND(H633="-",F633="-",E633="-"),G633,H633)))</f>
        <v>-</v>
      </c>
      <c r="Z634" s="198"/>
      <c r="AA634" s="198"/>
    </row>
    <row r="635" spans="1:27" s="197" customFormat="1" ht="15" customHeight="1">
      <c r="A635" s="226"/>
      <c r="B635" s="224"/>
      <c r="C635" s="144"/>
      <c r="D635" s="206"/>
      <c r="E635" s="206"/>
      <c r="F635" s="206"/>
      <c r="G635" s="206"/>
      <c r="H635" s="206"/>
      <c r="I635" s="206"/>
      <c r="J635" s="207"/>
      <c r="K635" s="207"/>
      <c r="L635" s="155"/>
      <c r="M635" s="206"/>
      <c r="N635" s="206"/>
      <c r="O635" s="206"/>
      <c r="P635" s="206"/>
      <c r="Q635" s="206"/>
      <c r="R635" s="206"/>
      <c r="S635" s="206"/>
      <c r="T635" s="206"/>
      <c r="U635" s="206"/>
      <c r="V635" s="208"/>
      <c r="W635" s="196"/>
      <c r="X635" s="152" t="s">
        <v>2</v>
      </c>
      <c r="Z635" s="198"/>
      <c r="AA635" s="198"/>
    </row>
    <row r="636" spans="1:27" s="197" customFormat="1" ht="15" customHeight="1">
      <c r="A636" s="226"/>
      <c r="B636" s="221"/>
      <c r="C636" s="312"/>
      <c r="D636" s="206"/>
      <c r="E636" s="146"/>
      <c r="F636" s="146"/>
      <c r="G636" s="146"/>
      <c r="H636" s="146"/>
      <c r="I636" s="243"/>
      <c r="J636" s="243"/>
      <c r="K636" s="243"/>
      <c r="L636" s="206"/>
      <c r="M636" s="206"/>
      <c r="N636" s="206"/>
      <c r="O636" s="155"/>
      <c r="P636" s="206"/>
      <c r="Q636" s="206"/>
      <c r="R636" s="206"/>
      <c r="S636" s="206"/>
      <c r="T636" s="206"/>
      <c r="U636" s="206"/>
      <c r="V636" s="208"/>
      <c r="W636" s="196"/>
      <c r="X636" s="152"/>
      <c r="Z636" s="198"/>
      <c r="AA636" s="198"/>
    </row>
    <row r="637" spans="1:27" s="197" customFormat="1" ht="15" customHeight="1" thickBot="1">
      <c r="A637" s="226"/>
      <c r="B637" s="524"/>
      <c r="C637" s="524"/>
      <c r="D637" s="527"/>
      <c r="E637" s="527"/>
      <c r="F637" s="527"/>
      <c r="G637" s="527"/>
      <c r="H637" s="527"/>
      <c r="I637" s="527"/>
      <c r="J637" s="527"/>
      <c r="K637" s="527"/>
      <c r="L637" s="527"/>
      <c r="M637" s="527"/>
      <c r="N637" s="527"/>
      <c r="O637" s="527"/>
      <c r="P637" s="527"/>
      <c r="Q637" s="527"/>
      <c r="R637" s="527"/>
      <c r="S637" s="527"/>
      <c r="T637" s="527"/>
      <c r="U637" s="527"/>
      <c r="V637" s="527"/>
      <c r="W637" s="527"/>
      <c r="X637" s="528"/>
      <c r="Z637" s="198"/>
      <c r="AA637" s="198"/>
    </row>
    <row r="638" spans="1:27" ht="15" customHeight="1" thickBot="1">
      <c r="A638" s="290"/>
      <c r="B638" s="284" t="s">
        <v>642</v>
      </c>
      <c r="C638" s="285" t="s">
        <v>101</v>
      </c>
      <c r="D638" s="286" t="s">
        <v>102</v>
      </c>
      <c r="E638" s="286"/>
      <c r="F638" s="286"/>
      <c r="G638" s="286"/>
      <c r="H638" s="286"/>
      <c r="I638" s="286"/>
      <c r="J638" s="286" t="s">
        <v>103</v>
      </c>
      <c r="K638" s="286" t="s">
        <v>37</v>
      </c>
      <c r="L638" s="286" t="s">
        <v>39</v>
      </c>
      <c r="M638" s="286" t="s">
        <v>62</v>
      </c>
      <c r="N638" s="286" t="s">
        <v>106</v>
      </c>
      <c r="O638" s="286" t="s">
        <v>68</v>
      </c>
      <c r="P638" s="286" t="s">
        <v>69</v>
      </c>
      <c r="Q638" s="286" t="s">
        <v>107</v>
      </c>
      <c r="R638" s="286" t="s">
        <v>53</v>
      </c>
      <c r="S638" s="286" t="s">
        <v>40</v>
      </c>
      <c r="T638" s="286" t="s">
        <v>26</v>
      </c>
      <c r="U638" s="286" t="s">
        <v>38</v>
      </c>
      <c r="V638" s="287" t="s">
        <v>27</v>
      </c>
      <c r="W638" s="288"/>
      <c r="X638" s="289"/>
    </row>
    <row r="639" spans="1:27" s="197" customFormat="1" ht="15" customHeight="1" thickBot="1">
      <c r="A639" s="226"/>
      <c r="B639" s="221"/>
      <c r="C639" s="144">
        <f>SUMIF(Densidades!A:A,'Memória TOTAL'!X639,Densidades!B:B)</f>
        <v>0</v>
      </c>
      <c r="D639" s="145">
        <f>SUMIF(Densidades!A:A,'Memória TOTAL'!X639,Densidades!C:C)</f>
        <v>0</v>
      </c>
      <c r="E639" s="145"/>
      <c r="F639" s="145"/>
      <c r="G639" s="145"/>
      <c r="H639" s="145"/>
      <c r="I639" s="145"/>
      <c r="J639" s="147">
        <f>SUMIF(Formatos!A:A,'Memória TOTAL'!X640,Formatos!G:G)</f>
        <v>0</v>
      </c>
      <c r="K639" s="233">
        <f>SUMIF(Densidades!A:A,'Memória TOTAL'!X639,Densidades!I:I)</f>
        <v>0</v>
      </c>
      <c r="L639" s="234">
        <v>0</v>
      </c>
      <c r="M639" s="206"/>
      <c r="N639" s="206"/>
      <c r="O639" s="206"/>
      <c r="P639" s="206"/>
      <c r="Q639" s="206"/>
      <c r="R639" s="206"/>
      <c r="S639" s="206"/>
      <c r="T639" s="206"/>
      <c r="U639" s="206"/>
      <c r="V639" s="208"/>
      <c r="W639" s="277"/>
      <c r="X639" s="274"/>
      <c r="Z639" s="198"/>
      <c r="AA639" s="198"/>
    </row>
    <row r="640" spans="1:27" s="197" customFormat="1" ht="15" customHeight="1" thickBot="1">
      <c r="A640" s="226"/>
      <c r="B640" s="221"/>
      <c r="C640" s="211"/>
      <c r="D640" s="206"/>
      <c r="E640" s="206"/>
      <c r="F640" s="206"/>
      <c r="G640" s="206"/>
      <c r="H640" s="206"/>
      <c r="I640" s="206"/>
      <c r="J640" s="207"/>
      <c r="K640" s="207"/>
      <c r="L640" s="155"/>
      <c r="M640" s="206"/>
      <c r="N640" s="206"/>
      <c r="O640" s="206"/>
      <c r="P640" s="206"/>
      <c r="Q640" s="206"/>
      <c r="R640" s="206"/>
      <c r="S640" s="206"/>
      <c r="T640" s="206"/>
      <c r="U640" s="206"/>
      <c r="V640" s="208"/>
      <c r="W640" s="196"/>
      <c r="X640" s="274"/>
      <c r="Z640" s="198"/>
      <c r="AA640" s="198"/>
    </row>
    <row r="641" spans="1:27" s="197" customFormat="1" ht="15" customHeight="1">
      <c r="A641" s="226"/>
      <c r="B641" s="224"/>
      <c r="C641" s="211"/>
      <c r="D641" s="206"/>
      <c r="E641" s="206"/>
      <c r="F641" s="206"/>
      <c r="G641" s="206"/>
      <c r="H641" s="206"/>
      <c r="I641" s="206"/>
      <c r="J641" s="207"/>
      <c r="K641" s="207"/>
      <c r="L641" s="155"/>
      <c r="M641" s="206"/>
      <c r="N641" s="206"/>
      <c r="O641" s="206"/>
      <c r="P641" s="206"/>
      <c r="Q641" s="206"/>
      <c r="R641" s="206"/>
      <c r="S641" s="206"/>
      <c r="T641" s="206"/>
      <c r="U641" s="206"/>
      <c r="V641" s="208"/>
      <c r="W641" s="196"/>
      <c r="X641" s="152" t="s">
        <v>524</v>
      </c>
      <c r="Z641" s="198"/>
      <c r="AA641" s="198"/>
    </row>
    <row r="642" spans="1:27" s="197" customFormat="1" ht="15" customHeight="1">
      <c r="A642" s="226"/>
      <c r="B642" s="221"/>
      <c r="C642" s="312"/>
      <c r="D642" s="206"/>
      <c r="E642" s="146"/>
      <c r="F642" s="146"/>
      <c r="G642" s="146"/>
      <c r="H642" s="146"/>
      <c r="I642" s="243"/>
      <c r="J642" s="243"/>
      <c r="K642" s="243"/>
      <c r="L642" s="206"/>
      <c r="M642" s="206"/>
      <c r="N642" s="206"/>
      <c r="O642" s="155"/>
      <c r="P642" s="206"/>
      <c r="Q642" s="206"/>
      <c r="R642" s="206"/>
      <c r="S642" s="206"/>
      <c r="T642" s="206"/>
      <c r="U642" s="206"/>
      <c r="V642" s="208"/>
      <c r="W642" s="196"/>
      <c r="X642" s="152"/>
      <c r="Z642" s="198"/>
      <c r="AA642" s="198"/>
    </row>
    <row r="643" spans="1:27" s="197" customFormat="1" ht="15" customHeight="1" thickBot="1">
      <c r="A643" s="226"/>
      <c r="B643" s="524"/>
      <c r="C643" s="524"/>
      <c r="D643" s="527"/>
      <c r="E643" s="527"/>
      <c r="F643" s="527"/>
      <c r="G643" s="527"/>
      <c r="H643" s="527"/>
      <c r="I643" s="527"/>
      <c r="J643" s="527"/>
      <c r="K643" s="527"/>
      <c r="L643" s="527"/>
      <c r="M643" s="527"/>
      <c r="N643" s="527"/>
      <c r="O643" s="527"/>
      <c r="P643" s="527"/>
      <c r="Q643" s="527"/>
      <c r="R643" s="527"/>
      <c r="S643" s="527"/>
      <c r="T643" s="527"/>
      <c r="U643" s="527"/>
      <c r="V643" s="527"/>
      <c r="W643" s="527"/>
      <c r="X643" s="528"/>
      <c r="Z643" s="198"/>
      <c r="AA643" s="198"/>
    </row>
    <row r="644" spans="1:27" s="197" customFormat="1" ht="15" customHeight="1" thickBot="1">
      <c r="A644" s="319" t="s">
        <v>299</v>
      </c>
      <c r="B644" s="320"/>
      <c r="C644" s="321"/>
      <c r="D644" s="321"/>
      <c r="E644" s="321"/>
      <c r="F644" s="321"/>
      <c r="G644" s="321"/>
      <c r="H644" s="321"/>
      <c r="I644" s="321"/>
      <c r="J644" s="322"/>
      <c r="K644" s="322"/>
      <c r="L644" s="323"/>
      <c r="M644" s="321"/>
      <c r="N644" s="321"/>
      <c r="O644" s="324"/>
      <c r="P644" s="325"/>
      <c r="Q644" s="324"/>
      <c r="R644" s="321"/>
      <c r="S644" s="321"/>
      <c r="T644" s="321"/>
      <c r="U644" s="321"/>
      <c r="V644" s="326"/>
      <c r="W644" s="327"/>
      <c r="X644" s="328"/>
      <c r="Z644" s="198"/>
      <c r="AA644" s="198"/>
    </row>
    <row r="645" spans="1:27" s="197" customFormat="1" ht="15" customHeight="1">
      <c r="A645" s="227"/>
      <c r="B645" s="228"/>
      <c r="C645" s="228"/>
      <c r="D645" s="228"/>
      <c r="E645" s="228"/>
      <c r="F645" s="228"/>
      <c r="G645" s="228"/>
      <c r="H645" s="228"/>
      <c r="I645" s="228"/>
      <c r="J645" s="228"/>
      <c r="K645" s="228"/>
      <c r="L645" s="228"/>
      <c r="M645" s="228"/>
      <c r="N645" s="228"/>
      <c r="O645" s="228"/>
      <c r="P645" s="228"/>
      <c r="Q645" s="228"/>
      <c r="R645" s="228"/>
      <c r="S645" s="228"/>
      <c r="T645" s="228"/>
      <c r="U645" s="228"/>
      <c r="V645" s="228"/>
      <c r="W645" s="229"/>
      <c r="X645" s="229"/>
      <c r="Z645" s="198"/>
      <c r="AA645" s="198"/>
    </row>
    <row r="646" spans="1:27" s="197" customFormat="1" ht="15" customHeight="1">
      <c r="A646" s="227"/>
      <c r="B646" s="228"/>
      <c r="C646" s="228"/>
      <c r="D646" s="228"/>
      <c r="E646" s="228"/>
      <c r="F646" s="228"/>
      <c r="G646" s="228"/>
      <c r="H646" s="228"/>
      <c r="I646" s="228"/>
      <c r="J646" s="228"/>
      <c r="K646" s="228"/>
      <c r="L646" s="228"/>
      <c r="M646" s="228"/>
      <c r="N646" s="228"/>
      <c r="O646" s="228"/>
      <c r="P646" s="228"/>
      <c r="Q646" s="228"/>
      <c r="R646" s="228"/>
      <c r="S646" s="228"/>
      <c r="T646" s="228"/>
      <c r="U646" s="228"/>
      <c r="V646" s="228"/>
      <c r="W646" s="229"/>
      <c r="X646" s="229"/>
      <c r="Z646" s="198"/>
      <c r="AA646" s="198"/>
    </row>
    <row r="647" spans="1:27" s="197" customFormat="1" ht="15" customHeight="1">
      <c r="A647" s="227"/>
      <c r="B647" s="228"/>
      <c r="C647" s="228"/>
      <c r="D647" s="228"/>
      <c r="E647" s="228"/>
      <c r="F647" s="228"/>
      <c r="G647" s="228"/>
      <c r="H647" s="228"/>
      <c r="I647" s="228"/>
      <c r="J647" s="228"/>
      <c r="K647" s="228"/>
      <c r="L647" s="228"/>
      <c r="M647" s="228"/>
      <c r="N647" s="228"/>
      <c r="O647" s="228"/>
      <c r="P647" s="228"/>
      <c r="Q647" s="228"/>
      <c r="R647" s="228"/>
      <c r="S647" s="228"/>
      <c r="T647" s="228"/>
      <c r="U647" s="228"/>
      <c r="V647" s="228"/>
      <c r="W647" s="229"/>
      <c r="X647" s="229"/>
      <c r="Z647" s="198"/>
      <c r="AA647" s="198"/>
    </row>
    <row r="648" spans="1:27" s="197" customFormat="1" ht="15" customHeight="1">
      <c r="A648" s="227"/>
      <c r="B648" s="228"/>
      <c r="C648" s="228"/>
      <c r="D648" s="228"/>
      <c r="E648" s="228"/>
      <c r="F648" s="228"/>
      <c r="G648" s="228"/>
      <c r="H648" s="228"/>
      <c r="I648" s="228"/>
      <c r="J648" s="228"/>
      <c r="K648" s="228"/>
      <c r="L648" s="228"/>
      <c r="M648" s="228"/>
      <c r="N648" s="228"/>
      <c r="O648" s="228"/>
      <c r="P648" s="228"/>
      <c r="Q648" s="228"/>
      <c r="R648" s="228"/>
      <c r="S648" s="228"/>
      <c r="T648" s="228"/>
      <c r="U648" s="228"/>
      <c r="V648" s="228"/>
      <c r="W648" s="229"/>
      <c r="X648" s="229"/>
      <c r="Z648" s="198"/>
      <c r="AA648" s="198"/>
    </row>
    <row r="649" spans="1:27" s="197" customFormat="1" ht="15" customHeight="1">
      <c r="A649" s="227"/>
      <c r="B649" s="228"/>
      <c r="C649" s="228"/>
      <c r="D649" s="228"/>
      <c r="E649" s="228"/>
      <c r="F649" s="228"/>
      <c r="G649" s="228"/>
      <c r="H649" s="228"/>
      <c r="I649" s="228"/>
      <c r="J649" s="228"/>
      <c r="K649" s="228"/>
      <c r="L649" s="228"/>
      <c r="M649" s="228"/>
      <c r="N649" s="228"/>
      <c r="O649" s="228"/>
      <c r="P649" s="228"/>
      <c r="Q649" s="228"/>
      <c r="R649" s="228"/>
      <c r="S649" s="228"/>
      <c r="T649" s="228"/>
      <c r="U649" s="228"/>
      <c r="V649" s="228"/>
      <c r="W649" s="229"/>
      <c r="X649" s="229"/>
      <c r="Z649" s="198"/>
      <c r="AA649" s="198"/>
    </row>
    <row r="650" spans="1:27" s="197" customFormat="1" ht="15" customHeight="1">
      <c r="A650" s="227"/>
      <c r="B650" s="228"/>
      <c r="C650" s="228"/>
      <c r="D650" s="228"/>
      <c r="E650" s="228"/>
      <c r="F650" s="228"/>
      <c r="G650" s="228"/>
      <c r="H650" s="228"/>
      <c r="I650" s="228"/>
      <c r="J650" s="228"/>
      <c r="K650" s="228"/>
      <c r="L650" s="228"/>
      <c r="M650" s="228"/>
      <c r="N650" s="228"/>
      <c r="O650" s="228"/>
      <c r="P650" s="228"/>
      <c r="Q650" s="228"/>
      <c r="R650" s="228"/>
      <c r="S650" s="228"/>
      <c r="T650" s="228"/>
      <c r="U650" s="228"/>
      <c r="V650" s="228"/>
      <c r="W650" s="229"/>
      <c r="X650" s="229"/>
      <c r="Z650" s="198"/>
      <c r="AA650" s="198"/>
    </row>
    <row r="651" spans="1:27" s="197" customFormat="1" ht="15" customHeight="1" thickBot="1">
      <c r="A651" s="811" t="s">
        <v>525</v>
      </c>
      <c r="B651" s="811"/>
      <c r="C651" s="811"/>
      <c r="D651" s="811"/>
      <c r="E651" s="811"/>
      <c r="F651" s="811"/>
      <c r="G651" s="811"/>
      <c r="H651" s="811"/>
      <c r="I651" s="811"/>
      <c r="J651" s="811"/>
      <c r="K651" s="811"/>
      <c r="L651" s="811"/>
      <c r="M651" s="811"/>
      <c r="N651" s="811"/>
      <c r="O651" s="811"/>
      <c r="P651" s="811"/>
      <c r="Q651" s="811"/>
      <c r="R651" s="811"/>
      <c r="S651" s="811"/>
      <c r="T651" s="811"/>
      <c r="U651" s="811"/>
      <c r="V651" s="811"/>
      <c r="W651" s="811"/>
      <c r="X651" s="811"/>
      <c r="Z651" s="198"/>
      <c r="AA651" s="198"/>
    </row>
    <row r="652" spans="1:27" ht="15" customHeight="1" thickBot="1">
      <c r="A652" s="283"/>
      <c r="B652" s="284" t="str">
        <f>IF(X653="","PLACA ISOLANTE",X653)</f>
        <v>PLACA ISOLANTE</v>
      </c>
      <c r="C652" s="285" t="s">
        <v>101</v>
      </c>
      <c r="D652" s="286" t="s">
        <v>102</v>
      </c>
      <c r="E652" s="286" t="s">
        <v>42</v>
      </c>
      <c r="F652" s="286" t="s">
        <v>42</v>
      </c>
      <c r="G652" s="286" t="s">
        <v>43</v>
      </c>
      <c r="H652" s="286" t="s">
        <v>44</v>
      </c>
      <c r="I652" s="286" t="s">
        <v>47</v>
      </c>
      <c r="J652" s="286" t="s">
        <v>103</v>
      </c>
      <c r="K652" s="286" t="s">
        <v>37</v>
      </c>
      <c r="L652" s="286" t="s">
        <v>39</v>
      </c>
      <c r="M652" s="286" t="s">
        <v>41</v>
      </c>
      <c r="N652" s="286" t="s">
        <v>46</v>
      </c>
      <c r="O652" s="286" t="s">
        <v>67</v>
      </c>
      <c r="P652" s="286" t="s">
        <v>113</v>
      </c>
      <c r="Q652" s="286"/>
      <c r="R652" s="286"/>
      <c r="S652" s="286" t="s">
        <v>70</v>
      </c>
      <c r="T652" s="286" t="s">
        <v>26</v>
      </c>
      <c r="U652" s="286" t="s">
        <v>38</v>
      </c>
      <c r="V652" s="287" t="s">
        <v>27</v>
      </c>
      <c r="W652" s="288"/>
      <c r="X652" s="289"/>
    </row>
    <row r="653" spans="1:27" ht="15" customHeight="1" thickBot="1">
      <c r="A653" s="225"/>
      <c r="B653" s="221"/>
      <c r="C653" s="144">
        <f>SUMIF(Densidades!A:A,'Memória TOTAL'!X653,Densidades!B:B)</f>
        <v>0</v>
      </c>
      <c r="D653" s="145">
        <f>SUMIF(Densidades!A:A,'Memória TOTAL'!X653,Densidades!C:C)</f>
        <v>0</v>
      </c>
      <c r="E653" s="146">
        <f>SUMIF(Formatos!A:A,'Memória TOTAL'!X654,Formatos!E:E)</f>
        <v>0</v>
      </c>
      <c r="F653" s="146">
        <f>SUMIF(Formatos!A:A,'Memória TOTAL'!X654,Formatos!F:F)</f>
        <v>0</v>
      </c>
      <c r="G653" s="146">
        <f>SUMIF(Formatos!A:A,'Memória TOTAL'!X654,Formatos!C:C)</f>
        <v>0</v>
      </c>
      <c r="H653" s="146">
        <f>SUMIF(Formatos!A:A,'Memória TOTAL'!X654,Formatos!D:D)</f>
        <v>0</v>
      </c>
      <c r="I653" s="146">
        <f>SUMIF(Densidades!A:A,'Memória TOTAL'!X653,Densidades!H:H)</f>
        <v>0</v>
      </c>
      <c r="J653" s="147">
        <f>SUMIF(Formatos!A:A,'Memória TOTAL'!X654,Formatos!G:G)</f>
        <v>0</v>
      </c>
      <c r="K653" s="148">
        <f>SUMIF(Densidades!A:A,'Memória TOTAL'!X653,Densidades!I:I)</f>
        <v>0</v>
      </c>
      <c r="L653" s="149">
        <v>0</v>
      </c>
      <c r="M653" s="150"/>
      <c r="N653" s="647"/>
      <c r="O653" s="150"/>
      <c r="P653" s="150"/>
      <c r="Q653" s="150"/>
      <c r="R653" s="150"/>
      <c r="S653" s="150"/>
      <c r="T653" s="150"/>
      <c r="U653" s="150"/>
      <c r="V653" s="156"/>
      <c r="W653" s="204" t="str">
        <f>IF(C653=0,"",ROUNDUP(SUM(V656:V658)*(1+L653),0))</f>
        <v/>
      </c>
      <c r="X653" s="274"/>
      <c r="Y653" s="197"/>
    </row>
    <row r="654" spans="1:27" ht="15" customHeight="1" thickBot="1">
      <c r="A654" s="225"/>
      <c r="B654" s="222"/>
      <c r="C654" s="153"/>
      <c r="D654" s="150"/>
      <c r="E654" s="146">
        <f t="shared" ref="E654:K654" si="110">E653</f>
        <v>0</v>
      </c>
      <c r="F654" s="146">
        <f t="shared" si="110"/>
        <v>0</v>
      </c>
      <c r="G654" s="146">
        <f t="shared" si="110"/>
        <v>0</v>
      </c>
      <c r="H654" s="146">
        <f t="shared" si="110"/>
        <v>0</v>
      </c>
      <c r="I654" s="146">
        <f t="shared" si="110"/>
        <v>0</v>
      </c>
      <c r="J654" s="146">
        <f t="shared" si="110"/>
        <v>0</v>
      </c>
      <c r="K654" s="148">
        <f t="shared" si="110"/>
        <v>0</v>
      </c>
      <c r="L654" s="155"/>
      <c r="M654" s="150"/>
      <c r="N654" s="146">
        <f>N653</f>
        <v>0</v>
      </c>
      <c r="O654" s="150"/>
      <c r="P654" s="150"/>
      <c r="Q654" s="150"/>
      <c r="R654" s="150"/>
      <c r="S654" s="150"/>
      <c r="T654" s="150"/>
      <c r="U654" s="150"/>
      <c r="V654" s="156"/>
      <c r="W654" s="157"/>
      <c r="X654" s="274"/>
      <c r="Y654" s="197"/>
    </row>
    <row r="655" spans="1:27" ht="15" customHeight="1" thickBot="1">
      <c r="A655" s="225"/>
      <c r="B655" s="223" t="s">
        <v>71</v>
      </c>
      <c r="C655" s="153"/>
      <c r="D655" s="150"/>
      <c r="E655" s="146">
        <f t="shared" ref="E655:K655" si="111">E654</f>
        <v>0</v>
      </c>
      <c r="F655" s="146">
        <f t="shared" si="111"/>
        <v>0</v>
      </c>
      <c r="G655" s="146">
        <f t="shared" si="111"/>
        <v>0</v>
      </c>
      <c r="H655" s="146">
        <f t="shared" si="111"/>
        <v>0</v>
      </c>
      <c r="I655" s="146">
        <f t="shared" si="111"/>
        <v>0</v>
      </c>
      <c r="J655" s="146">
        <f t="shared" si="111"/>
        <v>0</v>
      </c>
      <c r="K655" s="148">
        <f t="shared" si="111"/>
        <v>0</v>
      </c>
      <c r="L655" s="155"/>
      <c r="M655" s="150"/>
      <c r="N655" s="146">
        <f>N654</f>
        <v>0</v>
      </c>
      <c r="O655" s="150"/>
      <c r="P655" s="150"/>
      <c r="Q655" s="150"/>
      <c r="R655" s="150"/>
      <c r="S655" s="150"/>
      <c r="T655" s="150"/>
      <c r="U655" s="206" t="s">
        <v>673</v>
      </c>
      <c r="V655" s="156"/>
      <c r="W655" s="157"/>
      <c r="X655" s="158" t="s">
        <v>524</v>
      </c>
    </row>
    <row r="656" spans="1:27" ht="15" customHeight="1" thickBot="1">
      <c r="A656" s="225"/>
      <c r="B656" s="345"/>
      <c r="C656" s="170"/>
      <c r="D656" s="171"/>
      <c r="E656" s="187">
        <f t="shared" ref="E656:K656" si="112">E655</f>
        <v>0</v>
      </c>
      <c r="F656" s="187">
        <f t="shared" si="112"/>
        <v>0</v>
      </c>
      <c r="G656" s="187">
        <f t="shared" si="112"/>
        <v>0</v>
      </c>
      <c r="H656" s="187">
        <f t="shared" si="112"/>
        <v>0</v>
      </c>
      <c r="I656" s="187">
        <f t="shared" si="112"/>
        <v>0</v>
      </c>
      <c r="J656" s="187">
        <f t="shared" si="112"/>
        <v>0</v>
      </c>
      <c r="K656" s="188">
        <f t="shared" si="112"/>
        <v>0</v>
      </c>
      <c r="L656" s="173"/>
      <c r="M656" s="171"/>
      <c r="N656" s="187">
        <f>N655</f>
        <v>0</v>
      </c>
      <c r="O656" s="171"/>
      <c r="P656" s="268"/>
      <c r="Q656" s="171"/>
      <c r="R656" s="171"/>
      <c r="S656" s="268"/>
      <c r="T656" s="189" t="str">
        <f>IF(S656="","-",IF(COUNTIF(E656:H656,P656)&lt;1,"Esp. Errada",ROUNDUP(S656/((G656+N656)*(H656+N656)*((E656+N656)+(F656+N656))/2/(P656+N656)),0)))</f>
        <v>-</v>
      </c>
      <c r="U656" s="268"/>
      <c r="V656" s="190">
        <f>IF(S656="",0,IF(OR(P656=E656,P656=G656,P656=H656),T656*U656,"ESP. ERRADA"))</f>
        <v>0</v>
      </c>
      <c r="W656" s="191"/>
      <c r="X656" s="192"/>
    </row>
    <row r="657" spans="1:27" s="197" customFormat="1" ht="15" customHeight="1" thickBot="1">
      <c r="A657" s="225"/>
      <c r="B657" s="346"/>
      <c r="C657" s="235"/>
      <c r="D657" s="212"/>
      <c r="E657" s="187">
        <f t="shared" ref="E657:K657" si="113">E655</f>
        <v>0</v>
      </c>
      <c r="F657" s="187">
        <f t="shared" si="113"/>
        <v>0</v>
      </c>
      <c r="G657" s="187">
        <f t="shared" si="113"/>
        <v>0</v>
      </c>
      <c r="H657" s="187">
        <f t="shared" si="113"/>
        <v>0</v>
      </c>
      <c r="I657" s="187">
        <f t="shared" si="113"/>
        <v>0</v>
      </c>
      <c r="J657" s="187">
        <f t="shared" si="113"/>
        <v>0</v>
      </c>
      <c r="K657" s="236">
        <f t="shared" si="113"/>
        <v>0</v>
      </c>
      <c r="L657" s="173"/>
      <c r="M657" s="281"/>
      <c r="N657" s="187">
        <f>N655</f>
        <v>0</v>
      </c>
      <c r="O657" s="212"/>
      <c r="P657" s="268"/>
      <c r="Q657" s="212"/>
      <c r="R657" s="212"/>
      <c r="S657" s="212"/>
      <c r="T657" s="238" t="str">
        <f>IF(M657="","-",IF(COUNTIF(E657:H657,P657)&lt;1,"Esp. Errada",ROUNDUP(M657/IF(G657=P657,G657,(G657+N657))/IF(H657=P657,H657,(H657+N657))/IF(E657=P657,E657,(E657+N657)),0)))</f>
        <v>-</v>
      </c>
      <c r="U657" s="268"/>
      <c r="V657" s="190">
        <f>IF(M657="",0,IF(OR(P657=E657,P657=G657,P657=H657),T657*U657,"ESP. ERRADA"))</f>
        <v>0</v>
      </c>
      <c r="W657" s="240"/>
      <c r="X657" s="241"/>
      <c r="Z657" s="198"/>
      <c r="AA657" s="198"/>
    </row>
    <row r="658" spans="1:27" s="197" customFormat="1" ht="15" customHeight="1">
      <c r="A658" s="226"/>
      <c r="B658" s="221"/>
      <c r="C658" s="211"/>
      <c r="D658" s="206"/>
      <c r="E658" s="206"/>
      <c r="F658" s="206"/>
      <c r="G658" s="206"/>
      <c r="H658" s="206"/>
      <c r="I658" s="206"/>
      <c r="J658" s="207"/>
      <c r="K658" s="207"/>
      <c r="L658" s="155"/>
      <c r="M658" s="206"/>
      <c r="N658" s="206"/>
      <c r="O658" s="206"/>
      <c r="P658" s="206"/>
      <c r="Q658" s="206"/>
      <c r="R658" s="206"/>
      <c r="S658" s="206"/>
      <c r="T658" s="206"/>
      <c r="U658" s="206"/>
      <c r="V658" s="208"/>
      <c r="W658" s="196"/>
      <c r="X658" s="152"/>
      <c r="Z658" s="198"/>
      <c r="AA658" s="198"/>
    </row>
    <row r="659" spans="1:27" s="197" customFormat="1" ht="15" customHeight="1" thickBot="1">
      <c r="A659" s="226"/>
      <c r="B659" s="291" t="s">
        <v>1829</v>
      </c>
      <c r="C659" s="292"/>
      <c r="D659" s="293"/>
      <c r="E659" s="293"/>
      <c r="F659" s="293"/>
      <c r="G659" s="293"/>
      <c r="H659" s="293"/>
      <c r="I659" s="293"/>
      <c r="J659" s="294"/>
      <c r="K659" s="294"/>
      <c r="L659" s="295"/>
      <c r="M659" s="293"/>
      <c r="N659" s="293"/>
      <c r="O659" s="293"/>
      <c r="P659" s="293"/>
      <c r="Q659" s="293"/>
      <c r="R659" s="293"/>
      <c r="S659" s="296"/>
      <c r="T659" s="293" t="s">
        <v>638</v>
      </c>
      <c r="U659" s="293" t="s">
        <v>38</v>
      </c>
      <c r="V659" s="297" t="s">
        <v>27</v>
      </c>
      <c r="W659" s="298"/>
      <c r="X659" s="299"/>
      <c r="Z659" s="198"/>
      <c r="AA659" s="198"/>
    </row>
    <row r="660" spans="1:27" s="197" customFormat="1" ht="15" customHeight="1" thickBot="1">
      <c r="A660" s="226"/>
      <c r="B660" s="224" t="s">
        <v>1828</v>
      </c>
      <c r="C660" s="144">
        <f>SUMIF(Densidades!A:A,'Memória TOTAL'!X660,Densidades!B:B)</f>
        <v>0</v>
      </c>
      <c r="D660" s="145">
        <f>SUMIF(Densidades!A:A,'Memória TOTAL'!X660,Densidades!C:C)</f>
        <v>0</v>
      </c>
      <c r="E660" s="145" t="str">
        <f>IF(I660=15,"FIRECLAY MORTAR",IF(I660=16,"ALUMINA MORTAR",IF(I660=17,"BASIC MORTAR",IF(I660=18,"MORTAR","-"))))</f>
        <v>-</v>
      </c>
      <c r="F660" s="145" t="str">
        <f>IF(I660=15,"FIRECLAY MORTAR",IF(I660=16,"ALUMINA MORTAR",IF(I660=17,"BASIC MORTAR",IF(I660=18,"MORTAR","-"))))</f>
        <v>-</v>
      </c>
      <c r="G660" s="145" t="str">
        <f>IF(I660=15,"FIRECLAY MORTAR",IF(I660=16,"ALUMINA MORTAR",IF(I660=17,"BASIC MORTAR",IF(I660=18,"MORTAR","-"))))</f>
        <v>-</v>
      </c>
      <c r="H660" s="145" t="str">
        <f>IF(I660=15,"FIRECLAY MORTAR",IF(I660=16,"ALUMINA MORTAR",IF(I660=17,"BASIC MORTAR",IF(I660=18,"MORTAR","-"))))</f>
        <v>-</v>
      </c>
      <c r="I660" s="145">
        <f>SUMIF(Densidades!A:A,'Memória TOTAL'!X660,Densidades!G:G)</f>
        <v>0</v>
      </c>
      <c r="J660" s="147">
        <f>SUMIF(Formatos!A:A,'Memória TOTAL'!X661,Formatos!G:G)</f>
        <v>0</v>
      </c>
      <c r="K660" s="233">
        <f>SUMIF(Densidades!A:A,'Memória TOTAL'!X660,Densidades!I:I)</f>
        <v>0</v>
      </c>
      <c r="L660" s="199">
        <v>0</v>
      </c>
      <c r="M660" s="200"/>
      <c r="N660" s="200"/>
      <c r="O660" s="200"/>
      <c r="P660" s="200"/>
      <c r="Q660" s="200"/>
      <c r="R660" s="201"/>
      <c r="S660" s="200"/>
      <c r="T660" s="201" t="e">
        <f>(W653*G653*H653)/10^6*2</f>
        <v>#VALUE!</v>
      </c>
      <c r="U660" s="268"/>
      <c r="V660" s="203" t="e">
        <f>T660*U660</f>
        <v>#VALUE!</v>
      </c>
      <c r="W660" s="151" t="str">
        <f>IF(C660=0,"",ROUNDUP(SUM(V660:V661)*(1+L660)/D660,0)*D660)</f>
        <v/>
      </c>
      <c r="X660" s="274"/>
      <c r="Z660" s="198"/>
      <c r="AA660" s="198"/>
    </row>
    <row r="661" spans="1:27" s="197" customFormat="1" ht="15" customHeight="1">
      <c r="A661" s="226"/>
      <c r="B661" s="221"/>
      <c r="C661" s="144"/>
      <c r="D661" s="206"/>
      <c r="E661" s="206"/>
      <c r="F661" s="206"/>
      <c r="G661" s="206"/>
      <c r="H661" s="206"/>
      <c r="I661" s="206"/>
      <c r="J661" s="207"/>
      <c r="K661" s="207"/>
      <c r="L661" s="155"/>
      <c r="M661" s="206"/>
      <c r="N661" s="206"/>
      <c r="O661" s="206"/>
      <c r="P661" s="206"/>
      <c r="Q661" s="206"/>
      <c r="R661" s="206"/>
      <c r="S661" s="206"/>
      <c r="T661" s="206"/>
      <c r="U661" s="206"/>
      <c r="V661" s="208"/>
      <c r="W661" s="196"/>
      <c r="X661" s="152" t="str">
        <f>IF(AND(H660="-",G660="-",F660="-"),E660,IF(AND(H660="-",G660="-",E660="-"),F660,IF(AND(H660="-",F660="-",E660="-"),G660,H660)))</f>
        <v>-</v>
      </c>
      <c r="Z661" s="198"/>
      <c r="AA661" s="198"/>
    </row>
    <row r="662" spans="1:27" s="197" customFormat="1" ht="15" customHeight="1">
      <c r="A662" s="226"/>
      <c r="B662" s="224"/>
      <c r="C662" s="144"/>
      <c r="D662" s="206"/>
      <c r="E662" s="206"/>
      <c r="F662" s="206"/>
      <c r="G662" s="206"/>
      <c r="H662" s="206"/>
      <c r="I662" s="206"/>
      <c r="J662" s="207"/>
      <c r="K662" s="207"/>
      <c r="L662" s="155"/>
      <c r="M662" s="206"/>
      <c r="N662" s="206"/>
      <c r="O662" s="206"/>
      <c r="P662" s="206"/>
      <c r="Q662" s="206"/>
      <c r="R662" s="206"/>
      <c r="S662" s="206"/>
      <c r="T662" s="206"/>
      <c r="U662" s="206"/>
      <c r="V662" s="208"/>
      <c r="W662" s="196"/>
      <c r="X662" s="152" t="s">
        <v>2</v>
      </c>
      <c r="Z662" s="198"/>
      <c r="AA662" s="198"/>
    </row>
    <row r="663" spans="1:27" s="197" customFormat="1" ht="15" customHeight="1">
      <c r="A663" s="226"/>
      <c r="B663" s="224"/>
      <c r="C663" s="144"/>
      <c r="D663" s="206"/>
      <c r="E663" s="206"/>
      <c r="F663" s="206"/>
      <c r="G663" s="206"/>
      <c r="H663" s="206"/>
      <c r="I663" s="206"/>
      <c r="J663" s="207"/>
      <c r="K663" s="207"/>
      <c r="L663" s="155"/>
      <c r="M663" s="206"/>
      <c r="N663" s="206"/>
      <c r="O663" s="206"/>
      <c r="P663" s="206"/>
      <c r="Q663" s="206"/>
      <c r="R663" s="206"/>
      <c r="S663" s="206"/>
      <c r="T663" s="206"/>
      <c r="U663" s="206"/>
      <c r="V663" s="208"/>
      <c r="W663" s="196"/>
      <c r="X663" s="152"/>
      <c r="Z663" s="198"/>
      <c r="AA663" s="198"/>
    </row>
    <row r="664" spans="1:27" s="197" customFormat="1" ht="15" customHeight="1" thickBot="1">
      <c r="A664" s="226"/>
      <c r="B664" s="284" t="str">
        <f>IF(X665="","WATERPROOFING",X665)</f>
        <v>DIKASIL SK</v>
      </c>
      <c r="C664" s="292"/>
      <c r="D664" s="293"/>
      <c r="E664" s="293"/>
      <c r="F664" s="293"/>
      <c r="G664" s="293"/>
      <c r="H664" s="293"/>
      <c r="I664" s="293"/>
      <c r="J664" s="294"/>
      <c r="K664" s="294"/>
      <c r="L664" s="295"/>
      <c r="M664" s="293"/>
      <c r="N664" s="293"/>
      <c r="O664" s="293"/>
      <c r="P664" s="293"/>
      <c r="Q664" s="293"/>
      <c r="R664" s="293"/>
      <c r="S664" s="296"/>
      <c r="T664" s="293" t="s">
        <v>638</v>
      </c>
      <c r="U664" s="293" t="s">
        <v>38</v>
      </c>
      <c r="V664" s="297" t="s">
        <v>27</v>
      </c>
      <c r="W664" s="298"/>
      <c r="X664" s="299"/>
      <c r="Z664" s="198"/>
      <c r="AA664" s="198"/>
    </row>
    <row r="665" spans="1:27" s="197" customFormat="1" ht="15" customHeight="1" thickBot="1">
      <c r="A665" s="226"/>
      <c r="B665" s="224" t="s">
        <v>1830</v>
      </c>
      <c r="C665" s="144">
        <f>SUMIF(Densidades!A:A,'Memória TOTAL'!X665,Densidades!B:B)</f>
        <v>1.53</v>
      </c>
      <c r="D665" s="145">
        <f>SUMIF(Densidades!A:A,'Memória TOTAL'!X665,Densidades!C:C)</f>
        <v>20</v>
      </c>
      <c r="E665" s="145" t="str">
        <f>IF(I665=15,"FIRECLAY MORTAR",IF(I665=16,"ALUMINA MORTAR",IF(I665=17,"BASIC MORTAR",IF(I665=18,"MORTAR","-"))))</f>
        <v>-</v>
      </c>
      <c r="F665" s="145" t="str">
        <f>IF(I665=15,"FIRECLAY MORTAR",IF(I665=16,"ALUMINA MORTAR",IF(I665=17,"BASIC MORTAR",IF(I665=18,"MORTAR","-"))))</f>
        <v>-</v>
      </c>
      <c r="G665" s="145" t="str">
        <f>IF(I665=15,"FIRECLAY MORTAR",IF(I665=16,"ALUMINA MORTAR",IF(I665=17,"BASIC MORTAR",IF(I665=18,"MORTAR","-"))))</f>
        <v>-</v>
      </c>
      <c r="H665" s="145" t="str">
        <f>IF(I665=15,"FIRECLAY MORTAR",IF(I665=16,"ALUMINA MORTAR",IF(I665=17,"BASIC MORTAR",IF(I665=18,"MORTAR","-"))))</f>
        <v>-</v>
      </c>
      <c r="I665" s="145">
        <f>SUMIF(Densidades!A:A,'Memória TOTAL'!X665,Densidades!G:G)</f>
        <v>0</v>
      </c>
      <c r="J665" s="147">
        <f>SUMIF(Formatos!A:A,'Memória TOTAL'!X666,Formatos!G:G)</f>
        <v>0</v>
      </c>
      <c r="K665" s="233">
        <f>SUMIF(Densidades!A:A,'Memória TOTAL'!X665,Densidades!I:I)</f>
        <v>8</v>
      </c>
      <c r="L665" s="199">
        <v>0</v>
      </c>
      <c r="M665" s="200"/>
      <c r="N665" s="200"/>
      <c r="O665" s="200"/>
      <c r="P665" s="200"/>
      <c r="Q665" s="200"/>
      <c r="R665" s="201"/>
      <c r="S665" s="200"/>
      <c r="T665" s="201" t="e">
        <f>(W653*G653*H653)/10^6/2</f>
        <v>#VALUE!</v>
      </c>
      <c r="U665" s="268"/>
      <c r="V665" s="203" t="e">
        <f>T665*C665*U665</f>
        <v>#VALUE!</v>
      </c>
      <c r="W665" s="151" t="str">
        <f>IFERROR(IF(C665=0,"",ROUNDUP(SUM(V665:V666)*(1+L665)/D665,0)*D665),"")</f>
        <v/>
      </c>
      <c r="X665" s="274" t="s">
        <v>1827</v>
      </c>
      <c r="Z665" s="198"/>
      <c r="AA665" s="198"/>
    </row>
    <row r="666" spans="1:27" s="197" customFormat="1" ht="15" customHeight="1">
      <c r="A666" s="226"/>
      <c r="B666" s="221"/>
      <c r="C666" s="144"/>
      <c r="D666" s="206"/>
      <c r="E666" s="206"/>
      <c r="F666" s="206"/>
      <c r="G666" s="206"/>
      <c r="H666" s="206"/>
      <c r="I666" s="206"/>
      <c r="J666" s="207"/>
      <c r="K666" s="207"/>
      <c r="L666" s="155"/>
      <c r="M666" s="206"/>
      <c r="N666" s="206"/>
      <c r="O666" s="206"/>
      <c r="P666" s="206"/>
      <c r="Q666" s="206"/>
      <c r="R666" s="206"/>
      <c r="S666" s="206"/>
      <c r="T666" s="206"/>
      <c r="U666" s="206"/>
      <c r="V666" s="208"/>
      <c r="W666" s="196"/>
      <c r="X666" s="152" t="str">
        <f>IF(AND(H665="-",G665="-",F665="-"),E665,IF(AND(H665="-",G665="-",E665="-"),F665,IF(AND(H665="-",F665="-",E665="-"),G665,H665)))</f>
        <v>-</v>
      </c>
      <c r="Z666" s="198"/>
      <c r="AA666" s="198"/>
    </row>
    <row r="667" spans="1:27" s="197" customFormat="1" ht="15" customHeight="1">
      <c r="A667" s="226"/>
      <c r="B667" s="224"/>
      <c r="C667" s="144"/>
      <c r="D667" s="206"/>
      <c r="E667" s="206"/>
      <c r="F667" s="206"/>
      <c r="G667" s="206"/>
      <c r="H667" s="206"/>
      <c r="I667" s="206"/>
      <c r="J667" s="207"/>
      <c r="K667" s="207"/>
      <c r="L667" s="155"/>
      <c r="M667" s="206"/>
      <c r="N667" s="206"/>
      <c r="O667" s="206"/>
      <c r="P667" s="206"/>
      <c r="Q667" s="206"/>
      <c r="R667" s="206"/>
      <c r="S667" s="206"/>
      <c r="T667" s="206"/>
      <c r="U667" s="206"/>
      <c r="V667" s="208"/>
      <c r="W667" s="196"/>
      <c r="X667" s="152" t="s">
        <v>2</v>
      </c>
      <c r="Z667" s="198"/>
      <c r="AA667" s="198"/>
    </row>
    <row r="668" spans="1:27" s="197" customFormat="1" ht="15" customHeight="1">
      <c r="A668" s="226"/>
      <c r="B668" s="224"/>
      <c r="C668" s="144"/>
      <c r="D668" s="206"/>
      <c r="E668" s="206"/>
      <c r="F668" s="206"/>
      <c r="G668" s="206"/>
      <c r="H668" s="206"/>
      <c r="I668" s="206"/>
      <c r="J668" s="207"/>
      <c r="K668" s="207"/>
      <c r="L668" s="155"/>
      <c r="M668" s="206"/>
      <c r="N668" s="206"/>
      <c r="O668" s="206"/>
      <c r="P668" s="206"/>
      <c r="Q668" s="206"/>
      <c r="R668" s="206"/>
      <c r="S668" s="206"/>
      <c r="T668" s="206"/>
      <c r="U668" s="206"/>
      <c r="V668" s="208"/>
      <c r="W668" s="196"/>
      <c r="X668" s="152"/>
      <c r="Z668" s="198"/>
      <c r="AA668" s="198"/>
    </row>
    <row r="669" spans="1:27" s="197" customFormat="1" ht="15" customHeight="1" thickBot="1">
      <c r="A669" s="226"/>
      <c r="B669" s="284" t="str">
        <f>IF(X670="","WATERPROOFING",X670)</f>
        <v>LATEX PAINT</v>
      </c>
      <c r="C669" s="292"/>
      <c r="D669" s="293"/>
      <c r="E669" s="293"/>
      <c r="F669" s="293"/>
      <c r="G669" s="293"/>
      <c r="H669" s="293"/>
      <c r="I669" s="293"/>
      <c r="J669" s="294"/>
      <c r="K669" s="294"/>
      <c r="L669" s="295"/>
      <c r="M669" s="293"/>
      <c r="N669" s="293"/>
      <c r="O669" s="293"/>
      <c r="P669" s="293"/>
      <c r="Q669" s="293"/>
      <c r="R669" s="293"/>
      <c r="S669" s="296"/>
      <c r="T669" s="293" t="s">
        <v>638</v>
      </c>
      <c r="U669" s="293" t="s">
        <v>38</v>
      </c>
      <c r="V669" s="297" t="s">
        <v>27</v>
      </c>
      <c r="W669" s="298"/>
      <c r="X669" s="299"/>
      <c r="Z669" s="198"/>
      <c r="AA669" s="198"/>
    </row>
    <row r="670" spans="1:27" s="197" customFormat="1" ht="15" customHeight="1" thickBot="1">
      <c r="A670" s="226"/>
      <c r="B670" s="224" t="s">
        <v>1831</v>
      </c>
      <c r="C670" s="144">
        <f>SUMIF(Densidades!A:A,'Memória TOTAL'!X670,Densidades!B:B)</f>
        <v>1.5</v>
      </c>
      <c r="D670" s="145">
        <f>SUMIF(Densidades!A:A,'Memória TOTAL'!X670,Densidades!C:C)</f>
        <v>1</v>
      </c>
      <c r="E670" s="145" t="str">
        <f>IF(I670=15,"FIRECLAY MORTAR",IF(I670=16,"ALUMINA MORTAR",IF(I670=17,"BASIC MORTAR",IF(I670=18,"MORTAR","-"))))</f>
        <v>-</v>
      </c>
      <c r="F670" s="145" t="str">
        <f>IF(I670=15,"FIRECLAY MORTAR",IF(I670=16,"ALUMINA MORTAR",IF(I670=17,"BASIC MORTAR",IF(I670=18,"MORTAR","-"))))</f>
        <v>-</v>
      </c>
      <c r="G670" s="145" t="str">
        <f>IF(I670=15,"FIRECLAY MORTAR",IF(I670=16,"ALUMINA MORTAR",IF(I670=17,"BASIC MORTAR",IF(I670=18,"MORTAR","-"))))</f>
        <v>-</v>
      </c>
      <c r="H670" s="145" t="str">
        <f>IF(I670=15,"FIRECLAY MORTAR",IF(I670=16,"ALUMINA MORTAR",IF(I670=17,"BASIC MORTAR",IF(I670=18,"MORTAR","-"))))</f>
        <v>-</v>
      </c>
      <c r="I670" s="145">
        <f>SUMIF(Densidades!A:A,'Memória TOTAL'!X670,Densidades!G:G)</f>
        <v>24</v>
      </c>
      <c r="J670" s="147">
        <f>SUMIF(Formatos!A:A,'Memória TOTAL'!X671,Formatos!G:G)</f>
        <v>0</v>
      </c>
      <c r="K670" s="233">
        <f>SUMIF(Densidades!A:A,'Memória TOTAL'!X670,Densidades!I:I)</f>
        <v>9</v>
      </c>
      <c r="L670" s="199">
        <v>0</v>
      </c>
      <c r="M670" s="200"/>
      <c r="N670" s="200"/>
      <c r="O670" s="200"/>
      <c r="P670" s="200"/>
      <c r="Q670" s="200"/>
      <c r="R670" s="201"/>
      <c r="S670" s="200"/>
      <c r="T670" s="201" t="e">
        <f>(W653*G653*H653)/10^6/(200/18)</f>
        <v>#VALUE!</v>
      </c>
      <c r="U670" s="268"/>
      <c r="V670" s="203" t="e">
        <f>T670*U670</f>
        <v>#VALUE!</v>
      </c>
      <c r="W670" s="151" t="str">
        <f>IFERROR(IF(C670=0,"",ROUNDUP(SUM(V670:V671)*(1+L670)/D670,0)*D670),"")</f>
        <v/>
      </c>
      <c r="X670" s="274" t="s">
        <v>523</v>
      </c>
      <c r="Z670" s="198"/>
      <c r="AA670" s="198"/>
    </row>
    <row r="671" spans="1:27" s="197" customFormat="1" ht="15" customHeight="1">
      <c r="A671" s="226"/>
      <c r="B671" s="221"/>
      <c r="C671" s="144"/>
      <c r="D671" s="206"/>
      <c r="E671" s="206"/>
      <c r="F671" s="206"/>
      <c r="G671" s="206"/>
      <c r="H671" s="206"/>
      <c r="I671" s="206"/>
      <c r="J671" s="207"/>
      <c r="K671" s="207"/>
      <c r="L671" s="155"/>
      <c r="M671" s="206"/>
      <c r="N671" s="206"/>
      <c r="O671" s="206"/>
      <c r="P671" s="206"/>
      <c r="Q671" s="206"/>
      <c r="R671" s="206"/>
      <c r="S671" s="206"/>
      <c r="T671" s="206"/>
      <c r="U671" s="206"/>
      <c r="V671" s="208"/>
      <c r="W671" s="196"/>
      <c r="X671" s="152" t="str">
        <f>IF(AND(H670="-",G670="-",F670="-"),E670,IF(AND(H670="-",G670="-",E670="-"),F670,IF(AND(H670="-",F670="-",E670="-"),G670,H670)))</f>
        <v>-</v>
      </c>
      <c r="Z671" s="198"/>
      <c r="AA671" s="198"/>
    </row>
    <row r="672" spans="1:27" s="197" customFormat="1" ht="15" customHeight="1">
      <c r="A672" s="226"/>
      <c r="B672" s="224"/>
      <c r="C672" s="144"/>
      <c r="D672" s="206"/>
      <c r="E672" s="206"/>
      <c r="F672" s="206"/>
      <c r="G672" s="206"/>
      <c r="H672" s="206"/>
      <c r="I672" s="206"/>
      <c r="J672" s="207"/>
      <c r="K672" s="207"/>
      <c r="L672" s="155"/>
      <c r="M672" s="206"/>
      <c r="N672" s="206"/>
      <c r="O672" s="206"/>
      <c r="P672" s="206"/>
      <c r="Q672" s="206"/>
      <c r="R672" s="206"/>
      <c r="S672" s="206"/>
      <c r="T672" s="206"/>
      <c r="U672" s="206"/>
      <c r="V672" s="208"/>
      <c r="W672" s="196"/>
      <c r="X672" s="152" t="s">
        <v>75</v>
      </c>
      <c r="Z672" s="198"/>
      <c r="AA672" s="198"/>
    </row>
    <row r="673" spans="1:27" s="197" customFormat="1" ht="15" customHeight="1">
      <c r="A673" s="226"/>
      <c r="B673" s="224"/>
      <c r="C673" s="144"/>
      <c r="D673" s="206"/>
      <c r="E673" s="206"/>
      <c r="F673" s="206"/>
      <c r="G673" s="206"/>
      <c r="H673" s="206"/>
      <c r="I673" s="206"/>
      <c r="J673" s="207"/>
      <c r="K673" s="207"/>
      <c r="L673" s="155"/>
      <c r="M673" s="206"/>
      <c r="N673" s="206"/>
      <c r="O673" s="206"/>
      <c r="P673" s="206"/>
      <c r="Q673" s="206"/>
      <c r="R673" s="206"/>
      <c r="S673" s="206"/>
      <c r="T673" s="206"/>
      <c r="U673" s="206"/>
      <c r="V673" s="208"/>
      <c r="W673" s="196"/>
      <c r="X673" s="152"/>
      <c r="Z673" s="198"/>
      <c r="AA673" s="198"/>
    </row>
    <row r="674" spans="1:27" s="197" customFormat="1" ht="15" customHeight="1" thickBot="1">
      <c r="A674" s="226"/>
      <c r="B674" s="524"/>
      <c r="C674" s="524"/>
      <c r="D674" s="527"/>
      <c r="E674" s="527"/>
      <c r="F674" s="527"/>
      <c r="G674" s="527"/>
      <c r="H674" s="527"/>
      <c r="I674" s="527"/>
      <c r="J674" s="527"/>
      <c r="K674" s="527"/>
      <c r="L674" s="527"/>
      <c r="M674" s="527"/>
      <c r="N674" s="527"/>
      <c r="O674" s="527"/>
      <c r="P674" s="527"/>
      <c r="Q674" s="527"/>
      <c r="R674" s="527"/>
      <c r="S674" s="527"/>
      <c r="T674" s="527"/>
      <c r="U674" s="527"/>
      <c r="V674" s="527"/>
      <c r="W674" s="527"/>
      <c r="X674" s="528"/>
      <c r="Z674" s="198"/>
      <c r="AA674" s="198"/>
    </row>
    <row r="675" spans="1:27" ht="15" customHeight="1" thickBot="1">
      <c r="A675" s="225"/>
      <c r="B675" s="284" t="str">
        <f>IF(X676="","MONOLÍTICO",X676)</f>
        <v>MONOLÍTICO</v>
      </c>
      <c r="C675" s="285" t="s">
        <v>101</v>
      </c>
      <c r="D675" s="286" t="s">
        <v>102</v>
      </c>
      <c r="E675" s="286" t="s">
        <v>109</v>
      </c>
      <c r="F675" s="286"/>
      <c r="G675" s="286"/>
      <c r="H675" s="286"/>
      <c r="I675" s="286"/>
      <c r="J675" s="286" t="s">
        <v>103</v>
      </c>
      <c r="K675" s="286" t="s">
        <v>37</v>
      </c>
      <c r="L675" s="286" t="s">
        <v>39</v>
      </c>
      <c r="M675" s="286" t="s">
        <v>41</v>
      </c>
      <c r="N675" s="286"/>
      <c r="O675" s="286"/>
      <c r="P675" s="286" t="s">
        <v>17</v>
      </c>
      <c r="Q675" s="286"/>
      <c r="R675" s="286"/>
      <c r="S675" s="286" t="s">
        <v>40</v>
      </c>
      <c r="T675" s="286" t="s">
        <v>26</v>
      </c>
      <c r="U675" s="286" t="s">
        <v>38</v>
      </c>
      <c r="V675" s="287" t="s">
        <v>27</v>
      </c>
      <c r="W675" s="288"/>
      <c r="X675" s="289"/>
    </row>
    <row r="676" spans="1:27" ht="15" customHeight="1" thickBot="1">
      <c r="A676" s="225"/>
      <c r="B676" s="222"/>
      <c r="C676" s="144">
        <f>SUMIF(Densidades!A:A,'Memória TOTAL'!X676,Densidades!B:B)</f>
        <v>0</v>
      </c>
      <c r="D676" s="145">
        <f>SUMIF(Densidades!A:A,'Memória TOTAL'!X676,Densidades!C:C)</f>
        <v>0</v>
      </c>
      <c r="E676" s="145">
        <f>SUMIF(Densidades!A:A,'Memória TOTAL'!X676,Densidades!G:G)</f>
        <v>0</v>
      </c>
      <c r="F676" s="145" t="str">
        <f>IF(E676=1,"FIRECLAY CASTABLE",IF(E676=2,"ALUMINA CASTABLE",IF(E676=3,"ALUMINA MASS",IF(E676=4,"SILICA MASS","-"))))</f>
        <v>-</v>
      </c>
      <c r="G676" s="145" t="str">
        <f>IF(E676=5,"BASIC CASTABLE",IF(E676=6,"BASIC MASS",IF(E676=7,"CARBON MASS",IF(E676=8,"CHROMITE CASTABLE","-"))))</f>
        <v>-</v>
      </c>
      <c r="H676" s="145" t="str">
        <f>IF(E676=9,"INSULATING CASTABLE",IF(E676=10,"FIRECLAY MASS",IF(E676=11,"CHROMITE MASS",IF(E676=12,"FIRECLAY PLASTIC.","-"))))</f>
        <v>-</v>
      </c>
      <c r="I676" s="145" t="str">
        <f>IF(E676=13,"ALUMINA PLASTIC",IF(E676=14,"FILLING SAND",IF(E676=15,"FIRECLAY MORTAR",IF(E676=16,"ALUMINA MORTAR",IF(E676=17,"BASIC MORTAR",IF(E676=18,"MORTAR","-"))))))</f>
        <v>-</v>
      </c>
      <c r="J676" s="147">
        <f>SUMIF(Formatos!A:A,'Memória TOTAL'!X677,Formatos!G:G)</f>
        <v>0</v>
      </c>
      <c r="K676" s="148">
        <f>SUMIF(Densidades!A:A,'Memória TOTAL'!X676,Densidades!I:I)</f>
        <v>0</v>
      </c>
      <c r="L676" s="149">
        <v>0</v>
      </c>
      <c r="M676" s="150"/>
      <c r="N676" s="150"/>
      <c r="O676" s="150"/>
      <c r="P676" s="150"/>
      <c r="Q676" s="150"/>
      <c r="R676" s="150"/>
      <c r="S676" s="150"/>
      <c r="T676" s="150"/>
      <c r="U676" s="150"/>
      <c r="V676" s="156"/>
      <c r="W676" s="151" t="str">
        <f>IF(C676=0,"",ROUNDUP(SUM(V678:V681)*(1+L676)/D676,0)*D676)</f>
        <v/>
      </c>
      <c r="X676" s="274"/>
    </row>
    <row r="677" spans="1:27" ht="15" customHeight="1">
      <c r="A677" s="225"/>
      <c r="B677" s="222"/>
      <c r="C677" s="144"/>
      <c r="D677" s="150"/>
      <c r="E677" s="150"/>
      <c r="F677" s="150"/>
      <c r="G677" s="150"/>
      <c r="H677" s="150"/>
      <c r="I677" s="150"/>
      <c r="J677" s="154"/>
      <c r="K677" s="154"/>
      <c r="L677" s="155"/>
      <c r="M677" s="150"/>
      <c r="N677" s="150"/>
      <c r="O677" s="150"/>
      <c r="P677" s="150"/>
      <c r="Q677" s="150"/>
      <c r="R677" s="150"/>
      <c r="S677" s="150"/>
      <c r="T677" s="150"/>
      <c r="U677" s="150"/>
      <c r="V677" s="156"/>
      <c r="W677" s="157"/>
      <c r="X677" s="158" t="str">
        <f>IF(AND(I676="-",H676="-",G676="-"),F676,IF(AND(I676="-",H676="-",F676="-"),G676,IF(AND(I676="-",G676="-",F676="-"),H676,I676)))</f>
        <v>-</v>
      </c>
    </row>
    <row r="678" spans="1:27" ht="15" customHeight="1" thickBot="1">
      <c r="A678" s="225"/>
      <c r="B678" s="223" t="s">
        <v>71</v>
      </c>
      <c r="C678" s="144"/>
      <c r="D678" s="150"/>
      <c r="E678" s="150"/>
      <c r="F678" s="150"/>
      <c r="G678" s="150"/>
      <c r="H678" s="150"/>
      <c r="I678" s="150"/>
      <c r="J678" s="154"/>
      <c r="K678" s="154"/>
      <c r="L678" s="155"/>
      <c r="M678" s="150"/>
      <c r="N678" s="150"/>
      <c r="O678" s="150"/>
      <c r="P678" s="150"/>
      <c r="Q678" s="150"/>
      <c r="R678" s="150"/>
      <c r="S678" s="150"/>
      <c r="T678" s="150"/>
      <c r="U678" s="150"/>
      <c r="V678" s="156"/>
      <c r="W678" s="157"/>
      <c r="X678" s="158" t="s">
        <v>2</v>
      </c>
    </row>
    <row r="679" spans="1:27" ht="15" customHeight="1" thickBot="1">
      <c r="A679" s="225"/>
      <c r="B679" s="345"/>
      <c r="C679" s="209">
        <f>C676</f>
        <v>0</v>
      </c>
      <c r="D679" s="171"/>
      <c r="E679" s="171"/>
      <c r="F679" s="171"/>
      <c r="G679" s="171"/>
      <c r="H679" s="171"/>
      <c r="I679" s="171"/>
      <c r="J679" s="172"/>
      <c r="K679" s="172"/>
      <c r="L679" s="210">
        <v>0</v>
      </c>
      <c r="M679" s="268"/>
      <c r="N679" s="171"/>
      <c r="O679" s="171"/>
      <c r="P679" s="171"/>
      <c r="Q679" s="171"/>
      <c r="R679" s="171"/>
      <c r="S679" s="171"/>
      <c r="T679" s="189">
        <f>M679/10^6</f>
        <v>0</v>
      </c>
      <c r="U679" s="268"/>
      <c r="V679" s="190">
        <f>ROUNDUP(T679*C679*(1+L679),0)*U679</f>
        <v>0</v>
      </c>
      <c r="W679" s="191"/>
      <c r="X679" s="192"/>
    </row>
    <row r="680" spans="1:27" s="197" customFormat="1" ht="15" customHeight="1" thickBot="1">
      <c r="A680" s="226"/>
      <c r="B680" s="346"/>
      <c r="C680" s="209">
        <f>C679</f>
        <v>0</v>
      </c>
      <c r="D680" s="212"/>
      <c r="E680" s="212"/>
      <c r="F680" s="212"/>
      <c r="G680" s="212"/>
      <c r="H680" s="212"/>
      <c r="I680" s="212"/>
      <c r="J680" s="245"/>
      <c r="K680" s="245"/>
      <c r="L680" s="248">
        <v>0</v>
      </c>
      <c r="M680" s="212"/>
      <c r="N680" s="212"/>
      <c r="O680" s="212"/>
      <c r="P680" s="268"/>
      <c r="Q680" s="171"/>
      <c r="R680" s="171"/>
      <c r="S680" s="268"/>
      <c r="T680" s="238">
        <f>S680*P680/10^6</f>
        <v>0</v>
      </c>
      <c r="U680" s="268"/>
      <c r="V680" s="239">
        <f>ROUNDUP(T680*C680*(1+L680),0)*U680</f>
        <v>0</v>
      </c>
      <c r="W680" s="240"/>
      <c r="X680" s="241"/>
      <c r="Z680" s="198"/>
      <c r="AA680" s="198"/>
    </row>
    <row r="681" spans="1:27" ht="15" customHeight="1">
      <c r="A681" s="226"/>
      <c r="B681" s="222"/>
      <c r="C681" s="153"/>
      <c r="D681" s="150"/>
      <c r="E681" s="150"/>
      <c r="F681" s="150"/>
      <c r="G681" s="150"/>
      <c r="H681" s="150"/>
      <c r="I681" s="150"/>
      <c r="J681" s="154"/>
      <c r="K681" s="154"/>
      <c r="L681" s="155"/>
      <c r="M681" s="150"/>
      <c r="N681" s="206"/>
      <c r="O681" s="206"/>
      <c r="P681" s="206"/>
      <c r="Q681" s="206"/>
      <c r="R681" s="150"/>
      <c r="S681" s="150"/>
      <c r="T681" s="150"/>
      <c r="U681" s="150"/>
      <c r="V681" s="156"/>
      <c r="W681" s="157"/>
      <c r="X681" s="158"/>
    </row>
    <row r="682" spans="1:27" ht="15" customHeight="1">
      <c r="A682" s="226"/>
      <c r="B682" s="222"/>
      <c r="C682" s="153"/>
      <c r="D682" s="150"/>
      <c r="E682" s="150"/>
      <c r="F682" s="150"/>
      <c r="G682" s="150"/>
      <c r="H682" s="150"/>
      <c r="I682" s="150"/>
      <c r="J682" s="154"/>
      <c r="K682" s="154"/>
      <c r="L682" s="155"/>
      <c r="M682" s="150"/>
      <c r="N682" s="206"/>
      <c r="O682" s="206"/>
      <c r="P682" s="206"/>
      <c r="Q682" s="206"/>
      <c r="R682" s="150"/>
      <c r="S682" s="150"/>
      <c r="T682" s="150"/>
      <c r="U682" s="150"/>
      <c r="V682" s="156"/>
      <c r="W682" s="157"/>
      <c r="X682" s="158"/>
    </row>
    <row r="683" spans="1:27" ht="15" customHeight="1" thickBot="1">
      <c r="A683" s="225"/>
      <c r="B683" s="284" t="str">
        <f>IF(X684="","MONOLÍTICO+ADITIVO",X684)</f>
        <v>MONOLÍTICO+ADITIVO</v>
      </c>
      <c r="C683" s="285" t="s">
        <v>101</v>
      </c>
      <c r="D683" s="286" t="s">
        <v>102</v>
      </c>
      <c r="E683" s="286" t="s">
        <v>109</v>
      </c>
      <c r="F683" s="286"/>
      <c r="G683" s="286"/>
      <c r="H683" s="286"/>
      <c r="I683" s="286"/>
      <c r="J683" s="286" t="s">
        <v>103</v>
      </c>
      <c r="K683" s="286" t="s">
        <v>37</v>
      </c>
      <c r="L683" s="286" t="s">
        <v>39</v>
      </c>
      <c r="M683" s="286" t="s">
        <v>41</v>
      </c>
      <c r="N683" s="286"/>
      <c r="O683" s="286"/>
      <c r="P683" s="286" t="s">
        <v>17</v>
      </c>
      <c r="Q683" s="286"/>
      <c r="R683" s="286"/>
      <c r="S683" s="286" t="s">
        <v>40</v>
      </c>
      <c r="T683" s="286" t="s">
        <v>26</v>
      </c>
      <c r="U683" s="286" t="s">
        <v>38</v>
      </c>
      <c r="V683" s="287" t="s">
        <v>27</v>
      </c>
      <c r="W683" s="288"/>
      <c r="X683" s="289"/>
    </row>
    <row r="684" spans="1:27" ht="15" customHeight="1" thickBot="1">
      <c r="A684" s="225"/>
      <c r="B684" s="222"/>
      <c r="C684" s="144">
        <f>SUMIF(Densidades!A:A,'Memória TOTAL'!X684,Densidades!B:B)</f>
        <v>0</v>
      </c>
      <c r="D684" s="145">
        <f>SUMIF(Densidades!A:A,'Memória TOTAL'!X684,Densidades!C:C)</f>
        <v>0</v>
      </c>
      <c r="E684" s="145">
        <f>SUMIF(Densidades!A:A,'Memória TOTAL'!X684,Densidades!G:G)</f>
        <v>0</v>
      </c>
      <c r="F684" s="145" t="str">
        <f>IF(E684=1,"FIRECLAY CASTABLE",IF(E684=2,"ALUMINA CASTABLE",IF(E684=3,"ALUMINA MASS",IF(E684=4,"SILICA MASS","-"))))</f>
        <v>-</v>
      </c>
      <c r="G684" s="145" t="str">
        <f>IF(E684=5,"BASIC CASTABLE",IF(E684=6,"BASIC MASS",IF(E684=7,"CARBON MASS",IF(E684=8,"CHROMITE CASTABLE","-"))))</f>
        <v>-</v>
      </c>
      <c r="H684" s="145" t="str">
        <f>IF(E684=9,"INSULATING CASTABLE",IF(E684=10,"FIRECLAY MASS",IF(E684=11,"CHROMITE MASS",IF(E684=12,"FIRECLAY PLASTIC.","-"))))</f>
        <v>-</v>
      </c>
      <c r="I684" s="145" t="str">
        <f>IF(E684=13,"ALUMINA PLASTIC",IF(E684=14,"FILLING SAND",IF(E684=15,"FIRECLAY MORTAR",IF(E684=16,"ALUMINA MORTAR",IF(E684=17,"BASIC MORTAR",IF(E684=18,"MORTAR","-"))))))</f>
        <v>-</v>
      </c>
      <c r="J684" s="147">
        <f>SUMIF(Formatos!A:A,'Memória TOTAL'!X685,Formatos!G:G)</f>
        <v>0</v>
      </c>
      <c r="K684" s="148">
        <f>SUMIF(Densidades!A:A,'Memória TOTAL'!X684,Densidades!I:I)</f>
        <v>0</v>
      </c>
      <c r="L684" s="149">
        <v>0</v>
      </c>
      <c r="M684" s="150"/>
      <c r="N684" s="150"/>
      <c r="O684" s="150"/>
      <c r="P684" s="150"/>
      <c r="Q684" s="150"/>
      <c r="R684" s="150"/>
      <c r="S684" s="150"/>
      <c r="T684" s="150"/>
      <c r="U684" s="150"/>
      <c r="V684" s="156"/>
      <c r="W684" s="151" t="str">
        <f>IF(C684=0,"",ROUNDUP(SUM(V686:V689)*(1+L684)/D684,0)*D684)</f>
        <v/>
      </c>
      <c r="X684" s="274"/>
    </row>
    <row r="685" spans="1:27" ht="15" customHeight="1">
      <c r="A685" s="225"/>
      <c r="B685" s="222"/>
      <c r="C685" s="144"/>
      <c r="D685" s="150"/>
      <c r="E685" s="150"/>
      <c r="F685" s="150"/>
      <c r="G685" s="150"/>
      <c r="H685" s="150"/>
      <c r="I685" s="150"/>
      <c r="J685" s="154"/>
      <c r="K685" s="154"/>
      <c r="L685" s="155"/>
      <c r="M685" s="150"/>
      <c r="N685" s="150"/>
      <c r="O685" s="150"/>
      <c r="P685" s="150"/>
      <c r="Q685" s="150"/>
      <c r="R685" s="150"/>
      <c r="S685" s="150"/>
      <c r="T685" s="150"/>
      <c r="U685" s="150"/>
      <c r="V685" s="156"/>
      <c r="W685" s="157"/>
      <c r="X685" s="158" t="str">
        <f>IF(AND(I684="-",H684="-",G684="-"),F684,IF(AND(I684="-",H684="-",F684="-"),G684,IF(AND(I684="-",G684="-",F684="-"),H684,I684)))</f>
        <v>-</v>
      </c>
    </row>
    <row r="686" spans="1:27" ht="15" customHeight="1" thickBot="1">
      <c r="A686" s="225"/>
      <c r="B686" s="223" t="s">
        <v>71</v>
      </c>
      <c r="C686" s="144"/>
      <c r="D686" s="150"/>
      <c r="E686" s="150"/>
      <c r="F686" s="150"/>
      <c r="G686" s="150"/>
      <c r="H686" s="150"/>
      <c r="I686" s="150"/>
      <c r="J686" s="154"/>
      <c r="K686" s="154"/>
      <c r="L686" s="155"/>
      <c r="M686" s="150"/>
      <c r="N686" s="150"/>
      <c r="O686" s="150"/>
      <c r="P686" s="150"/>
      <c r="Q686" s="150"/>
      <c r="R686" s="150"/>
      <c r="S686" s="150"/>
      <c r="T686" s="150"/>
      <c r="U686" s="150"/>
      <c r="V686" s="156"/>
      <c r="W686" s="157"/>
      <c r="X686" s="158" t="s">
        <v>2</v>
      </c>
    </row>
    <row r="687" spans="1:27" ht="15" customHeight="1" thickBot="1">
      <c r="A687" s="225"/>
      <c r="B687" s="345"/>
      <c r="C687" s="209">
        <f>C684</f>
        <v>0</v>
      </c>
      <c r="D687" s="171"/>
      <c r="E687" s="171"/>
      <c r="F687" s="171"/>
      <c r="G687" s="171"/>
      <c r="H687" s="171"/>
      <c r="I687" s="171"/>
      <c r="J687" s="172"/>
      <c r="K687" s="172"/>
      <c r="L687" s="210">
        <v>0</v>
      </c>
      <c r="M687" s="268"/>
      <c r="N687" s="171"/>
      <c r="O687" s="171"/>
      <c r="P687" s="171"/>
      <c r="Q687" s="171"/>
      <c r="R687" s="171"/>
      <c r="S687" s="171"/>
      <c r="T687" s="189">
        <f>M687/10^6</f>
        <v>0</v>
      </c>
      <c r="U687" s="268"/>
      <c r="V687" s="190">
        <f>ROUNDUP(T687*C687*(1+L687),0)*U687</f>
        <v>0</v>
      </c>
      <c r="W687" s="191"/>
      <c r="X687" s="192"/>
    </row>
    <row r="688" spans="1:27" s="197" customFormat="1" ht="15" customHeight="1" thickBot="1">
      <c r="A688" s="226"/>
      <c r="B688" s="346"/>
      <c r="C688" s="209">
        <f>C687</f>
        <v>0</v>
      </c>
      <c r="D688" s="212"/>
      <c r="E688" s="212"/>
      <c r="F688" s="212"/>
      <c r="G688" s="212"/>
      <c r="H688" s="212"/>
      <c r="I688" s="212"/>
      <c r="J688" s="245"/>
      <c r="K688" s="245"/>
      <c r="L688" s="248">
        <v>0</v>
      </c>
      <c r="M688" s="212"/>
      <c r="N688" s="212"/>
      <c r="O688" s="212"/>
      <c r="P688" s="268"/>
      <c r="Q688" s="171"/>
      <c r="R688" s="171"/>
      <c r="S688" s="268"/>
      <c r="T688" s="238">
        <f>S688*P688/10^6</f>
        <v>0</v>
      </c>
      <c r="U688" s="268"/>
      <c r="V688" s="239">
        <f>ROUNDUP(T688*C688*(1+L688),0)*U688</f>
        <v>0</v>
      </c>
      <c r="W688" s="240"/>
      <c r="X688" s="241"/>
      <c r="Z688" s="198"/>
      <c r="AA688" s="198"/>
    </row>
    <row r="689" spans="1:27" ht="15" customHeight="1">
      <c r="A689" s="226"/>
      <c r="B689" s="222"/>
      <c r="C689" s="153"/>
      <c r="D689" s="150"/>
      <c r="E689" s="150"/>
      <c r="F689" s="150"/>
      <c r="G689" s="150"/>
      <c r="H689" s="150"/>
      <c r="I689" s="150"/>
      <c r="J689" s="154"/>
      <c r="K689" s="154"/>
      <c r="L689" s="155"/>
      <c r="M689" s="150"/>
      <c r="N689" s="206"/>
      <c r="O689" s="206"/>
      <c r="P689" s="206"/>
      <c r="Q689" s="206"/>
      <c r="R689" s="150"/>
      <c r="S689" s="150"/>
      <c r="T689" s="150"/>
      <c r="U689" s="150"/>
      <c r="V689" s="156"/>
      <c r="W689" s="157"/>
      <c r="X689" s="158"/>
    </row>
    <row r="690" spans="1:27" ht="15" customHeight="1">
      <c r="A690" s="226"/>
      <c r="B690" s="222"/>
      <c r="C690" s="153"/>
      <c r="D690" s="150"/>
      <c r="E690" s="150"/>
      <c r="F690" s="150"/>
      <c r="G690" s="150"/>
      <c r="H690" s="150"/>
      <c r="I690" s="150"/>
      <c r="J690" s="154"/>
      <c r="K690" s="154"/>
      <c r="L690" s="155"/>
      <c r="M690" s="150"/>
      <c r="N690" s="206"/>
      <c r="O690" s="206"/>
      <c r="P690" s="206"/>
      <c r="Q690" s="206"/>
      <c r="R690" s="150"/>
      <c r="S690" s="150"/>
      <c r="T690" s="150"/>
      <c r="U690" s="150"/>
      <c r="V690" s="156"/>
      <c r="W690" s="157"/>
      <c r="X690" s="158"/>
    </row>
    <row r="691" spans="1:27" ht="15" customHeight="1">
      <c r="A691" s="226"/>
      <c r="B691" s="222"/>
      <c r="C691" s="153"/>
      <c r="D691" s="150"/>
      <c r="E691" s="150"/>
      <c r="F691" s="150"/>
      <c r="G691" s="150"/>
      <c r="H691" s="150"/>
      <c r="I691" s="150"/>
      <c r="J691" s="154"/>
      <c r="K691" s="154"/>
      <c r="L691" s="155"/>
      <c r="M691" s="150"/>
      <c r="N691" s="206"/>
      <c r="O691" s="206"/>
      <c r="P691" s="206"/>
      <c r="Q691" s="206"/>
      <c r="R691" s="150"/>
      <c r="S691" s="150"/>
      <c r="T691" s="150"/>
      <c r="U691" s="150"/>
      <c r="V691" s="156"/>
      <c r="W691" s="157"/>
      <c r="X691" s="158"/>
    </row>
    <row r="692" spans="1:27" ht="15" customHeight="1">
      <c r="A692" s="226"/>
      <c r="B692" s="221"/>
      <c r="C692" s="153"/>
      <c r="D692" s="150"/>
      <c r="E692" s="150"/>
      <c r="F692" s="150"/>
      <c r="G692" s="150"/>
      <c r="H692" s="150"/>
      <c r="I692" s="150"/>
      <c r="J692" s="154"/>
      <c r="K692" s="154"/>
      <c r="L692" s="155"/>
      <c r="M692" s="150"/>
      <c r="N692" s="206"/>
      <c r="O692" s="206"/>
      <c r="P692" s="206"/>
      <c r="Q692" s="206"/>
      <c r="R692" s="150"/>
      <c r="S692" s="150"/>
      <c r="T692" s="150"/>
      <c r="U692" s="150"/>
      <c r="V692" s="156"/>
      <c r="W692" s="157"/>
      <c r="X692" s="158"/>
    </row>
    <row r="693" spans="1:27" ht="15" customHeight="1">
      <c r="A693" s="226"/>
      <c r="B693" s="222"/>
      <c r="C693" s="153"/>
      <c r="D693" s="150"/>
      <c r="E693" s="150"/>
      <c r="F693" s="150"/>
      <c r="G693" s="150"/>
      <c r="H693" s="150"/>
      <c r="I693" s="150"/>
      <c r="J693" s="154"/>
      <c r="K693" s="154"/>
      <c r="L693" s="155"/>
      <c r="M693" s="150"/>
      <c r="N693" s="206"/>
      <c r="O693" s="206"/>
      <c r="P693" s="206"/>
      <c r="Q693" s="206"/>
      <c r="R693" s="150"/>
      <c r="S693" s="150"/>
      <c r="T693" s="150"/>
      <c r="U693" s="150"/>
      <c r="V693" s="156"/>
      <c r="W693" s="157"/>
      <c r="X693" s="158"/>
    </row>
    <row r="694" spans="1:27" ht="15" customHeight="1" thickBot="1">
      <c r="A694" s="226"/>
      <c r="B694" s="222"/>
      <c r="C694" s="153"/>
      <c r="D694" s="150"/>
      <c r="E694" s="150"/>
      <c r="F694" s="150"/>
      <c r="G694" s="150"/>
      <c r="H694" s="150"/>
      <c r="I694" s="150"/>
      <c r="J694" s="154"/>
      <c r="K694" s="154"/>
      <c r="L694" s="155"/>
      <c r="M694" s="150"/>
      <c r="N694" s="206"/>
      <c r="O694" s="206"/>
      <c r="P694" s="206"/>
      <c r="Q694" s="206"/>
      <c r="R694" s="150"/>
      <c r="S694" s="150"/>
      <c r="T694" s="150"/>
      <c r="U694" s="150"/>
      <c r="V694" s="156"/>
      <c r="W694" s="157"/>
      <c r="X694" s="158"/>
    </row>
    <row r="695" spans="1:27" s="197" customFormat="1" ht="15" customHeight="1" thickBot="1">
      <c r="A695" s="290"/>
      <c r="B695" s="224" t="s">
        <v>1098</v>
      </c>
      <c r="C695" s="144">
        <f>SUMIF(Densidades!A:A,'Memória TOTAL'!X695,Densidades!B:B)</f>
        <v>1.3</v>
      </c>
      <c r="D695" s="145">
        <f>SUMIF(Densidades!A:A,'Memória TOTAL'!X695,Densidades!C:C)</f>
        <v>20</v>
      </c>
      <c r="E695" s="145"/>
      <c r="F695" s="145" t="str">
        <f>IF(E695=1,"FIRECLAY CASTABLE",IF(E695=2,"ALUMINA CASTABLE",IF(E695=3,"ALUMINA MASS",IF(E695=4,"SILICA MASS","-"))))</f>
        <v>-</v>
      </c>
      <c r="G695" s="145" t="str">
        <f>IF(E695=5,"BASIC CASTABLE",IF(E695=6,"BASIC MASS",IF(E695=7,"CARBON MASS",IF(E695=8,"CHROMITE CASTABLE","-"))))</f>
        <v>-</v>
      </c>
      <c r="H695" s="145" t="str">
        <f>IF(E695=9,"INSULATING CASTABLE",IF(E695=10,"FIRECLAY MASS",IF(E695=11,"CHROMITE MASS",IF(E695=12,"FIRECLAY PLASTIC.","-"))))</f>
        <v>-</v>
      </c>
      <c r="I695" s="145" t="str">
        <f>IF(E695=13,"ALUMINA PLASTIC",IF(E695=14,"FILLING SAND",IF(E695=15,"FIRECLAY MORTAR",IF(E695=16,"ALUMINA MORTAR",IF(E695=17,"BASIC MORTAR",IF(E695=18,"MORTAR","-"))))))</f>
        <v>-</v>
      </c>
      <c r="J695" s="147">
        <f>SUMIF(Formatos!A:A,'Memória TOTAL'!X696,Formatos!G:G)</f>
        <v>0</v>
      </c>
      <c r="K695" s="233">
        <f>SUMIF(Densidades!A:A,'Memória TOTAL'!X695,Densidades!I:I)</f>
        <v>8</v>
      </c>
      <c r="L695" s="234">
        <v>0</v>
      </c>
      <c r="M695" s="206"/>
      <c r="N695" s="206"/>
      <c r="O695" s="206"/>
      <c r="P695" s="206"/>
      <c r="Q695" s="206"/>
      <c r="R695" s="194" t="s">
        <v>1102</v>
      </c>
      <c r="S695" s="150"/>
      <c r="T695" s="194" t="s">
        <v>26</v>
      </c>
      <c r="U695" s="150"/>
      <c r="V695" s="195" t="s">
        <v>27</v>
      </c>
      <c r="W695" s="204" t="str">
        <f>IFERROR(IF(C695=0,"",ROUNDUP(SUM(V696:V696)*(1+L695),0)),"")</f>
        <v/>
      </c>
      <c r="X695" s="274" t="s">
        <v>1098</v>
      </c>
      <c r="Z695" s="198"/>
      <c r="AA695" s="198"/>
    </row>
    <row r="696" spans="1:27" s="197" customFormat="1" ht="15" customHeight="1" thickBot="1">
      <c r="A696" s="225"/>
      <c r="B696" s="205"/>
      <c r="C696" s="211"/>
      <c r="D696" s="206"/>
      <c r="E696" s="206"/>
      <c r="F696" s="206"/>
      <c r="G696" s="206"/>
      <c r="H696" s="206"/>
      <c r="I696" s="206"/>
      <c r="J696" s="207"/>
      <c r="K696" s="207"/>
      <c r="L696" s="155"/>
      <c r="M696" s="206"/>
      <c r="N696" s="206"/>
      <c r="O696" s="206"/>
      <c r="P696" s="206"/>
      <c r="Q696" s="206"/>
      <c r="R696" s="268"/>
      <c r="S696" s="150"/>
      <c r="T696" s="150" t="e">
        <f>W684/100*R696</f>
        <v>#VALUE!</v>
      </c>
      <c r="U696" s="150"/>
      <c r="V696" s="239" t="e">
        <f>ROUNDUP(T696*C695/D695,0)*D695</f>
        <v>#VALUE!</v>
      </c>
      <c r="W696" s="196"/>
      <c r="X696" s="158" t="str">
        <f>IF(AND(I695="-",H695="-",G695="-"),F695,IF(AND(I695="-",H695="-",F695="-"),G695,IF(AND(I695="-",G695="-",F695="-"),H695,I695)))</f>
        <v>-</v>
      </c>
      <c r="Z696" s="198"/>
      <c r="AA696" s="198"/>
    </row>
    <row r="697" spans="1:27" s="197" customFormat="1" ht="15" customHeight="1">
      <c r="A697" s="225"/>
      <c r="B697" s="803" t="s">
        <v>1888</v>
      </c>
      <c r="C697" s="211"/>
      <c r="D697" s="206"/>
      <c r="E697" s="206"/>
      <c r="F697" s="206"/>
      <c r="G697" s="206"/>
      <c r="H697" s="206"/>
      <c r="I697" s="206"/>
      <c r="J697" s="207"/>
      <c r="K697" s="207"/>
      <c r="L697" s="155"/>
      <c r="M697" s="206"/>
      <c r="N697" s="206"/>
      <c r="O697" s="206"/>
      <c r="P697" s="206"/>
      <c r="Q697" s="206"/>
      <c r="R697" s="206"/>
      <c r="S697" s="206"/>
      <c r="T697" s="206"/>
      <c r="U697" s="150"/>
      <c r="V697" s="208"/>
      <c r="W697" s="196"/>
      <c r="X697" s="152" t="s">
        <v>2</v>
      </c>
      <c r="Z697" s="198"/>
      <c r="AA697" s="198"/>
    </row>
    <row r="698" spans="1:27" s="197" customFormat="1" ht="15" customHeight="1">
      <c r="A698" s="225"/>
      <c r="B698" s="804"/>
      <c r="C698" s="211"/>
      <c r="D698" s="206"/>
      <c r="E698" s="206"/>
      <c r="F698" s="206"/>
      <c r="G698" s="206"/>
      <c r="H698" s="206"/>
      <c r="I698" s="206"/>
      <c r="J698" s="207"/>
      <c r="K698" s="207"/>
      <c r="L698" s="155"/>
      <c r="M698" s="206"/>
      <c r="N698" s="206"/>
      <c r="O698" s="206"/>
      <c r="P698" s="206"/>
      <c r="Q698" s="206"/>
      <c r="R698" s="206"/>
      <c r="S698" s="206"/>
      <c r="T698" s="206"/>
      <c r="U698" s="206"/>
      <c r="V698" s="208"/>
      <c r="W698" s="196"/>
      <c r="X698" s="152"/>
      <c r="Z698" s="198"/>
      <c r="AA698" s="198"/>
    </row>
    <row r="699" spans="1:27" ht="15" customHeight="1">
      <c r="A699" s="226"/>
      <c r="B699" s="222"/>
      <c r="C699" s="153"/>
      <c r="D699" s="150"/>
      <c r="E699" s="150"/>
      <c r="F699" s="150"/>
      <c r="G699" s="150"/>
      <c r="H699" s="150"/>
      <c r="I699" s="150"/>
      <c r="J699" s="154"/>
      <c r="K699" s="154"/>
      <c r="L699" s="155"/>
      <c r="M699" s="150"/>
      <c r="N699" s="206"/>
      <c r="O699" s="206"/>
      <c r="P699" s="206"/>
      <c r="Q699" s="206"/>
      <c r="R699" s="150"/>
      <c r="S699" s="150"/>
      <c r="T699" s="150"/>
      <c r="U699" s="150"/>
      <c r="V699" s="156"/>
      <c r="W699" s="157"/>
      <c r="X699" s="158"/>
    </row>
    <row r="700" spans="1:27" ht="15" customHeight="1" thickBot="1">
      <c r="A700" s="226"/>
      <c r="B700" s="524"/>
      <c r="C700" s="524"/>
      <c r="D700" s="527"/>
      <c r="E700" s="527"/>
      <c r="F700" s="527"/>
      <c r="G700" s="527"/>
      <c r="H700" s="527"/>
      <c r="I700" s="527"/>
      <c r="J700" s="527"/>
      <c r="K700" s="527"/>
      <c r="L700" s="527"/>
      <c r="M700" s="527"/>
      <c r="N700" s="527"/>
      <c r="O700" s="527"/>
      <c r="P700" s="527"/>
      <c r="Q700" s="527"/>
      <c r="R700" s="527"/>
      <c r="S700" s="527"/>
      <c r="T700" s="527"/>
      <c r="U700" s="527"/>
      <c r="V700" s="527"/>
      <c r="W700" s="527"/>
      <c r="X700" s="528"/>
    </row>
    <row r="701" spans="1:27" s="197" customFormat="1" ht="15" customHeight="1" thickBot="1">
      <c r="A701" s="290"/>
      <c r="B701" s="284" t="str">
        <f>IF(X702="","ÂNCORA METÁLICA",X702)</f>
        <v>ÂNCORA METÁLICA</v>
      </c>
      <c r="C701" s="230" t="s">
        <v>101</v>
      </c>
      <c r="D701" s="194" t="s">
        <v>102</v>
      </c>
      <c r="E701" s="194"/>
      <c r="F701" s="194"/>
      <c r="G701" s="194"/>
      <c r="H701" s="194"/>
      <c r="I701" s="194"/>
      <c r="J701" s="194" t="s">
        <v>103</v>
      </c>
      <c r="K701" s="194" t="s">
        <v>37</v>
      </c>
      <c r="L701" s="194" t="s">
        <v>39</v>
      </c>
      <c r="M701" s="194"/>
      <c r="N701" s="194" t="s">
        <v>106</v>
      </c>
      <c r="O701" s="194" t="s">
        <v>68</v>
      </c>
      <c r="P701" s="194" t="s">
        <v>69</v>
      </c>
      <c r="Q701" s="194" t="s">
        <v>107</v>
      </c>
      <c r="R701" s="194" t="s">
        <v>53</v>
      </c>
      <c r="S701" s="194" t="s">
        <v>40</v>
      </c>
      <c r="T701" s="194" t="s">
        <v>26</v>
      </c>
      <c r="U701" s="194" t="s">
        <v>38</v>
      </c>
      <c r="V701" s="195" t="s">
        <v>27</v>
      </c>
      <c r="W701" s="231"/>
      <c r="X701" s="232"/>
      <c r="Z701" s="198"/>
      <c r="AA701" s="198"/>
    </row>
    <row r="702" spans="1:27" s="197" customFormat="1" ht="15" customHeight="1" thickBot="1">
      <c r="A702" s="225"/>
      <c r="B702" s="205"/>
      <c r="C702" s="144">
        <f>SUMIF(Densidades!A:A,'Memória TOTAL'!X702,Densidades!B:B)</f>
        <v>0</v>
      </c>
      <c r="D702" s="145">
        <f>SUMIF(Densidades!A:A,'Memória TOTAL'!X702,Densidades!C:C)</f>
        <v>0</v>
      </c>
      <c r="E702" s="145"/>
      <c r="F702" s="145"/>
      <c r="G702" s="145"/>
      <c r="H702" s="145"/>
      <c r="I702" s="145"/>
      <c r="J702" s="147">
        <f>SUMIF(Formatos!A:A,'Memória TOTAL'!X703,Formatos!G:G)</f>
        <v>0</v>
      </c>
      <c r="K702" s="233">
        <f>SUMIF(Densidades!A:A,'Memória TOTAL'!X702,Densidades!I:I)</f>
        <v>0</v>
      </c>
      <c r="L702" s="234">
        <v>0</v>
      </c>
      <c r="M702" s="206"/>
      <c r="N702" s="206"/>
      <c r="O702" s="206"/>
      <c r="P702" s="206"/>
      <c r="Q702" s="206"/>
      <c r="R702" s="206"/>
      <c r="S702" s="206"/>
      <c r="T702" s="206"/>
      <c r="U702" s="206"/>
      <c r="V702" s="208"/>
      <c r="W702" s="204" t="str">
        <f>IF(C702=0,"",ROUNDUP(SUM(V704:V708)*(1+L702),0))</f>
        <v/>
      </c>
      <c r="X702" s="274"/>
      <c r="Z702" s="198"/>
      <c r="AA702" s="198"/>
    </row>
    <row r="703" spans="1:27" s="197" customFormat="1" ht="15" customHeight="1" thickBot="1">
      <c r="A703" s="225"/>
      <c r="B703" s="205"/>
      <c r="C703" s="211"/>
      <c r="D703" s="206"/>
      <c r="E703" s="206"/>
      <c r="F703" s="206"/>
      <c r="G703" s="206"/>
      <c r="H703" s="206"/>
      <c r="I703" s="206"/>
      <c r="J703" s="207"/>
      <c r="K703" s="207"/>
      <c r="L703" s="155"/>
      <c r="M703" s="206"/>
      <c r="N703" s="206"/>
      <c r="O703" s="206"/>
      <c r="P703" s="206"/>
      <c r="Q703" s="206"/>
      <c r="R703" s="206"/>
      <c r="S703" s="206"/>
      <c r="T703" s="206"/>
      <c r="U703" s="206"/>
      <c r="V703" s="208"/>
      <c r="W703" s="196"/>
      <c r="X703" s="274"/>
      <c r="Z703" s="198"/>
      <c r="AA703" s="198"/>
    </row>
    <row r="704" spans="1:27" s="197" customFormat="1" ht="15" customHeight="1" thickBot="1">
      <c r="A704" s="225"/>
      <c r="B704" s="179"/>
      <c r="C704" s="211"/>
      <c r="D704" s="206"/>
      <c r="E704" s="206"/>
      <c r="F704" s="206"/>
      <c r="G704" s="206"/>
      <c r="H704" s="206"/>
      <c r="I704" s="206"/>
      <c r="J704" s="207"/>
      <c r="K704" s="207"/>
      <c r="L704" s="155"/>
      <c r="M704" s="206"/>
      <c r="N704" s="206"/>
      <c r="O704" s="206"/>
      <c r="P704" s="206"/>
      <c r="Q704" s="206"/>
      <c r="R704" s="206"/>
      <c r="S704" s="206"/>
      <c r="T704" s="206"/>
      <c r="U704" s="206"/>
      <c r="V704" s="208"/>
      <c r="W704" s="196"/>
      <c r="X704" s="152" t="s">
        <v>524</v>
      </c>
      <c r="Z704" s="198"/>
      <c r="AA704" s="198"/>
    </row>
    <row r="705" spans="1:27" s="197" customFormat="1" ht="15" customHeight="1" thickBot="1">
      <c r="A705" s="225"/>
      <c r="B705" s="345"/>
      <c r="C705" s="235"/>
      <c r="D705" s="212"/>
      <c r="E705" s="212"/>
      <c r="F705" s="212"/>
      <c r="G705" s="212"/>
      <c r="H705" s="212"/>
      <c r="I705" s="212"/>
      <c r="J705" s="245"/>
      <c r="K705" s="245"/>
      <c r="L705" s="173"/>
      <c r="M705" s="212"/>
      <c r="N705" s="174"/>
      <c r="O705" s="174"/>
      <c r="P705" s="268"/>
      <c r="Q705" s="174"/>
      <c r="R705" s="212"/>
      <c r="S705" s="268"/>
      <c r="T705" s="238" t="str">
        <f>IF(P705="","-",ROUNDUP(S705/P705/P705,0))</f>
        <v>-</v>
      </c>
      <c r="U705" s="268"/>
      <c r="V705" s="239" t="str">
        <f>IF(T705="-","-",ROUNDUP(T705*U705,0))</f>
        <v>-</v>
      </c>
      <c r="W705" s="240"/>
      <c r="X705" s="241"/>
      <c r="Z705" s="198"/>
      <c r="AA705" s="198"/>
    </row>
    <row r="706" spans="1:27" s="197" customFormat="1" ht="15" customHeight="1" thickBot="1">
      <c r="A706" s="226"/>
      <c r="B706" s="345"/>
      <c r="C706" s="235"/>
      <c r="D706" s="212"/>
      <c r="E706" s="212"/>
      <c r="F706" s="212"/>
      <c r="G706" s="212"/>
      <c r="H706" s="212"/>
      <c r="I706" s="212"/>
      <c r="J706" s="245"/>
      <c r="K706" s="245"/>
      <c r="L706" s="173"/>
      <c r="M706" s="212" t="str">
        <f>IF(Q706="","",ROUND(Q706/P706,0))</f>
        <v/>
      </c>
      <c r="N706" s="268"/>
      <c r="O706" s="268"/>
      <c r="P706" s="171"/>
      <c r="Q706" s="171"/>
      <c r="R706" s="268">
        <v>360</v>
      </c>
      <c r="S706" s="212"/>
      <c r="T706" s="238" t="e">
        <f>ROUNDUP(N706*PI()/O706/360*R706,)</f>
        <v>#DIV/0!</v>
      </c>
      <c r="U706" s="268"/>
      <c r="V706" s="239" t="str">
        <f>IFERROR(IF(T706="-","-",ROUNDUP(T706*U706,0)),"-")</f>
        <v>-</v>
      </c>
      <c r="W706" s="240"/>
      <c r="X706" s="241"/>
      <c r="Z706" s="198"/>
      <c r="AA706" s="198"/>
    </row>
    <row r="707" spans="1:27" s="197" customFormat="1" ht="15" customHeight="1" thickBot="1">
      <c r="A707" s="225"/>
      <c r="B707" s="345"/>
      <c r="C707" s="235"/>
      <c r="D707" s="212"/>
      <c r="E707" s="212"/>
      <c r="F707" s="212"/>
      <c r="G707" s="212"/>
      <c r="H707" s="212"/>
      <c r="I707" s="212"/>
      <c r="J707" s="245"/>
      <c r="K707" s="245"/>
      <c r="L707" s="173"/>
      <c r="M707" s="212" t="str">
        <f>IF(Q707="","",ROUND(Q707/P707,0))</f>
        <v/>
      </c>
      <c r="N707" s="268"/>
      <c r="O707" s="268"/>
      <c r="P707" s="268"/>
      <c r="Q707" s="268"/>
      <c r="R707" s="268">
        <v>360</v>
      </c>
      <c r="S707" s="212"/>
      <c r="T707" s="238" t="str">
        <f>IF(P707="","-",(ROUND(PI()*N707/O707*R707/360,0))*(ROUND(Q707/P707,0)))</f>
        <v>-</v>
      </c>
      <c r="U707" s="268"/>
      <c r="V707" s="239" t="str">
        <f>IF(T707="-","-",ROUNDUP(T707*U707,0))</f>
        <v>-</v>
      </c>
      <c r="W707" s="240"/>
      <c r="X707" s="241"/>
      <c r="Z707" s="198"/>
      <c r="AA707" s="198"/>
    </row>
    <row r="708" spans="1:27" s="197" customFormat="1" ht="15" customHeight="1">
      <c r="A708" s="226"/>
      <c r="B708" s="178"/>
      <c r="C708" s="211"/>
      <c r="D708" s="206"/>
      <c r="E708" s="206"/>
      <c r="F708" s="206"/>
      <c r="G708" s="206"/>
      <c r="H708" s="206"/>
      <c r="I708" s="206"/>
      <c r="J708" s="207"/>
      <c r="K708" s="207"/>
      <c r="L708" s="155"/>
      <c r="M708" s="206"/>
      <c r="N708" s="206"/>
      <c r="O708" s="162"/>
      <c r="P708" s="168"/>
      <c r="Q708" s="162"/>
      <c r="R708" s="206"/>
      <c r="S708" s="206"/>
      <c r="T708" s="206"/>
      <c r="U708" s="206"/>
      <c r="V708" s="208"/>
      <c r="W708" s="196"/>
      <c r="X708" s="152"/>
      <c r="Z708" s="198"/>
      <c r="AA708" s="198"/>
    </row>
    <row r="709" spans="1:27" s="197" customFormat="1" ht="15" customHeight="1" thickBot="1">
      <c r="A709" s="225"/>
      <c r="B709" s="524"/>
      <c r="C709" s="524"/>
      <c r="D709" s="527"/>
      <c r="E709" s="527"/>
      <c r="F709" s="527"/>
      <c r="G709" s="527"/>
      <c r="H709" s="527"/>
      <c r="I709" s="527"/>
      <c r="J709" s="527"/>
      <c r="K709" s="527"/>
      <c r="L709" s="527"/>
      <c r="M709" s="527"/>
      <c r="N709" s="527"/>
      <c r="O709" s="527"/>
      <c r="P709" s="527"/>
      <c r="Q709" s="527"/>
      <c r="R709" s="527"/>
      <c r="S709" s="527"/>
      <c r="T709" s="527"/>
      <c r="U709" s="527"/>
      <c r="V709" s="527"/>
      <c r="W709" s="527"/>
      <c r="X709" s="528"/>
      <c r="Z709" s="198"/>
      <c r="AA709" s="198"/>
    </row>
    <row r="710" spans="1:27" s="197" customFormat="1" ht="15" customHeight="1" thickBot="1">
      <c r="A710" s="225"/>
      <c r="B710" s="284" t="str">
        <f>IF(X711="","ÂNCORA CERÂMICA",X711)</f>
        <v>ÂNCORA CERÂMICA</v>
      </c>
      <c r="C710" s="230" t="s">
        <v>101</v>
      </c>
      <c r="D710" s="195" t="s">
        <v>102</v>
      </c>
      <c r="E710" s="195"/>
      <c r="F710" s="195"/>
      <c r="G710" s="195"/>
      <c r="H710" s="195"/>
      <c r="I710" s="195"/>
      <c r="J710" s="195" t="s">
        <v>103</v>
      </c>
      <c r="K710" s="195" t="s">
        <v>37</v>
      </c>
      <c r="L710" s="195" t="s">
        <v>39</v>
      </c>
      <c r="M710" s="195"/>
      <c r="N710" s="195" t="s">
        <v>106</v>
      </c>
      <c r="O710" s="195" t="s">
        <v>68</v>
      </c>
      <c r="P710" s="195" t="s">
        <v>69</v>
      </c>
      <c r="Q710" s="195" t="s">
        <v>107</v>
      </c>
      <c r="R710" s="195" t="s">
        <v>53</v>
      </c>
      <c r="S710" s="195" t="s">
        <v>40</v>
      </c>
      <c r="T710" s="195" t="s">
        <v>26</v>
      </c>
      <c r="U710" s="195" t="s">
        <v>38</v>
      </c>
      <c r="V710" s="195" t="s">
        <v>27</v>
      </c>
      <c r="W710" s="231"/>
      <c r="X710" s="232"/>
      <c r="Z710" s="198"/>
      <c r="AA710" s="198"/>
    </row>
    <row r="711" spans="1:27" s="197" customFormat="1" ht="15" customHeight="1" thickBot="1">
      <c r="A711" s="226"/>
      <c r="B711" s="205"/>
      <c r="C711" s="144">
        <f>SUMIF(Densidades!A:A,'Memória TOTAL'!X711,Densidades!B:B)</f>
        <v>0</v>
      </c>
      <c r="D711" s="145">
        <f>SUMIF(Densidades!A:A,'Memória TOTAL'!X711,Densidades!C:C)</f>
        <v>0</v>
      </c>
      <c r="E711" s="145"/>
      <c r="F711" s="145"/>
      <c r="G711" s="145"/>
      <c r="H711" s="145"/>
      <c r="I711" s="145"/>
      <c r="J711" s="147">
        <f>SUMIF(Formatos!A:A,'Memória TOTAL'!X712,Formatos!G:G)</f>
        <v>0</v>
      </c>
      <c r="K711" s="233">
        <f>SUMIF(Densidades!A:A,'Memória TOTAL'!X711,Densidades!I:I)</f>
        <v>0</v>
      </c>
      <c r="L711" s="234">
        <v>0</v>
      </c>
      <c r="M711" s="206"/>
      <c r="N711" s="206"/>
      <c r="O711" s="206"/>
      <c r="P711" s="206"/>
      <c r="Q711" s="206"/>
      <c r="R711" s="206"/>
      <c r="S711" s="206"/>
      <c r="T711" s="206"/>
      <c r="U711" s="206"/>
      <c r="V711" s="208"/>
      <c r="W711" s="204" t="str">
        <f>IF(C711=0,"",ROUNDUP(SUM(V713:V717)*(1+L711),0))</f>
        <v/>
      </c>
      <c r="X711" s="274"/>
      <c r="Z711" s="198"/>
      <c r="AA711" s="198"/>
    </row>
    <row r="712" spans="1:27" s="197" customFormat="1" ht="15" customHeight="1" thickBot="1">
      <c r="A712" s="226"/>
      <c r="B712" s="205"/>
      <c r="C712" s="211"/>
      <c r="D712" s="206"/>
      <c r="E712" s="206"/>
      <c r="F712" s="206"/>
      <c r="G712" s="206"/>
      <c r="H712" s="206"/>
      <c r="I712" s="206"/>
      <c r="J712" s="207"/>
      <c r="K712" s="207"/>
      <c r="L712" s="155"/>
      <c r="M712" s="206"/>
      <c r="N712" s="206"/>
      <c r="O712" s="206"/>
      <c r="P712" s="206"/>
      <c r="Q712" s="206"/>
      <c r="R712" s="206"/>
      <c r="S712" s="206"/>
      <c r="T712" s="206"/>
      <c r="U712" s="206"/>
      <c r="V712" s="208"/>
      <c r="W712" s="196"/>
      <c r="X712" s="274"/>
      <c r="Z712" s="198"/>
      <c r="AA712" s="198"/>
    </row>
    <row r="713" spans="1:27" s="197" customFormat="1" ht="15" customHeight="1" thickBot="1">
      <c r="A713" s="290"/>
      <c r="B713" s="179"/>
      <c r="C713" s="211"/>
      <c r="D713" s="206"/>
      <c r="E713" s="206"/>
      <c r="F713" s="206"/>
      <c r="G713" s="206"/>
      <c r="H713" s="206"/>
      <c r="I713" s="206"/>
      <c r="J713" s="207"/>
      <c r="K713" s="207"/>
      <c r="L713" s="155"/>
      <c r="M713" s="206"/>
      <c r="N713" s="206"/>
      <c r="O713" s="206"/>
      <c r="P713" s="206"/>
      <c r="Q713" s="206"/>
      <c r="R713" s="206"/>
      <c r="S713" s="206"/>
      <c r="T713" s="206"/>
      <c r="U713" s="206"/>
      <c r="V713" s="208"/>
      <c r="W713" s="196"/>
      <c r="X713" s="152" t="s">
        <v>524</v>
      </c>
      <c r="Z713" s="198"/>
      <c r="AA713" s="198"/>
    </row>
    <row r="714" spans="1:27" s="197" customFormat="1" ht="15" customHeight="1" thickBot="1">
      <c r="A714" s="225"/>
      <c r="B714" s="345"/>
      <c r="C714" s="235"/>
      <c r="D714" s="212"/>
      <c r="E714" s="212"/>
      <c r="F714" s="212"/>
      <c r="G714" s="212"/>
      <c r="H714" s="212"/>
      <c r="I714" s="212"/>
      <c r="J714" s="245"/>
      <c r="K714" s="245"/>
      <c r="L714" s="173"/>
      <c r="M714" s="212"/>
      <c r="N714" s="174"/>
      <c r="O714" s="174"/>
      <c r="P714" s="268"/>
      <c r="Q714" s="174"/>
      <c r="R714" s="212"/>
      <c r="S714" s="268"/>
      <c r="T714" s="238" t="str">
        <f>IF(P714="","-",ROUNDUP(S714/P714/P714,0))</f>
        <v>-</v>
      </c>
      <c r="U714" s="268"/>
      <c r="V714" s="239" t="str">
        <f>IF(T714="-","-",ROUNDUP(T714*U714,0))</f>
        <v>-</v>
      </c>
      <c r="W714" s="240"/>
      <c r="X714" s="241"/>
      <c r="Z714" s="198"/>
      <c r="AA714" s="198"/>
    </row>
    <row r="715" spans="1:27" s="197" customFormat="1" ht="15" customHeight="1" thickBot="1">
      <c r="A715" s="226"/>
      <c r="B715" s="345"/>
      <c r="C715" s="235"/>
      <c r="D715" s="212"/>
      <c r="E715" s="212"/>
      <c r="F715" s="212"/>
      <c r="G715" s="212"/>
      <c r="H715" s="212"/>
      <c r="I715" s="212"/>
      <c r="J715" s="245"/>
      <c r="K715" s="245"/>
      <c r="L715" s="173"/>
      <c r="M715" s="212" t="str">
        <f>IF(Q715="","",ROUND(Q715/P715,0))</f>
        <v/>
      </c>
      <c r="N715" s="268"/>
      <c r="O715" s="268"/>
      <c r="P715" s="171"/>
      <c r="Q715" s="171"/>
      <c r="R715" s="268">
        <v>360</v>
      </c>
      <c r="S715" s="212"/>
      <c r="T715" s="238" t="e">
        <f>ROUNDUP(N715*PI()/O715/360*R715,)</f>
        <v>#DIV/0!</v>
      </c>
      <c r="U715" s="268"/>
      <c r="V715" s="239" t="str">
        <f>IFERROR(IF(T715="-","-",ROUNDUP(T715*U715,0)),"-")</f>
        <v>-</v>
      </c>
      <c r="W715" s="240"/>
      <c r="X715" s="241"/>
      <c r="Z715" s="198"/>
      <c r="AA715" s="198"/>
    </row>
    <row r="716" spans="1:27" s="197" customFormat="1" ht="15" customHeight="1" thickBot="1">
      <c r="A716" s="225"/>
      <c r="B716" s="345"/>
      <c r="C716" s="235"/>
      <c r="D716" s="212"/>
      <c r="E716" s="212"/>
      <c r="F716" s="212"/>
      <c r="G716" s="212"/>
      <c r="H716" s="212"/>
      <c r="I716" s="212"/>
      <c r="J716" s="245"/>
      <c r="K716" s="245"/>
      <c r="L716" s="173"/>
      <c r="M716" s="212" t="str">
        <f>IF(Q716="","",ROUND(Q716/P716,0))</f>
        <v/>
      </c>
      <c r="N716" s="268"/>
      <c r="O716" s="268"/>
      <c r="P716" s="268"/>
      <c r="Q716" s="268"/>
      <c r="R716" s="268">
        <v>360</v>
      </c>
      <c r="S716" s="212"/>
      <c r="T716" s="238" t="str">
        <f>IF(P716="","-",(ROUND(PI()*N716/O716*R716/360,0))*(ROUND(Q716/P716,0)))</f>
        <v>-</v>
      </c>
      <c r="U716" s="268"/>
      <c r="V716" s="239" t="str">
        <f>IF(T716="-","-",ROUNDUP(T716*U716,0))</f>
        <v>-</v>
      </c>
      <c r="W716" s="240"/>
      <c r="X716" s="241"/>
      <c r="Z716" s="198"/>
      <c r="AA716" s="198"/>
    </row>
    <row r="717" spans="1:27" s="197" customFormat="1" ht="15" customHeight="1">
      <c r="A717" s="225"/>
      <c r="B717" s="178"/>
      <c r="C717" s="211"/>
      <c r="D717" s="206"/>
      <c r="E717" s="206"/>
      <c r="F717" s="206"/>
      <c r="G717" s="206"/>
      <c r="H717" s="206"/>
      <c r="I717" s="206"/>
      <c r="J717" s="207"/>
      <c r="K717" s="207"/>
      <c r="L717" s="155"/>
      <c r="M717" s="206"/>
      <c r="N717" s="206"/>
      <c r="O717" s="162"/>
      <c r="P717" s="168"/>
      <c r="Q717" s="162"/>
      <c r="R717" s="206"/>
      <c r="S717" s="206"/>
      <c r="T717" s="206"/>
      <c r="U717" s="206"/>
      <c r="V717" s="208"/>
      <c r="W717" s="196"/>
      <c r="X717" s="152"/>
      <c r="Z717" s="198"/>
      <c r="AA717" s="198"/>
    </row>
    <row r="718" spans="1:27" s="197" customFormat="1" ht="15" customHeight="1" thickBot="1">
      <c r="A718" s="225"/>
      <c r="B718" s="178"/>
      <c r="C718" s="211"/>
      <c r="D718" s="206"/>
      <c r="E718" s="206"/>
      <c r="F718" s="206"/>
      <c r="G718" s="206"/>
      <c r="H718" s="206"/>
      <c r="I718" s="206"/>
      <c r="J718" s="207"/>
      <c r="K718" s="207"/>
      <c r="L718" s="155"/>
      <c r="M718" s="206"/>
      <c r="N718" s="206"/>
      <c r="O718" s="162"/>
      <c r="P718" s="168"/>
      <c r="Q718" s="162"/>
      <c r="R718" s="206"/>
      <c r="S718" s="206"/>
      <c r="T718" s="206"/>
      <c r="U718" s="206"/>
      <c r="V718" s="208"/>
      <c r="W718" s="196"/>
      <c r="X718" s="152"/>
      <c r="Z718" s="198"/>
      <c r="AA718" s="198"/>
    </row>
    <row r="719" spans="1:27" s="197" customFormat="1" ht="15" customHeight="1" thickBot="1">
      <c r="A719" s="226"/>
      <c r="B719" s="205"/>
      <c r="C719" s="144">
        <f>SUMIF(Densidades!A:A,'Memória TOTAL'!X719,Densidades!B:B)</f>
        <v>0</v>
      </c>
      <c r="D719" s="145">
        <f>SUMIF(Densidades!A:A,'Memória TOTAL'!X719,Densidades!C:C)</f>
        <v>0</v>
      </c>
      <c r="E719" s="145"/>
      <c r="F719" s="145"/>
      <c r="G719" s="145"/>
      <c r="H719" s="145"/>
      <c r="I719" s="145"/>
      <c r="J719" s="147">
        <f>SUMIF(Formatos!A:A,'Memória TOTAL'!X720,Formatos!G:G)</f>
        <v>0</v>
      </c>
      <c r="K719" s="233">
        <f>SUMIF(Densidades!A:A,'Memória TOTAL'!X719,Densidades!I:I)</f>
        <v>0</v>
      </c>
      <c r="L719" s="155"/>
      <c r="M719" s="206"/>
      <c r="N719" s="206"/>
      <c r="O719" s="206"/>
      <c r="P719" s="206"/>
      <c r="Q719" s="206"/>
      <c r="R719" s="206"/>
      <c r="S719" s="206"/>
      <c r="T719" s="206"/>
      <c r="U719" s="206"/>
      <c r="V719" s="244"/>
      <c r="W719" s="204" t="str">
        <f>W711</f>
        <v/>
      </c>
      <c r="X719" s="274"/>
      <c r="Z719" s="198"/>
      <c r="AA719" s="198"/>
    </row>
    <row r="720" spans="1:27" s="197" customFormat="1" ht="15" customHeight="1" thickBot="1">
      <c r="A720" s="226"/>
      <c r="B720" s="205"/>
      <c r="C720" s="211"/>
      <c r="D720" s="206"/>
      <c r="E720" s="206"/>
      <c r="F720" s="206"/>
      <c r="G720" s="206"/>
      <c r="H720" s="206"/>
      <c r="I720" s="206"/>
      <c r="J720" s="207"/>
      <c r="K720" s="207"/>
      <c r="L720" s="155"/>
      <c r="M720" s="206"/>
      <c r="N720" s="206"/>
      <c r="O720" s="206"/>
      <c r="P720" s="206"/>
      <c r="Q720" s="206"/>
      <c r="R720" s="206"/>
      <c r="S720" s="206"/>
      <c r="T720" s="206"/>
      <c r="U720" s="206"/>
      <c r="V720" s="208"/>
      <c r="W720" s="196"/>
      <c r="X720" s="274"/>
      <c r="Z720" s="198"/>
      <c r="AA720" s="198"/>
    </row>
    <row r="721" spans="1:27" s="197" customFormat="1" ht="15" customHeight="1">
      <c r="A721" s="290"/>
      <c r="B721" s="205"/>
      <c r="C721" s="211"/>
      <c r="D721" s="206"/>
      <c r="E721" s="206"/>
      <c r="F721" s="206"/>
      <c r="G721" s="206"/>
      <c r="H721" s="206"/>
      <c r="I721" s="206"/>
      <c r="J721" s="207"/>
      <c r="K721" s="207"/>
      <c r="L721" s="155"/>
      <c r="M721" s="206"/>
      <c r="N721" s="206"/>
      <c r="O721" s="206"/>
      <c r="P721" s="206"/>
      <c r="Q721" s="206"/>
      <c r="R721" s="206"/>
      <c r="S721" s="206"/>
      <c r="T721" s="206"/>
      <c r="U721" s="206"/>
      <c r="V721" s="208"/>
      <c r="W721" s="196"/>
      <c r="X721" s="152" t="s">
        <v>524</v>
      </c>
      <c r="Z721" s="198"/>
      <c r="AA721" s="198"/>
    </row>
    <row r="722" spans="1:27" s="197" customFormat="1" ht="15" customHeight="1" thickBot="1">
      <c r="A722" s="225"/>
      <c r="B722" s="205"/>
      <c r="C722" s="211"/>
      <c r="D722" s="206"/>
      <c r="E722" s="206"/>
      <c r="F722" s="206"/>
      <c r="G722" s="206"/>
      <c r="H722" s="206"/>
      <c r="I722" s="206"/>
      <c r="J722" s="207"/>
      <c r="K722" s="207"/>
      <c r="L722" s="155"/>
      <c r="M722" s="206"/>
      <c r="N722" s="206"/>
      <c r="O722" s="206"/>
      <c r="P722" s="206"/>
      <c r="Q722" s="206"/>
      <c r="R722" s="206"/>
      <c r="S722" s="206"/>
      <c r="T722" s="206"/>
      <c r="U722" s="206"/>
      <c r="V722" s="208"/>
      <c r="W722" s="196"/>
      <c r="X722" s="152"/>
      <c r="Z722" s="198"/>
      <c r="AA722" s="198"/>
    </row>
    <row r="723" spans="1:27" s="197" customFormat="1" ht="15" customHeight="1" thickBot="1">
      <c r="A723" s="225"/>
      <c r="B723" s="205"/>
      <c r="C723" s="144">
        <f>SUMIF(Densidades!A:A,'Memória TOTAL'!X723,Densidades!B:B)</f>
        <v>0</v>
      </c>
      <c r="D723" s="145">
        <f>SUMIF(Densidades!A:A,'Memória TOTAL'!X723,Densidades!C:C)</f>
        <v>0</v>
      </c>
      <c r="E723" s="145"/>
      <c r="F723" s="145"/>
      <c r="G723" s="145"/>
      <c r="H723" s="145"/>
      <c r="I723" s="145"/>
      <c r="J723" s="147">
        <f>SUMIF(Formatos!A:A,'Memória TOTAL'!X724,Formatos!G:G)</f>
        <v>0</v>
      </c>
      <c r="K723" s="233">
        <f>SUMIF(Densidades!A:A,'Memória TOTAL'!X723,Densidades!I:I)</f>
        <v>0</v>
      </c>
      <c r="L723" s="155"/>
      <c r="M723" s="206"/>
      <c r="N723" s="206"/>
      <c r="O723" s="206"/>
      <c r="P723" s="206"/>
      <c r="Q723" s="206"/>
      <c r="R723" s="206"/>
      <c r="S723" s="206"/>
      <c r="T723" s="206"/>
      <c r="U723" s="206"/>
      <c r="V723" s="244"/>
      <c r="W723" s="204" t="str">
        <f>W719</f>
        <v/>
      </c>
      <c r="X723" s="274"/>
      <c r="Z723" s="198"/>
      <c r="AA723" s="198"/>
    </row>
    <row r="724" spans="1:27" s="197" customFormat="1" ht="15" customHeight="1" thickBot="1">
      <c r="A724" s="225"/>
      <c r="B724" s="205"/>
      <c r="C724" s="211"/>
      <c r="D724" s="206"/>
      <c r="E724" s="206"/>
      <c r="F724" s="206"/>
      <c r="G724" s="206"/>
      <c r="H724" s="206"/>
      <c r="I724" s="206"/>
      <c r="J724" s="207"/>
      <c r="K724" s="207"/>
      <c r="L724" s="155"/>
      <c r="M724" s="206"/>
      <c r="N724" s="206"/>
      <c r="O724" s="206"/>
      <c r="P724" s="206"/>
      <c r="Q724" s="206"/>
      <c r="R724" s="206"/>
      <c r="S724" s="206"/>
      <c r="T724" s="206"/>
      <c r="U724" s="206"/>
      <c r="V724" s="208"/>
      <c r="W724" s="196"/>
      <c r="X724" s="274"/>
      <c r="Z724" s="198"/>
      <c r="AA724" s="198"/>
    </row>
    <row r="725" spans="1:27" s="197" customFormat="1" ht="15" customHeight="1">
      <c r="A725" s="225"/>
      <c r="B725" s="205"/>
      <c r="C725" s="211"/>
      <c r="D725" s="206"/>
      <c r="E725" s="206"/>
      <c r="F725" s="206"/>
      <c r="G725" s="206"/>
      <c r="H725" s="206"/>
      <c r="I725" s="206"/>
      <c r="J725" s="207"/>
      <c r="K725" s="207"/>
      <c r="L725" s="155"/>
      <c r="M725" s="206"/>
      <c r="N725" s="206"/>
      <c r="O725" s="206"/>
      <c r="P725" s="206"/>
      <c r="Q725" s="206"/>
      <c r="R725" s="206"/>
      <c r="S725" s="206"/>
      <c r="T725" s="206"/>
      <c r="U725" s="206"/>
      <c r="V725" s="208"/>
      <c r="W725" s="196"/>
      <c r="X725" s="152" t="s">
        <v>524</v>
      </c>
      <c r="Z725" s="198"/>
      <c r="AA725" s="198"/>
    </row>
    <row r="726" spans="1:27" s="197" customFormat="1" ht="15" customHeight="1">
      <c r="A726" s="226"/>
      <c r="B726" s="205"/>
      <c r="C726" s="211"/>
      <c r="D726" s="206"/>
      <c r="E726" s="206"/>
      <c r="F726" s="206"/>
      <c r="G726" s="206"/>
      <c r="H726" s="206"/>
      <c r="I726" s="206"/>
      <c r="J726" s="207"/>
      <c r="K726" s="207"/>
      <c r="L726" s="155"/>
      <c r="M726" s="206"/>
      <c r="N726" s="206"/>
      <c r="O726" s="206"/>
      <c r="P726" s="206"/>
      <c r="Q726" s="206"/>
      <c r="R726" s="206"/>
      <c r="S726" s="206"/>
      <c r="T726" s="206"/>
      <c r="U726" s="206"/>
      <c r="V726" s="208"/>
      <c r="W726" s="196"/>
      <c r="X726" s="152"/>
      <c r="Z726" s="198"/>
      <c r="AA726" s="198"/>
    </row>
    <row r="727" spans="1:27" s="197" customFormat="1" ht="15" customHeight="1" thickBot="1">
      <c r="A727" s="226"/>
      <c r="B727" s="205"/>
      <c r="C727" s="211"/>
      <c r="D727" s="206"/>
      <c r="E727" s="206"/>
      <c r="F727" s="206"/>
      <c r="G727" s="206"/>
      <c r="H727" s="206"/>
      <c r="I727" s="206"/>
      <c r="J727" s="207"/>
      <c r="K727" s="207"/>
      <c r="L727" s="155"/>
      <c r="M727" s="206"/>
      <c r="N727" s="206"/>
      <c r="O727" s="206"/>
      <c r="P727" s="206"/>
      <c r="Q727" s="206"/>
      <c r="R727" s="206"/>
      <c r="S727" s="206"/>
      <c r="T727" s="206"/>
      <c r="U727" s="206"/>
      <c r="V727" s="208"/>
      <c r="W727" s="196"/>
      <c r="X727" s="152"/>
      <c r="Z727" s="198"/>
      <c r="AA727" s="198"/>
    </row>
    <row r="728" spans="1:27" s="197" customFormat="1" ht="15" customHeight="1" thickBot="1">
      <c r="A728" s="290"/>
      <c r="B728" s="205"/>
      <c r="C728" s="144">
        <f>SUMIF(Densidades!A:A,'Memória TOTAL'!X728,Densidades!B:B)</f>
        <v>0.128</v>
      </c>
      <c r="D728" s="145">
        <f>SUMIF(Densidades!A:A,'Memória TOTAL'!X728,Densidades!C:C)</f>
        <v>1</v>
      </c>
      <c r="E728" s="146">
        <f>SUMIF(Formatos!A:A,'Memória TOTAL'!X729,Formatos!E:E)</f>
        <v>6</v>
      </c>
      <c r="F728" s="146">
        <f>SUMIF(Formatos!A:A,'Memória TOTAL'!X729,Formatos!F:F)</f>
        <v>6</v>
      </c>
      <c r="G728" s="146">
        <f>SUMIF(Formatos!A:A,'Memória TOTAL'!X729,Formatos!C:C)</f>
        <v>5500</v>
      </c>
      <c r="H728" s="146">
        <f>SUMIF(Formatos!A:A,'Memória TOTAL'!X729,Formatos!D:D)</f>
        <v>610</v>
      </c>
      <c r="I728" s="145"/>
      <c r="J728" s="147">
        <f>SUMIF(Formatos!A:A,'Memória TOTAL'!X729,Formatos!G:G)</f>
        <v>20.13</v>
      </c>
      <c r="K728" s="233">
        <f>SUMIF(Densidades!A:A,'Memória TOTAL'!X728,Densidades!I:I)</f>
        <v>4</v>
      </c>
      <c r="L728" s="234">
        <v>0</v>
      </c>
      <c r="M728" s="206"/>
      <c r="N728" s="206"/>
      <c r="O728" s="206"/>
      <c r="P728" s="195" t="s">
        <v>2209</v>
      </c>
      <c r="Q728" s="195" t="s">
        <v>2212</v>
      </c>
      <c r="R728" s="195" t="s">
        <v>2211</v>
      </c>
      <c r="S728" s="195" t="s">
        <v>40</v>
      </c>
      <c r="T728" s="195" t="s">
        <v>26</v>
      </c>
      <c r="U728" s="195" t="s">
        <v>38</v>
      </c>
      <c r="V728" s="195" t="s">
        <v>27</v>
      </c>
      <c r="W728" s="204">
        <f>IF(C728=0,"",ROUNDUP(SUM(V729:V729)*(1+L728),0))</f>
        <v>0</v>
      </c>
      <c r="X728" s="274" t="s">
        <v>1807</v>
      </c>
      <c r="Z728" s="198"/>
      <c r="AA728" s="198"/>
    </row>
    <row r="729" spans="1:27" s="197" customFormat="1" ht="15" customHeight="1" thickBot="1">
      <c r="A729" s="225"/>
      <c r="B729" s="205"/>
      <c r="C729" s="211"/>
      <c r="D729" s="206"/>
      <c r="E729" s="206"/>
      <c r="F729" s="206"/>
      <c r="G729" s="206"/>
      <c r="H729" s="206"/>
      <c r="I729" s="206"/>
      <c r="J729" s="207"/>
      <c r="K729" s="207"/>
      <c r="L729" s="155"/>
      <c r="M729" s="206"/>
      <c r="N729" s="206"/>
      <c r="O729" s="206"/>
      <c r="P729" s="268"/>
      <c r="Q729" s="238">
        <f>130*4</f>
        <v>520</v>
      </c>
      <c r="R729" s="268"/>
      <c r="S729" s="238">
        <f>Q729*R729</f>
        <v>0</v>
      </c>
      <c r="T729" s="238">
        <f>ROUNDUP(S729/10^6*(1+L728),2)</f>
        <v>0</v>
      </c>
      <c r="U729" s="237" t="str">
        <f>W711</f>
        <v/>
      </c>
      <c r="V729" s="239" t="str">
        <f>IF(U729="","-",IF(COUNTIF(E728:H728,P729)&lt;1,"Esp. Errada",ROUNDUP((S729*U729)/(IF(P729=E728,1,E728)*IF(P729=G728,1,G728)*IF(P729=H728,1,H728)),0)))</f>
        <v>-</v>
      </c>
      <c r="W729" s="196"/>
      <c r="X729" s="274" t="s">
        <v>2210</v>
      </c>
      <c r="Z729" s="198"/>
      <c r="AA729" s="198"/>
    </row>
    <row r="730" spans="1:27" s="197" customFormat="1" ht="15" customHeight="1">
      <c r="A730" s="225"/>
      <c r="B730" s="205"/>
      <c r="C730" s="211"/>
      <c r="D730" s="206"/>
      <c r="E730" s="206"/>
      <c r="F730" s="206"/>
      <c r="G730" s="206"/>
      <c r="H730" s="206"/>
      <c r="I730" s="206"/>
      <c r="J730" s="207"/>
      <c r="K730" s="207"/>
      <c r="L730" s="155"/>
      <c r="M730" s="206"/>
      <c r="N730" s="206"/>
      <c r="O730" s="206"/>
      <c r="P730" s="206"/>
      <c r="Q730" s="206"/>
      <c r="R730" s="206"/>
      <c r="S730" s="206"/>
      <c r="T730" s="206"/>
      <c r="U730" s="206"/>
      <c r="V730" s="208"/>
      <c r="W730" s="196"/>
      <c r="X730" s="152" t="s">
        <v>524</v>
      </c>
      <c r="Z730" s="198"/>
      <c r="AA730" s="198"/>
    </row>
    <row r="731" spans="1:27" s="197" customFormat="1" ht="15" customHeight="1">
      <c r="A731" s="225"/>
      <c r="B731" s="205"/>
      <c r="C731" s="211"/>
      <c r="D731" s="206"/>
      <c r="E731" s="206"/>
      <c r="F731" s="206"/>
      <c r="G731" s="206"/>
      <c r="H731" s="206"/>
      <c r="I731" s="206"/>
      <c r="J731" s="207"/>
      <c r="K731" s="207"/>
      <c r="L731" s="155"/>
      <c r="M731" s="206"/>
      <c r="N731" s="206"/>
      <c r="O731" s="206"/>
      <c r="P731" s="206"/>
      <c r="Q731" s="206"/>
      <c r="R731" s="206"/>
      <c r="S731" s="206"/>
      <c r="T731" s="206"/>
      <c r="U731" s="206"/>
      <c r="V731" s="208"/>
      <c r="W731" s="196"/>
      <c r="X731" s="152"/>
      <c r="Z731" s="198"/>
      <c r="AA731" s="198"/>
    </row>
    <row r="732" spans="1:27" s="166" customFormat="1" ht="15" customHeight="1" thickBot="1">
      <c r="A732" s="225"/>
      <c r="B732" s="524"/>
      <c r="C732" s="524"/>
      <c r="D732" s="527"/>
      <c r="E732" s="527"/>
      <c r="F732" s="527"/>
      <c r="G732" s="527"/>
      <c r="H732" s="527"/>
      <c r="I732" s="527"/>
      <c r="J732" s="527"/>
      <c r="K732" s="527"/>
      <c r="L732" s="527"/>
      <c r="M732" s="527"/>
      <c r="N732" s="527"/>
      <c r="O732" s="527"/>
      <c r="P732" s="527"/>
      <c r="Q732" s="527"/>
      <c r="R732" s="527"/>
      <c r="S732" s="527"/>
      <c r="T732" s="527"/>
      <c r="U732" s="527"/>
      <c r="V732" s="527"/>
      <c r="W732" s="527"/>
      <c r="X732" s="528"/>
      <c r="Z732" s="167"/>
      <c r="AA732" s="167"/>
    </row>
    <row r="733" spans="1:27" s="197" customFormat="1" ht="15" customHeight="1" thickBot="1">
      <c r="A733" s="290"/>
      <c r="B733" s="284" t="str">
        <f>IF(X734="","ELETRODO ÂNCORA",X734)</f>
        <v>SPECIAL ELECTRODE ST</v>
      </c>
      <c r="C733" s="230" t="s">
        <v>101</v>
      </c>
      <c r="D733" s="195" t="s">
        <v>102</v>
      </c>
      <c r="E733" s="195"/>
      <c r="F733" s="195"/>
      <c r="G733" s="195"/>
      <c r="H733" s="195"/>
      <c r="I733" s="195"/>
      <c r="J733" s="195" t="s">
        <v>103</v>
      </c>
      <c r="K733" s="195" t="s">
        <v>37</v>
      </c>
      <c r="L733" s="195" t="s">
        <v>39</v>
      </c>
      <c r="M733" s="195"/>
      <c r="N733" s="195"/>
      <c r="O733" s="195"/>
      <c r="P733" s="195"/>
      <c r="Q733" s="195"/>
      <c r="R733" s="195"/>
      <c r="S733" s="195"/>
      <c r="T733" s="195"/>
      <c r="U733" s="195" t="s">
        <v>38</v>
      </c>
      <c r="V733" s="195" t="s">
        <v>27</v>
      </c>
      <c r="W733" s="231"/>
      <c r="X733" s="232"/>
      <c r="Z733" s="198"/>
      <c r="AA733" s="198"/>
    </row>
    <row r="734" spans="1:27" s="197" customFormat="1" ht="15" customHeight="1" thickBot="1">
      <c r="A734" s="225"/>
      <c r="B734" s="205"/>
      <c r="C734" s="144">
        <f>SUMIF(Densidades!A:A,'Memória TOTAL'!X734,Densidades!B:B)</f>
        <v>1</v>
      </c>
      <c r="D734" s="145">
        <f>SUMIF(Densidades!A:A,'Memória TOTAL'!X734,Densidades!C:C)</f>
        <v>140</v>
      </c>
      <c r="E734" s="145"/>
      <c r="F734" s="145"/>
      <c r="G734" s="145"/>
      <c r="H734" s="145"/>
      <c r="I734" s="145"/>
      <c r="J734" s="147">
        <f>SUMIF(Formatos!A:A,'Memória TOTAL'!X735,Formatos!G:G)</f>
        <v>0</v>
      </c>
      <c r="K734" s="233">
        <f>SUMIF(Densidades!A:A,'Memória TOTAL'!X734,Densidades!I:I)</f>
        <v>9</v>
      </c>
      <c r="L734" s="234">
        <v>0</v>
      </c>
      <c r="M734" s="206"/>
      <c r="N734" s="206"/>
      <c r="O734" s="206"/>
      <c r="P734" s="206"/>
      <c r="Q734" s="206"/>
      <c r="R734" s="206"/>
      <c r="S734" s="206"/>
      <c r="T734" s="206"/>
      <c r="U734" s="206"/>
      <c r="V734" s="208"/>
      <c r="W734" s="204">
        <f>IF(C734=0,"",ROUNDUP(SUM(V737:V739)*(1+L734),0))</f>
        <v>0</v>
      </c>
      <c r="X734" s="274" t="s">
        <v>1084</v>
      </c>
      <c r="Z734" s="198"/>
      <c r="AA734" s="198"/>
    </row>
    <row r="735" spans="1:27" s="197" customFormat="1" ht="15" customHeight="1" thickBot="1">
      <c r="A735" s="225"/>
      <c r="B735" s="205"/>
      <c r="C735" s="211"/>
      <c r="D735" s="206"/>
      <c r="E735" s="206"/>
      <c r="F735" s="206"/>
      <c r="G735" s="206"/>
      <c r="H735" s="206"/>
      <c r="I735" s="206"/>
      <c r="J735" s="207"/>
      <c r="K735" s="207"/>
      <c r="L735" s="155"/>
      <c r="M735" s="206"/>
      <c r="N735" s="206"/>
      <c r="O735" s="206"/>
      <c r="P735" s="206"/>
      <c r="Q735" s="206"/>
      <c r="R735" s="206"/>
      <c r="S735" s="206"/>
      <c r="T735" s="206"/>
      <c r="U735" s="206"/>
      <c r="V735" s="208"/>
      <c r="W735" s="196"/>
      <c r="X735" s="274" t="s">
        <v>1079</v>
      </c>
      <c r="Z735" s="198"/>
      <c r="AA735" s="198"/>
    </row>
    <row r="736" spans="1:27" s="197" customFormat="1" ht="15" customHeight="1" thickBot="1">
      <c r="A736" s="225"/>
      <c r="B736" s="179"/>
      <c r="C736" s="211"/>
      <c r="D736" s="206"/>
      <c r="E736" s="206"/>
      <c r="F736" s="206"/>
      <c r="G736" s="206"/>
      <c r="H736" s="206"/>
      <c r="I736" s="206"/>
      <c r="J736" s="207"/>
      <c r="K736" s="207"/>
      <c r="L736" s="155"/>
      <c r="M736" s="206"/>
      <c r="N736" s="206"/>
      <c r="O736" s="206"/>
      <c r="P736" s="206"/>
      <c r="Q736" s="206"/>
      <c r="R736" s="206"/>
      <c r="S736" s="206"/>
      <c r="T736" s="206"/>
      <c r="U736" s="206"/>
      <c r="V736" s="208"/>
      <c r="W736" s="196"/>
      <c r="X736" s="152" t="s">
        <v>524</v>
      </c>
      <c r="Z736" s="198"/>
      <c r="AA736" s="198"/>
    </row>
    <row r="737" spans="1:27" s="197" customFormat="1" ht="15" customHeight="1" thickBot="1">
      <c r="A737" s="225"/>
      <c r="B737" s="169" t="s">
        <v>1081</v>
      </c>
      <c r="C737" s="235"/>
      <c r="D737" s="212"/>
      <c r="E737" s="212"/>
      <c r="F737" s="212"/>
      <c r="G737" s="212"/>
      <c r="H737" s="212"/>
      <c r="I737" s="212"/>
      <c r="J737" s="245"/>
      <c r="K737" s="245"/>
      <c r="L737" s="173"/>
      <c r="M737" s="212"/>
      <c r="N737" s="174"/>
      <c r="O737" s="212"/>
      <c r="P737" s="212"/>
      <c r="Q737" s="212"/>
      <c r="R737" s="212"/>
      <c r="S737" s="212"/>
      <c r="T737" s="238"/>
      <c r="U737" s="268"/>
      <c r="V737" s="351">
        <f>U737/2/D734</f>
        <v>0</v>
      </c>
      <c r="W737" s="240"/>
      <c r="X737" s="241"/>
      <c r="Z737" s="198"/>
      <c r="AA737" s="198"/>
    </row>
    <row r="738" spans="1:27" s="197" customFormat="1" ht="15" customHeight="1" thickBot="1">
      <c r="A738" s="226"/>
      <c r="B738" s="169" t="s">
        <v>1096</v>
      </c>
      <c r="C738" s="235"/>
      <c r="D738" s="212"/>
      <c r="E738" s="212"/>
      <c r="F738" s="212"/>
      <c r="G738" s="212"/>
      <c r="H738" s="212"/>
      <c r="I738" s="212"/>
      <c r="J738" s="245"/>
      <c r="K738" s="245"/>
      <c r="L738" s="173"/>
      <c r="M738" s="212" t="str">
        <f>IF(Q738="","",ROUND(Q738/P738,0))</f>
        <v/>
      </c>
      <c r="N738" s="174"/>
      <c r="O738" s="212"/>
      <c r="P738" s="212"/>
      <c r="Q738" s="212"/>
      <c r="R738" s="212"/>
      <c r="S738" s="212"/>
      <c r="T738" s="238"/>
      <c r="U738" s="268"/>
      <c r="V738" s="351">
        <f>U738/D734</f>
        <v>0</v>
      </c>
      <c r="W738" s="240"/>
      <c r="X738" s="241"/>
      <c r="Z738" s="198"/>
      <c r="AA738" s="198"/>
    </row>
    <row r="739" spans="1:27" s="197" customFormat="1" ht="15" customHeight="1">
      <c r="A739" s="226"/>
      <c r="B739" s="178"/>
      <c r="C739" s="211"/>
      <c r="D739" s="206"/>
      <c r="E739" s="206"/>
      <c r="F739" s="206"/>
      <c r="G739" s="206"/>
      <c r="H739" s="206"/>
      <c r="I739" s="206"/>
      <c r="J739" s="207"/>
      <c r="K739" s="207"/>
      <c r="L739" s="155"/>
      <c r="M739" s="206"/>
      <c r="N739" s="206"/>
      <c r="O739" s="162"/>
      <c r="P739" s="168"/>
      <c r="Q739" s="162"/>
      <c r="R739" s="206"/>
      <c r="S739" s="206"/>
      <c r="T739" s="206"/>
      <c r="U739" s="206"/>
      <c r="V739" s="208"/>
      <c r="W739" s="196"/>
      <c r="X739" s="152"/>
      <c r="Z739" s="198"/>
      <c r="AA739" s="198"/>
    </row>
    <row r="740" spans="1:27" s="197" customFormat="1" ht="15" customHeight="1" thickBot="1">
      <c r="A740" s="225"/>
      <c r="B740" s="524"/>
      <c r="C740" s="524"/>
      <c r="D740" s="527"/>
      <c r="E740" s="527"/>
      <c r="F740" s="527"/>
      <c r="G740" s="527"/>
      <c r="H740" s="527"/>
      <c r="I740" s="527"/>
      <c r="J740" s="527"/>
      <c r="K740" s="527"/>
      <c r="L740" s="527"/>
      <c r="M740" s="527"/>
      <c r="N740" s="527"/>
      <c r="O740" s="527"/>
      <c r="P740" s="527"/>
      <c r="Q740" s="527"/>
      <c r="R740" s="527"/>
      <c r="S740" s="527"/>
      <c r="T740" s="527"/>
      <c r="U740" s="527"/>
      <c r="V740" s="527"/>
      <c r="W740" s="527"/>
      <c r="X740" s="528"/>
      <c r="Z740" s="198"/>
      <c r="AA740" s="198"/>
    </row>
    <row r="741" spans="1:27" ht="15" customHeight="1" thickBot="1">
      <c r="A741" s="226"/>
      <c r="B741" s="284" t="str">
        <f>IF(X742="","TIJOLO PARALELO",X742)</f>
        <v>TIJOLO PARALELO</v>
      </c>
      <c r="C741" s="285" t="s">
        <v>101</v>
      </c>
      <c r="D741" s="286" t="s">
        <v>102</v>
      </c>
      <c r="E741" s="286" t="s">
        <v>42</v>
      </c>
      <c r="F741" s="286" t="s">
        <v>42</v>
      </c>
      <c r="G741" s="286" t="s">
        <v>43</v>
      </c>
      <c r="H741" s="286" t="s">
        <v>44</v>
      </c>
      <c r="I741" s="286" t="s">
        <v>47</v>
      </c>
      <c r="J741" s="286" t="s">
        <v>103</v>
      </c>
      <c r="K741" s="286" t="s">
        <v>37</v>
      </c>
      <c r="L741" s="286" t="s">
        <v>39</v>
      </c>
      <c r="M741" s="286" t="s">
        <v>41</v>
      </c>
      <c r="N741" s="286" t="s">
        <v>46</v>
      </c>
      <c r="O741" s="286" t="s">
        <v>67</v>
      </c>
      <c r="P741" s="286" t="s">
        <v>113</v>
      </c>
      <c r="Q741" s="286"/>
      <c r="R741" s="286"/>
      <c r="S741" s="286" t="s">
        <v>70</v>
      </c>
      <c r="T741" s="286" t="s">
        <v>26</v>
      </c>
      <c r="U741" s="286" t="s">
        <v>38</v>
      </c>
      <c r="V741" s="287" t="s">
        <v>27</v>
      </c>
      <c r="W741" s="288"/>
      <c r="X741" s="289"/>
    </row>
    <row r="742" spans="1:27" ht="15" customHeight="1" thickBot="1">
      <c r="A742" s="226"/>
      <c r="B742" s="221"/>
      <c r="C742" s="144">
        <f>SUMIF(Densidades!A:A,'Memória TOTAL'!X742,Densidades!B:B)</f>
        <v>0</v>
      </c>
      <c r="D742" s="145">
        <f>SUMIF(Densidades!A:A,'Memória TOTAL'!X742,Densidades!C:C)</f>
        <v>0</v>
      </c>
      <c r="E742" s="146">
        <f>SUMIF(Formatos!A:A,'Memória TOTAL'!X743,Formatos!E:E)</f>
        <v>0</v>
      </c>
      <c r="F742" s="146">
        <f>SUMIF(Formatos!A:A,'Memória TOTAL'!X743,Formatos!F:F)</f>
        <v>0</v>
      </c>
      <c r="G742" s="146">
        <f>SUMIF(Formatos!A:A,'Memória TOTAL'!X743,Formatos!C:C)</f>
        <v>0</v>
      </c>
      <c r="H742" s="146">
        <f>SUMIF(Formatos!A:A,'Memória TOTAL'!X743,Formatos!D:D)</f>
        <v>0</v>
      </c>
      <c r="I742" s="146">
        <f>SUMIF(Densidades!A:A,'Memória TOTAL'!X742,Densidades!H:H)</f>
        <v>0</v>
      </c>
      <c r="J742" s="147">
        <f>SUMIF(Formatos!A:A,'Memória TOTAL'!X743,Formatos!G:G)</f>
        <v>0</v>
      </c>
      <c r="K742" s="148">
        <f>SUMIF(Densidades!A:A,'Memória TOTAL'!X742,Densidades!I:I)</f>
        <v>0</v>
      </c>
      <c r="L742" s="149">
        <v>0</v>
      </c>
      <c r="M742" s="150"/>
      <c r="N742" s="268"/>
      <c r="O742" s="150"/>
      <c r="P742" s="150"/>
      <c r="Q742" s="150"/>
      <c r="R742" s="150"/>
      <c r="S742" s="150"/>
      <c r="T742" s="150"/>
      <c r="U742" s="150"/>
      <c r="V742" s="156"/>
      <c r="W742" s="204" t="str">
        <f>IF(C742=0,"",ROUNDUP(SUM(V745:V747)*(1+L742),0))</f>
        <v/>
      </c>
      <c r="X742" s="274"/>
      <c r="Y742" s="197"/>
    </row>
    <row r="743" spans="1:27" ht="15" customHeight="1" thickBot="1">
      <c r="A743" s="225"/>
      <c r="B743" s="222"/>
      <c r="C743" s="153"/>
      <c r="D743" s="150"/>
      <c r="E743" s="146">
        <f t="shared" ref="E743:K743" si="114">E742</f>
        <v>0</v>
      </c>
      <c r="F743" s="146">
        <f t="shared" si="114"/>
        <v>0</v>
      </c>
      <c r="G743" s="146">
        <f t="shared" si="114"/>
        <v>0</v>
      </c>
      <c r="H743" s="146">
        <f t="shared" si="114"/>
        <v>0</v>
      </c>
      <c r="I743" s="146">
        <f t="shared" si="114"/>
        <v>0</v>
      </c>
      <c r="J743" s="146">
        <f t="shared" si="114"/>
        <v>0</v>
      </c>
      <c r="K743" s="148">
        <f t="shared" si="114"/>
        <v>0</v>
      </c>
      <c r="L743" s="155"/>
      <c r="M743" s="150"/>
      <c r="N743" s="146">
        <f>N742</f>
        <v>0</v>
      </c>
      <c r="O743" s="150"/>
      <c r="P743" s="150"/>
      <c r="Q743" s="150"/>
      <c r="R743" s="150"/>
      <c r="S743" s="150"/>
      <c r="T743" s="150"/>
      <c r="U743" s="150"/>
      <c r="V743" s="156"/>
      <c r="W743" s="157"/>
      <c r="X743" s="274"/>
      <c r="Y743" s="197"/>
    </row>
    <row r="744" spans="1:27" ht="15" customHeight="1" thickBot="1">
      <c r="A744" s="225"/>
      <c r="B744" s="223" t="s">
        <v>71</v>
      </c>
      <c r="C744" s="153"/>
      <c r="D744" s="150"/>
      <c r="E744" s="146">
        <f t="shared" ref="E744:K744" si="115">E743</f>
        <v>0</v>
      </c>
      <c r="F744" s="146">
        <f t="shared" si="115"/>
        <v>0</v>
      </c>
      <c r="G744" s="146">
        <f t="shared" si="115"/>
        <v>0</v>
      </c>
      <c r="H744" s="146">
        <f t="shared" si="115"/>
        <v>0</v>
      </c>
      <c r="I744" s="146">
        <f t="shared" si="115"/>
        <v>0</v>
      </c>
      <c r="J744" s="146">
        <f t="shared" si="115"/>
        <v>0</v>
      </c>
      <c r="K744" s="148">
        <f t="shared" si="115"/>
        <v>0</v>
      </c>
      <c r="L744" s="155"/>
      <c r="M744" s="150"/>
      <c r="N744" s="146">
        <f>N743</f>
        <v>0</v>
      </c>
      <c r="O744" s="150"/>
      <c r="P744" s="150"/>
      <c r="Q744" s="150"/>
      <c r="R744" s="150"/>
      <c r="S744" s="150"/>
      <c r="T744" s="150"/>
      <c r="U744" s="206" t="s">
        <v>673</v>
      </c>
      <c r="V744" s="156"/>
      <c r="W744" s="157"/>
      <c r="X744" s="158" t="s">
        <v>524</v>
      </c>
    </row>
    <row r="745" spans="1:27" ht="15" customHeight="1" thickBot="1">
      <c r="A745" s="225"/>
      <c r="B745" s="345"/>
      <c r="C745" s="170"/>
      <c r="D745" s="171"/>
      <c r="E745" s="187">
        <f t="shared" ref="E745:K745" si="116">E744</f>
        <v>0</v>
      </c>
      <c r="F745" s="187">
        <f t="shared" si="116"/>
        <v>0</v>
      </c>
      <c r="G745" s="187">
        <f t="shared" si="116"/>
        <v>0</v>
      </c>
      <c r="H745" s="187">
        <f t="shared" si="116"/>
        <v>0</v>
      </c>
      <c r="I745" s="187">
        <f t="shared" si="116"/>
        <v>0</v>
      </c>
      <c r="J745" s="187">
        <f t="shared" si="116"/>
        <v>0</v>
      </c>
      <c r="K745" s="188">
        <f t="shared" si="116"/>
        <v>0</v>
      </c>
      <c r="L745" s="173"/>
      <c r="M745" s="171"/>
      <c r="N745" s="187">
        <f>N744</f>
        <v>0</v>
      </c>
      <c r="O745" s="171"/>
      <c r="P745" s="268"/>
      <c r="Q745" s="171"/>
      <c r="R745" s="171"/>
      <c r="S745" s="268"/>
      <c r="T745" s="189" t="str">
        <f>IF(S745="","-",IF(COUNTIF(E745:H745,P745)&lt;1,"Esp. Errada",ROUNDUP(S745/((G745+N745)*(H745+N745)*((E745+N745)+(F745+N745))/2/(P745+N745)),0)))</f>
        <v>-</v>
      </c>
      <c r="U745" s="268"/>
      <c r="V745" s="190">
        <f>IF(S745="",0,IF(OR(P745=E745,P745=G745,P745=H745),T745*U745,"ESP. ERRADA"))</f>
        <v>0</v>
      </c>
      <c r="W745" s="191"/>
      <c r="X745" s="192"/>
    </row>
    <row r="746" spans="1:27" s="197" customFormat="1" ht="15" customHeight="1" thickBot="1">
      <c r="A746" s="225"/>
      <c r="B746" s="346"/>
      <c r="C746" s="235"/>
      <c r="D746" s="212"/>
      <c r="E746" s="187">
        <f t="shared" ref="E746:K746" si="117">E744</f>
        <v>0</v>
      </c>
      <c r="F746" s="187">
        <f t="shared" si="117"/>
        <v>0</v>
      </c>
      <c r="G746" s="187">
        <f t="shared" si="117"/>
        <v>0</v>
      </c>
      <c r="H746" s="187">
        <f t="shared" si="117"/>
        <v>0</v>
      </c>
      <c r="I746" s="187">
        <f t="shared" si="117"/>
        <v>0</v>
      </c>
      <c r="J746" s="187">
        <f t="shared" si="117"/>
        <v>0</v>
      </c>
      <c r="K746" s="236">
        <f t="shared" si="117"/>
        <v>0</v>
      </c>
      <c r="L746" s="173"/>
      <c r="M746" s="281"/>
      <c r="N746" s="187">
        <f>N744</f>
        <v>0</v>
      </c>
      <c r="O746" s="212"/>
      <c r="P746" s="268"/>
      <c r="Q746" s="212"/>
      <c r="R746" s="212"/>
      <c r="S746" s="212"/>
      <c r="T746" s="238" t="str">
        <f>IF(M746="","-",IF(COUNTIF(E746:H746,P746)&lt;1,"Esp. Errada",ROUNDUP(M746/IF(G746=P746,G746,(G746+N746))/IF(H746=P746,H746,(H746+N746))/IF(E746=P746,E746,(E746+N746)),0)))</f>
        <v>-</v>
      </c>
      <c r="U746" s="268"/>
      <c r="V746" s="190">
        <f>IF(M746="",0,IF(OR(P746=E746,P746=G746,P746=H746),T746*U746,"ESP. ERRADA"))</f>
        <v>0</v>
      </c>
      <c r="W746" s="240"/>
      <c r="X746" s="241"/>
      <c r="Z746" s="198"/>
      <c r="AA746" s="198"/>
    </row>
    <row r="747" spans="1:27" s="197" customFormat="1" ht="15" customHeight="1">
      <c r="A747" s="226"/>
      <c r="B747" s="221"/>
      <c r="C747" s="211"/>
      <c r="D747" s="206"/>
      <c r="E747" s="206"/>
      <c r="F747" s="206"/>
      <c r="G747" s="206"/>
      <c r="H747" s="206"/>
      <c r="I747" s="206"/>
      <c r="J747" s="207"/>
      <c r="K747" s="207"/>
      <c r="L747" s="155"/>
      <c r="M747" s="206"/>
      <c r="N747" s="206"/>
      <c r="O747" s="206"/>
      <c r="P747" s="206"/>
      <c r="Q747" s="206"/>
      <c r="R747" s="206"/>
      <c r="S747" s="206"/>
      <c r="T747" s="206"/>
      <c r="U747" s="206"/>
      <c r="V747" s="208"/>
      <c r="W747" s="196"/>
      <c r="X747" s="152"/>
      <c r="Z747" s="198"/>
      <c r="AA747" s="198"/>
    </row>
    <row r="748" spans="1:27" s="197" customFormat="1" ht="15" customHeight="1" thickBot="1">
      <c r="A748" s="226"/>
      <c r="B748" s="291" t="s">
        <v>1010</v>
      </c>
      <c r="C748" s="292"/>
      <c r="D748" s="293"/>
      <c r="E748" s="293"/>
      <c r="F748" s="293"/>
      <c r="G748" s="293"/>
      <c r="H748" s="293"/>
      <c r="I748" s="293"/>
      <c r="J748" s="294"/>
      <c r="K748" s="294"/>
      <c r="L748" s="295"/>
      <c r="M748" s="293"/>
      <c r="N748" s="293"/>
      <c r="O748" s="293"/>
      <c r="P748" s="293"/>
      <c r="Q748" s="293"/>
      <c r="R748" s="293"/>
      <c r="S748" s="296"/>
      <c r="T748" s="293"/>
      <c r="U748" s="293" t="s">
        <v>678</v>
      </c>
      <c r="V748" s="297" t="s">
        <v>27</v>
      </c>
      <c r="W748" s="298"/>
      <c r="X748" s="299"/>
      <c r="Z748" s="198"/>
      <c r="AA748" s="198"/>
    </row>
    <row r="749" spans="1:27" s="197" customFormat="1" ht="15" customHeight="1" thickBot="1">
      <c r="A749" s="226"/>
      <c r="B749" s="221"/>
      <c r="C749" s="144">
        <f>SUMIF(Densidades!A:A,'Memória TOTAL'!X749,Densidades!B:B)</f>
        <v>0</v>
      </c>
      <c r="D749" s="145">
        <f>SUMIF(Densidades!A:A,'Memória TOTAL'!X749,Densidades!C:C)</f>
        <v>0</v>
      </c>
      <c r="E749" s="145" t="str">
        <f>IF(I749=15,"FIRECLAY MORTAR",IF(I749=16,"ALUMINA MORTAR",IF(I749=17,"BASIC MORTAR",IF(I749=18,"MORTAR","-"))))</f>
        <v>-</v>
      </c>
      <c r="F749" s="145" t="str">
        <f>IF(I749=15,"FIRECLAY MORTAR",IF(I749=16,"ALUMINA MORTAR",IF(I749=17,"BASIC MORTAR",IF(I749=18,"MORTAR","-"))))</f>
        <v>-</v>
      </c>
      <c r="G749" s="145" t="str">
        <f>IF(I749=15,"FIRECLAY MORTAR",IF(I749=16,"ALUMINA MORTAR",IF(I749=17,"BASIC MORTAR",IF(I749=18,"MORTAR","-"))))</f>
        <v>-</v>
      </c>
      <c r="H749" s="145" t="str">
        <f>IF(I749=15,"FIRECLAY MORTAR",IF(I749=16,"ALUMINA MORTAR",IF(I749=17,"BASIC MORTAR",IF(I749=18,"MORTAR","-"))))</f>
        <v>-</v>
      </c>
      <c r="I749" s="145">
        <f>SUMIF(Densidades!A:A,'Memória TOTAL'!X749,Densidades!G:G)</f>
        <v>0</v>
      </c>
      <c r="J749" s="147">
        <f>SUMIF(Formatos!A:A,'Memória TOTAL'!X750,Formatos!G:G)</f>
        <v>0</v>
      </c>
      <c r="K749" s="148">
        <f>SUMIF(Densidades!A:A,'Memória TOTAL'!X749,Densidades!I:I)</f>
        <v>0</v>
      </c>
      <c r="L749" s="199">
        <v>0</v>
      </c>
      <c r="M749" s="200"/>
      <c r="N749" s="200"/>
      <c r="O749" s="200"/>
      <c r="P749" s="200"/>
      <c r="Q749" s="200"/>
      <c r="R749" s="200"/>
      <c r="S749" s="200"/>
      <c r="T749" s="201"/>
      <c r="U749" s="302"/>
      <c r="V749" s="203" t="e">
        <f>(W742*J742*C749)*U749</f>
        <v>#VALUE!</v>
      </c>
      <c r="W749" s="204" t="str">
        <f>IF(C749=0,"",ROUNDUP(SUM(V749:V750)*(1+L749)/D749,0)*D749)</f>
        <v/>
      </c>
      <c r="X749" s="274"/>
      <c r="Z749" s="198"/>
      <c r="AA749" s="198"/>
    </row>
    <row r="750" spans="1:27" s="197" customFormat="1" ht="15" customHeight="1">
      <c r="A750" s="226"/>
      <c r="B750" s="221"/>
      <c r="C750" s="144"/>
      <c r="D750" s="206"/>
      <c r="E750" s="206"/>
      <c r="F750" s="206"/>
      <c r="G750" s="206"/>
      <c r="H750" s="206"/>
      <c r="I750" s="206"/>
      <c r="J750" s="207"/>
      <c r="K750" s="207"/>
      <c r="L750" s="155"/>
      <c r="M750" s="206"/>
      <c r="N750" s="206"/>
      <c r="O750" s="206"/>
      <c r="P750" s="206"/>
      <c r="Q750" s="206"/>
      <c r="R750" s="206"/>
      <c r="S750" s="206"/>
      <c r="T750" s="206"/>
      <c r="U750" s="206"/>
      <c r="V750" s="208"/>
      <c r="W750" s="196"/>
      <c r="X750" s="152" t="str">
        <f>IF(AND(H749="-",G749="-",F749="-"),E749,IF(AND(H749="-",G749="-",E749="-"),F749,IF(AND(H749="-",F749="-",E749="-"),G749,H749)))</f>
        <v>-</v>
      </c>
      <c r="Z750" s="198"/>
      <c r="AA750" s="198"/>
    </row>
    <row r="751" spans="1:27" s="197" customFormat="1" ht="15" customHeight="1">
      <c r="A751" s="226"/>
      <c r="B751" s="224"/>
      <c r="C751" s="144"/>
      <c r="D751" s="206"/>
      <c r="E751" s="206"/>
      <c r="F751" s="206"/>
      <c r="G751" s="206"/>
      <c r="H751" s="206"/>
      <c r="I751" s="206"/>
      <c r="J751" s="207"/>
      <c r="K751" s="207"/>
      <c r="L751" s="155"/>
      <c r="M751" s="206"/>
      <c r="N751" s="206"/>
      <c r="O751" s="206"/>
      <c r="P751" s="206"/>
      <c r="Q751" s="206"/>
      <c r="R751" s="206"/>
      <c r="S751" s="206"/>
      <c r="T751" s="206"/>
      <c r="U751" s="206"/>
      <c r="V751" s="208"/>
      <c r="W751" s="196"/>
      <c r="X751" s="152" t="s">
        <v>2</v>
      </c>
      <c r="Z751" s="198"/>
      <c r="AA751" s="198"/>
    </row>
    <row r="752" spans="1:27" ht="15" customHeight="1">
      <c r="A752" s="226"/>
      <c r="B752" s="142"/>
      <c r="C752" s="180"/>
      <c r="D752" s="181"/>
      <c r="E752" s="181"/>
      <c r="F752" s="181"/>
      <c r="G752" s="181"/>
      <c r="H752" s="181"/>
      <c r="I752" s="181"/>
      <c r="J752" s="182"/>
      <c r="K752" s="182"/>
      <c r="L752" s="183"/>
      <c r="M752" s="181"/>
      <c r="N752" s="181"/>
      <c r="O752" s="181"/>
      <c r="P752" s="181"/>
      <c r="Q752" s="181"/>
      <c r="R752" s="181"/>
      <c r="S752" s="181"/>
      <c r="T752" s="181"/>
      <c r="U752" s="181"/>
      <c r="V752" s="184"/>
      <c r="W752" s="185"/>
      <c r="X752" s="186"/>
    </row>
    <row r="753" spans="1:27" s="197" customFormat="1" ht="15" customHeight="1" thickBot="1">
      <c r="A753" s="226"/>
      <c r="B753" s="291" t="s">
        <v>1011</v>
      </c>
      <c r="C753" s="292"/>
      <c r="D753" s="293"/>
      <c r="E753" s="293"/>
      <c r="F753" s="293"/>
      <c r="G753" s="293"/>
      <c r="H753" s="293"/>
      <c r="I753" s="293"/>
      <c r="J753" s="294"/>
      <c r="K753" s="294"/>
      <c r="L753" s="295"/>
      <c r="M753" s="293"/>
      <c r="N753" s="293"/>
      <c r="O753" s="293"/>
      <c r="P753" s="293"/>
      <c r="Q753" s="293"/>
      <c r="R753" s="293" t="s">
        <v>636</v>
      </c>
      <c r="S753" s="296" t="s">
        <v>637</v>
      </c>
      <c r="T753" s="293" t="s">
        <v>638</v>
      </c>
      <c r="U753" s="293" t="s">
        <v>38</v>
      </c>
      <c r="V753" s="297" t="s">
        <v>27</v>
      </c>
      <c r="W753" s="298"/>
      <c r="X753" s="299"/>
      <c r="Z753" s="198"/>
      <c r="AA753" s="198"/>
    </row>
    <row r="754" spans="1:27" s="197" customFormat="1" ht="15" customHeight="1" thickBot="1">
      <c r="A754" s="226"/>
      <c r="B754" s="221"/>
      <c r="C754" s="144">
        <f>SUMIF(Densidades!A:A,'Memória TOTAL'!X754,Densidades!B:B)</f>
        <v>0</v>
      </c>
      <c r="D754" s="145">
        <f>SUMIF(Densidades!A:A,'Memória TOTAL'!X754,Densidades!C:C)</f>
        <v>0</v>
      </c>
      <c r="E754" s="145" t="str">
        <f>IF(I754=15,"FIRECLAY MORTAR",IF(I754=16,"ALUMINA MORTAR",IF(I754=17,"BASIC MORTAR",IF(I754=18,"MORTAR","-"))))</f>
        <v>-</v>
      </c>
      <c r="F754" s="145" t="str">
        <f>IF(I754=15,"FIRECLAY MORTAR",IF(I754=16,"ALUMINA MORTAR",IF(I754=17,"BASIC MORTAR",IF(I754=18,"MORTAR","-"))))</f>
        <v>-</v>
      </c>
      <c r="G754" s="145" t="str">
        <f>IF(I754=15,"FIRECLAY MORTAR",IF(I754=16,"ALUMINA MORTAR",IF(I754=17,"BASIC MORTAR",IF(I754=18,"MORTAR","-"))))</f>
        <v>-</v>
      </c>
      <c r="H754" s="145" t="str">
        <f>IF(I754=15,"FIRECLAY MORTAR",IF(I754=16,"ALUMINA MORTAR",IF(I754=17,"BASIC MORTAR",IF(I754=18,"MORTAR","-"))))</f>
        <v>-</v>
      </c>
      <c r="I754" s="145">
        <f>SUMIF(Densidades!A:A,'Memória TOTAL'!X754,Densidades!G:G)</f>
        <v>0</v>
      </c>
      <c r="J754" s="147">
        <f>SUMIF(Formatos!A:A,'Memória TOTAL'!X755,Formatos!G:G)</f>
        <v>0</v>
      </c>
      <c r="K754" s="233">
        <f>SUMIF(Densidades!A:A,'Memória TOTAL'!X754,Densidades!I:I)</f>
        <v>0</v>
      </c>
      <c r="L754" s="199">
        <v>0</v>
      </c>
      <c r="M754" s="200"/>
      <c r="N754" s="200"/>
      <c r="O754" s="200"/>
      <c r="P754" s="200"/>
      <c r="Q754" s="200"/>
      <c r="R754" s="201">
        <f>((G742*H742)+(G742*E742)+(H742*E742))/1000000</f>
        <v>0</v>
      </c>
      <c r="S754" s="270">
        <v>2</v>
      </c>
      <c r="T754" s="201">
        <f>R754*S754</f>
        <v>0</v>
      </c>
      <c r="U754" s="202">
        <f>SUM(W742:W743)</f>
        <v>0</v>
      </c>
      <c r="V754" s="203">
        <f>(T754*C754*(1+L754))*U754</f>
        <v>0</v>
      </c>
      <c r="W754" s="151" t="str">
        <f>IF(C754=0,"",ROUNDUP(SUM(V754:V755)*(1+L754)/D754,0)*D754)</f>
        <v/>
      </c>
      <c r="X754" s="274"/>
      <c r="Z754" s="198"/>
      <c r="AA754" s="198"/>
    </row>
    <row r="755" spans="1:27" s="197" customFormat="1" ht="15" customHeight="1">
      <c r="A755" s="226"/>
      <c r="B755" s="221"/>
      <c r="C755" s="144"/>
      <c r="D755" s="206"/>
      <c r="E755" s="206"/>
      <c r="F755" s="206"/>
      <c r="G755" s="206"/>
      <c r="H755" s="206"/>
      <c r="I755" s="206"/>
      <c r="J755" s="207"/>
      <c r="K755" s="207"/>
      <c r="L755" s="155"/>
      <c r="M755" s="206"/>
      <c r="N755" s="206"/>
      <c r="O755" s="206"/>
      <c r="P755" s="206"/>
      <c r="Q755" s="206"/>
      <c r="R755" s="206"/>
      <c r="S755" s="206"/>
      <c r="T755" s="206"/>
      <c r="U755" s="206"/>
      <c r="V755" s="208"/>
      <c r="W755" s="196"/>
      <c r="X755" s="152" t="str">
        <f>IF(AND(H754="-",G754="-",F754="-"),E754,IF(AND(H754="-",G754="-",E754="-"),F754,IF(AND(H754="-",F754="-",E754="-"),G754,H754)))</f>
        <v>-</v>
      </c>
      <c r="Z755" s="198"/>
      <c r="AA755" s="198"/>
    </row>
    <row r="756" spans="1:27" s="197" customFormat="1" ht="15" customHeight="1">
      <c r="A756" s="226"/>
      <c r="B756" s="224"/>
      <c r="C756" s="144"/>
      <c r="D756" s="206"/>
      <c r="E756" s="206"/>
      <c r="F756" s="206"/>
      <c r="G756" s="206"/>
      <c r="H756" s="206"/>
      <c r="I756" s="206"/>
      <c r="J756" s="207"/>
      <c r="K756" s="207"/>
      <c r="L756" s="155"/>
      <c r="M756" s="206"/>
      <c r="N756" s="206"/>
      <c r="O756" s="206"/>
      <c r="P756" s="206"/>
      <c r="Q756" s="206"/>
      <c r="R756" s="206"/>
      <c r="S756" s="206"/>
      <c r="T756" s="206"/>
      <c r="U756" s="206"/>
      <c r="V756" s="208"/>
      <c r="W756" s="196"/>
      <c r="X756" s="152" t="s">
        <v>2</v>
      </c>
      <c r="Z756" s="198"/>
      <c r="AA756" s="198"/>
    </row>
    <row r="757" spans="1:27" s="197" customFormat="1" ht="15" customHeight="1">
      <c r="A757" s="226"/>
      <c r="B757" s="224"/>
      <c r="C757" s="144"/>
      <c r="D757" s="206"/>
      <c r="E757" s="206"/>
      <c r="F757" s="206"/>
      <c r="G757" s="206"/>
      <c r="H757" s="206"/>
      <c r="I757" s="206"/>
      <c r="J757" s="207"/>
      <c r="K757" s="207"/>
      <c r="L757" s="155"/>
      <c r="M757" s="206"/>
      <c r="N757" s="206"/>
      <c r="O757" s="206"/>
      <c r="P757" s="206"/>
      <c r="Q757" s="206"/>
      <c r="R757" s="206"/>
      <c r="S757" s="206"/>
      <c r="T757" s="206"/>
      <c r="U757" s="206"/>
      <c r="V757" s="208"/>
      <c r="W757" s="196"/>
      <c r="X757" s="152"/>
      <c r="Z757" s="198"/>
      <c r="AA757" s="198"/>
    </row>
    <row r="758" spans="1:27" s="197" customFormat="1" ht="15" customHeight="1" thickBot="1">
      <c r="A758" s="226"/>
      <c r="B758" s="524"/>
      <c r="C758" s="524"/>
      <c r="D758" s="527"/>
      <c r="E758" s="527"/>
      <c r="F758" s="527"/>
      <c r="G758" s="527"/>
      <c r="H758" s="527"/>
      <c r="I758" s="527"/>
      <c r="J758" s="527"/>
      <c r="K758" s="527"/>
      <c r="L758" s="527"/>
      <c r="M758" s="527"/>
      <c r="N758" s="527"/>
      <c r="O758" s="527"/>
      <c r="P758" s="527"/>
      <c r="Q758" s="527"/>
      <c r="R758" s="527"/>
      <c r="S758" s="527"/>
      <c r="T758" s="527"/>
      <c r="U758" s="527"/>
      <c r="V758" s="527"/>
      <c r="W758" s="527"/>
      <c r="X758" s="528"/>
      <c r="Z758" s="198"/>
      <c r="AA758" s="198"/>
    </row>
    <row r="759" spans="1:27" ht="15" customHeight="1" thickBot="1">
      <c r="A759" s="226"/>
      <c r="B759" s="284" t="str">
        <f>IF(X760="","TIJOLO / COMPOSIÇÃO",X760)</f>
        <v>TIJOLO / COMPOSIÇÃO</v>
      </c>
      <c r="C759" s="285" t="s">
        <v>101</v>
      </c>
      <c r="D759" s="286" t="s">
        <v>102</v>
      </c>
      <c r="E759" s="286" t="s">
        <v>42</v>
      </c>
      <c r="F759" s="286" t="s">
        <v>42</v>
      </c>
      <c r="G759" s="286" t="s">
        <v>43</v>
      </c>
      <c r="H759" s="286" t="s">
        <v>44</v>
      </c>
      <c r="I759" s="286" t="s">
        <v>47</v>
      </c>
      <c r="J759" s="286" t="s">
        <v>103</v>
      </c>
      <c r="K759" s="286" t="s">
        <v>37</v>
      </c>
      <c r="L759" s="286" t="s">
        <v>39</v>
      </c>
      <c r="M759" s="286" t="s">
        <v>45</v>
      </c>
      <c r="N759" s="286" t="s">
        <v>46</v>
      </c>
      <c r="O759" s="286" t="s">
        <v>672</v>
      </c>
      <c r="P759" s="286" t="s">
        <v>51</v>
      </c>
      <c r="Q759" s="286" t="s">
        <v>52</v>
      </c>
      <c r="R759" s="286"/>
      <c r="S759" s="286"/>
      <c r="T759" s="286" t="s">
        <v>673</v>
      </c>
      <c r="U759" s="286" t="s">
        <v>677</v>
      </c>
      <c r="V759" s="287" t="s">
        <v>27</v>
      </c>
      <c r="W759" s="288"/>
      <c r="X759" s="289"/>
    </row>
    <row r="760" spans="1:27" ht="15" customHeight="1" thickBot="1">
      <c r="A760" s="255"/>
      <c r="B760" s="257" t="s">
        <v>674</v>
      </c>
      <c r="C760" s="256">
        <f>SUMIF(Densidades!A:A,'Memória TOTAL'!X760,Densidades!B:B)</f>
        <v>0</v>
      </c>
      <c r="D760" s="145">
        <f>SUMIF(Densidades!A:A,'Memória TOTAL'!X760,Densidades!C:C)</f>
        <v>0</v>
      </c>
      <c r="E760" s="146">
        <f>IF(AND(E766=1,E767=2),SUMIF(Formatos!A:A,'Memória TOTAL'!X761,Formatos!D:D),SUMIF(Formatos!A:A,'Memória TOTAL'!X761,Formatos!E:E))</f>
        <v>0</v>
      </c>
      <c r="F760" s="146">
        <f>IF(AND(E766=1,E767=2),SUMIF(Formatos!A:A,'Memória TOTAL'!X761,Formatos!R:R),SUMIF(Formatos!A:A,'Memória TOTAL'!X761,Formatos!F:F))</f>
        <v>0</v>
      </c>
      <c r="G760" s="146">
        <f>SUMIF(Formatos!A:A,'Memória TOTAL'!X761,Formatos!C:C)</f>
        <v>0</v>
      </c>
      <c r="H760" s="146">
        <f>SUMIF(Formatos!A:A,'Memória TOTAL'!X761,Formatos!D:D)</f>
        <v>0</v>
      </c>
      <c r="I760" s="146">
        <f>SUMIF(Densidades!A:A,'Memória TOTAL'!X760,Densidades!H:H)</f>
        <v>0</v>
      </c>
      <c r="J760" s="147">
        <f>SUMIF(Formatos!A:A,'Memória TOTAL'!X761,Formatos!G:G)</f>
        <v>4.1130000000000004</v>
      </c>
      <c r="K760" s="148">
        <f>SUMIF(Densidades!A:A,'Memória TOTAL'!X760,Densidades!I:I)</f>
        <v>0</v>
      </c>
      <c r="L760" s="264">
        <v>0</v>
      </c>
      <c r="M760" s="267"/>
      <c r="N760" s="267"/>
      <c r="O760" s="268"/>
      <c r="P760" s="266">
        <f>O760*2</f>
        <v>0</v>
      </c>
      <c r="Q760" s="150">
        <f>P760-(2*M760)</f>
        <v>0</v>
      </c>
      <c r="R760" s="150"/>
      <c r="S760" s="271"/>
      <c r="T760" s="272">
        <f>IF(AND(B762=0,B764=0),,IF(AND(B764=0,B762&lt;&gt;0),1,IF(OR(B764-B762&gt;=0,B764=0),(B764-B762)+1,"ERRO")))</f>
        <v>0</v>
      </c>
      <c r="U760" s="268"/>
      <c r="V760" s="267" t="str">
        <f>IF(M760="","",IF(OR(M760=E760,M760=G760,M760=H760),ROUND(P770,0),"ESP. ERRADA"))</f>
        <v/>
      </c>
      <c r="W760" s="273" t="str">
        <f>IFERROR(IF(C760=0,"",ROUNDUP(SUM(V760)*(1+L760),0))*T760*U760,"")</f>
        <v/>
      </c>
      <c r="X760" s="274"/>
    </row>
    <row r="761" spans="1:27" s="197" customFormat="1" ht="15" customHeight="1" thickBot="1">
      <c r="A761" s="275"/>
      <c r="B761" s="260" t="s">
        <v>112</v>
      </c>
      <c r="C761" s="247"/>
      <c r="D761" s="206"/>
      <c r="E761" s="206"/>
      <c r="F761" s="206"/>
      <c r="G761" s="206"/>
      <c r="H761" s="206"/>
      <c r="I761" s="206"/>
      <c r="J761" s="207"/>
      <c r="K761" s="207"/>
      <c r="L761" s="155"/>
      <c r="M761" s="206"/>
      <c r="N761" s="206"/>
      <c r="O761" s="206"/>
      <c r="P761" s="206"/>
      <c r="Q761" s="206"/>
      <c r="R761" s="206"/>
      <c r="S761" s="206"/>
      <c r="T761" s="206"/>
      <c r="U761" s="206"/>
      <c r="V761" s="208"/>
      <c r="W761" s="196"/>
      <c r="X761" s="152" t="str">
        <f>IF(B766="","",B766)</f>
        <v/>
      </c>
      <c r="Z761" s="198"/>
      <c r="AA761" s="198"/>
    </row>
    <row r="762" spans="1:27" s="197" customFormat="1" ht="15" customHeight="1" thickBot="1">
      <c r="A762" s="275"/>
      <c r="B762" s="276"/>
      <c r="C762" s="247"/>
      <c r="D762" s="206"/>
      <c r="E762" s="206"/>
      <c r="F762" s="206"/>
      <c r="G762" s="206"/>
      <c r="H762" s="206"/>
      <c r="I762" s="206"/>
      <c r="J762" s="207"/>
      <c r="K762" s="207"/>
      <c r="L762" s="155"/>
      <c r="M762" s="206"/>
      <c r="N762" s="206"/>
      <c r="O762" s="206"/>
      <c r="P762" s="206"/>
      <c r="Q762" s="206"/>
      <c r="R762" s="206"/>
      <c r="S762" s="206"/>
      <c r="T762" s="206"/>
      <c r="U762" s="206"/>
      <c r="V762" s="208"/>
      <c r="W762" s="196"/>
      <c r="X762" s="152" t="s">
        <v>524</v>
      </c>
      <c r="Z762" s="198"/>
      <c r="AA762" s="198"/>
    </row>
    <row r="763" spans="1:27" s="197" customFormat="1" ht="15" customHeight="1" thickBot="1">
      <c r="A763" s="275"/>
      <c r="B763" s="260" t="s">
        <v>22</v>
      </c>
      <c r="C763" s="247" t="str">
        <f t="shared" ref="C763:L763" si="118">C759</f>
        <v>Dens.</v>
      </c>
      <c r="D763" s="206" t="str">
        <f t="shared" si="118"/>
        <v>Emb.</v>
      </c>
      <c r="E763" s="249" t="str">
        <f t="shared" si="118"/>
        <v>Esp. Tij.</v>
      </c>
      <c r="F763" s="249" t="str">
        <f t="shared" si="118"/>
        <v>Esp. Tij.</v>
      </c>
      <c r="G763" s="249" t="str">
        <f t="shared" si="118"/>
        <v>Comp. Tij.</v>
      </c>
      <c r="H763" s="249" t="str">
        <f t="shared" si="118"/>
        <v>Larg. Tij.</v>
      </c>
      <c r="I763" s="249" t="str">
        <f t="shared" si="118"/>
        <v>Tipo Fator</v>
      </c>
      <c r="J763" s="249" t="str">
        <f t="shared" si="118"/>
        <v>Vol.</v>
      </c>
      <c r="K763" s="249" t="str">
        <f t="shared" si="118"/>
        <v>Class.</v>
      </c>
      <c r="L763" s="206" t="str">
        <f t="shared" si="118"/>
        <v>Coefic. (%)</v>
      </c>
      <c r="M763" s="206"/>
      <c r="N763" s="206"/>
      <c r="O763" s="206"/>
      <c r="P763" s="206"/>
      <c r="Q763" s="206"/>
      <c r="R763" s="206"/>
      <c r="S763" s="206"/>
      <c r="T763" s="206"/>
      <c r="U763" s="206"/>
      <c r="V763" s="253"/>
      <c r="W763" s="196"/>
      <c r="X763" s="152"/>
      <c r="Z763" s="198"/>
      <c r="AA763" s="198"/>
    </row>
    <row r="764" spans="1:27" s="197" customFormat="1" ht="15" customHeight="1" thickBot="1">
      <c r="A764" s="275"/>
      <c r="B764" s="276"/>
      <c r="C764" s="256">
        <f>SUMIF(Densidades!A:A,'Memória TOTAL'!X764,Densidades!B:B)</f>
        <v>0</v>
      </c>
      <c r="D764" s="145">
        <f>SUMIF(Densidades!A:A,'Memória TOTAL'!X764,Densidades!C:C)</f>
        <v>570</v>
      </c>
      <c r="E764" s="146">
        <f>SUMIF(Formatos!A:A,'Memória TOTAL'!X765,Formatos!E:E)</f>
        <v>0</v>
      </c>
      <c r="F764" s="146">
        <f>SUMIF(Formatos!A:A,'Memória TOTAL'!X765,Formatos!F:F)</f>
        <v>0</v>
      </c>
      <c r="G764" s="146">
        <f>SUMIF(Formatos!A:A,'Memória TOTAL'!X765,Formatos!C:C)</f>
        <v>0</v>
      </c>
      <c r="H764" s="146">
        <f>SUMIF(Formatos!A:A,'Memória TOTAL'!X765,Formatos!D:D)</f>
        <v>0</v>
      </c>
      <c r="I764" s="146">
        <f>SUMIF(Densidades!A:A,'Memória TOTAL'!X764,Densidades!H:H)</f>
        <v>0</v>
      </c>
      <c r="J764" s="147">
        <f>SUMIF(Formatos!A:A,'Memória TOTAL'!X765,Formatos!G:G)</f>
        <v>4.1130000000000004</v>
      </c>
      <c r="K764" s="233">
        <f>SUMIF(Densidades!A:A,'Memória TOTAL'!X764,Densidades!I:I)</f>
        <v>167</v>
      </c>
      <c r="L764" s="234">
        <v>0</v>
      </c>
      <c r="M764" s="206"/>
      <c r="N764" s="206"/>
      <c r="O764" s="206"/>
      <c r="P764" s="206"/>
      <c r="Q764" s="206"/>
      <c r="R764" s="206"/>
      <c r="S764" s="206"/>
      <c r="T764" s="243"/>
      <c r="U764" s="246"/>
      <c r="V764" s="267" t="str">
        <f>IF(M760="","",IF(OR(M760=E760,M760=G760,M760=H760),ROUND(Q770,0),"ESP. ERRADA"))</f>
        <v/>
      </c>
      <c r="W764" s="278" t="str">
        <f>IFERROR(IF(C764=0,"",ROUNDUP(SUM(V764)*(1+L764),0))*T760*U760,"")</f>
        <v/>
      </c>
      <c r="X764" s="152" t="str">
        <f>IF(X760="","",X760)</f>
        <v/>
      </c>
      <c r="Z764" s="198"/>
      <c r="AA764" s="198"/>
    </row>
    <row r="765" spans="1:27" s="197" customFormat="1" ht="15" customHeight="1" thickBot="1">
      <c r="A765" s="275"/>
      <c r="B765" s="258" t="s">
        <v>675</v>
      </c>
      <c r="C765" s="247"/>
      <c r="D765" s="206"/>
      <c r="E765" s="206"/>
      <c r="F765" s="206"/>
      <c r="G765" s="206"/>
      <c r="H765" s="206"/>
      <c r="I765" s="206"/>
      <c r="J765" s="207"/>
      <c r="K765" s="207"/>
      <c r="L765" s="155"/>
      <c r="M765" s="206"/>
      <c r="N765" s="206"/>
      <c r="O765" s="206"/>
      <c r="P765" s="206"/>
      <c r="Q765" s="206"/>
      <c r="R765" s="206"/>
      <c r="S765" s="206"/>
      <c r="T765" s="206"/>
      <c r="U765" s="206"/>
      <c r="V765" s="208"/>
      <c r="W765" s="196"/>
      <c r="X765" s="152" t="str">
        <f>IF(B767="","",B767)</f>
        <v/>
      </c>
      <c r="Z765" s="198"/>
      <c r="AA765" s="198"/>
    </row>
    <row r="766" spans="1:27" s="197" customFormat="1" ht="15" customHeight="1" thickBot="1">
      <c r="A766" s="275"/>
      <c r="B766" s="274"/>
      <c r="C766" s="254" t="s">
        <v>54</v>
      </c>
      <c r="D766" s="250"/>
      <c r="E766" s="206">
        <f>SUMIF(Formatos!A:A,'Memória TOTAL'!X761,Formatos!S:S)</f>
        <v>2</v>
      </c>
      <c r="F766" s="249"/>
      <c r="G766" s="249"/>
      <c r="H766" s="159" t="s">
        <v>54</v>
      </c>
      <c r="I766" s="159" t="s">
        <v>55</v>
      </c>
      <c r="J766" s="207"/>
      <c r="K766" s="207"/>
      <c r="L766" s="155"/>
      <c r="M766" s="206"/>
      <c r="N766" s="206" t="s">
        <v>22</v>
      </c>
      <c r="O766" s="160" t="s">
        <v>48</v>
      </c>
      <c r="P766" s="160" t="s">
        <v>49</v>
      </c>
      <c r="Q766" s="161" t="s">
        <v>50</v>
      </c>
      <c r="R766" s="160" t="s">
        <v>54</v>
      </c>
      <c r="S766" s="160" t="s">
        <v>55</v>
      </c>
      <c r="T766" s="206"/>
      <c r="U766" s="206"/>
      <c r="V766" s="208"/>
      <c r="W766" s="196"/>
      <c r="X766" s="152" t="s">
        <v>524</v>
      </c>
      <c r="Z766" s="198"/>
      <c r="AA766" s="198"/>
    </row>
    <row r="767" spans="1:27" s="197" customFormat="1" ht="15" customHeight="1" thickBot="1">
      <c r="A767" s="275"/>
      <c r="B767" s="274"/>
      <c r="C767" s="254" t="s">
        <v>55</v>
      </c>
      <c r="D767" s="250"/>
      <c r="E767" s="206">
        <f>SUMIF(Formatos!A:A,'Memória TOTAL'!X765,Formatos!S:S)</f>
        <v>2</v>
      </c>
      <c r="F767" s="206"/>
      <c r="G767" s="206"/>
      <c r="H767" s="251" t="e">
        <f>(1/(-(N767+N760)*(Q767+N760)+(O767+N760)*(P767+N760)))*3.1416*(-P760*(Q767+N760)+Q760*(P767+N760))</f>
        <v>#DIV/0!</v>
      </c>
      <c r="I767" s="251" t="e">
        <f>((P760*PI())-(H767*(N767+N760)))/(P767+N760)</f>
        <v>#DIV/0!</v>
      </c>
      <c r="J767" s="207"/>
      <c r="K767" s="207"/>
      <c r="L767" s="155"/>
      <c r="M767" s="206"/>
      <c r="N767" s="206">
        <f>E760</f>
        <v>0</v>
      </c>
      <c r="O767" s="162">
        <f>F760</f>
        <v>0</v>
      </c>
      <c r="P767" s="162">
        <f>E764</f>
        <v>0</v>
      </c>
      <c r="Q767" s="168">
        <f>F764</f>
        <v>0</v>
      </c>
      <c r="R767" s="162" t="e">
        <f>IF(ROUND(H767+0.4,0)&gt;=0,ROUND(H767+0.4,0),"ERRO")</f>
        <v>#DIV/0!</v>
      </c>
      <c r="S767" s="162" t="e">
        <f>IF(ROUND(I767+0.4,0)&gt;=0,ROUND(I767+0.4,0),"ERRO")</f>
        <v>#DIV/0!</v>
      </c>
      <c r="T767" s="206"/>
      <c r="U767" s="206"/>
      <c r="V767" s="208"/>
      <c r="W767" s="242"/>
      <c r="X767" s="152"/>
      <c r="Z767" s="198"/>
      <c r="AA767" s="198"/>
    </row>
    <row r="768" spans="1:27" s="166" customFormat="1" ht="15" customHeight="1" thickBot="1">
      <c r="A768" s="259"/>
      <c r="B768" s="258" t="s">
        <v>676</v>
      </c>
      <c r="C768" s="247"/>
      <c r="D768" s="206"/>
      <c r="E768" s="206"/>
      <c r="F768" s="206"/>
      <c r="G768" s="206"/>
      <c r="H768" s="206"/>
      <c r="I768" s="206"/>
      <c r="J768" s="207"/>
      <c r="K768" s="207"/>
      <c r="L768" s="206"/>
      <c r="M768" s="206"/>
      <c r="N768" s="206"/>
      <c r="O768" s="252"/>
      <c r="P768" s="206"/>
      <c r="Q768" s="206"/>
      <c r="R768" s="206"/>
      <c r="S768" s="206"/>
      <c r="T768" s="162"/>
      <c r="U768" s="162"/>
      <c r="V768" s="163"/>
      <c r="W768" s="164"/>
      <c r="X768" s="165"/>
      <c r="Z768" s="167"/>
      <c r="AA768" s="167"/>
    </row>
    <row r="769" spans="1:27" s="166" customFormat="1" ht="15" customHeight="1" thickBot="1">
      <c r="A769" s="259"/>
      <c r="B769" s="261"/>
      <c r="C769" s="247"/>
      <c r="D769" s="206"/>
      <c r="E769" s="206"/>
      <c r="F769" s="206"/>
      <c r="G769" s="206"/>
      <c r="H769" s="206"/>
      <c r="I769" s="206"/>
      <c r="J769" s="207"/>
      <c r="K769" s="207"/>
      <c r="L769" s="206"/>
      <c r="M769" s="206"/>
      <c r="N769" s="246"/>
      <c r="O769" s="627" t="s">
        <v>53</v>
      </c>
      <c r="P769" s="247" t="s">
        <v>54</v>
      </c>
      <c r="Q769" s="206" t="s">
        <v>55</v>
      </c>
      <c r="R769" s="206"/>
      <c r="S769" s="206"/>
      <c r="T769" s="162"/>
      <c r="U769" s="162"/>
      <c r="V769" s="163"/>
      <c r="W769" s="164"/>
      <c r="X769" s="165"/>
      <c r="Z769" s="167"/>
      <c r="AA769" s="167"/>
    </row>
    <row r="770" spans="1:27" s="166" customFormat="1" ht="15" customHeight="1" thickBot="1">
      <c r="A770" s="259"/>
      <c r="B770" s="262" t="str">
        <f>IF(AND(B764&lt;&gt;B762,B764&lt;&gt;0),"FIADAS "&amp;B762&amp;" a "&amp;B764,"FIADA "&amp;B762)</f>
        <v xml:space="preserve">FIADA </v>
      </c>
      <c r="C770" s="279"/>
      <c r="D770" s="212"/>
      <c r="E770" s="212"/>
      <c r="F770" s="212"/>
      <c r="G770" s="212"/>
      <c r="H770" s="212"/>
      <c r="I770" s="212"/>
      <c r="J770" s="245"/>
      <c r="K770" s="245"/>
      <c r="L770" s="173"/>
      <c r="M770" s="212"/>
      <c r="N770" s="175"/>
      <c r="O770" s="270">
        <v>360</v>
      </c>
      <c r="P770" s="269" t="e">
        <f>IF(H767/360*O770-ROUNDDOWN(H767/360*O770,0)&gt;I767/360*O770-ROUNDDOWN(I767/360*O770,0),ROUNDUP(H767/360*O770,0),ROUNDUP(SUM(H767/360*O770,I767/360*O770),0)-ROUNDUP(I767/360*O770,0))</f>
        <v>#DIV/0!</v>
      </c>
      <c r="Q770" s="263" t="e">
        <f>IF(I767/360*O770-ROUNDDOWN(I767/360*O770,0)&gt;H767/360*O770-ROUNDDOWN(H767/360*O770,0),ROUNDUP(I767/360*O770,0),ROUNDUP(SUM(H767/360*O770,I767/360*O770),0)-ROUNDUP(H767/360*O770,0))</f>
        <v>#DIV/0!</v>
      </c>
      <c r="R770" s="174"/>
      <c r="S770" s="174"/>
      <c r="T770" s="174"/>
      <c r="U770" s="174"/>
      <c r="V770" s="175"/>
      <c r="W770" s="176"/>
      <c r="X770" s="177"/>
      <c r="Z770" s="167"/>
      <c r="AA770" s="167"/>
    </row>
    <row r="771" spans="1:27" s="197" customFormat="1" ht="15" customHeight="1">
      <c r="A771" s="226"/>
      <c r="B771" s="221"/>
      <c r="C771" s="312"/>
      <c r="D771" s="206"/>
      <c r="E771" s="146"/>
      <c r="F771" s="146"/>
      <c r="G771" s="146"/>
      <c r="H771" s="146"/>
      <c r="I771" s="243"/>
      <c r="J771" s="243"/>
      <c r="K771" s="243"/>
      <c r="L771" s="206"/>
      <c r="M771" s="206"/>
      <c r="N771" s="206"/>
      <c r="O771" s="155"/>
      <c r="P771" s="206"/>
      <c r="Q771" s="206"/>
      <c r="R771" s="206"/>
      <c r="S771" s="206"/>
      <c r="T771" s="206"/>
      <c r="U771" s="206"/>
      <c r="V771" s="208"/>
      <c r="W771" s="196"/>
      <c r="X771" s="152"/>
      <c r="Z771" s="198"/>
      <c r="AA771" s="198"/>
    </row>
    <row r="772" spans="1:27" s="197" customFormat="1" ht="15" customHeight="1">
      <c r="A772" s="226"/>
      <c r="B772" s="221"/>
      <c r="C772" s="312"/>
      <c r="D772" s="206"/>
      <c r="E772" s="146"/>
      <c r="F772" s="146"/>
      <c r="G772" s="146"/>
      <c r="H772" s="146"/>
      <c r="I772" s="243"/>
      <c r="J772" s="243"/>
      <c r="K772" s="243"/>
      <c r="L772" s="206"/>
      <c r="M772" s="206"/>
      <c r="N772" s="206"/>
      <c r="O772" s="155"/>
      <c r="P772" s="206"/>
      <c r="Q772" s="206"/>
      <c r="R772" s="206"/>
      <c r="S772" s="206"/>
      <c r="T772" s="206"/>
      <c r="U772" s="206"/>
      <c r="V772" s="208"/>
      <c r="W772" s="196"/>
      <c r="X772" s="152"/>
      <c r="Z772" s="198"/>
      <c r="AA772" s="198"/>
    </row>
    <row r="773" spans="1:27" s="197" customFormat="1" ht="15" customHeight="1" thickBot="1">
      <c r="A773" s="226"/>
      <c r="B773" s="291" t="s">
        <v>1010</v>
      </c>
      <c r="C773" s="292"/>
      <c r="D773" s="293"/>
      <c r="E773" s="293"/>
      <c r="F773" s="293"/>
      <c r="G773" s="293"/>
      <c r="H773" s="293"/>
      <c r="I773" s="293"/>
      <c r="J773" s="294"/>
      <c r="K773" s="294"/>
      <c r="L773" s="295"/>
      <c r="M773" s="293"/>
      <c r="N773" s="293"/>
      <c r="O773" s="293"/>
      <c r="P773" s="293"/>
      <c r="Q773" s="293"/>
      <c r="R773" s="293"/>
      <c r="S773" s="296"/>
      <c r="T773" s="293"/>
      <c r="U773" s="293" t="s">
        <v>678</v>
      </c>
      <c r="V773" s="297" t="s">
        <v>27</v>
      </c>
      <c r="W773" s="298"/>
      <c r="X773" s="299"/>
      <c r="Z773" s="198"/>
      <c r="AA773" s="198"/>
    </row>
    <row r="774" spans="1:27" s="197" customFormat="1" ht="15" customHeight="1" thickBot="1">
      <c r="A774" s="226"/>
      <c r="B774" s="221"/>
      <c r="C774" s="144">
        <f>SUMIF(Densidades!A:A,'Memória TOTAL'!X774,Densidades!B:B)</f>
        <v>0</v>
      </c>
      <c r="D774" s="145">
        <f>SUMIF(Densidades!A:A,'Memória TOTAL'!X774,Densidades!C:C)</f>
        <v>0</v>
      </c>
      <c r="E774" s="145" t="str">
        <f>IF(I774=15,"FIRECLAY MORTAR",IF(I774=16,"ALUMINA MORTAR",IF(I774=17,"BASIC MORTAR",IF(I774=18,"MORTAR","-"))))</f>
        <v>-</v>
      </c>
      <c r="F774" s="145" t="str">
        <f>IF(I774=15,"FIRECLAY MORTAR",IF(I774=16,"ALUMINA MORTAR",IF(I774=17,"BASIC MORTAR",IF(I774=18,"MORTAR","-"))))</f>
        <v>-</v>
      </c>
      <c r="G774" s="145" t="str">
        <f>IF(I774=15,"FIRECLAY MORTAR",IF(I774=16,"ALUMINA MORTAR",IF(I774=17,"BASIC MORTAR",IF(I774=18,"MORTAR","-"))))</f>
        <v>-</v>
      </c>
      <c r="H774" s="145" t="str">
        <f>IF(I774=15,"FIRECLAY MORTAR",IF(I774=16,"ALUMINA MORTAR",IF(I774=17,"BASIC MORTAR",IF(I774=18,"MORTAR","-"))))</f>
        <v>-</v>
      </c>
      <c r="I774" s="145">
        <f>SUMIF(Densidades!A:A,'Memória TOTAL'!X774,Densidades!G:G)</f>
        <v>0</v>
      </c>
      <c r="J774" s="147">
        <f>SUMIF(Formatos!A:A,'Memória TOTAL'!X775,Formatos!G:G)</f>
        <v>0</v>
      </c>
      <c r="K774" s="148">
        <f>SUMIF(Densidades!A:A,'Memória TOTAL'!X774,Densidades!I:I)</f>
        <v>0</v>
      </c>
      <c r="L774" s="199">
        <v>0</v>
      </c>
      <c r="M774" s="200"/>
      <c r="N774" s="200"/>
      <c r="O774" s="200"/>
      <c r="P774" s="200"/>
      <c r="Q774" s="200"/>
      <c r="R774" s="200"/>
      <c r="S774" s="200"/>
      <c r="T774" s="201"/>
      <c r="U774" s="302">
        <v>0.06</v>
      </c>
      <c r="V774" s="203" t="e">
        <f>(W760*J760*C774+W764*J764*C774)*U774</f>
        <v>#VALUE!</v>
      </c>
      <c r="W774" s="204" t="str">
        <f>IF(C774=0,"",ROUNDUP(SUM(V774:V775)*(1+L774)/D774,0)*D774)</f>
        <v/>
      </c>
      <c r="X774" s="274"/>
      <c r="Z774" s="198"/>
      <c r="AA774" s="198"/>
    </row>
    <row r="775" spans="1:27" s="197" customFormat="1" ht="15" customHeight="1">
      <c r="A775" s="226"/>
      <c r="B775" s="221"/>
      <c r="C775" s="144"/>
      <c r="D775" s="206"/>
      <c r="E775" s="206"/>
      <c r="F775" s="206"/>
      <c r="G775" s="206"/>
      <c r="H775" s="206"/>
      <c r="I775" s="206"/>
      <c r="J775" s="207"/>
      <c r="K775" s="207"/>
      <c r="L775" s="155"/>
      <c r="M775" s="206"/>
      <c r="N775" s="206"/>
      <c r="O775" s="206"/>
      <c r="P775" s="206"/>
      <c r="Q775" s="206"/>
      <c r="R775" s="206"/>
      <c r="S775" s="206"/>
      <c r="T775" s="206"/>
      <c r="U775" s="206"/>
      <c r="V775" s="208"/>
      <c r="W775" s="196"/>
      <c r="X775" s="152" t="str">
        <f>IF(AND(H774="-",G774="-",F774="-"),E774,IF(AND(H774="-",G774="-",E774="-"),F774,IF(AND(H774="-",F774="-",E774="-"),G774,H774)))</f>
        <v>-</v>
      </c>
      <c r="Z775" s="198"/>
      <c r="AA775" s="198"/>
    </row>
    <row r="776" spans="1:27" s="197" customFormat="1" ht="15" customHeight="1">
      <c r="A776" s="226"/>
      <c r="B776" s="224"/>
      <c r="C776" s="144"/>
      <c r="D776" s="206"/>
      <c r="E776" s="206"/>
      <c r="F776" s="206"/>
      <c r="G776" s="206"/>
      <c r="H776" s="206"/>
      <c r="I776" s="206"/>
      <c r="J776" s="207"/>
      <c r="K776" s="207"/>
      <c r="L776" s="155"/>
      <c r="M776" s="206"/>
      <c r="N776" s="206"/>
      <c r="O776" s="206"/>
      <c r="P776" s="206"/>
      <c r="Q776" s="206"/>
      <c r="R776" s="206"/>
      <c r="S776" s="206"/>
      <c r="T776" s="206"/>
      <c r="U776" s="206"/>
      <c r="V776" s="208"/>
      <c r="W776" s="196"/>
      <c r="X776" s="152" t="s">
        <v>2</v>
      </c>
      <c r="Z776" s="198"/>
      <c r="AA776" s="198"/>
    </row>
    <row r="777" spans="1:27" ht="15" customHeight="1">
      <c r="A777" s="226"/>
      <c r="B777" s="142"/>
      <c r="C777" s="180"/>
      <c r="D777" s="181"/>
      <c r="E777" s="181"/>
      <c r="F777" s="181"/>
      <c r="G777" s="181"/>
      <c r="H777" s="181"/>
      <c r="I777" s="181"/>
      <c r="J777" s="182"/>
      <c r="K777" s="182"/>
      <c r="L777" s="183"/>
      <c r="M777" s="181"/>
      <c r="N777" s="181"/>
      <c r="O777" s="181"/>
      <c r="P777" s="181"/>
      <c r="Q777" s="181"/>
      <c r="R777" s="181"/>
      <c r="S777" s="181"/>
      <c r="T777" s="181"/>
      <c r="U777" s="181"/>
      <c r="V777" s="184"/>
      <c r="W777" s="185"/>
      <c r="X777" s="186"/>
    </row>
    <row r="778" spans="1:27" s="197" customFormat="1" ht="15" customHeight="1" thickBot="1">
      <c r="A778" s="226"/>
      <c r="B778" s="291" t="s">
        <v>1011</v>
      </c>
      <c r="C778" s="292"/>
      <c r="D778" s="293"/>
      <c r="E778" s="293"/>
      <c r="F778" s="293"/>
      <c r="G778" s="293"/>
      <c r="H778" s="293"/>
      <c r="I778" s="293"/>
      <c r="J778" s="294"/>
      <c r="K778" s="294"/>
      <c r="L778" s="295"/>
      <c r="M778" s="293"/>
      <c r="N778" s="293"/>
      <c r="O778" s="293"/>
      <c r="P778" s="293"/>
      <c r="Q778" s="293"/>
      <c r="R778" s="293" t="s">
        <v>636</v>
      </c>
      <c r="S778" s="296" t="s">
        <v>637</v>
      </c>
      <c r="T778" s="293" t="s">
        <v>638</v>
      </c>
      <c r="U778" s="293" t="s">
        <v>38</v>
      </c>
      <c r="V778" s="297" t="s">
        <v>27</v>
      </c>
      <c r="W778" s="298"/>
      <c r="X778" s="299"/>
      <c r="Z778" s="198"/>
      <c r="AA778" s="198"/>
    </row>
    <row r="779" spans="1:27" s="197" customFormat="1" ht="15" customHeight="1" thickBot="1">
      <c r="A779" s="226"/>
      <c r="B779" s="221"/>
      <c r="C779" s="144">
        <f>SUMIF(Densidades!A:A,'Memória TOTAL'!X779,Densidades!B:B)</f>
        <v>0</v>
      </c>
      <c r="D779" s="145">
        <f>SUMIF(Densidades!A:A,'Memória TOTAL'!X779,Densidades!C:C)</f>
        <v>0</v>
      </c>
      <c r="E779" s="145" t="str">
        <f>IF(I779=15,"FIRECLAY MORTAR",IF(I779=16,"ALUMINA MORTAR",IF(I779=17,"BASIC MORTAR",IF(I779=18,"MORTAR","-"))))</f>
        <v>-</v>
      </c>
      <c r="F779" s="145" t="str">
        <f>IF(I779=15,"FIRECLAY MORTAR",IF(I779=16,"ALUMINA MORTAR",IF(I779=17,"BASIC MORTAR",IF(I779=18,"MORTAR","-"))))</f>
        <v>-</v>
      </c>
      <c r="G779" s="145" t="str">
        <f>IF(I779=15,"FIRECLAY MORTAR",IF(I779=16,"ALUMINA MORTAR",IF(I779=17,"BASIC MORTAR",IF(I779=18,"MORTAR","-"))))</f>
        <v>-</v>
      </c>
      <c r="H779" s="145" t="str">
        <f>IF(I779=15,"FIRECLAY MORTAR",IF(I779=16,"ALUMINA MORTAR",IF(I779=17,"BASIC MORTAR",IF(I779=18,"MORTAR","-"))))</f>
        <v>-</v>
      </c>
      <c r="I779" s="145">
        <f>SUMIF(Densidades!A:A,'Memória TOTAL'!X779,Densidades!G:G)</f>
        <v>0</v>
      </c>
      <c r="J779" s="147">
        <f>SUMIF(Formatos!A:A,'Memória TOTAL'!X780,Formatos!G:G)</f>
        <v>0</v>
      </c>
      <c r="K779" s="233">
        <f>SUMIF(Densidades!A:A,'Memória TOTAL'!X779,Densidades!I:I)</f>
        <v>0</v>
      </c>
      <c r="L779" s="199">
        <v>0</v>
      </c>
      <c r="M779" s="200"/>
      <c r="N779" s="200"/>
      <c r="O779" s="200"/>
      <c r="P779" s="200"/>
      <c r="Q779" s="200"/>
      <c r="R779" s="201">
        <f>((G760*H760)+(G760*E760)+(H760*E760))/1000000</f>
        <v>0</v>
      </c>
      <c r="S779" s="270">
        <v>2</v>
      </c>
      <c r="T779" s="201">
        <f>R779*S779</f>
        <v>0</v>
      </c>
      <c r="U779" s="202">
        <f>SUM(W760:W765)</f>
        <v>0</v>
      </c>
      <c r="V779" s="203">
        <f>(T779*C779*(1+L779))*U779</f>
        <v>0</v>
      </c>
      <c r="W779" s="151" t="str">
        <f>IF(C779=0,"",ROUNDUP(SUM(V779:V780)*(1+L779)/D779,0)*D779)</f>
        <v/>
      </c>
      <c r="X779" s="274"/>
      <c r="Z779" s="198"/>
      <c r="AA779" s="198"/>
    </row>
    <row r="780" spans="1:27" s="197" customFormat="1" ht="15" customHeight="1">
      <c r="A780" s="226"/>
      <c r="B780" s="221"/>
      <c r="C780" s="144"/>
      <c r="D780" s="206"/>
      <c r="E780" s="206"/>
      <c r="F780" s="206"/>
      <c r="G780" s="206"/>
      <c r="H780" s="206"/>
      <c r="I780" s="206"/>
      <c r="J780" s="207"/>
      <c r="K780" s="207"/>
      <c r="L780" s="155"/>
      <c r="M780" s="206"/>
      <c r="N780" s="206"/>
      <c r="O780" s="206"/>
      <c r="P780" s="206"/>
      <c r="Q780" s="206"/>
      <c r="R780" s="206"/>
      <c r="S780" s="206"/>
      <c r="T780" s="206"/>
      <c r="U780" s="206"/>
      <c r="V780" s="208"/>
      <c r="W780" s="196"/>
      <c r="X780" s="152" t="str">
        <f>IF(AND(H779="-",G779="-",F779="-"),E779,IF(AND(H779="-",G779="-",E779="-"),F779,IF(AND(H779="-",F779="-",E779="-"),G779,H779)))</f>
        <v>-</v>
      </c>
      <c r="Z780" s="198"/>
      <c r="AA780" s="198"/>
    </row>
    <row r="781" spans="1:27" s="197" customFormat="1" ht="15" customHeight="1">
      <c r="A781" s="226"/>
      <c r="B781" s="224"/>
      <c r="C781" s="144"/>
      <c r="D781" s="206"/>
      <c r="E781" s="206"/>
      <c r="F781" s="206"/>
      <c r="G781" s="206"/>
      <c r="H781" s="206"/>
      <c r="I781" s="206"/>
      <c r="J781" s="207"/>
      <c r="K781" s="207"/>
      <c r="L781" s="155"/>
      <c r="M781" s="206"/>
      <c r="N781" s="206"/>
      <c r="O781" s="206"/>
      <c r="P781" s="206"/>
      <c r="Q781" s="206"/>
      <c r="R781" s="206"/>
      <c r="S781" s="206"/>
      <c r="T781" s="206"/>
      <c r="U781" s="206"/>
      <c r="V781" s="208"/>
      <c r="W781" s="196"/>
      <c r="X781" s="152" t="s">
        <v>2</v>
      </c>
      <c r="Z781" s="198"/>
      <c r="AA781" s="198"/>
    </row>
    <row r="782" spans="1:27" s="197" customFormat="1" ht="15" customHeight="1">
      <c r="A782" s="226"/>
      <c r="B782" s="224"/>
      <c r="C782" s="144"/>
      <c r="D782" s="206"/>
      <c r="E782" s="206"/>
      <c r="F782" s="206"/>
      <c r="G782" s="206"/>
      <c r="H782" s="206"/>
      <c r="I782" s="206"/>
      <c r="J782" s="207"/>
      <c r="K782" s="207"/>
      <c r="L782" s="155"/>
      <c r="M782" s="206"/>
      <c r="N782" s="206"/>
      <c r="O782" s="206"/>
      <c r="P782" s="206"/>
      <c r="Q782" s="206"/>
      <c r="R782" s="206"/>
      <c r="S782" s="206"/>
      <c r="T782" s="206"/>
      <c r="U782" s="206"/>
      <c r="V782" s="208"/>
      <c r="W782" s="196"/>
      <c r="X782" s="152"/>
      <c r="Z782" s="198"/>
      <c r="AA782" s="198"/>
    </row>
    <row r="783" spans="1:27" s="197" customFormat="1" ht="15" customHeight="1" thickBot="1">
      <c r="A783" s="226"/>
      <c r="B783" s="524"/>
      <c r="C783" s="524"/>
      <c r="D783" s="527"/>
      <c r="E783" s="527"/>
      <c r="F783" s="527"/>
      <c r="G783" s="527"/>
      <c r="H783" s="527"/>
      <c r="I783" s="527"/>
      <c r="J783" s="527"/>
      <c r="K783" s="527"/>
      <c r="L783" s="527"/>
      <c r="M783" s="527"/>
      <c r="N783" s="527"/>
      <c r="O783" s="527"/>
      <c r="P783" s="527"/>
      <c r="Q783" s="527"/>
      <c r="R783" s="527"/>
      <c r="S783" s="527"/>
      <c r="T783" s="527"/>
      <c r="U783" s="527"/>
      <c r="V783" s="527"/>
      <c r="W783" s="527"/>
      <c r="X783" s="528"/>
      <c r="Z783" s="198"/>
      <c r="AA783" s="198"/>
    </row>
    <row r="784" spans="1:27" ht="15" customHeight="1" thickBot="1">
      <c r="A784" s="226"/>
      <c r="B784" s="284" t="str">
        <f>IF(X785="","TIJOLO / COMPOSIÇÃO",X785)</f>
        <v>TIJOLO / COMPOSIÇÃO</v>
      </c>
      <c r="C784" s="285" t="s">
        <v>101</v>
      </c>
      <c r="D784" s="286" t="s">
        <v>102</v>
      </c>
      <c r="E784" s="286" t="s">
        <v>42</v>
      </c>
      <c r="F784" s="286" t="s">
        <v>42</v>
      </c>
      <c r="G784" s="286" t="s">
        <v>43</v>
      </c>
      <c r="H784" s="286" t="s">
        <v>44</v>
      </c>
      <c r="I784" s="286" t="s">
        <v>47</v>
      </c>
      <c r="J784" s="286" t="s">
        <v>103</v>
      </c>
      <c r="K784" s="286" t="s">
        <v>37</v>
      </c>
      <c r="L784" s="286" t="s">
        <v>39</v>
      </c>
      <c r="M784" s="286" t="s">
        <v>45</v>
      </c>
      <c r="N784" s="286" t="s">
        <v>46</v>
      </c>
      <c r="O784" s="286" t="s">
        <v>672</v>
      </c>
      <c r="P784" s="286" t="s">
        <v>51</v>
      </c>
      <c r="Q784" s="286" t="s">
        <v>52</v>
      </c>
      <c r="R784" s="286"/>
      <c r="S784" s="286"/>
      <c r="T784" s="286"/>
      <c r="U784" s="286" t="s">
        <v>677</v>
      </c>
      <c r="V784" s="287" t="s">
        <v>27</v>
      </c>
      <c r="W784" s="288"/>
      <c r="X784" s="289"/>
    </row>
    <row r="785" spans="1:27" ht="15" customHeight="1" thickBot="1">
      <c r="A785" s="255"/>
      <c r="B785" s="257" t="s">
        <v>674</v>
      </c>
      <c r="C785" s="256">
        <f>SUMIF(Densidades!A:A,'Memória TOTAL'!X785,Densidades!B:B)</f>
        <v>0</v>
      </c>
      <c r="D785" s="145">
        <f>SUMIF(Densidades!A:A,'Memória TOTAL'!X785,Densidades!C:C)</f>
        <v>0</v>
      </c>
      <c r="E785" s="146">
        <f>IF(AND(E791=1,E792=2),SUMIF(Formatos!A:A,'Memória TOTAL'!X786,Formatos!D:D),SUMIF(Formatos!A:A,'Memória TOTAL'!X786,Formatos!E:E))</f>
        <v>0</v>
      </c>
      <c r="F785" s="146">
        <f>IF(AND(E791=1,E792=2),SUMIF(Formatos!A:A,'Memória TOTAL'!X786,Formatos!R:R),SUMIF(Formatos!A:A,'Memória TOTAL'!X786,Formatos!F:F))</f>
        <v>0</v>
      </c>
      <c r="G785" s="146">
        <f>SUMIF(Formatos!A:A,'Memória TOTAL'!X786,Formatos!C:C)</f>
        <v>0</v>
      </c>
      <c r="H785" s="146">
        <f>SUMIF(Formatos!A:A,'Memória TOTAL'!X786,Formatos!D:D)</f>
        <v>0</v>
      </c>
      <c r="I785" s="146">
        <f>SUMIF(Densidades!A:A,'Memória TOTAL'!X785,Densidades!H:H)</f>
        <v>0</v>
      </c>
      <c r="J785" s="147">
        <f>SUMIF(Formatos!A:A,'Memória TOTAL'!X786,Formatos!G:G)</f>
        <v>4.1130000000000004</v>
      </c>
      <c r="K785" s="148">
        <f>SUMIF(Densidades!A:A,'Memória TOTAL'!X785,Densidades!I:I)</f>
        <v>0</v>
      </c>
      <c r="L785" s="264">
        <v>0</v>
      </c>
      <c r="M785" s="277"/>
      <c r="N785" s="267"/>
      <c r="O785" s="268"/>
      <c r="P785" s="266">
        <f>O785*2</f>
        <v>0</v>
      </c>
      <c r="Q785" s="150">
        <f>P785-(2*M785)</f>
        <v>0</v>
      </c>
      <c r="R785" s="150"/>
      <c r="S785" s="271"/>
      <c r="T785" s="271"/>
      <c r="U785" s="268"/>
      <c r="V785" s="267" t="str">
        <f>IF(M785="","",IF(OR(M785=E785,M785=G785,M785=H785),ROUND(SUM(P795:P845),0),"ESP. ERRADA"))</f>
        <v/>
      </c>
      <c r="W785" s="273" t="str">
        <f>IFERROR(IF(C785=0,"",ROUNDUP(SUM(V785)*(1+L785),0))*U785,"")</f>
        <v/>
      </c>
      <c r="X785" s="274"/>
    </row>
    <row r="786" spans="1:27" s="197" customFormat="1" ht="15" customHeight="1">
      <c r="A786" s="226"/>
      <c r="B786" s="504"/>
      <c r="C786" s="503"/>
      <c r="D786" s="206"/>
      <c r="E786" s="206"/>
      <c r="F786" s="206"/>
      <c r="G786" s="206"/>
      <c r="H786" s="206"/>
      <c r="I786" s="206"/>
      <c r="J786" s="207"/>
      <c r="K786" s="207"/>
      <c r="L786" s="155"/>
      <c r="M786" s="206"/>
      <c r="N786" s="206"/>
      <c r="O786" s="206"/>
      <c r="P786" s="206"/>
      <c r="Q786" s="206"/>
      <c r="R786" s="206"/>
      <c r="S786" s="206"/>
      <c r="T786" s="206"/>
      <c r="U786" s="206"/>
      <c r="V786" s="208"/>
      <c r="W786" s="196"/>
      <c r="X786" s="152" t="str">
        <f>IF(B791="","",B791)</f>
        <v/>
      </c>
      <c r="Z786" s="198"/>
      <c r="AA786" s="198"/>
    </row>
    <row r="787" spans="1:27" s="197" customFormat="1" ht="15" customHeight="1">
      <c r="A787" s="226"/>
      <c r="B787" s="505"/>
      <c r="C787" s="211"/>
      <c r="D787" s="206"/>
      <c r="E787" s="206"/>
      <c r="F787" s="206"/>
      <c r="G787" s="206"/>
      <c r="H787" s="206"/>
      <c r="I787" s="206"/>
      <c r="J787" s="207"/>
      <c r="K787" s="207"/>
      <c r="L787" s="155"/>
      <c r="M787" s="206"/>
      <c r="N787" s="206"/>
      <c r="O787" s="206"/>
      <c r="P787" s="206"/>
      <c r="Q787" s="206"/>
      <c r="R787" s="206"/>
      <c r="S787" s="206"/>
      <c r="T787" s="206"/>
      <c r="U787" s="206"/>
      <c r="V787" s="208"/>
      <c r="W787" s="196"/>
      <c r="X787" s="152" t="s">
        <v>524</v>
      </c>
      <c r="Z787" s="198"/>
      <c r="AA787" s="198"/>
    </row>
    <row r="788" spans="1:27" s="197" customFormat="1" ht="15" customHeight="1" thickBot="1">
      <c r="A788" s="226"/>
      <c r="B788" s="505"/>
      <c r="C788" s="211" t="str">
        <f t="shared" ref="C788:L788" si="119">C784</f>
        <v>Dens.</v>
      </c>
      <c r="D788" s="206" t="str">
        <f t="shared" si="119"/>
        <v>Emb.</v>
      </c>
      <c r="E788" s="249" t="str">
        <f t="shared" si="119"/>
        <v>Esp. Tij.</v>
      </c>
      <c r="F788" s="249" t="str">
        <f t="shared" si="119"/>
        <v>Esp. Tij.</v>
      </c>
      <c r="G788" s="249" t="str">
        <f t="shared" si="119"/>
        <v>Comp. Tij.</v>
      </c>
      <c r="H788" s="249" t="str">
        <f t="shared" si="119"/>
        <v>Larg. Tij.</v>
      </c>
      <c r="I788" s="249" t="str">
        <f t="shared" si="119"/>
        <v>Tipo Fator</v>
      </c>
      <c r="J788" s="249" t="str">
        <f t="shared" si="119"/>
        <v>Vol.</v>
      </c>
      <c r="K788" s="249" t="str">
        <f t="shared" si="119"/>
        <v>Class.</v>
      </c>
      <c r="L788" s="206" t="str">
        <f t="shared" si="119"/>
        <v>Coefic. (%)</v>
      </c>
      <c r="M788" s="206"/>
      <c r="N788" s="206"/>
      <c r="O788" s="206"/>
      <c r="P788" s="206"/>
      <c r="Q788" s="206"/>
      <c r="R788" s="206"/>
      <c r="S788" s="206"/>
      <c r="T788" s="206"/>
      <c r="U788" s="206"/>
      <c r="V788" s="253"/>
      <c r="W788" s="196"/>
      <c r="X788" s="152"/>
      <c r="Z788" s="198"/>
      <c r="AA788" s="198"/>
    </row>
    <row r="789" spans="1:27" s="197" customFormat="1" ht="15" customHeight="1" thickBot="1">
      <c r="A789" s="226"/>
      <c r="B789" s="506"/>
      <c r="C789" s="144">
        <f>SUMIF(Densidades!A:A,'Memória TOTAL'!X789,Densidades!B:B)</f>
        <v>0</v>
      </c>
      <c r="D789" s="145">
        <f>SUMIF(Densidades!A:A,'Memória TOTAL'!X789,Densidades!C:C)</f>
        <v>570</v>
      </c>
      <c r="E789" s="146">
        <f>SUMIF(Formatos!A:A,'Memória TOTAL'!X790,Formatos!E:E)</f>
        <v>0</v>
      </c>
      <c r="F789" s="146">
        <f>SUMIF(Formatos!A:A,'Memória TOTAL'!X790,Formatos!F:F)</f>
        <v>0</v>
      </c>
      <c r="G789" s="146">
        <f>SUMIF(Formatos!A:A,'Memória TOTAL'!X790,Formatos!C:C)</f>
        <v>0</v>
      </c>
      <c r="H789" s="146">
        <f>SUMIF(Formatos!A:A,'Memória TOTAL'!X790,Formatos!D:D)</f>
        <v>0</v>
      </c>
      <c r="I789" s="146">
        <f>SUMIF(Densidades!A:A,'Memória TOTAL'!X789,Densidades!H:H)</f>
        <v>0</v>
      </c>
      <c r="J789" s="147">
        <f>SUMIF(Formatos!A:A,'Memória TOTAL'!X790,Formatos!G:G)</f>
        <v>4.1130000000000004</v>
      </c>
      <c r="K789" s="233">
        <f>SUMIF(Densidades!A:A,'Memória TOTAL'!X789,Densidades!I:I)</f>
        <v>167</v>
      </c>
      <c r="L789" s="234">
        <v>0</v>
      </c>
      <c r="M789" s="206"/>
      <c r="N789" s="206"/>
      <c r="O789" s="206"/>
      <c r="P789" s="206"/>
      <c r="Q789" s="206"/>
      <c r="R789" s="206"/>
      <c r="S789" s="206"/>
      <c r="T789" s="243"/>
      <c r="U789" s="246"/>
      <c r="V789" s="267" t="str">
        <f>IF(M785="","",IF(OR(M785=E785,M785=G785,M785=H785),ROUND(SUM(Q795:Q845),0),"ESP. ERRADA"))</f>
        <v/>
      </c>
      <c r="W789" s="278" t="str">
        <f>IFERROR(IF(C789=0,"",ROUNDUP(SUM(V789)*(1+L789),0))*U785,"")</f>
        <v/>
      </c>
      <c r="X789" s="152" t="str">
        <f>IF(X785="","",X785)</f>
        <v/>
      </c>
      <c r="Z789" s="198"/>
      <c r="AA789" s="198"/>
    </row>
    <row r="790" spans="1:27" s="197" customFormat="1" ht="15" customHeight="1" thickBot="1">
      <c r="A790" s="226"/>
      <c r="B790" s="258" t="s">
        <v>675</v>
      </c>
      <c r="C790" s="247"/>
      <c r="D790" s="206"/>
      <c r="E790" s="206"/>
      <c r="F790" s="206"/>
      <c r="G790" s="206"/>
      <c r="H790" s="206"/>
      <c r="I790" s="206"/>
      <c r="J790" s="207"/>
      <c r="K790" s="207"/>
      <c r="L790" s="155"/>
      <c r="M790" s="206"/>
      <c r="N790" s="206"/>
      <c r="O790" s="206"/>
      <c r="P790" s="206"/>
      <c r="Q790" s="206"/>
      <c r="R790" s="206"/>
      <c r="S790" s="206"/>
      <c r="T790" s="206"/>
      <c r="U790" s="206"/>
      <c r="V790" s="208"/>
      <c r="W790" s="196"/>
      <c r="X790" s="152" t="str">
        <f>IF(B792="","",B792)</f>
        <v/>
      </c>
      <c r="Z790" s="198"/>
      <c r="AA790" s="198"/>
    </row>
    <row r="791" spans="1:27" s="197" customFormat="1" ht="15" customHeight="1" thickBot="1">
      <c r="A791" s="226"/>
      <c r="B791" s="274"/>
      <c r="C791" s="254" t="s">
        <v>54</v>
      </c>
      <c r="D791" s="250"/>
      <c r="E791" s="206">
        <f>SUMIF(Formatos!A:A,'Memória TOTAL'!X786,Formatos!S:S)</f>
        <v>2</v>
      </c>
      <c r="F791" s="249"/>
      <c r="G791" s="249"/>
      <c r="H791" s="159" t="s">
        <v>54</v>
      </c>
      <c r="I791" s="159" t="s">
        <v>55</v>
      </c>
      <c r="J791" s="207"/>
      <c r="K791" s="207"/>
      <c r="L791" s="155"/>
      <c r="M791" s="206"/>
      <c r="N791" s="206" t="s">
        <v>22</v>
      </c>
      <c r="O791" s="160" t="s">
        <v>48</v>
      </c>
      <c r="P791" s="160" t="s">
        <v>49</v>
      </c>
      <c r="Q791" s="161" t="s">
        <v>50</v>
      </c>
      <c r="R791" s="160" t="s">
        <v>54</v>
      </c>
      <c r="S791" s="160" t="s">
        <v>55</v>
      </c>
      <c r="T791" s="206"/>
      <c r="U791" s="206"/>
      <c r="V791" s="208"/>
      <c r="W791" s="196"/>
      <c r="X791" s="152" t="s">
        <v>524</v>
      </c>
      <c r="Z791" s="198"/>
      <c r="AA791" s="198"/>
    </row>
    <row r="792" spans="1:27" s="197" customFormat="1" ht="15" customHeight="1" thickBot="1">
      <c r="A792" s="226"/>
      <c r="B792" s="274"/>
      <c r="C792" s="254" t="s">
        <v>55</v>
      </c>
      <c r="D792" s="250"/>
      <c r="E792" s="206">
        <f>SUMIF(Formatos!A:A,'Memória TOTAL'!X790,Formatos!S:S)</f>
        <v>2</v>
      </c>
      <c r="F792" s="206"/>
      <c r="G792" s="206"/>
      <c r="H792" s="251" t="e">
        <f>(1/(-(N792+N785)*(Q792+N785)+(O792+N785)*(P792+N785)))*3.1416*(-P785*(Q792+N785)+Q785*(P792+N785))</f>
        <v>#DIV/0!</v>
      </c>
      <c r="I792" s="251" t="e">
        <f>((P785*PI())-(H792*(N792+N785)))/(P792+N785)</f>
        <v>#DIV/0!</v>
      </c>
      <c r="J792" s="207"/>
      <c r="K792" s="207"/>
      <c r="L792" s="155"/>
      <c r="M792" s="206"/>
      <c r="N792" s="206">
        <f>E785</f>
        <v>0</v>
      </c>
      <c r="O792" s="162">
        <f>F785</f>
        <v>0</v>
      </c>
      <c r="P792" s="162">
        <f>E789</f>
        <v>0</v>
      </c>
      <c r="Q792" s="168">
        <f>F789</f>
        <v>0</v>
      </c>
      <c r="R792" s="162" t="e">
        <f>IF(ROUND(H792+0.4,0)&gt;=0,ROUND(H792+0.4,0),"ERRO")</f>
        <v>#DIV/0!</v>
      </c>
      <c r="S792" s="162" t="e">
        <f>IF(ROUND(I792+0.4,0)&gt;=0,ROUND(I792+0.4,0),"ERRO")</f>
        <v>#DIV/0!</v>
      </c>
      <c r="T792" s="206"/>
      <c r="U792" s="206"/>
      <c r="V792" s="208"/>
      <c r="W792" s="242"/>
      <c r="X792" s="152"/>
      <c r="Z792" s="198"/>
      <c r="AA792" s="198"/>
    </row>
    <row r="793" spans="1:27" s="166" customFormat="1" ht="15" customHeight="1" thickBot="1">
      <c r="A793" s="226"/>
      <c r="B793" s="258" t="s">
        <v>676</v>
      </c>
      <c r="C793" s="247"/>
      <c r="D793" s="206"/>
      <c r="E793" s="206"/>
      <c r="F793" s="206"/>
      <c r="G793" s="206"/>
      <c r="H793" s="206"/>
      <c r="I793" s="206"/>
      <c r="J793" s="206"/>
      <c r="K793" s="206"/>
      <c r="L793" s="206"/>
      <c r="M793" s="206"/>
      <c r="N793" s="206"/>
      <c r="O793" s="252"/>
      <c r="P793" s="206"/>
      <c r="Q793" s="206"/>
      <c r="R793" s="206"/>
      <c r="S793" s="206"/>
      <c r="T793" s="162"/>
      <c r="U793" s="162"/>
      <c r="V793" s="163"/>
      <c r="W793" s="164"/>
      <c r="X793" s="165"/>
      <c r="Z793" s="167"/>
      <c r="AA793" s="167"/>
    </row>
    <row r="794" spans="1:27" s="166" customFormat="1" ht="15" customHeight="1" thickBot="1">
      <c r="A794" s="226"/>
      <c r="B794" s="261"/>
      <c r="C794" s="247"/>
      <c r="D794" s="206"/>
      <c r="E794" s="206"/>
      <c r="F794" s="206"/>
      <c r="G794" s="206"/>
      <c r="H794" s="247" t="s">
        <v>54</v>
      </c>
      <c r="I794" s="206" t="s">
        <v>55</v>
      </c>
      <c r="J794" s="206"/>
      <c r="K794" s="206"/>
      <c r="L794" s="206"/>
      <c r="M794" s="206"/>
      <c r="N794" s="246"/>
      <c r="O794" s="627" t="s">
        <v>53</v>
      </c>
      <c r="P794" s="247" t="s">
        <v>54</v>
      </c>
      <c r="Q794" s="206" t="s">
        <v>55</v>
      </c>
      <c r="R794" s="206"/>
      <c r="S794" s="206"/>
      <c r="T794" s="162"/>
      <c r="U794" s="162"/>
      <c r="V794" s="163"/>
      <c r="W794" s="164"/>
      <c r="X794" s="165"/>
      <c r="Z794" s="167"/>
      <c r="AA794" s="167"/>
    </row>
    <row r="795" spans="1:27" s="166" customFormat="1" ht="15" customHeight="1">
      <c r="A795" s="226"/>
      <c r="B795" s="224" t="s">
        <v>392</v>
      </c>
      <c r="C795" s="502"/>
      <c r="D795" s="212"/>
      <c r="E795" s="212"/>
      <c r="F795" s="212"/>
      <c r="G795" s="212"/>
      <c r="H795" s="212" t="e">
        <f>H792</f>
        <v>#DIV/0!</v>
      </c>
      <c r="I795" s="279" t="e">
        <f>I792</f>
        <v>#DIV/0!</v>
      </c>
      <c r="J795" s="245"/>
      <c r="K795" s="351"/>
      <c r="L795" s="173"/>
      <c r="M795" s="212"/>
      <c r="N795" s="175"/>
      <c r="O795" s="633">
        <v>360</v>
      </c>
      <c r="P795" s="269" t="e">
        <f>IF(H795/360*O795-ROUNDDOWN(H795/360*O795,0)&gt;I795/360*O795-ROUNDDOWN(I795/360*O795,0),ROUNDUP(H795/360*O795,0),ROUNDUP(SUM(H795/360*O795,I795/360*O795),0)-ROUNDUP(I795/360*O795,0))</f>
        <v>#DIV/0!</v>
      </c>
      <c r="Q795" s="263" t="e">
        <f>IF(I795/360*O795-ROUNDDOWN(I795/360*O795,0)&gt;H795/360*O795-ROUNDDOWN(H795/360*O795,0),ROUNDUP(I795/360*O795,0),ROUNDUP(SUM(H795/360*O795,I795/360*O795),0)-ROUNDUP(H795/360*O795,0))</f>
        <v>#DIV/0!</v>
      </c>
      <c r="R795" s="174"/>
      <c r="S795" s="174"/>
      <c r="T795" s="174"/>
      <c r="U795" s="174"/>
      <c r="V795" s="175"/>
      <c r="W795" s="176"/>
      <c r="X795" s="177"/>
      <c r="Z795" s="167"/>
      <c r="AA795" s="167"/>
    </row>
    <row r="796" spans="1:27" s="166" customFormat="1" ht="15" customHeight="1">
      <c r="A796" s="226"/>
      <c r="B796" s="224" t="s">
        <v>984</v>
      </c>
      <c r="C796" s="502"/>
      <c r="D796" s="212"/>
      <c r="E796" s="212"/>
      <c r="F796" s="212"/>
      <c r="G796" s="212"/>
      <c r="H796" s="212" t="e">
        <f>H795</f>
        <v>#DIV/0!</v>
      </c>
      <c r="I796" s="279" t="e">
        <f>I795</f>
        <v>#DIV/0!</v>
      </c>
      <c r="J796" s="245"/>
      <c r="K796" s="351"/>
      <c r="L796" s="173"/>
      <c r="M796" s="212"/>
      <c r="N796" s="175"/>
      <c r="O796" s="634">
        <f>O795</f>
        <v>360</v>
      </c>
      <c r="P796" s="269" t="e">
        <f t="shared" ref="P796:P844" si="120">IF(H796/360*O796-ROUNDDOWN(H796/360*O796,0)&gt;I796/360*O796-ROUNDDOWN(I796/360*O796,0),ROUNDUP(H796/360*O796,0),ROUNDUP(SUM(H796/360*O796,I796/360*O796),0)-ROUNDUP(I796/360*O796,0))</f>
        <v>#DIV/0!</v>
      </c>
      <c r="Q796" s="263" t="e">
        <f t="shared" ref="Q796:Q844" si="121">IF(I796/360*O796-ROUNDDOWN(I796/360*O796,0)&gt;H796/360*O796-ROUNDDOWN(H796/360*O796,0),ROUNDUP(I796/360*O796,0),ROUNDUP(SUM(H796/360*O796,I796/360*O796),0)-ROUNDUP(H796/360*O796,0))</f>
        <v>#DIV/0!</v>
      </c>
      <c r="R796" s="174"/>
      <c r="S796" s="174"/>
      <c r="T796" s="174"/>
      <c r="U796" s="174"/>
      <c r="V796" s="175"/>
      <c r="W796" s="176"/>
      <c r="X796" s="177"/>
      <c r="Z796" s="167"/>
      <c r="AA796" s="167"/>
    </row>
    <row r="797" spans="1:27" s="166" customFormat="1" ht="15" customHeight="1">
      <c r="A797" s="226"/>
      <c r="B797" s="224" t="s">
        <v>393</v>
      </c>
      <c r="C797" s="502"/>
      <c r="D797" s="212"/>
      <c r="E797" s="212"/>
      <c r="F797" s="212"/>
      <c r="G797" s="212"/>
      <c r="H797" s="212" t="e">
        <f t="shared" ref="H797:I812" si="122">H796</f>
        <v>#DIV/0!</v>
      </c>
      <c r="I797" s="279" t="e">
        <f t="shared" si="122"/>
        <v>#DIV/0!</v>
      </c>
      <c r="J797" s="245"/>
      <c r="K797" s="351"/>
      <c r="L797" s="173"/>
      <c r="M797" s="212"/>
      <c r="N797" s="175"/>
      <c r="O797" s="634">
        <f t="shared" ref="O797:O843" si="123">O796</f>
        <v>360</v>
      </c>
      <c r="P797" s="269" t="e">
        <f t="shared" si="120"/>
        <v>#DIV/0!</v>
      </c>
      <c r="Q797" s="263" t="e">
        <f t="shared" si="121"/>
        <v>#DIV/0!</v>
      </c>
      <c r="R797" s="174"/>
      <c r="S797" s="174"/>
      <c r="T797" s="174"/>
      <c r="U797" s="174"/>
      <c r="V797" s="175"/>
      <c r="W797" s="176"/>
      <c r="X797" s="177"/>
      <c r="Z797" s="167"/>
      <c r="AA797" s="167"/>
    </row>
    <row r="798" spans="1:27" s="166" customFormat="1" ht="15" customHeight="1">
      <c r="A798" s="226"/>
      <c r="B798" s="224" t="s">
        <v>394</v>
      </c>
      <c r="C798" s="502"/>
      <c r="D798" s="212"/>
      <c r="E798" s="212"/>
      <c r="F798" s="212"/>
      <c r="G798" s="212"/>
      <c r="H798" s="212" t="e">
        <f t="shared" si="122"/>
        <v>#DIV/0!</v>
      </c>
      <c r="I798" s="279" t="e">
        <f t="shared" si="122"/>
        <v>#DIV/0!</v>
      </c>
      <c r="J798" s="245"/>
      <c r="K798" s="351"/>
      <c r="L798" s="173"/>
      <c r="M798" s="212"/>
      <c r="N798" s="175"/>
      <c r="O798" s="634">
        <f t="shared" si="123"/>
        <v>360</v>
      </c>
      <c r="P798" s="269" t="e">
        <f t="shared" si="120"/>
        <v>#DIV/0!</v>
      </c>
      <c r="Q798" s="263" t="e">
        <f t="shared" si="121"/>
        <v>#DIV/0!</v>
      </c>
      <c r="R798" s="174"/>
      <c r="S798" s="174"/>
      <c r="T798" s="174"/>
      <c r="U798" s="174"/>
      <c r="V798" s="175"/>
      <c r="W798" s="176"/>
      <c r="X798" s="177"/>
      <c r="Z798" s="167"/>
      <c r="AA798" s="167"/>
    </row>
    <row r="799" spans="1:27" s="166" customFormat="1" ht="15" customHeight="1">
      <c r="A799" s="226"/>
      <c r="B799" s="224" t="s">
        <v>395</v>
      </c>
      <c r="C799" s="502"/>
      <c r="D799" s="212"/>
      <c r="E799" s="212"/>
      <c r="F799" s="212"/>
      <c r="G799" s="212"/>
      <c r="H799" s="212" t="e">
        <f t="shared" si="122"/>
        <v>#DIV/0!</v>
      </c>
      <c r="I799" s="279" t="e">
        <f t="shared" si="122"/>
        <v>#DIV/0!</v>
      </c>
      <c r="J799" s="245"/>
      <c r="K799" s="351"/>
      <c r="L799" s="173"/>
      <c r="M799" s="212"/>
      <c r="N799" s="175"/>
      <c r="O799" s="634">
        <f t="shared" si="123"/>
        <v>360</v>
      </c>
      <c r="P799" s="269" t="e">
        <f t="shared" si="120"/>
        <v>#DIV/0!</v>
      </c>
      <c r="Q799" s="263" t="e">
        <f t="shared" si="121"/>
        <v>#DIV/0!</v>
      </c>
      <c r="R799" s="174"/>
      <c r="S799" s="174"/>
      <c r="T799" s="174"/>
      <c r="U799" s="174"/>
      <c r="V799" s="175"/>
      <c r="W799" s="176"/>
      <c r="X799" s="177"/>
      <c r="Z799" s="167"/>
      <c r="AA799" s="167"/>
    </row>
    <row r="800" spans="1:27" s="166" customFormat="1" ht="15" customHeight="1">
      <c r="A800" s="226"/>
      <c r="B800" s="224" t="s">
        <v>396</v>
      </c>
      <c r="C800" s="502"/>
      <c r="D800" s="212"/>
      <c r="E800" s="212"/>
      <c r="F800" s="212"/>
      <c r="G800" s="212"/>
      <c r="H800" s="212" t="e">
        <f t="shared" si="122"/>
        <v>#DIV/0!</v>
      </c>
      <c r="I800" s="279" t="e">
        <f t="shared" si="122"/>
        <v>#DIV/0!</v>
      </c>
      <c r="J800" s="245"/>
      <c r="K800" s="351"/>
      <c r="L800" s="173"/>
      <c r="M800" s="212"/>
      <c r="N800" s="175"/>
      <c r="O800" s="634">
        <f t="shared" si="123"/>
        <v>360</v>
      </c>
      <c r="P800" s="269" t="e">
        <f t="shared" si="120"/>
        <v>#DIV/0!</v>
      </c>
      <c r="Q800" s="263" t="e">
        <f t="shared" si="121"/>
        <v>#DIV/0!</v>
      </c>
      <c r="R800" s="174"/>
      <c r="S800" s="174"/>
      <c r="T800" s="174"/>
      <c r="U800" s="174"/>
      <c r="V800" s="175"/>
      <c r="W800" s="176"/>
      <c r="X800" s="177"/>
      <c r="Z800" s="167"/>
      <c r="AA800" s="167"/>
    </row>
    <row r="801" spans="1:27" s="166" customFormat="1" ht="15" customHeight="1">
      <c r="A801" s="226"/>
      <c r="B801" s="224" t="s">
        <v>397</v>
      </c>
      <c r="C801" s="502"/>
      <c r="D801" s="212"/>
      <c r="E801" s="212"/>
      <c r="F801" s="212"/>
      <c r="G801" s="212"/>
      <c r="H801" s="212" t="e">
        <f t="shared" si="122"/>
        <v>#DIV/0!</v>
      </c>
      <c r="I801" s="279" t="e">
        <f t="shared" si="122"/>
        <v>#DIV/0!</v>
      </c>
      <c r="J801" s="245"/>
      <c r="K801" s="351"/>
      <c r="L801" s="173"/>
      <c r="M801" s="212"/>
      <c r="N801" s="175"/>
      <c r="O801" s="634">
        <f t="shared" si="123"/>
        <v>360</v>
      </c>
      <c r="P801" s="269" t="e">
        <f t="shared" si="120"/>
        <v>#DIV/0!</v>
      </c>
      <c r="Q801" s="263" t="e">
        <f t="shared" si="121"/>
        <v>#DIV/0!</v>
      </c>
      <c r="R801" s="174"/>
      <c r="S801" s="174"/>
      <c r="T801" s="174"/>
      <c r="U801" s="174"/>
      <c r="V801" s="175"/>
      <c r="W801" s="176"/>
      <c r="X801" s="177"/>
      <c r="Z801" s="167"/>
      <c r="AA801" s="167"/>
    </row>
    <row r="802" spans="1:27" s="166" customFormat="1" ht="15" customHeight="1">
      <c r="A802" s="226"/>
      <c r="B802" s="224" t="s">
        <v>398</v>
      </c>
      <c r="C802" s="502"/>
      <c r="D802" s="212"/>
      <c r="E802" s="212"/>
      <c r="F802" s="212"/>
      <c r="G802" s="212"/>
      <c r="H802" s="212" t="e">
        <f t="shared" si="122"/>
        <v>#DIV/0!</v>
      </c>
      <c r="I802" s="279" t="e">
        <f t="shared" si="122"/>
        <v>#DIV/0!</v>
      </c>
      <c r="J802" s="245"/>
      <c r="K802" s="351"/>
      <c r="L802" s="173"/>
      <c r="M802" s="212"/>
      <c r="N802" s="175"/>
      <c r="O802" s="634">
        <f t="shared" si="123"/>
        <v>360</v>
      </c>
      <c r="P802" s="269" t="e">
        <f t="shared" si="120"/>
        <v>#DIV/0!</v>
      </c>
      <c r="Q802" s="263" t="e">
        <f t="shared" si="121"/>
        <v>#DIV/0!</v>
      </c>
      <c r="R802" s="174"/>
      <c r="S802" s="174"/>
      <c r="T802" s="174"/>
      <c r="U802" s="174"/>
      <c r="V802" s="175"/>
      <c r="W802" s="176"/>
      <c r="X802" s="177"/>
      <c r="Z802" s="167"/>
      <c r="AA802" s="167"/>
    </row>
    <row r="803" spans="1:27" s="166" customFormat="1" ht="15" customHeight="1">
      <c r="A803" s="226"/>
      <c r="B803" s="224" t="s">
        <v>399</v>
      </c>
      <c r="C803" s="502"/>
      <c r="D803" s="212"/>
      <c r="E803" s="212"/>
      <c r="F803" s="212"/>
      <c r="G803" s="212"/>
      <c r="H803" s="212" t="e">
        <f t="shared" si="122"/>
        <v>#DIV/0!</v>
      </c>
      <c r="I803" s="279" t="e">
        <f t="shared" si="122"/>
        <v>#DIV/0!</v>
      </c>
      <c r="J803" s="245"/>
      <c r="K803" s="351"/>
      <c r="L803" s="173"/>
      <c r="M803" s="212"/>
      <c r="N803" s="175"/>
      <c r="O803" s="634">
        <f t="shared" si="123"/>
        <v>360</v>
      </c>
      <c r="P803" s="269" t="e">
        <f t="shared" si="120"/>
        <v>#DIV/0!</v>
      </c>
      <c r="Q803" s="263" t="e">
        <f t="shared" si="121"/>
        <v>#DIV/0!</v>
      </c>
      <c r="R803" s="174"/>
      <c r="S803" s="174"/>
      <c r="T803" s="174"/>
      <c r="U803" s="174"/>
      <c r="V803" s="175"/>
      <c r="W803" s="176"/>
      <c r="X803" s="177"/>
      <c r="Z803" s="167"/>
      <c r="AA803" s="167"/>
    </row>
    <row r="804" spans="1:27" s="166" customFormat="1" ht="15" customHeight="1">
      <c r="A804" s="226"/>
      <c r="B804" s="224" t="s">
        <v>400</v>
      </c>
      <c r="C804" s="502"/>
      <c r="D804" s="212"/>
      <c r="E804" s="212"/>
      <c r="F804" s="212"/>
      <c r="G804" s="212"/>
      <c r="H804" s="212" t="e">
        <f t="shared" si="122"/>
        <v>#DIV/0!</v>
      </c>
      <c r="I804" s="279" t="e">
        <f t="shared" si="122"/>
        <v>#DIV/0!</v>
      </c>
      <c r="J804" s="245"/>
      <c r="K804" s="351"/>
      <c r="L804" s="173"/>
      <c r="M804" s="212"/>
      <c r="N804" s="175"/>
      <c r="O804" s="634">
        <f t="shared" si="123"/>
        <v>360</v>
      </c>
      <c r="P804" s="269" t="e">
        <f t="shared" si="120"/>
        <v>#DIV/0!</v>
      </c>
      <c r="Q804" s="263" t="e">
        <f t="shared" si="121"/>
        <v>#DIV/0!</v>
      </c>
      <c r="R804" s="174"/>
      <c r="S804" s="174"/>
      <c r="T804" s="174"/>
      <c r="U804" s="174"/>
      <c r="V804" s="175"/>
      <c r="W804" s="176"/>
      <c r="X804" s="177"/>
      <c r="Z804" s="167"/>
      <c r="AA804" s="167"/>
    </row>
    <row r="805" spans="1:27" s="166" customFormat="1" ht="15" customHeight="1">
      <c r="A805" s="226"/>
      <c r="B805" s="224" t="s">
        <v>401</v>
      </c>
      <c r="C805" s="502"/>
      <c r="D805" s="212"/>
      <c r="E805" s="212"/>
      <c r="F805" s="212"/>
      <c r="G805" s="212"/>
      <c r="H805" s="212" t="e">
        <f t="shared" si="122"/>
        <v>#DIV/0!</v>
      </c>
      <c r="I805" s="279" t="e">
        <f t="shared" si="122"/>
        <v>#DIV/0!</v>
      </c>
      <c r="J805" s="245"/>
      <c r="K805" s="351"/>
      <c r="L805" s="173"/>
      <c r="M805" s="212"/>
      <c r="N805" s="175"/>
      <c r="O805" s="634">
        <f t="shared" si="123"/>
        <v>360</v>
      </c>
      <c r="P805" s="269" t="e">
        <f t="shared" si="120"/>
        <v>#DIV/0!</v>
      </c>
      <c r="Q805" s="263" t="e">
        <f t="shared" si="121"/>
        <v>#DIV/0!</v>
      </c>
      <c r="R805" s="174"/>
      <c r="S805" s="174"/>
      <c r="T805" s="174"/>
      <c r="U805" s="174"/>
      <c r="V805" s="175"/>
      <c r="W805" s="176"/>
      <c r="X805" s="177"/>
      <c r="Z805" s="167"/>
      <c r="AA805" s="167"/>
    </row>
    <row r="806" spans="1:27" s="166" customFormat="1" ht="15" customHeight="1">
      <c r="A806" s="226"/>
      <c r="B806" s="224" t="s">
        <v>402</v>
      </c>
      <c r="C806" s="502"/>
      <c r="D806" s="212"/>
      <c r="E806" s="212"/>
      <c r="F806" s="212"/>
      <c r="G806" s="212"/>
      <c r="H806" s="212" t="e">
        <f t="shared" si="122"/>
        <v>#DIV/0!</v>
      </c>
      <c r="I806" s="279" t="e">
        <f t="shared" si="122"/>
        <v>#DIV/0!</v>
      </c>
      <c r="J806" s="245"/>
      <c r="K806" s="351"/>
      <c r="L806" s="173"/>
      <c r="M806" s="212"/>
      <c r="N806" s="175"/>
      <c r="O806" s="634">
        <f t="shared" si="123"/>
        <v>360</v>
      </c>
      <c r="P806" s="269" t="e">
        <f t="shared" si="120"/>
        <v>#DIV/0!</v>
      </c>
      <c r="Q806" s="263" t="e">
        <f t="shared" si="121"/>
        <v>#DIV/0!</v>
      </c>
      <c r="R806" s="174"/>
      <c r="S806" s="174"/>
      <c r="T806" s="174"/>
      <c r="U806" s="174"/>
      <c r="V806" s="175"/>
      <c r="W806" s="176"/>
      <c r="X806" s="177"/>
      <c r="Z806" s="167"/>
      <c r="AA806" s="167"/>
    </row>
    <row r="807" spans="1:27" s="166" customFormat="1" ht="15" customHeight="1">
      <c r="A807" s="226"/>
      <c r="B807" s="224" t="s">
        <v>403</v>
      </c>
      <c r="C807" s="502"/>
      <c r="D807" s="212"/>
      <c r="E807" s="212"/>
      <c r="F807" s="212"/>
      <c r="G807" s="212"/>
      <c r="H807" s="212" t="e">
        <f t="shared" si="122"/>
        <v>#DIV/0!</v>
      </c>
      <c r="I807" s="279" t="e">
        <f t="shared" si="122"/>
        <v>#DIV/0!</v>
      </c>
      <c r="J807" s="245"/>
      <c r="K807" s="351"/>
      <c r="L807" s="173"/>
      <c r="M807" s="212"/>
      <c r="N807" s="175"/>
      <c r="O807" s="634">
        <f t="shared" si="123"/>
        <v>360</v>
      </c>
      <c r="P807" s="269" t="e">
        <f t="shared" si="120"/>
        <v>#DIV/0!</v>
      </c>
      <c r="Q807" s="263" t="e">
        <f t="shared" si="121"/>
        <v>#DIV/0!</v>
      </c>
      <c r="R807" s="174"/>
      <c r="S807" s="174"/>
      <c r="T807" s="174"/>
      <c r="U807" s="174"/>
      <c r="V807" s="175"/>
      <c r="W807" s="176"/>
      <c r="X807" s="177"/>
      <c r="Z807" s="167"/>
      <c r="AA807" s="167"/>
    </row>
    <row r="808" spans="1:27" s="166" customFormat="1" ht="15" customHeight="1">
      <c r="A808" s="226"/>
      <c r="B808" s="224" t="s">
        <v>404</v>
      </c>
      <c r="C808" s="502"/>
      <c r="D808" s="212"/>
      <c r="E808" s="212"/>
      <c r="F808" s="212"/>
      <c r="G808" s="212"/>
      <c r="H808" s="212" t="e">
        <f t="shared" si="122"/>
        <v>#DIV/0!</v>
      </c>
      <c r="I808" s="279" t="e">
        <f t="shared" si="122"/>
        <v>#DIV/0!</v>
      </c>
      <c r="J808" s="245"/>
      <c r="K808" s="351"/>
      <c r="L808" s="173"/>
      <c r="M808" s="212"/>
      <c r="N808" s="175"/>
      <c r="O808" s="634">
        <f t="shared" si="123"/>
        <v>360</v>
      </c>
      <c r="P808" s="269" t="e">
        <f t="shared" si="120"/>
        <v>#DIV/0!</v>
      </c>
      <c r="Q808" s="263" t="e">
        <f t="shared" si="121"/>
        <v>#DIV/0!</v>
      </c>
      <c r="R808" s="174"/>
      <c r="S808" s="174"/>
      <c r="T808" s="174"/>
      <c r="U808" s="174"/>
      <c r="V808" s="175"/>
      <c r="W808" s="176"/>
      <c r="X808" s="177"/>
      <c r="Z808" s="167"/>
      <c r="AA808" s="167"/>
    </row>
    <row r="809" spans="1:27" s="166" customFormat="1" ht="15" customHeight="1">
      <c r="A809" s="226"/>
      <c r="B809" s="224" t="s">
        <v>405</v>
      </c>
      <c r="C809" s="502"/>
      <c r="D809" s="212"/>
      <c r="E809" s="212"/>
      <c r="F809" s="212"/>
      <c r="G809" s="212"/>
      <c r="H809" s="212" t="e">
        <f t="shared" si="122"/>
        <v>#DIV/0!</v>
      </c>
      <c r="I809" s="279" t="e">
        <f t="shared" si="122"/>
        <v>#DIV/0!</v>
      </c>
      <c r="J809" s="245"/>
      <c r="K809" s="351"/>
      <c r="L809" s="173"/>
      <c r="M809" s="212"/>
      <c r="N809" s="175"/>
      <c r="O809" s="634">
        <f t="shared" si="123"/>
        <v>360</v>
      </c>
      <c r="P809" s="269" t="e">
        <f t="shared" si="120"/>
        <v>#DIV/0!</v>
      </c>
      <c r="Q809" s="263" t="e">
        <f t="shared" si="121"/>
        <v>#DIV/0!</v>
      </c>
      <c r="R809" s="174"/>
      <c r="S809" s="174"/>
      <c r="T809" s="174"/>
      <c r="U809" s="174"/>
      <c r="V809" s="175"/>
      <c r="W809" s="176"/>
      <c r="X809" s="177"/>
      <c r="Z809" s="167"/>
      <c r="AA809" s="167"/>
    </row>
    <row r="810" spans="1:27" s="166" customFormat="1" ht="15" customHeight="1">
      <c r="A810" s="226"/>
      <c r="B810" s="224" t="s">
        <v>406</v>
      </c>
      <c r="C810" s="502"/>
      <c r="D810" s="212"/>
      <c r="E810" s="212"/>
      <c r="F810" s="212"/>
      <c r="G810" s="212"/>
      <c r="H810" s="212" t="e">
        <f t="shared" si="122"/>
        <v>#DIV/0!</v>
      </c>
      <c r="I810" s="279" t="e">
        <f t="shared" si="122"/>
        <v>#DIV/0!</v>
      </c>
      <c r="J810" s="245"/>
      <c r="K810" s="351"/>
      <c r="L810" s="173"/>
      <c r="M810" s="212"/>
      <c r="N810" s="175"/>
      <c r="O810" s="634">
        <f t="shared" si="123"/>
        <v>360</v>
      </c>
      <c r="P810" s="269" t="e">
        <f t="shared" si="120"/>
        <v>#DIV/0!</v>
      </c>
      <c r="Q810" s="263" t="e">
        <f t="shared" si="121"/>
        <v>#DIV/0!</v>
      </c>
      <c r="R810" s="174"/>
      <c r="S810" s="174"/>
      <c r="T810" s="174"/>
      <c r="U810" s="174"/>
      <c r="V810" s="175"/>
      <c r="W810" s="176"/>
      <c r="X810" s="177"/>
      <c r="Z810" s="167"/>
      <c r="AA810" s="167"/>
    </row>
    <row r="811" spans="1:27" s="166" customFormat="1" ht="15" customHeight="1">
      <c r="A811" s="226"/>
      <c r="B811" s="224" t="s">
        <v>407</v>
      </c>
      <c r="C811" s="502"/>
      <c r="D811" s="212"/>
      <c r="E811" s="212"/>
      <c r="F811" s="212"/>
      <c r="G811" s="212"/>
      <c r="H811" s="212" t="e">
        <f t="shared" si="122"/>
        <v>#DIV/0!</v>
      </c>
      <c r="I811" s="279" t="e">
        <f t="shared" si="122"/>
        <v>#DIV/0!</v>
      </c>
      <c r="J811" s="245"/>
      <c r="K811" s="351"/>
      <c r="L811" s="173"/>
      <c r="M811" s="212"/>
      <c r="N811" s="175"/>
      <c r="O811" s="634">
        <f t="shared" si="123"/>
        <v>360</v>
      </c>
      <c r="P811" s="269" t="e">
        <f t="shared" si="120"/>
        <v>#DIV/0!</v>
      </c>
      <c r="Q811" s="263" t="e">
        <f t="shared" si="121"/>
        <v>#DIV/0!</v>
      </c>
      <c r="R811" s="174"/>
      <c r="S811" s="174"/>
      <c r="T811" s="174"/>
      <c r="U811" s="174"/>
      <c r="V811" s="175"/>
      <c r="W811" s="176"/>
      <c r="X811" s="177"/>
      <c r="Z811" s="167"/>
      <c r="AA811" s="167"/>
    </row>
    <row r="812" spans="1:27" s="166" customFormat="1" ht="15" customHeight="1">
      <c r="A812" s="226"/>
      <c r="B812" s="224" t="s">
        <v>408</v>
      </c>
      <c r="C812" s="502"/>
      <c r="D812" s="212"/>
      <c r="E812" s="212"/>
      <c r="F812" s="212"/>
      <c r="G812" s="212"/>
      <c r="H812" s="212" t="e">
        <f t="shared" si="122"/>
        <v>#DIV/0!</v>
      </c>
      <c r="I812" s="279" t="e">
        <f t="shared" si="122"/>
        <v>#DIV/0!</v>
      </c>
      <c r="J812" s="245"/>
      <c r="K812" s="351"/>
      <c r="L812" s="173"/>
      <c r="M812" s="212"/>
      <c r="N812" s="175"/>
      <c r="O812" s="634">
        <f t="shared" si="123"/>
        <v>360</v>
      </c>
      <c r="P812" s="269" t="e">
        <f t="shared" si="120"/>
        <v>#DIV/0!</v>
      </c>
      <c r="Q812" s="263" t="e">
        <f t="shared" si="121"/>
        <v>#DIV/0!</v>
      </c>
      <c r="R812" s="174"/>
      <c r="S812" s="174"/>
      <c r="T812" s="174"/>
      <c r="U812" s="174"/>
      <c r="V812" s="175"/>
      <c r="W812" s="176"/>
      <c r="X812" s="177"/>
      <c r="Z812" s="167"/>
      <c r="AA812" s="167"/>
    </row>
    <row r="813" spans="1:27" s="166" customFormat="1" ht="15" customHeight="1">
      <c r="A813" s="226"/>
      <c r="B813" s="224" t="s">
        <v>409</v>
      </c>
      <c r="C813" s="502"/>
      <c r="D813" s="212"/>
      <c r="E813" s="212"/>
      <c r="F813" s="212"/>
      <c r="G813" s="212"/>
      <c r="H813" s="212" t="e">
        <f t="shared" ref="H813:I828" si="124">H812</f>
        <v>#DIV/0!</v>
      </c>
      <c r="I813" s="279" t="e">
        <f t="shared" si="124"/>
        <v>#DIV/0!</v>
      </c>
      <c r="J813" s="245"/>
      <c r="K813" s="351"/>
      <c r="L813" s="173"/>
      <c r="M813" s="212"/>
      <c r="N813" s="175"/>
      <c r="O813" s="634">
        <f t="shared" si="123"/>
        <v>360</v>
      </c>
      <c r="P813" s="269" t="e">
        <f t="shared" si="120"/>
        <v>#DIV/0!</v>
      </c>
      <c r="Q813" s="263" t="e">
        <f t="shared" si="121"/>
        <v>#DIV/0!</v>
      </c>
      <c r="R813" s="174"/>
      <c r="S813" s="174"/>
      <c r="T813" s="174"/>
      <c r="U813" s="174"/>
      <c r="V813" s="175"/>
      <c r="W813" s="176"/>
      <c r="X813" s="177"/>
      <c r="Z813" s="167"/>
      <c r="AA813" s="167"/>
    </row>
    <row r="814" spans="1:27" s="166" customFormat="1" ht="15" customHeight="1">
      <c r="A814" s="226"/>
      <c r="B814" s="224" t="s">
        <v>410</v>
      </c>
      <c r="C814" s="502"/>
      <c r="D814" s="212"/>
      <c r="E814" s="212"/>
      <c r="F814" s="212"/>
      <c r="G814" s="212"/>
      <c r="H814" s="212" t="e">
        <f t="shared" si="124"/>
        <v>#DIV/0!</v>
      </c>
      <c r="I814" s="279" t="e">
        <f t="shared" si="124"/>
        <v>#DIV/0!</v>
      </c>
      <c r="J814" s="245"/>
      <c r="K814" s="351"/>
      <c r="L814" s="173"/>
      <c r="M814" s="212"/>
      <c r="N814" s="175"/>
      <c r="O814" s="634">
        <f t="shared" si="123"/>
        <v>360</v>
      </c>
      <c r="P814" s="269" t="e">
        <f t="shared" si="120"/>
        <v>#DIV/0!</v>
      </c>
      <c r="Q814" s="263" t="e">
        <f t="shared" si="121"/>
        <v>#DIV/0!</v>
      </c>
      <c r="R814" s="174"/>
      <c r="S814" s="174"/>
      <c r="T814" s="174"/>
      <c r="U814" s="174"/>
      <c r="V814" s="175"/>
      <c r="W814" s="176"/>
      <c r="X814" s="177"/>
      <c r="Z814" s="167"/>
      <c r="AA814" s="167"/>
    </row>
    <row r="815" spans="1:27" s="166" customFormat="1" ht="15" customHeight="1">
      <c r="A815" s="226"/>
      <c r="B815" s="224" t="s">
        <v>411</v>
      </c>
      <c r="C815" s="502"/>
      <c r="D815" s="212"/>
      <c r="E815" s="212"/>
      <c r="F815" s="212"/>
      <c r="G815" s="212"/>
      <c r="H815" s="212" t="e">
        <f t="shared" si="124"/>
        <v>#DIV/0!</v>
      </c>
      <c r="I815" s="279" t="e">
        <f t="shared" si="124"/>
        <v>#DIV/0!</v>
      </c>
      <c r="J815" s="245"/>
      <c r="K815" s="351"/>
      <c r="L815" s="173"/>
      <c r="M815" s="212"/>
      <c r="N815" s="175"/>
      <c r="O815" s="634">
        <f t="shared" si="123"/>
        <v>360</v>
      </c>
      <c r="P815" s="269" t="e">
        <f t="shared" si="120"/>
        <v>#DIV/0!</v>
      </c>
      <c r="Q815" s="263" t="e">
        <f t="shared" si="121"/>
        <v>#DIV/0!</v>
      </c>
      <c r="R815" s="174"/>
      <c r="S815" s="174"/>
      <c r="T815" s="174"/>
      <c r="U815" s="174"/>
      <c r="V815" s="175"/>
      <c r="W815" s="176"/>
      <c r="X815" s="177"/>
      <c r="Z815" s="167"/>
      <c r="AA815" s="167"/>
    </row>
    <row r="816" spans="1:27" s="166" customFormat="1" ht="15" customHeight="1">
      <c r="A816" s="226"/>
      <c r="B816" s="224" t="s">
        <v>412</v>
      </c>
      <c r="C816" s="502"/>
      <c r="D816" s="212"/>
      <c r="E816" s="212"/>
      <c r="F816" s="212"/>
      <c r="G816" s="212"/>
      <c r="H816" s="212" t="e">
        <f t="shared" si="124"/>
        <v>#DIV/0!</v>
      </c>
      <c r="I816" s="279" t="e">
        <f t="shared" si="124"/>
        <v>#DIV/0!</v>
      </c>
      <c r="J816" s="245"/>
      <c r="K816" s="351"/>
      <c r="L816" s="173"/>
      <c r="M816" s="212"/>
      <c r="N816" s="175"/>
      <c r="O816" s="634">
        <f t="shared" si="123"/>
        <v>360</v>
      </c>
      <c r="P816" s="269" t="e">
        <f t="shared" si="120"/>
        <v>#DIV/0!</v>
      </c>
      <c r="Q816" s="263" t="e">
        <f t="shared" si="121"/>
        <v>#DIV/0!</v>
      </c>
      <c r="R816" s="174"/>
      <c r="S816" s="174"/>
      <c r="T816" s="174"/>
      <c r="U816" s="174"/>
      <c r="V816" s="175"/>
      <c r="W816" s="176"/>
      <c r="X816" s="177"/>
      <c r="Z816" s="167"/>
      <c r="AA816" s="167"/>
    </row>
    <row r="817" spans="1:27" s="166" customFormat="1" ht="15" customHeight="1">
      <c r="A817" s="226"/>
      <c r="B817" s="224" t="s">
        <v>413</v>
      </c>
      <c r="C817" s="502"/>
      <c r="D817" s="212"/>
      <c r="E817" s="212"/>
      <c r="F817" s="212"/>
      <c r="G817" s="212"/>
      <c r="H817" s="212" t="e">
        <f t="shared" si="124"/>
        <v>#DIV/0!</v>
      </c>
      <c r="I817" s="279" t="e">
        <f t="shared" si="124"/>
        <v>#DIV/0!</v>
      </c>
      <c r="J817" s="245"/>
      <c r="K817" s="351"/>
      <c r="L817" s="173"/>
      <c r="M817" s="212"/>
      <c r="N817" s="175"/>
      <c r="O817" s="634">
        <f t="shared" si="123"/>
        <v>360</v>
      </c>
      <c r="P817" s="269" t="e">
        <f t="shared" si="120"/>
        <v>#DIV/0!</v>
      </c>
      <c r="Q817" s="263" t="e">
        <f t="shared" si="121"/>
        <v>#DIV/0!</v>
      </c>
      <c r="R817" s="174"/>
      <c r="S817" s="174"/>
      <c r="T817" s="174"/>
      <c r="U817" s="174"/>
      <c r="V817" s="175"/>
      <c r="W817" s="176"/>
      <c r="X817" s="177"/>
      <c r="Z817" s="167"/>
      <c r="AA817" s="167"/>
    </row>
    <row r="818" spans="1:27" s="166" customFormat="1" ht="15" customHeight="1">
      <c r="A818" s="226"/>
      <c r="B818" s="224" t="s">
        <v>414</v>
      </c>
      <c r="C818" s="502"/>
      <c r="D818" s="212"/>
      <c r="E818" s="212"/>
      <c r="F818" s="212"/>
      <c r="G818" s="212"/>
      <c r="H818" s="212" t="e">
        <f t="shared" si="124"/>
        <v>#DIV/0!</v>
      </c>
      <c r="I818" s="279" t="e">
        <f t="shared" si="124"/>
        <v>#DIV/0!</v>
      </c>
      <c r="J818" s="245"/>
      <c r="K818" s="351"/>
      <c r="L818" s="173"/>
      <c r="M818" s="212"/>
      <c r="N818" s="175"/>
      <c r="O818" s="634">
        <f t="shared" si="123"/>
        <v>360</v>
      </c>
      <c r="P818" s="269" t="e">
        <f t="shared" si="120"/>
        <v>#DIV/0!</v>
      </c>
      <c r="Q818" s="263" t="e">
        <f t="shared" si="121"/>
        <v>#DIV/0!</v>
      </c>
      <c r="R818" s="174"/>
      <c r="S818" s="174"/>
      <c r="T818" s="174"/>
      <c r="U818" s="174"/>
      <c r="V818" s="175"/>
      <c r="W818" s="176"/>
      <c r="X818" s="177"/>
      <c r="Z818" s="167"/>
      <c r="AA818" s="167"/>
    </row>
    <row r="819" spans="1:27" s="166" customFormat="1" ht="15" customHeight="1">
      <c r="A819" s="226"/>
      <c r="B819" s="224" t="s">
        <v>415</v>
      </c>
      <c r="C819" s="502"/>
      <c r="D819" s="212"/>
      <c r="E819" s="212"/>
      <c r="F819" s="212"/>
      <c r="G819" s="212"/>
      <c r="H819" s="212" t="e">
        <f t="shared" si="124"/>
        <v>#DIV/0!</v>
      </c>
      <c r="I819" s="279" t="e">
        <f t="shared" si="124"/>
        <v>#DIV/0!</v>
      </c>
      <c r="J819" s="245"/>
      <c r="K819" s="351"/>
      <c r="L819" s="173"/>
      <c r="M819" s="212"/>
      <c r="N819" s="175"/>
      <c r="O819" s="634">
        <f t="shared" si="123"/>
        <v>360</v>
      </c>
      <c r="P819" s="269" t="e">
        <f t="shared" si="120"/>
        <v>#DIV/0!</v>
      </c>
      <c r="Q819" s="263" t="e">
        <f t="shared" si="121"/>
        <v>#DIV/0!</v>
      </c>
      <c r="R819" s="174"/>
      <c r="S819" s="174"/>
      <c r="T819" s="174"/>
      <c r="U819" s="174"/>
      <c r="V819" s="175"/>
      <c r="W819" s="176"/>
      <c r="X819" s="177"/>
      <c r="Z819" s="167"/>
      <c r="AA819" s="167"/>
    </row>
    <row r="820" spans="1:27" s="166" customFormat="1" ht="15" customHeight="1">
      <c r="A820" s="226"/>
      <c r="B820" s="224" t="s">
        <v>416</v>
      </c>
      <c r="C820" s="502"/>
      <c r="D820" s="212"/>
      <c r="E820" s="212"/>
      <c r="F820" s="212"/>
      <c r="G820" s="212"/>
      <c r="H820" s="212" t="e">
        <f t="shared" si="124"/>
        <v>#DIV/0!</v>
      </c>
      <c r="I820" s="279" t="e">
        <f t="shared" si="124"/>
        <v>#DIV/0!</v>
      </c>
      <c r="J820" s="245"/>
      <c r="K820" s="351"/>
      <c r="L820" s="173"/>
      <c r="M820" s="212"/>
      <c r="N820" s="175"/>
      <c r="O820" s="634">
        <f t="shared" si="123"/>
        <v>360</v>
      </c>
      <c r="P820" s="269" t="e">
        <f t="shared" si="120"/>
        <v>#DIV/0!</v>
      </c>
      <c r="Q820" s="263" t="e">
        <f t="shared" si="121"/>
        <v>#DIV/0!</v>
      </c>
      <c r="R820" s="174"/>
      <c r="S820" s="174"/>
      <c r="T820" s="174"/>
      <c r="U820" s="174"/>
      <c r="V820" s="175"/>
      <c r="W820" s="176"/>
      <c r="X820" s="177"/>
      <c r="Z820" s="167"/>
      <c r="AA820" s="167"/>
    </row>
    <row r="821" spans="1:27" s="166" customFormat="1" ht="15" customHeight="1">
      <c r="A821" s="226"/>
      <c r="B821" s="224" t="s">
        <v>417</v>
      </c>
      <c r="C821" s="502"/>
      <c r="D821" s="212"/>
      <c r="E821" s="212"/>
      <c r="F821" s="212"/>
      <c r="G821" s="212"/>
      <c r="H821" s="212" t="e">
        <f t="shared" si="124"/>
        <v>#DIV/0!</v>
      </c>
      <c r="I821" s="279" t="e">
        <f t="shared" si="124"/>
        <v>#DIV/0!</v>
      </c>
      <c r="J821" s="245"/>
      <c r="K821" s="351"/>
      <c r="L821" s="173"/>
      <c r="M821" s="212"/>
      <c r="N821" s="175"/>
      <c r="O821" s="634">
        <f t="shared" si="123"/>
        <v>360</v>
      </c>
      <c r="P821" s="269" t="e">
        <f t="shared" si="120"/>
        <v>#DIV/0!</v>
      </c>
      <c r="Q821" s="263" t="e">
        <f t="shared" si="121"/>
        <v>#DIV/0!</v>
      </c>
      <c r="R821" s="174"/>
      <c r="S821" s="174"/>
      <c r="T821" s="174"/>
      <c r="U821" s="174"/>
      <c r="V821" s="175"/>
      <c r="W821" s="176"/>
      <c r="X821" s="177"/>
      <c r="Z821" s="167"/>
      <c r="AA821" s="167"/>
    </row>
    <row r="822" spans="1:27" s="166" customFormat="1" ht="15" customHeight="1">
      <c r="A822" s="226"/>
      <c r="B822" s="224" t="s">
        <v>418</v>
      </c>
      <c r="C822" s="502"/>
      <c r="D822" s="212"/>
      <c r="E822" s="212"/>
      <c r="F822" s="212"/>
      <c r="G822" s="212"/>
      <c r="H822" s="212" t="e">
        <f t="shared" si="124"/>
        <v>#DIV/0!</v>
      </c>
      <c r="I822" s="279" t="e">
        <f t="shared" si="124"/>
        <v>#DIV/0!</v>
      </c>
      <c r="J822" s="245"/>
      <c r="K822" s="351"/>
      <c r="L822" s="173"/>
      <c r="M822" s="212"/>
      <c r="N822" s="175"/>
      <c r="O822" s="634">
        <f t="shared" si="123"/>
        <v>360</v>
      </c>
      <c r="P822" s="269" t="e">
        <f t="shared" si="120"/>
        <v>#DIV/0!</v>
      </c>
      <c r="Q822" s="263" t="e">
        <f t="shared" si="121"/>
        <v>#DIV/0!</v>
      </c>
      <c r="R822" s="174"/>
      <c r="S822" s="174"/>
      <c r="T822" s="174"/>
      <c r="U822" s="174"/>
      <c r="V822" s="175"/>
      <c r="W822" s="176"/>
      <c r="X822" s="177"/>
      <c r="Z822" s="167"/>
      <c r="AA822" s="167"/>
    </row>
    <row r="823" spans="1:27" s="166" customFormat="1" ht="15" customHeight="1">
      <c r="A823" s="226"/>
      <c r="B823" s="224" t="s">
        <v>419</v>
      </c>
      <c r="C823" s="502"/>
      <c r="D823" s="212"/>
      <c r="E823" s="212"/>
      <c r="F823" s="212"/>
      <c r="G823" s="212"/>
      <c r="H823" s="212" t="e">
        <f t="shared" si="124"/>
        <v>#DIV/0!</v>
      </c>
      <c r="I823" s="279" t="e">
        <f t="shared" si="124"/>
        <v>#DIV/0!</v>
      </c>
      <c r="J823" s="245"/>
      <c r="K823" s="351"/>
      <c r="L823" s="173"/>
      <c r="M823" s="212"/>
      <c r="N823" s="175"/>
      <c r="O823" s="634">
        <f t="shared" si="123"/>
        <v>360</v>
      </c>
      <c r="P823" s="269" t="e">
        <f t="shared" si="120"/>
        <v>#DIV/0!</v>
      </c>
      <c r="Q823" s="263" t="e">
        <f t="shared" si="121"/>
        <v>#DIV/0!</v>
      </c>
      <c r="R823" s="174"/>
      <c r="S823" s="174"/>
      <c r="T823" s="174"/>
      <c r="U823" s="174"/>
      <c r="V823" s="175"/>
      <c r="W823" s="176"/>
      <c r="X823" s="177"/>
      <c r="Z823" s="167"/>
      <c r="AA823" s="167"/>
    </row>
    <row r="824" spans="1:27" s="166" customFormat="1" ht="15" customHeight="1">
      <c r="A824" s="226"/>
      <c r="B824" s="224" t="s">
        <v>420</v>
      </c>
      <c r="C824" s="502"/>
      <c r="D824" s="212"/>
      <c r="E824" s="212"/>
      <c r="F824" s="212"/>
      <c r="G824" s="212"/>
      <c r="H824" s="212" t="e">
        <f t="shared" si="124"/>
        <v>#DIV/0!</v>
      </c>
      <c r="I824" s="279" t="e">
        <f t="shared" si="124"/>
        <v>#DIV/0!</v>
      </c>
      <c r="J824" s="245"/>
      <c r="K824" s="351"/>
      <c r="L824" s="173"/>
      <c r="M824" s="212"/>
      <c r="N824" s="175"/>
      <c r="O824" s="634">
        <f t="shared" si="123"/>
        <v>360</v>
      </c>
      <c r="P824" s="269" t="e">
        <f t="shared" si="120"/>
        <v>#DIV/0!</v>
      </c>
      <c r="Q824" s="263" t="e">
        <f t="shared" si="121"/>
        <v>#DIV/0!</v>
      </c>
      <c r="R824" s="174"/>
      <c r="S824" s="174"/>
      <c r="T824" s="174"/>
      <c r="U824" s="174"/>
      <c r="V824" s="175"/>
      <c r="W824" s="176"/>
      <c r="X824" s="177"/>
      <c r="Z824" s="167"/>
      <c r="AA824" s="167"/>
    </row>
    <row r="825" spans="1:27" s="166" customFormat="1" ht="15" customHeight="1">
      <c r="A825" s="226"/>
      <c r="B825" s="224" t="s">
        <v>990</v>
      </c>
      <c r="C825" s="502"/>
      <c r="D825" s="212"/>
      <c r="E825" s="212"/>
      <c r="F825" s="212"/>
      <c r="G825" s="212"/>
      <c r="H825" s="212" t="e">
        <f t="shared" si="124"/>
        <v>#DIV/0!</v>
      </c>
      <c r="I825" s="279" t="e">
        <f t="shared" si="124"/>
        <v>#DIV/0!</v>
      </c>
      <c r="J825" s="245"/>
      <c r="K825" s="351"/>
      <c r="L825" s="173"/>
      <c r="M825" s="212"/>
      <c r="N825" s="175"/>
      <c r="O825" s="634">
        <f t="shared" si="123"/>
        <v>360</v>
      </c>
      <c r="P825" s="269" t="e">
        <f t="shared" si="120"/>
        <v>#DIV/0!</v>
      </c>
      <c r="Q825" s="263" t="e">
        <f t="shared" si="121"/>
        <v>#DIV/0!</v>
      </c>
      <c r="R825" s="174"/>
      <c r="S825" s="174"/>
      <c r="T825" s="174"/>
      <c r="U825" s="174"/>
      <c r="V825" s="175"/>
      <c r="W825" s="176"/>
      <c r="X825" s="177"/>
      <c r="Z825" s="167"/>
      <c r="AA825" s="167"/>
    </row>
    <row r="826" spans="1:27" s="166" customFormat="1" ht="15" customHeight="1">
      <c r="A826" s="226"/>
      <c r="B826" s="224" t="s">
        <v>991</v>
      </c>
      <c r="C826" s="502"/>
      <c r="D826" s="212"/>
      <c r="E826" s="212"/>
      <c r="F826" s="212"/>
      <c r="G826" s="212"/>
      <c r="H826" s="212" t="e">
        <f t="shared" si="124"/>
        <v>#DIV/0!</v>
      </c>
      <c r="I826" s="279" t="e">
        <f t="shared" si="124"/>
        <v>#DIV/0!</v>
      </c>
      <c r="J826" s="245"/>
      <c r="K826" s="351"/>
      <c r="L826" s="173"/>
      <c r="M826" s="212"/>
      <c r="N826" s="175"/>
      <c r="O826" s="634">
        <f t="shared" si="123"/>
        <v>360</v>
      </c>
      <c r="P826" s="269" t="e">
        <f t="shared" si="120"/>
        <v>#DIV/0!</v>
      </c>
      <c r="Q826" s="263" t="e">
        <f t="shared" si="121"/>
        <v>#DIV/0!</v>
      </c>
      <c r="R826" s="174"/>
      <c r="S826" s="174"/>
      <c r="T826" s="174"/>
      <c r="U826" s="174"/>
      <c r="V826" s="175"/>
      <c r="W826" s="176"/>
      <c r="X826" s="177"/>
      <c r="Z826" s="167"/>
      <c r="AA826" s="167"/>
    </row>
    <row r="827" spans="1:27" s="166" customFormat="1" ht="15" customHeight="1">
      <c r="A827" s="226"/>
      <c r="B827" s="224" t="s">
        <v>992</v>
      </c>
      <c r="C827" s="502"/>
      <c r="D827" s="212"/>
      <c r="E827" s="212"/>
      <c r="F827" s="212"/>
      <c r="G827" s="212"/>
      <c r="H827" s="212" t="e">
        <f t="shared" si="124"/>
        <v>#DIV/0!</v>
      </c>
      <c r="I827" s="279" t="e">
        <f t="shared" si="124"/>
        <v>#DIV/0!</v>
      </c>
      <c r="J827" s="245"/>
      <c r="K827" s="351"/>
      <c r="L827" s="173"/>
      <c r="M827" s="212"/>
      <c r="N827" s="175"/>
      <c r="O827" s="634">
        <f t="shared" si="123"/>
        <v>360</v>
      </c>
      <c r="P827" s="269" t="e">
        <f t="shared" si="120"/>
        <v>#DIV/0!</v>
      </c>
      <c r="Q827" s="263" t="e">
        <f t="shared" si="121"/>
        <v>#DIV/0!</v>
      </c>
      <c r="R827" s="174"/>
      <c r="S827" s="174"/>
      <c r="T827" s="174"/>
      <c r="U827" s="174"/>
      <c r="V827" s="175"/>
      <c r="W827" s="176"/>
      <c r="X827" s="177"/>
      <c r="Z827" s="167"/>
      <c r="AA827" s="167"/>
    </row>
    <row r="828" spans="1:27" s="166" customFormat="1" ht="15" customHeight="1">
      <c r="A828" s="226"/>
      <c r="B828" s="224" t="s">
        <v>993</v>
      </c>
      <c r="C828" s="502"/>
      <c r="D828" s="212"/>
      <c r="E828" s="212"/>
      <c r="F828" s="212"/>
      <c r="G828" s="212"/>
      <c r="H828" s="212" t="e">
        <f t="shared" si="124"/>
        <v>#DIV/0!</v>
      </c>
      <c r="I828" s="279" t="e">
        <f t="shared" si="124"/>
        <v>#DIV/0!</v>
      </c>
      <c r="J828" s="245"/>
      <c r="K828" s="351"/>
      <c r="L828" s="173"/>
      <c r="M828" s="212"/>
      <c r="N828" s="175"/>
      <c r="O828" s="634">
        <f t="shared" si="123"/>
        <v>360</v>
      </c>
      <c r="P828" s="269" t="e">
        <f t="shared" si="120"/>
        <v>#DIV/0!</v>
      </c>
      <c r="Q828" s="263" t="e">
        <f t="shared" si="121"/>
        <v>#DIV/0!</v>
      </c>
      <c r="R828" s="174"/>
      <c r="S828" s="174"/>
      <c r="T828" s="174"/>
      <c r="U828" s="174"/>
      <c r="V828" s="175"/>
      <c r="W828" s="176"/>
      <c r="X828" s="177"/>
      <c r="Z828" s="167"/>
    </row>
    <row r="829" spans="1:27" s="166" customFormat="1" ht="15" customHeight="1">
      <c r="A829" s="226"/>
      <c r="B829" s="224" t="s">
        <v>994</v>
      </c>
      <c r="C829" s="502"/>
      <c r="D829" s="212"/>
      <c r="E829" s="212"/>
      <c r="F829" s="212"/>
      <c r="G829" s="212"/>
      <c r="H829" s="212" t="e">
        <f t="shared" ref="H829:I843" si="125">H828</f>
        <v>#DIV/0!</v>
      </c>
      <c r="I829" s="279" t="e">
        <f t="shared" si="125"/>
        <v>#DIV/0!</v>
      </c>
      <c r="J829" s="245"/>
      <c r="K829" s="351"/>
      <c r="L829" s="173"/>
      <c r="M829" s="212"/>
      <c r="N829" s="175"/>
      <c r="O829" s="634">
        <f t="shared" si="123"/>
        <v>360</v>
      </c>
      <c r="P829" s="269" t="e">
        <f t="shared" si="120"/>
        <v>#DIV/0!</v>
      </c>
      <c r="Q829" s="263" t="e">
        <f t="shared" si="121"/>
        <v>#DIV/0!</v>
      </c>
      <c r="R829" s="174"/>
      <c r="S829" s="174"/>
      <c r="T829" s="174"/>
      <c r="U829" s="174"/>
      <c r="V829" s="175"/>
      <c r="W829" s="176"/>
      <c r="X829" s="177"/>
      <c r="Z829" s="167"/>
    </row>
    <row r="830" spans="1:27" s="166" customFormat="1" ht="15" customHeight="1">
      <c r="A830" s="226"/>
      <c r="B830" s="224" t="s">
        <v>995</v>
      </c>
      <c r="C830" s="502"/>
      <c r="D830" s="212"/>
      <c r="E830" s="212"/>
      <c r="F830" s="212"/>
      <c r="G830" s="212"/>
      <c r="H830" s="212" t="e">
        <f t="shared" si="125"/>
        <v>#DIV/0!</v>
      </c>
      <c r="I830" s="279" t="e">
        <f t="shared" si="125"/>
        <v>#DIV/0!</v>
      </c>
      <c r="J830" s="245"/>
      <c r="K830" s="351"/>
      <c r="L830" s="173"/>
      <c r="M830" s="212"/>
      <c r="N830" s="175"/>
      <c r="O830" s="634">
        <f t="shared" si="123"/>
        <v>360</v>
      </c>
      <c r="P830" s="269" t="e">
        <f t="shared" si="120"/>
        <v>#DIV/0!</v>
      </c>
      <c r="Q830" s="263" t="e">
        <f t="shared" si="121"/>
        <v>#DIV/0!</v>
      </c>
      <c r="R830" s="174"/>
      <c r="S830" s="174"/>
      <c r="T830" s="174"/>
      <c r="U830" s="174"/>
      <c r="V830" s="175"/>
      <c r="W830" s="176"/>
      <c r="X830" s="177"/>
      <c r="Z830" s="167"/>
    </row>
    <row r="831" spans="1:27" s="166" customFormat="1" ht="15" customHeight="1">
      <c r="A831" s="226"/>
      <c r="B831" s="224" t="s">
        <v>996</v>
      </c>
      <c r="C831" s="502"/>
      <c r="D831" s="212"/>
      <c r="E831" s="212"/>
      <c r="F831" s="212"/>
      <c r="G831" s="212"/>
      <c r="H831" s="212" t="e">
        <f t="shared" si="125"/>
        <v>#DIV/0!</v>
      </c>
      <c r="I831" s="279" t="e">
        <f t="shared" si="125"/>
        <v>#DIV/0!</v>
      </c>
      <c r="J831" s="245"/>
      <c r="K831" s="351"/>
      <c r="L831" s="173"/>
      <c r="M831" s="212"/>
      <c r="N831" s="175"/>
      <c r="O831" s="634">
        <f t="shared" si="123"/>
        <v>360</v>
      </c>
      <c r="P831" s="269" t="e">
        <f t="shared" si="120"/>
        <v>#DIV/0!</v>
      </c>
      <c r="Q831" s="263" t="e">
        <f t="shared" si="121"/>
        <v>#DIV/0!</v>
      </c>
      <c r="R831" s="174"/>
      <c r="S831" s="174"/>
      <c r="T831" s="174"/>
      <c r="U831" s="174"/>
      <c r="V831" s="175"/>
      <c r="W831" s="176"/>
      <c r="X831" s="177"/>
      <c r="Z831" s="167"/>
    </row>
    <row r="832" spans="1:27" s="166" customFormat="1" ht="15" customHeight="1">
      <c r="A832" s="226"/>
      <c r="B832" s="224" t="s">
        <v>997</v>
      </c>
      <c r="C832" s="502"/>
      <c r="D832" s="212"/>
      <c r="E832" s="212"/>
      <c r="F832" s="212"/>
      <c r="G832" s="212"/>
      <c r="H832" s="212" t="e">
        <f t="shared" si="125"/>
        <v>#DIV/0!</v>
      </c>
      <c r="I832" s="279" t="e">
        <f t="shared" si="125"/>
        <v>#DIV/0!</v>
      </c>
      <c r="J832" s="245"/>
      <c r="K832" s="351"/>
      <c r="L832" s="173"/>
      <c r="M832" s="212"/>
      <c r="N832" s="175"/>
      <c r="O832" s="634">
        <f t="shared" si="123"/>
        <v>360</v>
      </c>
      <c r="P832" s="269" t="e">
        <f t="shared" si="120"/>
        <v>#DIV/0!</v>
      </c>
      <c r="Q832" s="263" t="e">
        <f t="shared" si="121"/>
        <v>#DIV/0!</v>
      </c>
      <c r="R832" s="174"/>
      <c r="S832" s="174"/>
      <c r="T832" s="174"/>
      <c r="U832" s="174"/>
      <c r="V832" s="175"/>
      <c r="W832" s="176"/>
      <c r="X832" s="177"/>
      <c r="Z832" s="167"/>
    </row>
    <row r="833" spans="1:28" s="166" customFormat="1" ht="15" customHeight="1">
      <c r="A833" s="226"/>
      <c r="B833" s="224" t="s">
        <v>998</v>
      </c>
      <c r="C833" s="502"/>
      <c r="D833" s="212"/>
      <c r="E833" s="212"/>
      <c r="F833" s="212"/>
      <c r="G833" s="212"/>
      <c r="H833" s="212" t="e">
        <f t="shared" si="125"/>
        <v>#DIV/0!</v>
      </c>
      <c r="I833" s="279" t="e">
        <f t="shared" si="125"/>
        <v>#DIV/0!</v>
      </c>
      <c r="J833" s="245"/>
      <c r="K833" s="351"/>
      <c r="L833" s="173"/>
      <c r="M833" s="212"/>
      <c r="N833" s="175"/>
      <c r="O833" s="634">
        <f t="shared" si="123"/>
        <v>360</v>
      </c>
      <c r="P833" s="269" t="e">
        <f t="shared" si="120"/>
        <v>#DIV/0!</v>
      </c>
      <c r="Q833" s="263" t="e">
        <f t="shared" si="121"/>
        <v>#DIV/0!</v>
      </c>
      <c r="R833" s="174"/>
      <c r="S833" s="174"/>
      <c r="T833" s="174"/>
      <c r="U833" s="174"/>
      <c r="V833" s="175"/>
      <c r="W833" s="176"/>
      <c r="X833" s="177"/>
      <c r="Z833" s="167"/>
    </row>
    <row r="834" spans="1:28" s="166" customFormat="1" ht="15" customHeight="1">
      <c r="A834" s="226"/>
      <c r="B834" s="224" t="s">
        <v>999</v>
      </c>
      <c r="C834" s="502"/>
      <c r="D834" s="212"/>
      <c r="E834" s="212"/>
      <c r="F834" s="212"/>
      <c r="G834" s="212"/>
      <c r="H834" s="212" t="e">
        <f t="shared" si="125"/>
        <v>#DIV/0!</v>
      </c>
      <c r="I834" s="279" t="e">
        <f t="shared" si="125"/>
        <v>#DIV/0!</v>
      </c>
      <c r="J834" s="245"/>
      <c r="K834" s="351"/>
      <c r="L834" s="173"/>
      <c r="M834" s="212"/>
      <c r="N834" s="175"/>
      <c r="O834" s="634">
        <f t="shared" si="123"/>
        <v>360</v>
      </c>
      <c r="P834" s="269" t="e">
        <f t="shared" si="120"/>
        <v>#DIV/0!</v>
      </c>
      <c r="Q834" s="263" t="e">
        <f t="shared" si="121"/>
        <v>#DIV/0!</v>
      </c>
      <c r="R834" s="174"/>
      <c r="S834" s="174"/>
      <c r="T834" s="174"/>
      <c r="U834" s="174"/>
      <c r="V834" s="175"/>
      <c r="W834" s="176"/>
      <c r="X834" s="177"/>
      <c r="Z834" s="167"/>
    </row>
    <row r="835" spans="1:28" s="166" customFormat="1" ht="15" customHeight="1">
      <c r="A835" s="226"/>
      <c r="B835" s="224" t="s">
        <v>1000</v>
      </c>
      <c r="C835" s="502"/>
      <c r="D835" s="212"/>
      <c r="E835" s="212"/>
      <c r="F835" s="212"/>
      <c r="G835" s="212"/>
      <c r="H835" s="212" t="e">
        <f t="shared" si="125"/>
        <v>#DIV/0!</v>
      </c>
      <c r="I835" s="279" t="e">
        <f t="shared" si="125"/>
        <v>#DIV/0!</v>
      </c>
      <c r="J835" s="245"/>
      <c r="K835" s="351"/>
      <c r="L835" s="173"/>
      <c r="M835" s="212"/>
      <c r="N835" s="175"/>
      <c r="O835" s="634">
        <f t="shared" si="123"/>
        <v>360</v>
      </c>
      <c r="P835" s="269" t="e">
        <f t="shared" si="120"/>
        <v>#DIV/0!</v>
      </c>
      <c r="Q835" s="263" t="e">
        <f t="shared" si="121"/>
        <v>#DIV/0!</v>
      </c>
      <c r="R835" s="174"/>
      <c r="S835" s="174"/>
      <c r="T835" s="174"/>
      <c r="U835" s="174"/>
      <c r="V835" s="175"/>
      <c r="W835" s="176"/>
      <c r="X835" s="177"/>
      <c r="Z835" s="167"/>
    </row>
    <row r="836" spans="1:28" s="166" customFormat="1" ht="15" customHeight="1">
      <c r="A836" s="226"/>
      <c r="B836" s="224" t="s">
        <v>1001</v>
      </c>
      <c r="C836" s="502"/>
      <c r="D836" s="212"/>
      <c r="E836" s="212"/>
      <c r="F836" s="212"/>
      <c r="G836" s="212"/>
      <c r="H836" s="212" t="e">
        <f t="shared" si="125"/>
        <v>#DIV/0!</v>
      </c>
      <c r="I836" s="279" t="e">
        <f t="shared" si="125"/>
        <v>#DIV/0!</v>
      </c>
      <c r="J836" s="245"/>
      <c r="K836" s="351"/>
      <c r="L836" s="173"/>
      <c r="M836" s="212"/>
      <c r="N836" s="175"/>
      <c r="O836" s="634">
        <f t="shared" si="123"/>
        <v>360</v>
      </c>
      <c r="P836" s="269" t="e">
        <f t="shared" si="120"/>
        <v>#DIV/0!</v>
      </c>
      <c r="Q836" s="263" t="e">
        <f t="shared" si="121"/>
        <v>#DIV/0!</v>
      </c>
      <c r="R836" s="174"/>
      <c r="S836" s="174"/>
      <c r="T836" s="174"/>
      <c r="U836" s="174"/>
      <c r="V836" s="175"/>
      <c r="W836" s="176"/>
      <c r="X836" s="177"/>
      <c r="Z836" s="167"/>
    </row>
    <row r="837" spans="1:28" s="166" customFormat="1" ht="15" customHeight="1">
      <c r="A837" s="226"/>
      <c r="B837" s="224" t="s">
        <v>1002</v>
      </c>
      <c r="C837" s="502"/>
      <c r="D837" s="212"/>
      <c r="E837" s="212"/>
      <c r="F837" s="212"/>
      <c r="G837" s="212"/>
      <c r="H837" s="212" t="e">
        <f t="shared" si="125"/>
        <v>#DIV/0!</v>
      </c>
      <c r="I837" s="279" t="e">
        <f t="shared" si="125"/>
        <v>#DIV/0!</v>
      </c>
      <c r="J837" s="245"/>
      <c r="K837" s="351"/>
      <c r="L837" s="173"/>
      <c r="M837" s="212"/>
      <c r="N837" s="175"/>
      <c r="O837" s="634">
        <f t="shared" si="123"/>
        <v>360</v>
      </c>
      <c r="P837" s="269" t="e">
        <f t="shared" si="120"/>
        <v>#DIV/0!</v>
      </c>
      <c r="Q837" s="263" t="e">
        <f t="shared" si="121"/>
        <v>#DIV/0!</v>
      </c>
      <c r="R837" s="174"/>
      <c r="S837" s="174"/>
      <c r="T837" s="174"/>
      <c r="U837" s="174"/>
      <c r="V837" s="175"/>
      <c r="W837" s="176"/>
      <c r="X837" s="177"/>
      <c r="Z837" s="167"/>
    </row>
    <row r="838" spans="1:28" s="166" customFormat="1" ht="15" customHeight="1">
      <c r="A838" s="226"/>
      <c r="B838" s="224" t="s">
        <v>1003</v>
      </c>
      <c r="C838" s="502"/>
      <c r="D838" s="212"/>
      <c r="E838" s="212"/>
      <c r="F838" s="212"/>
      <c r="G838" s="212"/>
      <c r="H838" s="212" t="e">
        <f t="shared" si="125"/>
        <v>#DIV/0!</v>
      </c>
      <c r="I838" s="279" t="e">
        <f t="shared" si="125"/>
        <v>#DIV/0!</v>
      </c>
      <c r="J838" s="245"/>
      <c r="K838" s="351"/>
      <c r="L838" s="173"/>
      <c r="M838" s="212"/>
      <c r="N838" s="175"/>
      <c r="O838" s="634">
        <f t="shared" si="123"/>
        <v>360</v>
      </c>
      <c r="P838" s="269" t="e">
        <f t="shared" si="120"/>
        <v>#DIV/0!</v>
      </c>
      <c r="Q838" s="263" t="e">
        <f t="shared" si="121"/>
        <v>#DIV/0!</v>
      </c>
      <c r="R838" s="174"/>
      <c r="S838" s="174"/>
      <c r="T838" s="174"/>
      <c r="U838" s="174"/>
      <c r="V838" s="175"/>
      <c r="W838" s="176"/>
      <c r="X838" s="177"/>
      <c r="Z838" s="167"/>
    </row>
    <row r="839" spans="1:28" s="166" customFormat="1" ht="15" customHeight="1">
      <c r="A839" s="226"/>
      <c r="B839" s="224" t="s">
        <v>1004</v>
      </c>
      <c r="C839" s="502"/>
      <c r="D839" s="212"/>
      <c r="E839" s="212"/>
      <c r="F839" s="212"/>
      <c r="G839" s="212"/>
      <c r="H839" s="212" t="e">
        <f t="shared" si="125"/>
        <v>#DIV/0!</v>
      </c>
      <c r="I839" s="279" t="e">
        <f t="shared" si="125"/>
        <v>#DIV/0!</v>
      </c>
      <c r="J839" s="245"/>
      <c r="K839" s="351"/>
      <c r="L839" s="173"/>
      <c r="M839" s="212"/>
      <c r="N839" s="175"/>
      <c r="O839" s="634">
        <f t="shared" si="123"/>
        <v>360</v>
      </c>
      <c r="P839" s="269" t="e">
        <f t="shared" si="120"/>
        <v>#DIV/0!</v>
      </c>
      <c r="Q839" s="263" t="e">
        <f t="shared" si="121"/>
        <v>#DIV/0!</v>
      </c>
      <c r="R839" s="174"/>
      <c r="S839" s="174"/>
      <c r="T839" s="174"/>
      <c r="U839" s="174"/>
      <c r="V839" s="175"/>
      <c r="W839" s="176"/>
      <c r="X839" s="177"/>
      <c r="Z839" s="167"/>
      <c r="AA839" s="167"/>
    </row>
    <row r="840" spans="1:28" s="166" customFormat="1" ht="15" customHeight="1">
      <c r="A840" s="226"/>
      <c r="B840" s="224" t="s">
        <v>1005</v>
      </c>
      <c r="C840" s="502"/>
      <c r="D840" s="212"/>
      <c r="E840" s="212"/>
      <c r="F840" s="212"/>
      <c r="G840" s="212"/>
      <c r="H840" s="212" t="e">
        <f t="shared" si="125"/>
        <v>#DIV/0!</v>
      </c>
      <c r="I840" s="279" t="e">
        <f t="shared" si="125"/>
        <v>#DIV/0!</v>
      </c>
      <c r="J840" s="245"/>
      <c r="K840" s="351"/>
      <c r="L840" s="173"/>
      <c r="M840" s="212"/>
      <c r="N840" s="175"/>
      <c r="O840" s="634">
        <f t="shared" si="123"/>
        <v>360</v>
      </c>
      <c r="P840" s="269" t="e">
        <f t="shared" si="120"/>
        <v>#DIV/0!</v>
      </c>
      <c r="Q840" s="263" t="e">
        <f t="shared" si="121"/>
        <v>#DIV/0!</v>
      </c>
      <c r="R840" s="174"/>
      <c r="S840" s="174"/>
      <c r="T840" s="174"/>
      <c r="U840" s="174"/>
      <c r="V840" s="175"/>
      <c r="W840" s="176"/>
      <c r="X840" s="177"/>
      <c r="Z840" s="167"/>
      <c r="AA840" s="167"/>
    </row>
    <row r="841" spans="1:28" s="166" customFormat="1" ht="15" customHeight="1">
      <c r="A841" s="226"/>
      <c r="B841" s="224" t="s">
        <v>1006</v>
      </c>
      <c r="C841" s="502"/>
      <c r="D841" s="212"/>
      <c r="E841" s="212"/>
      <c r="F841" s="212"/>
      <c r="G841" s="212"/>
      <c r="H841" s="212" t="e">
        <f t="shared" si="125"/>
        <v>#DIV/0!</v>
      </c>
      <c r="I841" s="279" t="e">
        <f t="shared" si="125"/>
        <v>#DIV/0!</v>
      </c>
      <c r="J841" s="245"/>
      <c r="K841" s="351"/>
      <c r="L841" s="173"/>
      <c r="M841" s="212"/>
      <c r="N841" s="175"/>
      <c r="O841" s="634">
        <f t="shared" si="123"/>
        <v>360</v>
      </c>
      <c r="P841" s="269" t="e">
        <f t="shared" si="120"/>
        <v>#DIV/0!</v>
      </c>
      <c r="Q841" s="263" t="e">
        <f t="shared" si="121"/>
        <v>#DIV/0!</v>
      </c>
      <c r="R841" s="174"/>
      <c r="S841" s="174"/>
      <c r="T841" s="174"/>
      <c r="U841" s="174"/>
      <c r="V841" s="175"/>
      <c r="W841" s="176"/>
      <c r="X841" s="177"/>
      <c r="Z841" s="167"/>
      <c r="AA841" s="167"/>
    </row>
    <row r="842" spans="1:28" s="166" customFormat="1" ht="15" customHeight="1">
      <c r="A842" s="226"/>
      <c r="B842" s="224" t="s">
        <v>1007</v>
      </c>
      <c r="C842" s="502"/>
      <c r="D842" s="212"/>
      <c r="E842" s="212"/>
      <c r="F842" s="212"/>
      <c r="G842" s="212"/>
      <c r="H842" s="212" t="e">
        <f t="shared" si="125"/>
        <v>#DIV/0!</v>
      </c>
      <c r="I842" s="279" t="e">
        <f t="shared" si="125"/>
        <v>#DIV/0!</v>
      </c>
      <c r="J842" s="245"/>
      <c r="K842" s="351"/>
      <c r="L842" s="173"/>
      <c r="M842" s="212"/>
      <c r="N842" s="175"/>
      <c r="O842" s="634">
        <f t="shared" si="123"/>
        <v>360</v>
      </c>
      <c r="P842" s="269" t="e">
        <f t="shared" si="120"/>
        <v>#DIV/0!</v>
      </c>
      <c r="Q842" s="263" t="e">
        <f t="shared" si="121"/>
        <v>#DIV/0!</v>
      </c>
      <c r="R842" s="174"/>
      <c r="S842" s="174"/>
      <c r="T842" s="174"/>
      <c r="U842" s="174"/>
      <c r="V842" s="175"/>
      <c r="W842" s="176"/>
      <c r="X842" s="177"/>
      <c r="Z842" s="167"/>
      <c r="AA842" s="167"/>
    </row>
    <row r="843" spans="1:28" s="166" customFormat="1" ht="15" customHeight="1">
      <c r="A843" s="226"/>
      <c r="B843" s="224" t="s">
        <v>1008</v>
      </c>
      <c r="C843" s="502"/>
      <c r="D843" s="212"/>
      <c r="E843" s="212"/>
      <c r="F843" s="212"/>
      <c r="G843" s="212"/>
      <c r="H843" s="212" t="e">
        <f t="shared" si="125"/>
        <v>#DIV/0!</v>
      </c>
      <c r="I843" s="279" t="e">
        <f t="shared" si="125"/>
        <v>#DIV/0!</v>
      </c>
      <c r="J843" s="245"/>
      <c r="K843" s="351"/>
      <c r="L843" s="173"/>
      <c r="M843" s="212"/>
      <c r="N843" s="175"/>
      <c r="O843" s="634">
        <f t="shared" si="123"/>
        <v>360</v>
      </c>
      <c r="P843" s="269" t="e">
        <f t="shared" si="120"/>
        <v>#DIV/0!</v>
      </c>
      <c r="Q843" s="263" t="e">
        <f t="shared" si="121"/>
        <v>#DIV/0!</v>
      </c>
      <c r="R843" s="174"/>
      <c r="S843" s="174"/>
      <c r="T843" s="174"/>
      <c r="U843" s="174"/>
      <c r="V843" s="175"/>
      <c r="W843" s="176"/>
      <c r="X843" s="177"/>
      <c r="Z843" s="167"/>
      <c r="AA843" s="167"/>
    </row>
    <row r="844" spans="1:28" s="166" customFormat="1" ht="15" customHeight="1" thickBot="1">
      <c r="A844" s="226"/>
      <c r="B844" s="224" t="s">
        <v>1009</v>
      </c>
      <c r="C844" s="502"/>
      <c r="D844" s="212"/>
      <c r="E844" s="212"/>
      <c r="F844" s="212"/>
      <c r="G844" s="212"/>
      <c r="H844" s="212" t="e">
        <f>H843</f>
        <v>#DIV/0!</v>
      </c>
      <c r="I844" s="279" t="e">
        <f>I843</f>
        <v>#DIV/0!</v>
      </c>
      <c r="J844" s="643"/>
      <c r="K844" s="644"/>
      <c r="L844" s="173"/>
      <c r="M844" s="212"/>
      <c r="N844" s="175"/>
      <c r="O844" s="635">
        <f>O843</f>
        <v>360</v>
      </c>
      <c r="P844" s="269" t="e">
        <f t="shared" si="120"/>
        <v>#DIV/0!</v>
      </c>
      <c r="Q844" s="263" t="e">
        <f t="shared" si="121"/>
        <v>#DIV/0!</v>
      </c>
      <c r="R844" s="174"/>
      <c r="S844" s="174"/>
      <c r="T844" s="174"/>
      <c r="U844" s="174"/>
      <c r="V844" s="175"/>
      <c r="W844" s="176"/>
      <c r="X844" s="177"/>
      <c r="Z844" s="167"/>
      <c r="AA844" s="167"/>
    </row>
    <row r="845" spans="1:28" s="197" customFormat="1" ht="15" customHeight="1">
      <c r="A845" s="226"/>
      <c r="B845" s="221"/>
      <c r="C845" s="312"/>
      <c r="D845" s="206"/>
      <c r="E845" s="146"/>
      <c r="F845" s="146"/>
      <c r="G845" s="146"/>
      <c r="H845" s="146"/>
      <c r="I845" s="243"/>
      <c r="J845" s="243"/>
      <c r="K845" s="243"/>
      <c r="L845" s="206"/>
      <c r="M845" s="206"/>
      <c r="N845" s="206"/>
      <c r="O845" s="155"/>
      <c r="P845" s="206"/>
      <c r="Q845" s="206"/>
      <c r="R845" s="206"/>
      <c r="S845" s="206"/>
      <c r="T845" s="206"/>
      <c r="U845" s="206"/>
      <c r="V845" s="208"/>
      <c r="W845" s="196"/>
      <c r="X845" s="152"/>
      <c r="Z845" s="198"/>
      <c r="AA845" s="166"/>
      <c r="AB845" s="166"/>
    </row>
    <row r="846" spans="1:28" s="197" customFormat="1" ht="15" customHeight="1">
      <c r="A846" s="226"/>
      <c r="B846" s="221"/>
      <c r="C846" s="312"/>
      <c r="D846" s="206"/>
      <c r="E846" s="146"/>
      <c r="F846" s="146"/>
      <c r="G846" s="146"/>
      <c r="H846" s="146"/>
      <c r="I846" s="243"/>
      <c r="J846" s="243"/>
      <c r="K846" s="243"/>
      <c r="L846" s="206"/>
      <c r="M846" s="206"/>
      <c r="N846" s="206"/>
      <c r="O846" s="155"/>
      <c r="P846" s="206"/>
      <c r="Q846" s="206"/>
      <c r="R846" s="206"/>
      <c r="S846" s="206"/>
      <c r="T846" s="206"/>
      <c r="U846" s="206"/>
      <c r="V846" s="208"/>
      <c r="W846" s="196"/>
      <c r="X846" s="152"/>
      <c r="Z846" s="198"/>
      <c r="AA846" s="166"/>
      <c r="AB846" s="166"/>
    </row>
    <row r="847" spans="1:28" s="197" customFormat="1" ht="15" customHeight="1" thickBot="1">
      <c r="A847" s="226"/>
      <c r="B847" s="291" t="s">
        <v>1010</v>
      </c>
      <c r="C847" s="292"/>
      <c r="D847" s="293"/>
      <c r="E847" s="293"/>
      <c r="F847" s="293"/>
      <c r="G847" s="293"/>
      <c r="H847" s="293"/>
      <c r="I847" s="293"/>
      <c r="J847" s="294"/>
      <c r="K847" s="294"/>
      <c r="L847" s="295"/>
      <c r="M847" s="293"/>
      <c r="N847" s="293"/>
      <c r="O847" s="293"/>
      <c r="P847" s="293"/>
      <c r="Q847" s="293"/>
      <c r="R847" s="293"/>
      <c r="S847" s="296"/>
      <c r="T847" s="293"/>
      <c r="U847" s="293" t="s">
        <v>678</v>
      </c>
      <c r="V847" s="297" t="s">
        <v>27</v>
      </c>
      <c r="W847" s="298"/>
      <c r="X847" s="299"/>
      <c r="Z847" s="198"/>
      <c r="AA847" s="166"/>
      <c r="AB847" s="166"/>
    </row>
    <row r="848" spans="1:28" s="197" customFormat="1" ht="15" customHeight="1" thickBot="1">
      <c r="A848" s="226"/>
      <c r="B848" s="221"/>
      <c r="C848" s="144">
        <f>SUMIF(Densidades!A:A,'Memória TOTAL'!X848,Densidades!B:B)</f>
        <v>0</v>
      </c>
      <c r="D848" s="145">
        <f>SUMIF(Densidades!A:A,'Memória TOTAL'!X848,Densidades!C:C)</f>
        <v>0</v>
      </c>
      <c r="E848" s="145" t="str">
        <f>IF(I848=15,"FIRECLAY MORTAR",IF(I848=16,"ALUMINA MORTAR",IF(I848=17,"BASIC MORTAR",IF(I848=18,"MORTAR","-"))))</f>
        <v>-</v>
      </c>
      <c r="F848" s="145" t="str">
        <f>IF(I848=15,"FIRECLAY MORTAR",IF(I848=16,"ALUMINA MORTAR",IF(I848=17,"BASIC MORTAR",IF(I848=18,"MORTAR","-"))))</f>
        <v>-</v>
      </c>
      <c r="G848" s="145" t="str">
        <f>IF(I848=15,"FIRECLAY MORTAR",IF(I848=16,"ALUMINA MORTAR",IF(I848=17,"BASIC MORTAR",IF(I848=18,"MORTAR","-"))))</f>
        <v>-</v>
      </c>
      <c r="H848" s="145" t="str">
        <f>IF(I848=15,"FIRECLAY MORTAR",IF(I848=16,"ALUMINA MORTAR",IF(I848=17,"BASIC MORTAR",IF(I848=18,"MORTAR","-"))))</f>
        <v>-</v>
      </c>
      <c r="I848" s="145">
        <f>SUMIF(Densidades!A:A,'Memória TOTAL'!X848,Densidades!G:G)</f>
        <v>0</v>
      </c>
      <c r="J848" s="147">
        <f>SUMIF(Formatos!A:A,'Memória TOTAL'!X849,Formatos!G:G)</f>
        <v>0</v>
      </c>
      <c r="K848" s="148">
        <f>SUMIF(Densidades!A:A,'Memória TOTAL'!X848,Densidades!I:I)</f>
        <v>0</v>
      </c>
      <c r="L848" s="199">
        <v>0</v>
      </c>
      <c r="M848" s="200"/>
      <c r="N848" s="200"/>
      <c r="O848" s="200"/>
      <c r="P848" s="200"/>
      <c r="Q848" s="200"/>
      <c r="R848" s="200"/>
      <c r="S848" s="200"/>
      <c r="T848" s="201"/>
      <c r="U848" s="302">
        <v>0.06</v>
      </c>
      <c r="V848" s="203" t="e">
        <f>(W785*J785*C848+W789*J789*C848)*U848</f>
        <v>#VALUE!</v>
      </c>
      <c r="W848" s="204" t="str">
        <f>IF(C848=0,"",ROUNDUP(SUM(V848:V850)*(1+L848)/D848,0)*D848)</f>
        <v/>
      </c>
      <c r="X848" s="274"/>
      <c r="Z848" s="198"/>
      <c r="AA848" s="166"/>
      <c r="AB848" s="166"/>
    </row>
    <row r="849" spans="1:28" s="197" customFormat="1" ht="15" customHeight="1">
      <c r="A849" s="226"/>
      <c r="B849" s="221"/>
      <c r="C849" s="144"/>
      <c r="D849" s="206"/>
      <c r="E849" s="206"/>
      <c r="F849" s="206"/>
      <c r="G849" s="206"/>
      <c r="H849" s="206"/>
      <c r="I849" s="206"/>
      <c r="J849" s="207"/>
      <c r="K849" s="207"/>
      <c r="L849" s="155"/>
      <c r="M849" s="206"/>
      <c r="N849" s="206"/>
      <c r="O849" s="206"/>
      <c r="P849" s="206"/>
      <c r="Q849" s="206"/>
      <c r="R849" s="206"/>
      <c r="S849" s="206"/>
      <c r="T849" s="206"/>
      <c r="U849" s="206"/>
      <c r="V849" s="208"/>
      <c r="W849" s="196"/>
      <c r="X849" s="152" t="str">
        <f>IF(AND(H848="-",G848="-",F848="-"),E848,IF(AND(H848="-",G848="-",E848="-"),F848,IF(AND(H848="-",F848="-",E848="-"),G848,H848)))</f>
        <v>-</v>
      </c>
      <c r="Z849" s="198"/>
      <c r="AA849" s="166"/>
      <c r="AB849" s="166"/>
    </row>
    <row r="850" spans="1:28" s="197" customFormat="1" ht="15" customHeight="1">
      <c r="A850" s="226"/>
      <c r="B850" s="224"/>
      <c r="C850" s="144"/>
      <c r="D850" s="206"/>
      <c r="E850" s="206"/>
      <c r="F850" s="206"/>
      <c r="G850" s="206"/>
      <c r="H850" s="206"/>
      <c r="I850" s="206"/>
      <c r="J850" s="207"/>
      <c r="K850" s="207"/>
      <c r="L850" s="155"/>
      <c r="M850" s="206"/>
      <c r="N850" s="206"/>
      <c r="O850" s="206"/>
      <c r="P850" s="206"/>
      <c r="Q850" s="206"/>
      <c r="R850" s="206"/>
      <c r="S850" s="206"/>
      <c r="T850" s="206"/>
      <c r="U850" s="206"/>
      <c r="V850" s="208"/>
      <c r="W850" s="196"/>
      <c r="X850" s="152" t="s">
        <v>2</v>
      </c>
      <c r="Z850" s="198"/>
      <c r="AA850" s="167"/>
      <c r="AB850" s="166"/>
    </row>
    <row r="851" spans="1:28" ht="15" customHeight="1">
      <c r="A851" s="226"/>
      <c r="B851" s="142"/>
      <c r="C851" s="180"/>
      <c r="D851" s="181"/>
      <c r="E851" s="181"/>
      <c r="F851" s="181"/>
      <c r="G851" s="181"/>
      <c r="H851" s="181"/>
      <c r="I851" s="181"/>
      <c r="J851" s="182"/>
      <c r="K851" s="182"/>
      <c r="L851" s="183"/>
      <c r="M851" s="181"/>
      <c r="N851" s="181"/>
      <c r="O851" s="181"/>
      <c r="P851" s="181"/>
      <c r="Q851" s="181"/>
      <c r="R851" s="181"/>
      <c r="S851" s="181"/>
      <c r="T851" s="181"/>
      <c r="U851" s="181"/>
      <c r="V851" s="184"/>
      <c r="W851" s="185"/>
      <c r="X851" s="186"/>
    </row>
    <row r="852" spans="1:28" s="197" customFormat="1" ht="15" customHeight="1" thickBot="1">
      <c r="A852" s="226"/>
      <c r="B852" s="291" t="s">
        <v>1011</v>
      </c>
      <c r="C852" s="292"/>
      <c r="D852" s="293"/>
      <c r="E852" s="293"/>
      <c r="F852" s="293"/>
      <c r="G852" s="293"/>
      <c r="H852" s="293"/>
      <c r="I852" s="293"/>
      <c r="J852" s="294"/>
      <c r="K852" s="294"/>
      <c r="L852" s="295"/>
      <c r="M852" s="293"/>
      <c r="N852" s="293"/>
      <c r="O852" s="293"/>
      <c r="P852" s="293"/>
      <c r="Q852" s="293"/>
      <c r="R852" s="293" t="s">
        <v>636</v>
      </c>
      <c r="S852" s="296" t="s">
        <v>637</v>
      </c>
      <c r="T852" s="293" t="s">
        <v>638</v>
      </c>
      <c r="U852" s="293" t="s">
        <v>38</v>
      </c>
      <c r="V852" s="297" t="s">
        <v>27</v>
      </c>
      <c r="W852" s="298"/>
      <c r="X852" s="299"/>
      <c r="Z852" s="198"/>
      <c r="AA852" s="198"/>
    </row>
    <row r="853" spans="1:28" s="197" customFormat="1" ht="15" customHeight="1" thickBot="1">
      <c r="A853" s="226"/>
      <c r="B853" s="221"/>
      <c r="C853" s="144">
        <f>SUMIF(Densidades!A:A,'Memória TOTAL'!X853,Densidades!B:B)</f>
        <v>0</v>
      </c>
      <c r="D853" s="145">
        <f>SUMIF(Densidades!A:A,'Memória TOTAL'!X853,Densidades!C:C)</f>
        <v>0</v>
      </c>
      <c r="E853" s="145" t="str">
        <f>IF(I853=15,"FIRECLAY MORTAR",IF(I853=16,"ALUMINA MORTAR",IF(I853=17,"BASIC MORTAR",IF(I853=18,"MORTAR","-"))))</f>
        <v>-</v>
      </c>
      <c r="F853" s="145" t="str">
        <f>IF(I853=15,"FIRECLAY MORTAR",IF(I853=16,"ALUMINA MORTAR",IF(I853=17,"BASIC MORTAR",IF(I853=18,"MORTAR","-"))))</f>
        <v>-</v>
      </c>
      <c r="G853" s="145" t="str">
        <f>IF(I853=15,"FIRECLAY MORTAR",IF(I853=16,"ALUMINA MORTAR",IF(I853=17,"BASIC MORTAR",IF(I853=18,"MORTAR","-"))))</f>
        <v>-</v>
      </c>
      <c r="H853" s="145" t="str">
        <f>IF(I853=15,"FIRECLAY MORTAR",IF(I853=16,"ALUMINA MORTAR",IF(I853=17,"BASIC MORTAR",IF(I853=18,"MORTAR","-"))))</f>
        <v>-</v>
      </c>
      <c r="I853" s="145">
        <f>SUMIF(Densidades!A:A,'Memória TOTAL'!X853,Densidades!G:G)</f>
        <v>0</v>
      </c>
      <c r="J853" s="147">
        <f>SUMIF(Formatos!A:A,'Memória TOTAL'!X854,Formatos!G:G)</f>
        <v>0</v>
      </c>
      <c r="K853" s="233">
        <f>SUMIF(Densidades!A:A,'Memória TOTAL'!X853,Densidades!I:I)</f>
        <v>0</v>
      </c>
      <c r="L853" s="199">
        <v>0</v>
      </c>
      <c r="M853" s="200"/>
      <c r="N853" s="200"/>
      <c r="O853" s="200"/>
      <c r="P853" s="200"/>
      <c r="Q853" s="200"/>
      <c r="R853" s="201">
        <f>((G785*H785)+(G785*E785)+(H785*E785))/1000000</f>
        <v>0</v>
      </c>
      <c r="S853" s="270">
        <v>2</v>
      </c>
      <c r="T853" s="201">
        <f>R853*S853</f>
        <v>0</v>
      </c>
      <c r="U853" s="202">
        <f>SUM(W785:W790)</f>
        <v>0</v>
      </c>
      <c r="V853" s="203">
        <f>(T853*C853*(1+L853))*U853</f>
        <v>0</v>
      </c>
      <c r="W853" s="151" t="str">
        <f>IF(C853=0,"",ROUNDUP(SUM(V853:V855)*(1+L853)/D853,0)*D853)</f>
        <v/>
      </c>
      <c r="X853" s="274"/>
      <c r="Z853" s="198"/>
      <c r="AA853" s="198"/>
    </row>
    <row r="854" spans="1:28" s="197" customFormat="1" ht="15" customHeight="1">
      <c r="A854" s="226"/>
      <c r="B854" s="221"/>
      <c r="C854" s="144"/>
      <c r="D854" s="206"/>
      <c r="E854" s="206"/>
      <c r="F854" s="206"/>
      <c r="G854" s="206"/>
      <c r="H854" s="206"/>
      <c r="I854" s="206"/>
      <c r="J854" s="207"/>
      <c r="K854" s="207"/>
      <c r="L854" s="155"/>
      <c r="M854" s="206"/>
      <c r="N854" s="206"/>
      <c r="O854" s="206"/>
      <c r="P854" s="206"/>
      <c r="Q854" s="206"/>
      <c r="R854" s="206"/>
      <c r="S854" s="206"/>
      <c r="T854" s="206"/>
      <c r="U854" s="206"/>
      <c r="V854" s="208"/>
      <c r="W854" s="196"/>
      <c r="X854" s="152" t="str">
        <f>IF(AND(H853="-",G853="-",F853="-"),E853,IF(AND(H853="-",G853="-",E853="-"),F853,IF(AND(H853="-",F853="-",E853="-"),G853,H853)))</f>
        <v>-</v>
      </c>
      <c r="Z854" s="198"/>
      <c r="AA854" s="198"/>
    </row>
    <row r="855" spans="1:28" s="197" customFormat="1" ht="15" customHeight="1">
      <c r="A855" s="226"/>
      <c r="B855" s="224"/>
      <c r="C855" s="144"/>
      <c r="D855" s="206"/>
      <c r="E855" s="206"/>
      <c r="F855" s="206"/>
      <c r="G855" s="206"/>
      <c r="H855" s="206"/>
      <c r="I855" s="206"/>
      <c r="J855" s="207"/>
      <c r="K855" s="207"/>
      <c r="L855" s="155"/>
      <c r="M855" s="206"/>
      <c r="N855" s="206"/>
      <c r="O855" s="206"/>
      <c r="P855" s="206"/>
      <c r="Q855" s="206"/>
      <c r="R855" s="206"/>
      <c r="S855" s="206"/>
      <c r="T855" s="206"/>
      <c r="U855" s="206"/>
      <c r="V855" s="208"/>
      <c r="W855" s="196"/>
      <c r="X855" s="152" t="s">
        <v>2</v>
      </c>
      <c r="Z855" s="198"/>
      <c r="AA855" s="198"/>
    </row>
    <row r="856" spans="1:28" s="197" customFormat="1" ht="15" customHeight="1">
      <c r="A856" s="226"/>
      <c r="B856" s="224"/>
      <c r="C856" s="144"/>
      <c r="D856" s="206"/>
      <c r="E856" s="206"/>
      <c r="F856" s="206"/>
      <c r="G856" s="206"/>
      <c r="H856" s="206"/>
      <c r="I856" s="206"/>
      <c r="J856" s="207"/>
      <c r="K856" s="207"/>
      <c r="L856" s="155"/>
      <c r="M856" s="206"/>
      <c r="N856" s="206"/>
      <c r="O856" s="206"/>
      <c r="P856" s="206"/>
      <c r="Q856" s="206"/>
      <c r="R856" s="206"/>
      <c r="S856" s="206"/>
      <c r="T856" s="206"/>
      <c r="U856" s="206"/>
      <c r="V856" s="208"/>
      <c r="W856" s="196"/>
      <c r="X856" s="152"/>
      <c r="Z856" s="198"/>
      <c r="AA856" s="198"/>
    </row>
    <row r="857" spans="1:28" s="197" customFormat="1" ht="15" customHeight="1" thickBot="1">
      <c r="A857" s="226"/>
      <c r="B857" s="524"/>
      <c r="C857" s="524"/>
      <c r="D857" s="527"/>
      <c r="E857" s="527"/>
      <c r="F857" s="527"/>
      <c r="G857" s="527"/>
      <c r="H857" s="527"/>
      <c r="I857" s="527"/>
      <c r="J857" s="527"/>
      <c r="K857" s="527"/>
      <c r="L857" s="527"/>
      <c r="M857" s="527"/>
      <c r="N857" s="527"/>
      <c r="O857" s="527"/>
      <c r="P857" s="527"/>
      <c r="Q857" s="527"/>
      <c r="R857" s="527"/>
      <c r="S857" s="527"/>
      <c r="T857" s="527"/>
      <c r="U857" s="527"/>
      <c r="V857" s="527"/>
      <c r="W857" s="527"/>
      <c r="X857" s="528"/>
      <c r="Y857" s="526"/>
      <c r="Z857" s="198"/>
      <c r="AA857" s="198"/>
    </row>
    <row r="858" spans="1:28" ht="15" customHeight="1" thickBot="1">
      <c r="A858" s="290"/>
      <c r="B858" s="517" t="str">
        <f>IF(X859="","COMPOSIÇÃO CONE 2 TIJOLOS",X859)</f>
        <v>COMPOSIÇÃO CONE 2 TIJOLOS</v>
      </c>
      <c r="C858" s="518" t="s">
        <v>101</v>
      </c>
      <c r="D858" s="519" t="s">
        <v>102</v>
      </c>
      <c r="E858" s="519" t="s">
        <v>42</v>
      </c>
      <c r="F858" s="519" t="s">
        <v>42</v>
      </c>
      <c r="G858" s="519" t="s">
        <v>43</v>
      </c>
      <c r="H858" s="519" t="s">
        <v>44</v>
      </c>
      <c r="I858" s="519" t="s">
        <v>47</v>
      </c>
      <c r="J858" s="519" t="s">
        <v>103</v>
      </c>
      <c r="K858" s="519" t="s">
        <v>37</v>
      </c>
      <c r="L858" s="519" t="s">
        <v>39</v>
      </c>
      <c r="M858" s="519" t="s">
        <v>45</v>
      </c>
      <c r="N858" s="519" t="s">
        <v>46</v>
      </c>
      <c r="O858" s="520" t="s">
        <v>106</v>
      </c>
      <c r="P858" s="519" t="s">
        <v>52</v>
      </c>
      <c r="Q858" s="520" t="s">
        <v>53</v>
      </c>
      <c r="R858" s="520" t="s">
        <v>104</v>
      </c>
      <c r="S858" s="519"/>
      <c r="T858" s="519"/>
      <c r="U858" s="519" t="s">
        <v>677</v>
      </c>
      <c r="V858" s="521" t="s">
        <v>27</v>
      </c>
      <c r="W858" s="522"/>
      <c r="X858" s="523"/>
    </row>
    <row r="859" spans="1:28" ht="15" customHeight="1" thickBot="1">
      <c r="A859" s="226"/>
      <c r="B859" s="805" t="s">
        <v>1832</v>
      </c>
      <c r="C859" s="256">
        <f>SUMIF(Densidades!A:A,'Memória TOTAL'!X859,Densidades!B:B)</f>
        <v>0</v>
      </c>
      <c r="D859" s="145">
        <f>SUMIF(Densidades!A:A,'Memória TOTAL'!X859,Densidades!C:C)</f>
        <v>0</v>
      </c>
      <c r="E859" s="146">
        <f>IF(AND(E865=1,E866=2),SUMIF(Formatos!A:A,'Memória TOTAL'!X860,Formatos!D:D),SUMIF(Formatos!A:A,'Memória TOTAL'!X860,Formatos!E:E))</f>
        <v>0</v>
      </c>
      <c r="F859" s="146">
        <f>IF(AND(E865=1,E866=2),SUMIF(Formatos!A:A,'Memória TOTAL'!X860,Formatos!R:R),SUMIF(Formatos!A:A,'Memória TOTAL'!X860,Formatos!F:F))</f>
        <v>0</v>
      </c>
      <c r="G859" s="146">
        <f>SUMIF(Formatos!A:A,'Memória TOTAL'!X860,Formatos!C:C)</f>
        <v>0</v>
      </c>
      <c r="H859" s="146">
        <f>SUMIF(Formatos!A:A,'Memória TOTAL'!X860,Formatos!D:D)</f>
        <v>0</v>
      </c>
      <c r="I859" s="146">
        <f>SUMIF(Densidades!A:A,'Memória TOTAL'!X859,Densidades!H:H)</f>
        <v>0</v>
      </c>
      <c r="J859" s="147">
        <f>SUMIF(Formatos!A:A,'Memória TOTAL'!X860,Formatos!G:G)</f>
        <v>4.1130000000000004</v>
      </c>
      <c r="K859" s="148">
        <f>SUMIF(Densidades!A:A,'Memória TOTAL'!X859,Densidades!I:I)</f>
        <v>0</v>
      </c>
      <c r="L859" s="264">
        <v>0</v>
      </c>
      <c r="M859" s="625"/>
      <c r="N859" s="626"/>
      <c r="O859" s="626"/>
      <c r="P859" s="266"/>
      <c r="Q859" s="626"/>
      <c r="R859" s="629" t="s">
        <v>2204</v>
      </c>
      <c r="S859" s="628"/>
      <c r="T859" s="271"/>
      <c r="U859" s="515"/>
      <c r="V859" s="514" t="str">
        <f>IF(M859="","",IF(OR(M859=E859,M859=G859,M859=H859),ROUND(SUM(P870:P920),0),"ESP. ERRADA"))</f>
        <v/>
      </c>
      <c r="W859" s="273" t="str">
        <f>IFERROR(IF(C859=0,"",ROUNDUP(SUM(V859)*(1+L859),0))*U859,"")</f>
        <v/>
      </c>
      <c r="X859" s="516"/>
    </row>
    <row r="860" spans="1:28" s="197" customFormat="1" ht="15" customHeight="1" thickBot="1">
      <c r="A860" s="226"/>
      <c r="B860" s="791"/>
      <c r="C860" s="247"/>
      <c r="D860" s="206"/>
      <c r="E860" s="206"/>
      <c r="F860" s="206"/>
      <c r="G860" s="206"/>
      <c r="H860" s="206"/>
      <c r="I860" s="206"/>
      <c r="J860" s="207"/>
      <c r="K860" s="207"/>
      <c r="L860" s="155"/>
      <c r="M860" s="206"/>
      <c r="N860" s="206"/>
      <c r="O860" s="206"/>
      <c r="P860" s="206"/>
      <c r="Q860" s="206"/>
      <c r="R860" s="206"/>
      <c r="S860" s="206"/>
      <c r="T860" s="206"/>
      <c r="U860" s="206"/>
      <c r="V860" s="208"/>
      <c r="W860" s="196"/>
      <c r="X860" s="152" t="str">
        <f>IF(B865="","",B865)</f>
        <v/>
      </c>
      <c r="Z860" s="198"/>
      <c r="AA860" s="198"/>
    </row>
    <row r="861" spans="1:28" s="197" customFormat="1" ht="15" customHeight="1">
      <c r="A861" s="226"/>
      <c r="B861" s="315"/>
      <c r="C861" s="247"/>
      <c r="D861" s="206"/>
      <c r="E861" s="206"/>
      <c r="F861" s="206"/>
      <c r="G861" s="206"/>
      <c r="H861" s="206"/>
      <c r="I861" s="206"/>
      <c r="J861" s="207"/>
      <c r="K861" s="207"/>
      <c r="L861" s="155"/>
      <c r="M861" s="206"/>
      <c r="N861" s="206"/>
      <c r="O861" s="206"/>
      <c r="P861" s="206"/>
      <c r="Q861" s="206"/>
      <c r="R861" s="206"/>
      <c r="S861" s="206"/>
      <c r="T861" s="206"/>
      <c r="U861" s="206"/>
      <c r="V861" s="208"/>
      <c r="W861" s="196"/>
      <c r="X861" s="152" t="s">
        <v>524</v>
      </c>
      <c r="Z861" s="198"/>
      <c r="AA861" s="198"/>
    </row>
    <row r="862" spans="1:28" s="197" customFormat="1" ht="15" customHeight="1" thickBot="1">
      <c r="A862" s="226"/>
      <c r="B862" s="315"/>
      <c r="C862" s="313" t="str">
        <f t="shared" ref="C862:L862" si="126">C858</f>
        <v>Dens.</v>
      </c>
      <c r="D862" s="193" t="str">
        <f t="shared" si="126"/>
        <v>Emb.</v>
      </c>
      <c r="E862" s="193" t="str">
        <f t="shared" si="126"/>
        <v>Esp. Tij.</v>
      </c>
      <c r="F862" s="193" t="str">
        <f t="shared" si="126"/>
        <v>Esp. Tij.</v>
      </c>
      <c r="G862" s="193" t="str">
        <f t="shared" si="126"/>
        <v>Comp. Tij.</v>
      </c>
      <c r="H862" s="193" t="str">
        <f t="shared" si="126"/>
        <v>Larg. Tij.</v>
      </c>
      <c r="I862" s="193" t="str">
        <f t="shared" si="126"/>
        <v>Tipo Fator</v>
      </c>
      <c r="J862" s="193" t="str">
        <f t="shared" si="126"/>
        <v>Vol.</v>
      </c>
      <c r="K862" s="193" t="str">
        <f t="shared" si="126"/>
        <v>Class.</v>
      </c>
      <c r="L862" s="193" t="str">
        <f t="shared" si="126"/>
        <v>Coefic. (%)</v>
      </c>
      <c r="M862" s="206"/>
      <c r="N862" s="206"/>
      <c r="O862" s="206"/>
      <c r="P862" s="206"/>
      <c r="Q862" s="206"/>
      <c r="R862" s="206"/>
      <c r="S862" s="206"/>
      <c r="T862" s="206"/>
      <c r="U862" s="206"/>
      <c r="V862" s="253"/>
      <c r="W862" s="196"/>
      <c r="X862" s="152"/>
      <c r="Z862" s="198"/>
      <c r="AA862" s="198"/>
    </row>
    <row r="863" spans="1:28" s="197" customFormat="1" ht="15" customHeight="1" thickBot="1">
      <c r="A863" s="226"/>
      <c r="B863" s="316"/>
      <c r="C863" s="256">
        <f>SUMIF(Densidades!A:A,'Memória TOTAL'!X863,Densidades!B:B)</f>
        <v>0</v>
      </c>
      <c r="D863" s="145">
        <f>SUMIF(Densidades!A:A,'Memória TOTAL'!X863,Densidades!C:C)</f>
        <v>570</v>
      </c>
      <c r="E863" s="146">
        <f>SUMIF(Formatos!A:A,'Memória TOTAL'!X864,Formatos!E:E)</f>
        <v>0</v>
      </c>
      <c r="F863" s="146">
        <f>SUMIF(Formatos!A:A,'Memória TOTAL'!X864,Formatos!F:F)</f>
        <v>0</v>
      </c>
      <c r="G863" s="146">
        <f>SUMIF(Formatos!A:A,'Memória TOTAL'!X864,Formatos!C:C)</f>
        <v>0</v>
      </c>
      <c r="H863" s="146">
        <f>SUMIF(Formatos!A:A,'Memória TOTAL'!X864,Formatos!D:D)</f>
        <v>0</v>
      </c>
      <c r="I863" s="146">
        <f>SUMIF(Densidades!A:A,'Memória TOTAL'!X863,Densidades!H:H)</f>
        <v>0</v>
      </c>
      <c r="J863" s="147">
        <f>SUMIF(Formatos!A:A,'Memória TOTAL'!X864,Formatos!G:G)</f>
        <v>4.1130000000000004</v>
      </c>
      <c r="K863" s="233">
        <f>SUMIF(Densidades!A:A,'Memória TOTAL'!X863,Densidades!I:I)</f>
        <v>167</v>
      </c>
      <c r="L863" s="234">
        <v>0</v>
      </c>
      <c r="M863" s="206"/>
      <c r="N863" s="206"/>
      <c r="O863" s="206"/>
      <c r="P863" s="206"/>
      <c r="Q863" s="206"/>
      <c r="R863" s="206"/>
      <c r="S863" s="206"/>
      <c r="T863" s="243"/>
      <c r="U863" s="246"/>
      <c r="V863" s="267" t="str">
        <f>IF(M859="","",IF(OR(M859=E859,M859=G859,M859=H859),ROUND(SUM(Q870:Q920),0),"ESP. ERRADA"))</f>
        <v/>
      </c>
      <c r="W863" s="278" t="str">
        <f>IFERROR(IF(C863=0,"",ROUNDUP(SUM(V863)*(1+L863),0))*U859,"")</f>
        <v/>
      </c>
      <c r="X863" s="152" t="str">
        <f>IF(X859="","",X859)</f>
        <v/>
      </c>
      <c r="Z863" s="198"/>
      <c r="AA863" s="198"/>
    </row>
    <row r="864" spans="1:28" s="197" customFormat="1" ht="15" customHeight="1" thickBot="1">
      <c r="A864" s="275"/>
      <c r="B864" s="258" t="s">
        <v>675</v>
      </c>
      <c r="C864" s="247"/>
      <c r="D864" s="206"/>
      <c r="E864" s="206"/>
      <c r="F864" s="206"/>
      <c r="G864" s="206"/>
      <c r="H864" s="206"/>
      <c r="I864" s="206"/>
      <c r="J864" s="207"/>
      <c r="K864" s="207"/>
      <c r="L864" s="155"/>
      <c r="M864" s="206"/>
      <c r="N864" s="206"/>
      <c r="O864" s="206"/>
      <c r="P864" s="206"/>
      <c r="Q864" s="206"/>
      <c r="R864" s="206"/>
      <c r="S864" s="206"/>
      <c r="T864" s="206"/>
      <c r="U864" s="206"/>
      <c r="V864" s="208"/>
      <c r="W864" s="196"/>
      <c r="X864" s="152" t="str">
        <f>IF(B866="","",B866)</f>
        <v/>
      </c>
      <c r="Z864" s="198"/>
      <c r="AA864" s="198"/>
    </row>
    <row r="865" spans="1:27" s="197" customFormat="1" ht="15" customHeight="1" thickBot="1">
      <c r="A865" s="275"/>
      <c r="B865" s="274"/>
      <c r="C865" s="254" t="s">
        <v>54</v>
      </c>
      <c r="D865" s="250"/>
      <c r="E865" s="206">
        <f>SUMIF(Formatos!A:A,'Memória TOTAL'!X860,Formatos!S:S)</f>
        <v>2</v>
      </c>
      <c r="F865" s="206"/>
      <c r="G865" s="206"/>
      <c r="H865" s="251"/>
      <c r="I865" s="251"/>
      <c r="J865" s="207"/>
      <c r="K865" s="207"/>
      <c r="L865" s="155"/>
      <c r="M865" s="206"/>
      <c r="N865" s="206"/>
      <c r="O865" s="160"/>
      <c r="P865" s="160"/>
      <c r="Q865" s="161"/>
      <c r="R865" s="160"/>
      <c r="S865" s="160"/>
      <c r="T865" s="206"/>
      <c r="U865" s="206"/>
      <c r="V865" s="208"/>
      <c r="W865" s="196"/>
      <c r="X865" s="152" t="s">
        <v>524</v>
      </c>
      <c r="Z865" s="198"/>
      <c r="AA865" s="198"/>
    </row>
    <row r="866" spans="1:27" s="197" customFormat="1" ht="15" customHeight="1" thickBot="1">
      <c r="A866" s="275"/>
      <c r="B866" s="274"/>
      <c r="C866" s="254" t="s">
        <v>55</v>
      </c>
      <c r="D866" s="250"/>
      <c r="E866" s="206">
        <f>SUMIF(Formatos!A:A,'Memória TOTAL'!X864,Formatos!S:S)</f>
        <v>2</v>
      </c>
      <c r="F866" s="206"/>
      <c r="G866" s="206"/>
      <c r="H866" s="251"/>
      <c r="I866" s="251"/>
      <c r="J866" s="207"/>
      <c r="K866" s="207"/>
      <c r="L866" s="155"/>
      <c r="M866" s="206"/>
      <c r="N866" s="206"/>
      <c r="O866" s="162"/>
      <c r="P866" s="162"/>
      <c r="Q866" s="168"/>
      <c r="R866" s="162"/>
      <c r="S866" s="162"/>
      <c r="T866" s="206"/>
      <c r="U866" s="206"/>
      <c r="V866" s="208"/>
      <c r="W866" s="242"/>
      <c r="X866" s="152"/>
      <c r="Z866" s="198"/>
      <c r="AA866" s="198"/>
    </row>
    <row r="867" spans="1:27" s="166" customFormat="1" ht="15" customHeight="1" thickBot="1">
      <c r="A867" s="259"/>
      <c r="B867" s="258" t="s">
        <v>676</v>
      </c>
      <c r="C867" s="247"/>
      <c r="D867" s="206"/>
      <c r="E867" s="206"/>
      <c r="F867" s="206"/>
      <c r="G867" s="206"/>
      <c r="H867" s="206"/>
      <c r="I867" s="206"/>
      <c r="J867" s="207"/>
      <c r="K867" s="207"/>
      <c r="L867" s="206"/>
      <c r="M867" s="206"/>
      <c r="N867" s="206"/>
      <c r="O867" s="206"/>
      <c r="P867" s="206"/>
      <c r="Q867" s="206"/>
      <c r="R867" s="206"/>
      <c r="S867" s="206"/>
      <c r="T867" s="162"/>
      <c r="U867" s="162"/>
      <c r="V867" s="163"/>
      <c r="W867" s="164"/>
      <c r="X867" s="165"/>
      <c r="Z867" s="167"/>
      <c r="AA867" s="167"/>
    </row>
    <row r="868" spans="1:27" s="166" customFormat="1" ht="15" customHeight="1" thickBot="1">
      <c r="A868" s="259"/>
      <c r="B868" s="792"/>
      <c r="C868" s="247"/>
      <c r="D868" s="206"/>
      <c r="E868" s="206"/>
      <c r="F868" s="206"/>
      <c r="G868" s="206"/>
      <c r="H868" s="206"/>
      <c r="I868" s="206"/>
      <c r="J868" s="207"/>
      <c r="K868" s="207"/>
      <c r="L868" s="206"/>
      <c r="M868" s="206"/>
      <c r="N868" s="206"/>
      <c r="O868" s="252"/>
      <c r="P868" s="206"/>
      <c r="Q868" s="206"/>
      <c r="R868" s="206"/>
      <c r="S868" s="794" t="s">
        <v>1074</v>
      </c>
      <c r="T868" s="795"/>
      <c r="U868" s="162"/>
      <c r="V868" s="163"/>
      <c r="W868" s="164"/>
      <c r="X868" s="165"/>
      <c r="Z868" s="167"/>
      <c r="AA868" s="167"/>
    </row>
    <row r="869" spans="1:27" s="197" customFormat="1" ht="15" customHeight="1" thickBot="1">
      <c r="A869" s="226"/>
      <c r="B869" s="793"/>
      <c r="C869" s="311" t="s">
        <v>989</v>
      </c>
      <c r="D869" s="206" t="s">
        <v>2205</v>
      </c>
      <c r="E869" s="206" t="s">
        <v>22</v>
      </c>
      <c r="F869" s="206" t="s">
        <v>48</v>
      </c>
      <c r="G869" s="206" t="s">
        <v>986</v>
      </c>
      <c r="H869" s="206" t="s">
        <v>987</v>
      </c>
      <c r="I869" s="206" t="s">
        <v>985</v>
      </c>
      <c r="J869" s="207" t="s">
        <v>45</v>
      </c>
      <c r="K869" s="207" t="s">
        <v>46</v>
      </c>
      <c r="L869" s="206" t="s">
        <v>2207</v>
      </c>
      <c r="M869" s="207" t="s">
        <v>2208</v>
      </c>
      <c r="N869" s="206"/>
      <c r="O869" s="627" t="s">
        <v>53</v>
      </c>
      <c r="P869" s="247" t="s">
        <v>54</v>
      </c>
      <c r="Q869" s="206" t="s">
        <v>55</v>
      </c>
      <c r="R869" s="206"/>
      <c r="S869" s="311" t="s">
        <v>989</v>
      </c>
      <c r="T869" s="206" t="s">
        <v>988</v>
      </c>
      <c r="U869" s="206"/>
      <c r="V869" s="208"/>
      <c r="W869" s="196"/>
      <c r="X869" s="152"/>
      <c r="Z869" s="198"/>
      <c r="AA869" s="198"/>
    </row>
    <row r="870" spans="1:27" s="197" customFormat="1" ht="15" customHeight="1">
      <c r="A870" s="226"/>
      <c r="B870" s="224" t="s">
        <v>392</v>
      </c>
      <c r="C870" s="311">
        <f>O859</f>
        <v>0</v>
      </c>
      <c r="D870" s="645">
        <f>Q859</f>
        <v>0</v>
      </c>
      <c r="E870" s="645">
        <f>E859</f>
        <v>0</v>
      </c>
      <c r="F870" s="645">
        <f>F859</f>
        <v>0</v>
      </c>
      <c r="G870" s="645">
        <f>E863</f>
        <v>0</v>
      </c>
      <c r="H870" s="645">
        <f>F863</f>
        <v>0</v>
      </c>
      <c r="I870" s="645">
        <f>IF(M859=G859,H859,IF(M859=H859,G859,"Espessura Errada"))</f>
        <v>0</v>
      </c>
      <c r="J870" s="645">
        <f>M859</f>
        <v>0</v>
      </c>
      <c r="K870" s="645">
        <f>N859</f>
        <v>0</v>
      </c>
      <c r="L870" s="646" t="e">
        <f t="shared" ref="L870:L919" si="127">(1/(-(E870+K870)*(H870+K870)+(F870+K870)*(G870+K870)))*3.1416*(-C870*(H870+K870)+(C870-(J870*2))*(G870+K870))</f>
        <v>#DIV/0!</v>
      </c>
      <c r="M870" s="646" t="e">
        <f t="shared" ref="M870:M919" si="128">((C870*PI())-(L870*(E870+K870)))/(G870+K870)</f>
        <v>#DIV/0!</v>
      </c>
      <c r="N870" s="206"/>
      <c r="O870" s="630">
        <v>360</v>
      </c>
      <c r="P870" s="247" t="e">
        <f t="shared" ref="P870:P919" si="129">IF(L870/360*O870-ROUNDDOWN(L870/360*O870,0)&gt;M870/360*O870-ROUNDDOWN(M870/360*O870,0),ROUNDUP(L870/360*O870,0),ROUNDUP(SUM(L870/360*O870,M870/360*O870),0)-ROUNDUP(M870/360*O870,0))</f>
        <v>#DIV/0!</v>
      </c>
      <c r="Q870" s="206" t="e">
        <f t="shared" ref="Q870:Q919" si="130">IF(M870/360*O870-ROUNDDOWN(M870/360*O870,0)&gt;L870/360*O870-ROUNDDOWN(L870/360*O870,0),ROUNDUP(M870/360*O870,0),ROUNDUP(SUM(L870/360*O870,M870/360*O870),0)-ROUNDUP(L870/360*O870,0))</f>
        <v>#DIV/0!</v>
      </c>
      <c r="R870" s="206"/>
      <c r="S870" s="341" t="e">
        <f t="shared" ref="S870:S919" si="131">((E870*(L870+K870)+G870*(M870+K870))/PI()-C870)/(P870+Q870)</f>
        <v>#DIV/0!</v>
      </c>
      <c r="T870" s="341" t="e">
        <f t="shared" ref="T870:T919" si="132">((F870*(L870+K870)+H870*(M870+K870))/PI()-(C870-(J870*2)))/(P870+Q870)</f>
        <v>#DIV/0!</v>
      </c>
      <c r="U870" s="206"/>
      <c r="V870" s="208"/>
      <c r="W870" s="196"/>
      <c r="X870" s="152"/>
      <c r="Z870" s="198"/>
      <c r="AA870" s="198"/>
    </row>
    <row r="871" spans="1:27" s="197" customFormat="1" ht="15" customHeight="1">
      <c r="A871" s="226"/>
      <c r="B871" s="224" t="s">
        <v>984</v>
      </c>
      <c r="C871" s="312">
        <f>IF(R859="Inclinado",C870+2*SIN(RADIANS(Q859))*(I871+K871),C870+2*TAN(RADIANS(Q859))*(I871+K871))</f>
        <v>0</v>
      </c>
      <c r="D871" s="645">
        <f t="shared" ref="D871:K886" si="133">D870</f>
        <v>0</v>
      </c>
      <c r="E871" s="645">
        <f t="shared" si="133"/>
        <v>0</v>
      </c>
      <c r="F871" s="645">
        <f t="shared" si="133"/>
        <v>0</v>
      </c>
      <c r="G871" s="645">
        <f t="shared" si="133"/>
        <v>0</v>
      </c>
      <c r="H871" s="645">
        <f t="shared" si="133"/>
        <v>0</v>
      </c>
      <c r="I871" s="645">
        <f t="shared" si="133"/>
        <v>0</v>
      </c>
      <c r="J871" s="645">
        <f t="shared" si="133"/>
        <v>0</v>
      </c>
      <c r="K871" s="645">
        <f t="shared" si="133"/>
        <v>0</v>
      </c>
      <c r="L871" s="646" t="e">
        <f t="shared" si="127"/>
        <v>#DIV/0!</v>
      </c>
      <c r="M871" s="646" t="e">
        <f t="shared" si="128"/>
        <v>#DIV/0!</v>
      </c>
      <c r="N871" s="206"/>
      <c r="O871" s="631">
        <f>O870</f>
        <v>360</v>
      </c>
      <c r="P871" s="247" t="e">
        <f t="shared" si="129"/>
        <v>#DIV/0!</v>
      </c>
      <c r="Q871" s="206" t="e">
        <f t="shared" si="130"/>
        <v>#DIV/0!</v>
      </c>
      <c r="R871" s="206"/>
      <c r="S871" s="341" t="e">
        <f t="shared" si="131"/>
        <v>#DIV/0!</v>
      </c>
      <c r="T871" s="341" t="e">
        <f t="shared" si="132"/>
        <v>#DIV/0!</v>
      </c>
      <c r="U871" s="206"/>
      <c r="V871" s="208"/>
      <c r="W871" s="196"/>
      <c r="X871" s="152"/>
      <c r="Z871" s="198"/>
      <c r="AA871" s="198"/>
    </row>
    <row r="872" spans="1:27" s="197" customFormat="1" ht="15" customHeight="1">
      <c r="A872" s="226"/>
      <c r="B872" s="224" t="s">
        <v>393</v>
      </c>
      <c r="C872" s="312">
        <f>IF(R859="Inclinado",C871+2*SIN(RADIANS(Q859))*(I871+N859),C871+2*TAN(RADIANS(Q859))*(I871+N859))</f>
        <v>0</v>
      </c>
      <c r="D872" s="645">
        <f t="shared" si="133"/>
        <v>0</v>
      </c>
      <c r="E872" s="645">
        <f t="shared" si="133"/>
        <v>0</v>
      </c>
      <c r="F872" s="645">
        <f t="shared" si="133"/>
        <v>0</v>
      </c>
      <c r="G872" s="645">
        <f t="shared" si="133"/>
        <v>0</v>
      </c>
      <c r="H872" s="645">
        <f t="shared" si="133"/>
        <v>0</v>
      </c>
      <c r="I872" s="645">
        <f t="shared" si="133"/>
        <v>0</v>
      </c>
      <c r="J872" s="645">
        <f t="shared" si="133"/>
        <v>0</v>
      </c>
      <c r="K872" s="645">
        <f t="shared" si="133"/>
        <v>0</v>
      </c>
      <c r="L872" s="646" t="e">
        <f t="shared" si="127"/>
        <v>#DIV/0!</v>
      </c>
      <c r="M872" s="646" t="e">
        <f t="shared" si="128"/>
        <v>#DIV/0!</v>
      </c>
      <c r="N872" s="206"/>
      <c r="O872" s="631">
        <f t="shared" ref="O872:O919" si="134">O871</f>
        <v>360</v>
      </c>
      <c r="P872" s="247" t="e">
        <f t="shared" si="129"/>
        <v>#DIV/0!</v>
      </c>
      <c r="Q872" s="206" t="e">
        <f t="shared" si="130"/>
        <v>#DIV/0!</v>
      </c>
      <c r="R872" s="206"/>
      <c r="S872" s="341" t="e">
        <f t="shared" si="131"/>
        <v>#DIV/0!</v>
      </c>
      <c r="T872" s="341" t="e">
        <f t="shared" si="132"/>
        <v>#DIV/0!</v>
      </c>
      <c r="U872" s="206"/>
      <c r="V872" s="208"/>
      <c r="W872" s="196"/>
      <c r="X872" s="152"/>
      <c r="Z872" s="198"/>
      <c r="AA872" s="198"/>
    </row>
    <row r="873" spans="1:27" s="197" customFormat="1" ht="15" customHeight="1">
      <c r="A873" s="226"/>
      <c r="B873" s="224" t="s">
        <v>394</v>
      </c>
      <c r="C873" s="312">
        <f>IF(R859="Inclinado",C872+2*SIN(RADIANS(Q859))*(I872+N859),C872+2*TAN(RADIANS(Q859))*(I872+N859))</f>
        <v>0</v>
      </c>
      <c r="D873" s="645">
        <f t="shared" si="133"/>
        <v>0</v>
      </c>
      <c r="E873" s="645">
        <f t="shared" si="133"/>
        <v>0</v>
      </c>
      <c r="F873" s="645">
        <f t="shared" si="133"/>
        <v>0</v>
      </c>
      <c r="G873" s="645">
        <f t="shared" si="133"/>
        <v>0</v>
      </c>
      <c r="H873" s="645">
        <f t="shared" si="133"/>
        <v>0</v>
      </c>
      <c r="I873" s="645">
        <f t="shared" si="133"/>
        <v>0</v>
      </c>
      <c r="J873" s="645">
        <f t="shared" si="133"/>
        <v>0</v>
      </c>
      <c r="K873" s="645">
        <f t="shared" si="133"/>
        <v>0</v>
      </c>
      <c r="L873" s="646" t="e">
        <f t="shared" si="127"/>
        <v>#DIV/0!</v>
      </c>
      <c r="M873" s="646" t="e">
        <f t="shared" si="128"/>
        <v>#DIV/0!</v>
      </c>
      <c r="N873" s="206"/>
      <c r="O873" s="631">
        <f t="shared" si="134"/>
        <v>360</v>
      </c>
      <c r="P873" s="247" t="e">
        <f t="shared" si="129"/>
        <v>#DIV/0!</v>
      </c>
      <c r="Q873" s="206" t="e">
        <f t="shared" si="130"/>
        <v>#DIV/0!</v>
      </c>
      <c r="R873" s="206"/>
      <c r="S873" s="341" t="e">
        <f t="shared" si="131"/>
        <v>#DIV/0!</v>
      </c>
      <c r="T873" s="341" t="e">
        <f t="shared" si="132"/>
        <v>#DIV/0!</v>
      </c>
      <c r="U873" s="206"/>
      <c r="V873" s="208"/>
      <c r="W873" s="196"/>
      <c r="X873" s="152"/>
      <c r="Z873" s="198"/>
      <c r="AA873" s="198"/>
    </row>
    <row r="874" spans="1:27" s="197" customFormat="1" ht="15" customHeight="1">
      <c r="A874" s="226"/>
      <c r="B874" s="224" t="s">
        <v>395</v>
      </c>
      <c r="C874" s="312">
        <f>IF(R859="Inclinado",C873+2*SIN(RADIANS(Q859))*(I873+N859),C873+2*TAN(RADIANS(Q859))*(I873+N859))</f>
        <v>0</v>
      </c>
      <c r="D874" s="645">
        <f t="shared" si="133"/>
        <v>0</v>
      </c>
      <c r="E874" s="645">
        <f t="shared" si="133"/>
        <v>0</v>
      </c>
      <c r="F874" s="645">
        <f t="shared" si="133"/>
        <v>0</v>
      </c>
      <c r="G874" s="645">
        <f t="shared" si="133"/>
        <v>0</v>
      </c>
      <c r="H874" s="645">
        <f t="shared" si="133"/>
        <v>0</v>
      </c>
      <c r="I874" s="645">
        <f t="shared" si="133"/>
        <v>0</v>
      </c>
      <c r="J874" s="645">
        <f t="shared" si="133"/>
        <v>0</v>
      </c>
      <c r="K874" s="645">
        <f t="shared" si="133"/>
        <v>0</v>
      </c>
      <c r="L874" s="646" t="e">
        <f t="shared" si="127"/>
        <v>#DIV/0!</v>
      </c>
      <c r="M874" s="646" t="e">
        <f t="shared" si="128"/>
        <v>#DIV/0!</v>
      </c>
      <c r="N874" s="206"/>
      <c r="O874" s="631">
        <f t="shared" si="134"/>
        <v>360</v>
      </c>
      <c r="P874" s="247" t="e">
        <f t="shared" si="129"/>
        <v>#DIV/0!</v>
      </c>
      <c r="Q874" s="206" t="e">
        <f t="shared" si="130"/>
        <v>#DIV/0!</v>
      </c>
      <c r="R874" s="206"/>
      <c r="S874" s="341" t="e">
        <f t="shared" si="131"/>
        <v>#DIV/0!</v>
      </c>
      <c r="T874" s="341" t="e">
        <f t="shared" si="132"/>
        <v>#DIV/0!</v>
      </c>
      <c r="U874" s="206"/>
      <c r="V874" s="208"/>
      <c r="W874" s="196"/>
      <c r="X874" s="152"/>
      <c r="Z874" s="198"/>
      <c r="AA874" s="198"/>
    </row>
    <row r="875" spans="1:27" s="197" customFormat="1" ht="15" customHeight="1">
      <c r="A875" s="226"/>
      <c r="B875" s="224" t="s">
        <v>396</v>
      </c>
      <c r="C875" s="312">
        <f>IF(R859="Inclinado",C874+2*SIN(RADIANS(Q859))*(I874+N859),C874+2*TAN(RADIANS(Q859))*(I874+N859))</f>
        <v>0</v>
      </c>
      <c r="D875" s="645">
        <f t="shared" si="133"/>
        <v>0</v>
      </c>
      <c r="E875" s="645">
        <f t="shared" si="133"/>
        <v>0</v>
      </c>
      <c r="F875" s="645">
        <f t="shared" si="133"/>
        <v>0</v>
      </c>
      <c r="G875" s="645">
        <f t="shared" si="133"/>
        <v>0</v>
      </c>
      <c r="H875" s="645">
        <f t="shared" si="133"/>
        <v>0</v>
      </c>
      <c r="I875" s="645">
        <f t="shared" si="133"/>
        <v>0</v>
      </c>
      <c r="J875" s="645">
        <f t="shared" si="133"/>
        <v>0</v>
      </c>
      <c r="K875" s="645">
        <f t="shared" si="133"/>
        <v>0</v>
      </c>
      <c r="L875" s="646" t="e">
        <f t="shared" si="127"/>
        <v>#DIV/0!</v>
      </c>
      <c r="M875" s="646" t="e">
        <f t="shared" si="128"/>
        <v>#DIV/0!</v>
      </c>
      <c r="N875" s="206"/>
      <c r="O875" s="631">
        <f t="shared" si="134"/>
        <v>360</v>
      </c>
      <c r="P875" s="247" t="e">
        <f t="shared" si="129"/>
        <v>#DIV/0!</v>
      </c>
      <c r="Q875" s="206" t="e">
        <f t="shared" si="130"/>
        <v>#DIV/0!</v>
      </c>
      <c r="R875" s="206"/>
      <c r="S875" s="341" t="e">
        <f t="shared" si="131"/>
        <v>#DIV/0!</v>
      </c>
      <c r="T875" s="341" t="e">
        <f t="shared" si="132"/>
        <v>#DIV/0!</v>
      </c>
      <c r="U875" s="206"/>
      <c r="V875" s="208"/>
      <c r="W875" s="196"/>
      <c r="X875" s="152"/>
      <c r="Z875" s="198"/>
      <c r="AA875" s="198"/>
    </row>
    <row r="876" spans="1:27" s="197" customFormat="1" ht="15" customHeight="1">
      <c r="A876" s="226"/>
      <c r="B876" s="224" t="s">
        <v>397</v>
      </c>
      <c r="C876" s="312">
        <f>IF(R859="Inclinado",C875+2*SIN(RADIANS(Q859))*(I875+N859),C875+2*TAN(RADIANS(Q859))*(I875+N859))</f>
        <v>0</v>
      </c>
      <c r="D876" s="645">
        <f t="shared" si="133"/>
        <v>0</v>
      </c>
      <c r="E876" s="645">
        <f t="shared" si="133"/>
        <v>0</v>
      </c>
      <c r="F876" s="645">
        <f t="shared" si="133"/>
        <v>0</v>
      </c>
      <c r="G876" s="645">
        <f t="shared" si="133"/>
        <v>0</v>
      </c>
      <c r="H876" s="645">
        <f t="shared" si="133"/>
        <v>0</v>
      </c>
      <c r="I876" s="645">
        <f t="shared" si="133"/>
        <v>0</v>
      </c>
      <c r="J876" s="645">
        <f t="shared" si="133"/>
        <v>0</v>
      </c>
      <c r="K876" s="645">
        <f t="shared" si="133"/>
        <v>0</v>
      </c>
      <c r="L876" s="646" t="e">
        <f t="shared" si="127"/>
        <v>#DIV/0!</v>
      </c>
      <c r="M876" s="646" t="e">
        <f t="shared" si="128"/>
        <v>#DIV/0!</v>
      </c>
      <c r="N876" s="206"/>
      <c r="O876" s="631">
        <f t="shared" si="134"/>
        <v>360</v>
      </c>
      <c r="P876" s="247" t="e">
        <f t="shared" si="129"/>
        <v>#DIV/0!</v>
      </c>
      <c r="Q876" s="206" t="e">
        <f t="shared" si="130"/>
        <v>#DIV/0!</v>
      </c>
      <c r="R876" s="206"/>
      <c r="S876" s="341" t="e">
        <f t="shared" si="131"/>
        <v>#DIV/0!</v>
      </c>
      <c r="T876" s="341" t="e">
        <f t="shared" si="132"/>
        <v>#DIV/0!</v>
      </c>
      <c r="U876" s="206"/>
      <c r="V876" s="208"/>
      <c r="W876" s="196"/>
      <c r="X876" s="152"/>
      <c r="Z876" s="198"/>
      <c r="AA876" s="198"/>
    </row>
    <row r="877" spans="1:27" s="197" customFormat="1" ht="15" customHeight="1">
      <c r="A877" s="226"/>
      <c r="B877" s="224" t="s">
        <v>398</v>
      </c>
      <c r="C877" s="312">
        <f>IF(R859="Inclinado",C876+2*SIN(RADIANS(Q859))*(I876+N859),C876+2*TAN(RADIANS(Q859))*(I876+N859))</f>
        <v>0</v>
      </c>
      <c r="D877" s="645">
        <f t="shared" si="133"/>
        <v>0</v>
      </c>
      <c r="E877" s="645">
        <f t="shared" si="133"/>
        <v>0</v>
      </c>
      <c r="F877" s="645">
        <f t="shared" si="133"/>
        <v>0</v>
      </c>
      <c r="G877" s="645">
        <f t="shared" si="133"/>
        <v>0</v>
      </c>
      <c r="H877" s="645">
        <f t="shared" si="133"/>
        <v>0</v>
      </c>
      <c r="I877" s="645">
        <f t="shared" si="133"/>
        <v>0</v>
      </c>
      <c r="J877" s="645">
        <f t="shared" si="133"/>
        <v>0</v>
      </c>
      <c r="K877" s="645">
        <f t="shared" si="133"/>
        <v>0</v>
      </c>
      <c r="L877" s="646" t="e">
        <f t="shared" si="127"/>
        <v>#DIV/0!</v>
      </c>
      <c r="M877" s="646" t="e">
        <f t="shared" si="128"/>
        <v>#DIV/0!</v>
      </c>
      <c r="N877" s="206"/>
      <c r="O877" s="631">
        <f t="shared" si="134"/>
        <v>360</v>
      </c>
      <c r="P877" s="247" t="e">
        <f t="shared" si="129"/>
        <v>#DIV/0!</v>
      </c>
      <c r="Q877" s="206" t="e">
        <f t="shared" si="130"/>
        <v>#DIV/0!</v>
      </c>
      <c r="R877" s="206"/>
      <c r="S877" s="341" t="e">
        <f t="shared" si="131"/>
        <v>#DIV/0!</v>
      </c>
      <c r="T877" s="341" t="e">
        <f t="shared" si="132"/>
        <v>#DIV/0!</v>
      </c>
      <c r="U877" s="206"/>
      <c r="V877" s="208"/>
      <c r="W877" s="196"/>
      <c r="X877" s="152"/>
      <c r="Z877" s="198"/>
      <c r="AA877" s="198"/>
    </row>
    <row r="878" spans="1:27" s="197" customFormat="1" ht="15" customHeight="1">
      <c r="A878" s="226"/>
      <c r="B878" s="224" t="s">
        <v>399</v>
      </c>
      <c r="C878" s="312">
        <f>IF(R859="Inclinado",C877+2*SIN(RADIANS(Q859))*(I877+N859),C877+2*TAN(RADIANS(Q859))*(I877+N859))</f>
        <v>0</v>
      </c>
      <c r="D878" s="645">
        <f t="shared" si="133"/>
        <v>0</v>
      </c>
      <c r="E878" s="645">
        <f t="shared" si="133"/>
        <v>0</v>
      </c>
      <c r="F878" s="645">
        <f t="shared" si="133"/>
        <v>0</v>
      </c>
      <c r="G878" s="645">
        <f t="shared" si="133"/>
        <v>0</v>
      </c>
      <c r="H878" s="645">
        <f t="shared" si="133"/>
        <v>0</v>
      </c>
      <c r="I878" s="645">
        <f t="shared" si="133"/>
        <v>0</v>
      </c>
      <c r="J878" s="645">
        <f t="shared" si="133"/>
        <v>0</v>
      </c>
      <c r="K878" s="645">
        <f t="shared" si="133"/>
        <v>0</v>
      </c>
      <c r="L878" s="646" t="e">
        <f t="shared" si="127"/>
        <v>#DIV/0!</v>
      </c>
      <c r="M878" s="646" t="e">
        <f t="shared" si="128"/>
        <v>#DIV/0!</v>
      </c>
      <c r="N878" s="206"/>
      <c r="O878" s="631">
        <f t="shared" si="134"/>
        <v>360</v>
      </c>
      <c r="P878" s="247" t="e">
        <f t="shared" si="129"/>
        <v>#DIV/0!</v>
      </c>
      <c r="Q878" s="206" t="e">
        <f t="shared" si="130"/>
        <v>#DIV/0!</v>
      </c>
      <c r="R878" s="206"/>
      <c r="S878" s="341" t="e">
        <f t="shared" si="131"/>
        <v>#DIV/0!</v>
      </c>
      <c r="T878" s="341" t="e">
        <f t="shared" si="132"/>
        <v>#DIV/0!</v>
      </c>
      <c r="U878" s="206"/>
      <c r="V878" s="208"/>
      <c r="W878" s="196"/>
      <c r="X878" s="152"/>
      <c r="Z878" s="198"/>
      <c r="AA878" s="198"/>
    </row>
    <row r="879" spans="1:27" s="197" customFormat="1" ht="15" customHeight="1">
      <c r="A879" s="226"/>
      <c r="B879" s="224" t="s">
        <v>400</v>
      </c>
      <c r="C879" s="312">
        <f>IF(R859="Inclinado",C878+2*SIN(RADIANS(Q859))*(I878+N859),C878+2*TAN(RADIANS(Q859))*(I878+N859))</f>
        <v>0</v>
      </c>
      <c r="D879" s="645">
        <f t="shared" si="133"/>
        <v>0</v>
      </c>
      <c r="E879" s="645">
        <f t="shared" si="133"/>
        <v>0</v>
      </c>
      <c r="F879" s="645">
        <f t="shared" si="133"/>
        <v>0</v>
      </c>
      <c r="G879" s="645">
        <f t="shared" si="133"/>
        <v>0</v>
      </c>
      <c r="H879" s="645">
        <f t="shared" si="133"/>
        <v>0</v>
      </c>
      <c r="I879" s="645">
        <f t="shared" si="133"/>
        <v>0</v>
      </c>
      <c r="J879" s="645">
        <f t="shared" si="133"/>
        <v>0</v>
      </c>
      <c r="K879" s="645">
        <f t="shared" si="133"/>
        <v>0</v>
      </c>
      <c r="L879" s="646" t="e">
        <f t="shared" si="127"/>
        <v>#DIV/0!</v>
      </c>
      <c r="M879" s="646" t="e">
        <f t="shared" si="128"/>
        <v>#DIV/0!</v>
      </c>
      <c r="N879" s="206"/>
      <c r="O879" s="631">
        <f t="shared" si="134"/>
        <v>360</v>
      </c>
      <c r="P879" s="247" t="e">
        <f t="shared" si="129"/>
        <v>#DIV/0!</v>
      </c>
      <c r="Q879" s="206" t="e">
        <f t="shared" si="130"/>
        <v>#DIV/0!</v>
      </c>
      <c r="R879" s="206"/>
      <c r="S879" s="341" t="e">
        <f t="shared" si="131"/>
        <v>#DIV/0!</v>
      </c>
      <c r="T879" s="341" t="e">
        <f t="shared" si="132"/>
        <v>#DIV/0!</v>
      </c>
      <c r="U879" s="206"/>
      <c r="V879" s="208"/>
      <c r="W879" s="196"/>
      <c r="X879" s="152"/>
      <c r="Z879" s="198"/>
      <c r="AA879" s="198"/>
    </row>
    <row r="880" spans="1:27" s="197" customFormat="1" ht="15" customHeight="1">
      <c r="A880" s="226"/>
      <c r="B880" s="224" t="s">
        <v>401</v>
      </c>
      <c r="C880" s="312">
        <f>IF(R859="Inclinado",C879+2*SIN(RADIANS(Q859))*(I879+N859),C879+2*TAN(RADIANS(Q859))*(I879+N859))</f>
        <v>0</v>
      </c>
      <c r="D880" s="645">
        <f t="shared" si="133"/>
        <v>0</v>
      </c>
      <c r="E880" s="645">
        <f t="shared" si="133"/>
        <v>0</v>
      </c>
      <c r="F880" s="645">
        <f t="shared" si="133"/>
        <v>0</v>
      </c>
      <c r="G880" s="645">
        <f t="shared" si="133"/>
        <v>0</v>
      </c>
      <c r="H880" s="645">
        <f t="shared" si="133"/>
        <v>0</v>
      </c>
      <c r="I880" s="645">
        <f t="shared" si="133"/>
        <v>0</v>
      </c>
      <c r="J880" s="645">
        <f t="shared" si="133"/>
        <v>0</v>
      </c>
      <c r="K880" s="645">
        <f t="shared" si="133"/>
        <v>0</v>
      </c>
      <c r="L880" s="646" t="e">
        <f t="shared" si="127"/>
        <v>#DIV/0!</v>
      </c>
      <c r="M880" s="646" t="e">
        <f t="shared" si="128"/>
        <v>#DIV/0!</v>
      </c>
      <c r="N880" s="206"/>
      <c r="O880" s="631">
        <f t="shared" si="134"/>
        <v>360</v>
      </c>
      <c r="P880" s="247" t="e">
        <f t="shared" si="129"/>
        <v>#DIV/0!</v>
      </c>
      <c r="Q880" s="206" t="e">
        <f t="shared" si="130"/>
        <v>#DIV/0!</v>
      </c>
      <c r="R880" s="206"/>
      <c r="S880" s="341" t="e">
        <f t="shared" si="131"/>
        <v>#DIV/0!</v>
      </c>
      <c r="T880" s="341" t="e">
        <f t="shared" si="132"/>
        <v>#DIV/0!</v>
      </c>
      <c r="U880" s="206"/>
      <c r="V880" s="208"/>
      <c r="W880" s="196"/>
      <c r="X880" s="152"/>
      <c r="Z880" s="198"/>
      <c r="AA880" s="198"/>
    </row>
    <row r="881" spans="1:27" s="197" customFormat="1" ht="15" customHeight="1">
      <c r="A881" s="226"/>
      <c r="B881" s="224" t="s">
        <v>402</v>
      </c>
      <c r="C881" s="312">
        <f>IF(R859="Inclinado",C880+2*SIN(RADIANS(Q859))*(I880+N859),C880+2*TAN(RADIANS(Q859))*(I880+N859))</f>
        <v>0</v>
      </c>
      <c r="D881" s="645">
        <f t="shared" si="133"/>
        <v>0</v>
      </c>
      <c r="E881" s="645">
        <f t="shared" si="133"/>
        <v>0</v>
      </c>
      <c r="F881" s="645">
        <f t="shared" si="133"/>
        <v>0</v>
      </c>
      <c r="G881" s="645">
        <f t="shared" si="133"/>
        <v>0</v>
      </c>
      <c r="H881" s="645">
        <f t="shared" si="133"/>
        <v>0</v>
      </c>
      <c r="I881" s="645">
        <f t="shared" si="133"/>
        <v>0</v>
      </c>
      <c r="J881" s="645">
        <f t="shared" si="133"/>
        <v>0</v>
      </c>
      <c r="K881" s="645">
        <f t="shared" si="133"/>
        <v>0</v>
      </c>
      <c r="L881" s="646" t="e">
        <f t="shared" si="127"/>
        <v>#DIV/0!</v>
      </c>
      <c r="M881" s="646" t="e">
        <f t="shared" si="128"/>
        <v>#DIV/0!</v>
      </c>
      <c r="N881" s="206"/>
      <c r="O881" s="631">
        <f t="shared" si="134"/>
        <v>360</v>
      </c>
      <c r="P881" s="247" t="e">
        <f t="shared" si="129"/>
        <v>#DIV/0!</v>
      </c>
      <c r="Q881" s="206" t="e">
        <f t="shared" si="130"/>
        <v>#DIV/0!</v>
      </c>
      <c r="R881" s="206"/>
      <c r="S881" s="341" t="e">
        <f t="shared" si="131"/>
        <v>#DIV/0!</v>
      </c>
      <c r="T881" s="341" t="e">
        <f t="shared" si="132"/>
        <v>#DIV/0!</v>
      </c>
      <c r="U881" s="206"/>
      <c r="V881" s="208"/>
      <c r="W881" s="196"/>
      <c r="X881" s="152"/>
      <c r="Z881" s="198"/>
      <c r="AA881" s="198"/>
    </row>
    <row r="882" spans="1:27" s="197" customFormat="1" ht="15" customHeight="1">
      <c r="A882" s="226"/>
      <c r="B882" s="224" t="s">
        <v>403</v>
      </c>
      <c r="C882" s="312">
        <f>IF(R859="Inclinado",C881+2*SIN(RADIANS(Q859))*(I881+N859),C881+2*TAN(RADIANS(Q859))*(I881+N859))</f>
        <v>0</v>
      </c>
      <c r="D882" s="645">
        <f t="shared" si="133"/>
        <v>0</v>
      </c>
      <c r="E882" s="645">
        <f t="shared" si="133"/>
        <v>0</v>
      </c>
      <c r="F882" s="645">
        <f t="shared" si="133"/>
        <v>0</v>
      </c>
      <c r="G882" s="645">
        <f t="shared" si="133"/>
        <v>0</v>
      </c>
      <c r="H882" s="645">
        <f t="shared" si="133"/>
        <v>0</v>
      </c>
      <c r="I882" s="645">
        <f t="shared" si="133"/>
        <v>0</v>
      </c>
      <c r="J882" s="645">
        <f t="shared" si="133"/>
        <v>0</v>
      </c>
      <c r="K882" s="645">
        <f t="shared" si="133"/>
        <v>0</v>
      </c>
      <c r="L882" s="646" t="e">
        <f t="shared" si="127"/>
        <v>#DIV/0!</v>
      </c>
      <c r="M882" s="646" t="e">
        <f t="shared" si="128"/>
        <v>#DIV/0!</v>
      </c>
      <c r="N882" s="206"/>
      <c r="O882" s="631">
        <f t="shared" si="134"/>
        <v>360</v>
      </c>
      <c r="P882" s="247" t="e">
        <f t="shared" si="129"/>
        <v>#DIV/0!</v>
      </c>
      <c r="Q882" s="206" t="e">
        <f t="shared" si="130"/>
        <v>#DIV/0!</v>
      </c>
      <c r="R882" s="206"/>
      <c r="S882" s="341" t="e">
        <f t="shared" si="131"/>
        <v>#DIV/0!</v>
      </c>
      <c r="T882" s="341" t="e">
        <f t="shared" si="132"/>
        <v>#DIV/0!</v>
      </c>
      <c r="U882" s="206"/>
      <c r="V882" s="208"/>
      <c r="W882" s="196"/>
      <c r="X882" s="152"/>
      <c r="Z882" s="198"/>
      <c r="AA882" s="198"/>
    </row>
    <row r="883" spans="1:27" s="197" customFormat="1" ht="15" customHeight="1">
      <c r="A883" s="226"/>
      <c r="B883" s="224" t="s">
        <v>404</v>
      </c>
      <c r="C883" s="312">
        <f>IF(R859="Inclinado",C882+2*SIN(RADIANS(Q859))*(I882+N859),C882+2*TAN(RADIANS(Q859))*(I882+N859))</f>
        <v>0</v>
      </c>
      <c r="D883" s="645">
        <f t="shared" si="133"/>
        <v>0</v>
      </c>
      <c r="E883" s="645">
        <f t="shared" si="133"/>
        <v>0</v>
      </c>
      <c r="F883" s="645">
        <f t="shared" si="133"/>
        <v>0</v>
      </c>
      <c r="G883" s="645">
        <f t="shared" si="133"/>
        <v>0</v>
      </c>
      <c r="H883" s="645">
        <f t="shared" si="133"/>
        <v>0</v>
      </c>
      <c r="I883" s="645">
        <f t="shared" si="133"/>
        <v>0</v>
      </c>
      <c r="J883" s="645">
        <f t="shared" si="133"/>
        <v>0</v>
      </c>
      <c r="K883" s="645">
        <f t="shared" si="133"/>
        <v>0</v>
      </c>
      <c r="L883" s="646" t="e">
        <f t="shared" si="127"/>
        <v>#DIV/0!</v>
      </c>
      <c r="M883" s="646" t="e">
        <f t="shared" si="128"/>
        <v>#DIV/0!</v>
      </c>
      <c r="N883" s="206"/>
      <c r="O883" s="631">
        <f t="shared" si="134"/>
        <v>360</v>
      </c>
      <c r="P883" s="247" t="e">
        <f t="shared" si="129"/>
        <v>#DIV/0!</v>
      </c>
      <c r="Q883" s="206" t="e">
        <f t="shared" si="130"/>
        <v>#DIV/0!</v>
      </c>
      <c r="R883" s="206"/>
      <c r="S883" s="341" t="e">
        <f t="shared" si="131"/>
        <v>#DIV/0!</v>
      </c>
      <c r="T883" s="341" t="e">
        <f t="shared" si="132"/>
        <v>#DIV/0!</v>
      </c>
      <c r="U883" s="206"/>
      <c r="V883" s="208"/>
      <c r="W883" s="196"/>
      <c r="X883" s="152"/>
      <c r="Z883" s="198"/>
      <c r="AA883" s="198"/>
    </row>
    <row r="884" spans="1:27" s="197" customFormat="1" ht="15" customHeight="1">
      <c r="A884" s="226"/>
      <c r="B884" s="224" t="s">
        <v>405</v>
      </c>
      <c r="C884" s="312">
        <f>IF(R859="Inclinado",C883+2*SIN(RADIANS(Q859))*(I883+N859),C883+2*TAN(RADIANS(Q859))*(I883+N859))</f>
        <v>0</v>
      </c>
      <c r="D884" s="645">
        <f t="shared" si="133"/>
        <v>0</v>
      </c>
      <c r="E884" s="645">
        <f t="shared" si="133"/>
        <v>0</v>
      </c>
      <c r="F884" s="645">
        <f t="shared" si="133"/>
        <v>0</v>
      </c>
      <c r="G884" s="645">
        <f t="shared" si="133"/>
        <v>0</v>
      </c>
      <c r="H884" s="645">
        <f t="shared" si="133"/>
        <v>0</v>
      </c>
      <c r="I884" s="645">
        <f t="shared" si="133"/>
        <v>0</v>
      </c>
      <c r="J884" s="645">
        <f t="shared" si="133"/>
        <v>0</v>
      </c>
      <c r="K884" s="645">
        <f t="shared" si="133"/>
        <v>0</v>
      </c>
      <c r="L884" s="646" t="e">
        <f t="shared" si="127"/>
        <v>#DIV/0!</v>
      </c>
      <c r="M884" s="646" t="e">
        <f t="shared" si="128"/>
        <v>#DIV/0!</v>
      </c>
      <c r="N884" s="206"/>
      <c r="O884" s="631">
        <f t="shared" si="134"/>
        <v>360</v>
      </c>
      <c r="P884" s="247" t="e">
        <f t="shared" si="129"/>
        <v>#DIV/0!</v>
      </c>
      <c r="Q884" s="206" t="e">
        <f t="shared" si="130"/>
        <v>#DIV/0!</v>
      </c>
      <c r="R884" s="206"/>
      <c r="S884" s="341" t="e">
        <f t="shared" si="131"/>
        <v>#DIV/0!</v>
      </c>
      <c r="T884" s="341" t="e">
        <f t="shared" si="132"/>
        <v>#DIV/0!</v>
      </c>
      <c r="U884" s="206"/>
      <c r="V884" s="208"/>
      <c r="W884" s="196"/>
      <c r="X884" s="152"/>
      <c r="Z884" s="198"/>
      <c r="AA884" s="198"/>
    </row>
    <row r="885" spans="1:27" s="197" customFormat="1" ht="15" customHeight="1">
      <c r="A885" s="226"/>
      <c r="B885" s="224" t="s">
        <v>406</v>
      </c>
      <c r="C885" s="312">
        <f>IF(R859="Inclinado",C884+2*SIN(RADIANS(Q859))*(I884+N859),C884+2*TAN(RADIANS(Q859))*(I884+N859))</f>
        <v>0</v>
      </c>
      <c r="D885" s="645">
        <f t="shared" si="133"/>
        <v>0</v>
      </c>
      <c r="E885" s="645">
        <f t="shared" si="133"/>
        <v>0</v>
      </c>
      <c r="F885" s="645">
        <f t="shared" si="133"/>
        <v>0</v>
      </c>
      <c r="G885" s="645">
        <f t="shared" si="133"/>
        <v>0</v>
      </c>
      <c r="H885" s="645">
        <f t="shared" si="133"/>
        <v>0</v>
      </c>
      <c r="I885" s="645">
        <f t="shared" si="133"/>
        <v>0</v>
      </c>
      <c r="J885" s="645">
        <f t="shared" si="133"/>
        <v>0</v>
      </c>
      <c r="K885" s="645">
        <f t="shared" si="133"/>
        <v>0</v>
      </c>
      <c r="L885" s="646" t="e">
        <f t="shared" si="127"/>
        <v>#DIV/0!</v>
      </c>
      <c r="M885" s="646" t="e">
        <f t="shared" si="128"/>
        <v>#DIV/0!</v>
      </c>
      <c r="N885" s="206"/>
      <c r="O885" s="631">
        <f t="shared" si="134"/>
        <v>360</v>
      </c>
      <c r="P885" s="247" t="e">
        <f t="shared" si="129"/>
        <v>#DIV/0!</v>
      </c>
      <c r="Q885" s="206" t="e">
        <f t="shared" si="130"/>
        <v>#DIV/0!</v>
      </c>
      <c r="R885" s="206"/>
      <c r="S885" s="341" t="e">
        <f t="shared" si="131"/>
        <v>#DIV/0!</v>
      </c>
      <c r="T885" s="341" t="e">
        <f t="shared" si="132"/>
        <v>#DIV/0!</v>
      </c>
      <c r="U885" s="206"/>
      <c r="V885" s="208"/>
      <c r="W885" s="196"/>
      <c r="X885" s="152"/>
      <c r="Z885" s="198"/>
      <c r="AA885" s="198"/>
    </row>
    <row r="886" spans="1:27" s="197" customFormat="1" ht="15" customHeight="1">
      <c r="A886" s="226"/>
      <c r="B886" s="224" t="s">
        <v>407</v>
      </c>
      <c r="C886" s="312">
        <f>IF(R859="Inclinado",C885+2*SIN(RADIANS(Q859))*(I885+N859),C885+2*TAN(RADIANS(Q859))*(I885+N859))</f>
        <v>0</v>
      </c>
      <c r="D886" s="645">
        <f t="shared" si="133"/>
        <v>0</v>
      </c>
      <c r="E886" s="645">
        <f t="shared" si="133"/>
        <v>0</v>
      </c>
      <c r="F886" s="645">
        <f t="shared" si="133"/>
        <v>0</v>
      </c>
      <c r="G886" s="645">
        <f t="shared" si="133"/>
        <v>0</v>
      </c>
      <c r="H886" s="645">
        <f t="shared" si="133"/>
        <v>0</v>
      </c>
      <c r="I886" s="645">
        <f t="shared" si="133"/>
        <v>0</v>
      </c>
      <c r="J886" s="645">
        <f t="shared" si="133"/>
        <v>0</v>
      </c>
      <c r="K886" s="645">
        <f t="shared" si="133"/>
        <v>0</v>
      </c>
      <c r="L886" s="646" t="e">
        <f t="shared" si="127"/>
        <v>#DIV/0!</v>
      </c>
      <c r="M886" s="646" t="e">
        <f t="shared" si="128"/>
        <v>#DIV/0!</v>
      </c>
      <c r="N886" s="206"/>
      <c r="O886" s="631">
        <f t="shared" si="134"/>
        <v>360</v>
      </c>
      <c r="P886" s="247" t="e">
        <f t="shared" si="129"/>
        <v>#DIV/0!</v>
      </c>
      <c r="Q886" s="206" t="e">
        <f t="shared" si="130"/>
        <v>#DIV/0!</v>
      </c>
      <c r="R886" s="206"/>
      <c r="S886" s="341" t="e">
        <f t="shared" si="131"/>
        <v>#DIV/0!</v>
      </c>
      <c r="T886" s="341" t="e">
        <f t="shared" si="132"/>
        <v>#DIV/0!</v>
      </c>
      <c r="U886" s="206"/>
      <c r="V886" s="208"/>
      <c r="W886" s="196"/>
      <c r="X886" s="152"/>
      <c r="Z886" s="198"/>
      <c r="AA886" s="198"/>
    </row>
    <row r="887" spans="1:27" s="197" customFormat="1" ht="15" customHeight="1">
      <c r="A887" s="226"/>
      <c r="B887" s="224" t="s">
        <v>408</v>
      </c>
      <c r="C887" s="312">
        <f>IF(R859="Inclinado",C886+2*SIN(RADIANS(Q859))*(I886+N859),C886+2*TAN(RADIANS(Q859))*(I886+N859))</f>
        <v>0</v>
      </c>
      <c r="D887" s="645">
        <f t="shared" ref="D887:K902" si="135">D886</f>
        <v>0</v>
      </c>
      <c r="E887" s="645">
        <f t="shared" si="135"/>
        <v>0</v>
      </c>
      <c r="F887" s="645">
        <f t="shared" si="135"/>
        <v>0</v>
      </c>
      <c r="G887" s="645">
        <f t="shared" si="135"/>
        <v>0</v>
      </c>
      <c r="H887" s="645">
        <f t="shared" si="135"/>
        <v>0</v>
      </c>
      <c r="I887" s="645">
        <f t="shared" si="135"/>
        <v>0</v>
      </c>
      <c r="J887" s="645">
        <f t="shared" si="135"/>
        <v>0</v>
      </c>
      <c r="K887" s="645">
        <f t="shared" si="135"/>
        <v>0</v>
      </c>
      <c r="L887" s="646" t="e">
        <f t="shared" si="127"/>
        <v>#DIV/0!</v>
      </c>
      <c r="M887" s="646" t="e">
        <f t="shared" si="128"/>
        <v>#DIV/0!</v>
      </c>
      <c r="N887" s="206"/>
      <c r="O887" s="631">
        <f t="shared" si="134"/>
        <v>360</v>
      </c>
      <c r="P887" s="247" t="e">
        <f t="shared" si="129"/>
        <v>#DIV/0!</v>
      </c>
      <c r="Q887" s="206" t="e">
        <f t="shared" si="130"/>
        <v>#DIV/0!</v>
      </c>
      <c r="R887" s="206"/>
      <c r="S887" s="341" t="e">
        <f t="shared" si="131"/>
        <v>#DIV/0!</v>
      </c>
      <c r="T887" s="341" t="e">
        <f t="shared" si="132"/>
        <v>#DIV/0!</v>
      </c>
      <c r="U887" s="206"/>
      <c r="V887" s="208"/>
      <c r="W887" s="196"/>
      <c r="X887" s="152"/>
      <c r="Z887" s="198"/>
      <c r="AA887" s="198"/>
    </row>
    <row r="888" spans="1:27" s="197" customFormat="1" ht="15" customHeight="1">
      <c r="A888" s="226"/>
      <c r="B888" s="224" t="s">
        <v>409</v>
      </c>
      <c r="C888" s="312">
        <f>IF(R859="Inclinado",C887+2*SIN(RADIANS(Q859))*(I887+N859),C887+2*TAN(RADIANS(Q859))*(I887+N859))</f>
        <v>0</v>
      </c>
      <c r="D888" s="645">
        <f t="shared" si="135"/>
        <v>0</v>
      </c>
      <c r="E888" s="645">
        <f t="shared" si="135"/>
        <v>0</v>
      </c>
      <c r="F888" s="645">
        <f t="shared" si="135"/>
        <v>0</v>
      </c>
      <c r="G888" s="645">
        <f t="shared" si="135"/>
        <v>0</v>
      </c>
      <c r="H888" s="645">
        <f t="shared" si="135"/>
        <v>0</v>
      </c>
      <c r="I888" s="645">
        <f t="shared" si="135"/>
        <v>0</v>
      </c>
      <c r="J888" s="645">
        <f t="shared" si="135"/>
        <v>0</v>
      </c>
      <c r="K888" s="645">
        <f t="shared" si="135"/>
        <v>0</v>
      </c>
      <c r="L888" s="646" t="e">
        <f t="shared" si="127"/>
        <v>#DIV/0!</v>
      </c>
      <c r="M888" s="646" t="e">
        <f t="shared" si="128"/>
        <v>#DIV/0!</v>
      </c>
      <c r="N888" s="206"/>
      <c r="O888" s="631">
        <f t="shared" si="134"/>
        <v>360</v>
      </c>
      <c r="P888" s="247" t="e">
        <f t="shared" si="129"/>
        <v>#DIV/0!</v>
      </c>
      <c r="Q888" s="206" t="e">
        <f t="shared" si="130"/>
        <v>#DIV/0!</v>
      </c>
      <c r="R888" s="206"/>
      <c r="S888" s="341" t="e">
        <f t="shared" si="131"/>
        <v>#DIV/0!</v>
      </c>
      <c r="T888" s="341" t="e">
        <f t="shared" si="132"/>
        <v>#DIV/0!</v>
      </c>
      <c r="U888" s="206"/>
      <c r="V888" s="208"/>
      <c r="W888" s="196"/>
      <c r="X888" s="152"/>
      <c r="Z888" s="198"/>
      <c r="AA888" s="198"/>
    </row>
    <row r="889" spans="1:27" s="197" customFormat="1" ht="15" customHeight="1">
      <c r="A889" s="226"/>
      <c r="B889" s="224" t="s">
        <v>410</v>
      </c>
      <c r="C889" s="312">
        <f>IF(R859="Inclinado",C888+2*SIN(RADIANS(Q859))*(I888+N859),C888+2*TAN(RADIANS(Q859))*(I888+N859))</f>
        <v>0</v>
      </c>
      <c r="D889" s="645">
        <f t="shared" si="135"/>
        <v>0</v>
      </c>
      <c r="E889" s="645">
        <f t="shared" si="135"/>
        <v>0</v>
      </c>
      <c r="F889" s="645">
        <f t="shared" si="135"/>
        <v>0</v>
      </c>
      <c r="G889" s="645">
        <f t="shared" si="135"/>
        <v>0</v>
      </c>
      <c r="H889" s="645">
        <f t="shared" si="135"/>
        <v>0</v>
      </c>
      <c r="I889" s="645">
        <f t="shared" si="135"/>
        <v>0</v>
      </c>
      <c r="J889" s="645">
        <f t="shared" si="135"/>
        <v>0</v>
      </c>
      <c r="K889" s="645">
        <f t="shared" si="135"/>
        <v>0</v>
      </c>
      <c r="L889" s="646" t="e">
        <f t="shared" si="127"/>
        <v>#DIV/0!</v>
      </c>
      <c r="M889" s="646" t="e">
        <f t="shared" si="128"/>
        <v>#DIV/0!</v>
      </c>
      <c r="N889" s="206"/>
      <c r="O889" s="631">
        <f t="shared" si="134"/>
        <v>360</v>
      </c>
      <c r="P889" s="247" t="e">
        <f t="shared" si="129"/>
        <v>#DIV/0!</v>
      </c>
      <c r="Q889" s="206" t="e">
        <f t="shared" si="130"/>
        <v>#DIV/0!</v>
      </c>
      <c r="R889" s="206"/>
      <c r="S889" s="341" t="e">
        <f t="shared" si="131"/>
        <v>#DIV/0!</v>
      </c>
      <c r="T889" s="341" t="e">
        <f t="shared" si="132"/>
        <v>#DIV/0!</v>
      </c>
      <c r="U889" s="206"/>
      <c r="V889" s="208"/>
      <c r="W889" s="196"/>
      <c r="X889" s="152"/>
      <c r="Z889" s="198"/>
      <c r="AA889" s="198"/>
    </row>
    <row r="890" spans="1:27" s="197" customFormat="1" ht="15" customHeight="1">
      <c r="A890" s="226"/>
      <c r="B890" s="224" t="s">
        <v>411</v>
      </c>
      <c r="C890" s="312">
        <f>IF(R859="Inclinado",C889+2*SIN(RADIANS(Q859))*(I889+N859),C889+2*TAN(RADIANS(Q859))*(I889+N859))</f>
        <v>0</v>
      </c>
      <c r="D890" s="645">
        <f t="shared" si="135"/>
        <v>0</v>
      </c>
      <c r="E890" s="645">
        <f t="shared" si="135"/>
        <v>0</v>
      </c>
      <c r="F890" s="645">
        <f t="shared" si="135"/>
        <v>0</v>
      </c>
      <c r="G890" s="645">
        <f t="shared" si="135"/>
        <v>0</v>
      </c>
      <c r="H890" s="645">
        <f t="shared" si="135"/>
        <v>0</v>
      </c>
      <c r="I890" s="645">
        <f t="shared" si="135"/>
        <v>0</v>
      </c>
      <c r="J890" s="645">
        <f t="shared" si="135"/>
        <v>0</v>
      </c>
      <c r="K890" s="645">
        <f t="shared" si="135"/>
        <v>0</v>
      </c>
      <c r="L890" s="646" t="e">
        <f t="shared" si="127"/>
        <v>#DIV/0!</v>
      </c>
      <c r="M890" s="646" t="e">
        <f t="shared" si="128"/>
        <v>#DIV/0!</v>
      </c>
      <c r="N890" s="206"/>
      <c r="O890" s="631">
        <f t="shared" si="134"/>
        <v>360</v>
      </c>
      <c r="P890" s="247" t="e">
        <f t="shared" si="129"/>
        <v>#DIV/0!</v>
      </c>
      <c r="Q890" s="206" t="e">
        <f t="shared" si="130"/>
        <v>#DIV/0!</v>
      </c>
      <c r="R890" s="206"/>
      <c r="S890" s="341" t="e">
        <f t="shared" si="131"/>
        <v>#DIV/0!</v>
      </c>
      <c r="T890" s="341" t="e">
        <f t="shared" si="132"/>
        <v>#DIV/0!</v>
      </c>
      <c r="U890" s="206"/>
      <c r="V890" s="208"/>
      <c r="W890" s="196"/>
      <c r="X890" s="152"/>
      <c r="Z890" s="198"/>
      <c r="AA890" s="198"/>
    </row>
    <row r="891" spans="1:27" s="197" customFormat="1" ht="15" customHeight="1">
      <c r="A891" s="226"/>
      <c r="B891" s="224" t="s">
        <v>412</v>
      </c>
      <c r="C891" s="312">
        <f>IF(R859="Inclinado",C890+2*SIN(RADIANS(Q859))*(I890+N859),C890+2*TAN(RADIANS(Q859))*(I890+N859))</f>
        <v>0</v>
      </c>
      <c r="D891" s="645">
        <f t="shared" si="135"/>
        <v>0</v>
      </c>
      <c r="E891" s="645">
        <f t="shared" si="135"/>
        <v>0</v>
      </c>
      <c r="F891" s="645">
        <f t="shared" si="135"/>
        <v>0</v>
      </c>
      <c r="G891" s="645">
        <f t="shared" si="135"/>
        <v>0</v>
      </c>
      <c r="H891" s="645">
        <f t="shared" si="135"/>
        <v>0</v>
      </c>
      <c r="I891" s="645">
        <f t="shared" si="135"/>
        <v>0</v>
      </c>
      <c r="J891" s="645">
        <f t="shared" si="135"/>
        <v>0</v>
      </c>
      <c r="K891" s="645">
        <f t="shared" si="135"/>
        <v>0</v>
      </c>
      <c r="L891" s="646" t="e">
        <f t="shared" si="127"/>
        <v>#DIV/0!</v>
      </c>
      <c r="M891" s="646" t="e">
        <f t="shared" si="128"/>
        <v>#DIV/0!</v>
      </c>
      <c r="N891" s="206"/>
      <c r="O891" s="631">
        <f t="shared" si="134"/>
        <v>360</v>
      </c>
      <c r="P891" s="247" t="e">
        <f t="shared" si="129"/>
        <v>#DIV/0!</v>
      </c>
      <c r="Q891" s="206" t="e">
        <f t="shared" si="130"/>
        <v>#DIV/0!</v>
      </c>
      <c r="R891" s="206"/>
      <c r="S891" s="341" t="e">
        <f t="shared" si="131"/>
        <v>#DIV/0!</v>
      </c>
      <c r="T891" s="341" t="e">
        <f t="shared" si="132"/>
        <v>#DIV/0!</v>
      </c>
      <c r="U891" s="206"/>
      <c r="V891" s="208"/>
      <c r="W891" s="196"/>
      <c r="X891" s="152"/>
      <c r="Z891" s="198"/>
      <c r="AA891" s="198"/>
    </row>
    <row r="892" spans="1:27" s="197" customFormat="1" ht="15" customHeight="1">
      <c r="A892" s="226"/>
      <c r="B892" s="224" t="s">
        <v>413</v>
      </c>
      <c r="C892" s="312">
        <f>IF(R859="Inclinado",C891+2*SIN(RADIANS(Q859))*(I891+N859),C891+2*TAN(RADIANS(Q859))*(I891+N859))</f>
        <v>0</v>
      </c>
      <c r="D892" s="645">
        <f t="shared" si="135"/>
        <v>0</v>
      </c>
      <c r="E892" s="645">
        <f t="shared" si="135"/>
        <v>0</v>
      </c>
      <c r="F892" s="645">
        <f t="shared" si="135"/>
        <v>0</v>
      </c>
      <c r="G892" s="645">
        <f t="shared" si="135"/>
        <v>0</v>
      </c>
      <c r="H892" s="645">
        <f t="shared" si="135"/>
        <v>0</v>
      </c>
      <c r="I892" s="645">
        <f t="shared" si="135"/>
        <v>0</v>
      </c>
      <c r="J892" s="645">
        <f t="shared" si="135"/>
        <v>0</v>
      </c>
      <c r="K892" s="645">
        <f t="shared" si="135"/>
        <v>0</v>
      </c>
      <c r="L892" s="646" t="e">
        <f t="shared" si="127"/>
        <v>#DIV/0!</v>
      </c>
      <c r="M892" s="646" t="e">
        <f t="shared" si="128"/>
        <v>#DIV/0!</v>
      </c>
      <c r="N892" s="206"/>
      <c r="O892" s="631">
        <f t="shared" si="134"/>
        <v>360</v>
      </c>
      <c r="P892" s="247" t="e">
        <f t="shared" si="129"/>
        <v>#DIV/0!</v>
      </c>
      <c r="Q892" s="206" t="e">
        <f t="shared" si="130"/>
        <v>#DIV/0!</v>
      </c>
      <c r="R892" s="206"/>
      <c r="S892" s="341" t="e">
        <f t="shared" si="131"/>
        <v>#DIV/0!</v>
      </c>
      <c r="T892" s="341" t="e">
        <f t="shared" si="132"/>
        <v>#DIV/0!</v>
      </c>
      <c r="U892" s="206"/>
      <c r="V892" s="208"/>
      <c r="W892" s="196"/>
      <c r="X892" s="152"/>
      <c r="Z892" s="198"/>
      <c r="AA892" s="198"/>
    </row>
    <row r="893" spans="1:27" s="197" customFormat="1" ht="15" customHeight="1">
      <c r="A893" s="226"/>
      <c r="B893" s="224" t="s">
        <v>414</v>
      </c>
      <c r="C893" s="312">
        <f>IF(R859="Inclinado",C892+2*SIN(RADIANS(Q859))*(I892+N859),C892+2*TAN(RADIANS(Q859))*(I892+N859))</f>
        <v>0</v>
      </c>
      <c r="D893" s="645">
        <f t="shared" si="135"/>
        <v>0</v>
      </c>
      <c r="E893" s="645">
        <f t="shared" si="135"/>
        <v>0</v>
      </c>
      <c r="F893" s="645">
        <f t="shared" si="135"/>
        <v>0</v>
      </c>
      <c r="G893" s="645">
        <f t="shared" si="135"/>
        <v>0</v>
      </c>
      <c r="H893" s="645">
        <f t="shared" si="135"/>
        <v>0</v>
      </c>
      <c r="I893" s="645">
        <f t="shared" si="135"/>
        <v>0</v>
      </c>
      <c r="J893" s="645">
        <f t="shared" si="135"/>
        <v>0</v>
      </c>
      <c r="K893" s="645">
        <f t="shared" si="135"/>
        <v>0</v>
      </c>
      <c r="L893" s="646" t="e">
        <f t="shared" si="127"/>
        <v>#DIV/0!</v>
      </c>
      <c r="M893" s="646" t="e">
        <f t="shared" si="128"/>
        <v>#DIV/0!</v>
      </c>
      <c r="N893" s="206"/>
      <c r="O893" s="631">
        <f t="shared" si="134"/>
        <v>360</v>
      </c>
      <c r="P893" s="247" t="e">
        <f t="shared" si="129"/>
        <v>#DIV/0!</v>
      </c>
      <c r="Q893" s="206" t="e">
        <f t="shared" si="130"/>
        <v>#DIV/0!</v>
      </c>
      <c r="R893" s="206"/>
      <c r="S893" s="341" t="e">
        <f t="shared" si="131"/>
        <v>#DIV/0!</v>
      </c>
      <c r="T893" s="341" t="e">
        <f t="shared" si="132"/>
        <v>#DIV/0!</v>
      </c>
      <c r="U893" s="206"/>
      <c r="V893" s="208"/>
      <c r="W893" s="196"/>
      <c r="X893" s="152"/>
      <c r="Z893" s="198"/>
      <c r="AA893" s="198"/>
    </row>
    <row r="894" spans="1:27" s="197" customFormat="1" ht="15" customHeight="1">
      <c r="A894" s="226"/>
      <c r="B894" s="224" t="s">
        <v>415</v>
      </c>
      <c r="C894" s="312">
        <f>IF(R859="Inclinado",C893+2*SIN(RADIANS(Q859))*(I893+N859),C893+2*TAN(RADIANS(Q859))*(I893+N859))</f>
        <v>0</v>
      </c>
      <c r="D894" s="645">
        <f t="shared" si="135"/>
        <v>0</v>
      </c>
      <c r="E894" s="645">
        <f t="shared" si="135"/>
        <v>0</v>
      </c>
      <c r="F894" s="645">
        <f t="shared" si="135"/>
        <v>0</v>
      </c>
      <c r="G894" s="645">
        <f t="shared" si="135"/>
        <v>0</v>
      </c>
      <c r="H894" s="645">
        <f t="shared" si="135"/>
        <v>0</v>
      </c>
      <c r="I894" s="645">
        <f t="shared" si="135"/>
        <v>0</v>
      </c>
      <c r="J894" s="645">
        <f t="shared" si="135"/>
        <v>0</v>
      </c>
      <c r="K894" s="645">
        <f t="shared" si="135"/>
        <v>0</v>
      </c>
      <c r="L894" s="646" t="e">
        <f t="shared" si="127"/>
        <v>#DIV/0!</v>
      </c>
      <c r="M894" s="646" t="e">
        <f t="shared" si="128"/>
        <v>#DIV/0!</v>
      </c>
      <c r="N894" s="206"/>
      <c r="O894" s="631">
        <f t="shared" si="134"/>
        <v>360</v>
      </c>
      <c r="P894" s="247" t="e">
        <f t="shared" si="129"/>
        <v>#DIV/0!</v>
      </c>
      <c r="Q894" s="206" t="e">
        <f t="shared" si="130"/>
        <v>#DIV/0!</v>
      </c>
      <c r="R894" s="206"/>
      <c r="S894" s="341" t="e">
        <f t="shared" si="131"/>
        <v>#DIV/0!</v>
      </c>
      <c r="T894" s="341" t="e">
        <f t="shared" si="132"/>
        <v>#DIV/0!</v>
      </c>
      <c r="U894" s="206"/>
      <c r="V894" s="208"/>
      <c r="W894" s="196"/>
      <c r="X894" s="152"/>
      <c r="Z894" s="198"/>
      <c r="AA894" s="198"/>
    </row>
    <row r="895" spans="1:27" s="197" customFormat="1" ht="15" customHeight="1">
      <c r="A895" s="226"/>
      <c r="B895" s="224" t="s">
        <v>416</v>
      </c>
      <c r="C895" s="312">
        <f>IF(R859="Inclinado",C894+2*SIN(RADIANS(Q859))*(I894+N859),C894+2*TAN(RADIANS(Q859))*(I894+N859))</f>
        <v>0</v>
      </c>
      <c r="D895" s="645">
        <f t="shared" si="135"/>
        <v>0</v>
      </c>
      <c r="E895" s="645">
        <f t="shared" si="135"/>
        <v>0</v>
      </c>
      <c r="F895" s="645">
        <f t="shared" si="135"/>
        <v>0</v>
      </c>
      <c r="G895" s="645">
        <f t="shared" si="135"/>
        <v>0</v>
      </c>
      <c r="H895" s="645">
        <f t="shared" si="135"/>
        <v>0</v>
      </c>
      <c r="I895" s="645">
        <f t="shared" si="135"/>
        <v>0</v>
      </c>
      <c r="J895" s="645">
        <f t="shared" si="135"/>
        <v>0</v>
      </c>
      <c r="K895" s="645">
        <f t="shared" si="135"/>
        <v>0</v>
      </c>
      <c r="L895" s="646" t="e">
        <f t="shared" si="127"/>
        <v>#DIV/0!</v>
      </c>
      <c r="M895" s="646" t="e">
        <f t="shared" si="128"/>
        <v>#DIV/0!</v>
      </c>
      <c r="N895" s="206"/>
      <c r="O895" s="631">
        <f t="shared" si="134"/>
        <v>360</v>
      </c>
      <c r="P895" s="247" t="e">
        <f t="shared" si="129"/>
        <v>#DIV/0!</v>
      </c>
      <c r="Q895" s="206" t="e">
        <f t="shared" si="130"/>
        <v>#DIV/0!</v>
      </c>
      <c r="R895" s="206"/>
      <c r="S895" s="341" t="e">
        <f t="shared" si="131"/>
        <v>#DIV/0!</v>
      </c>
      <c r="T895" s="341" t="e">
        <f t="shared" si="132"/>
        <v>#DIV/0!</v>
      </c>
      <c r="U895" s="206"/>
      <c r="V895" s="208"/>
      <c r="W895" s="196"/>
      <c r="X895" s="152"/>
      <c r="Z895" s="198"/>
      <c r="AA895" s="198"/>
    </row>
    <row r="896" spans="1:27" s="197" customFormat="1" ht="15" customHeight="1">
      <c r="A896" s="226"/>
      <c r="B896" s="224" t="s">
        <v>417</v>
      </c>
      <c r="C896" s="312">
        <f>IF(R859="Inclinado",C895+2*SIN(RADIANS(Q859))*(I895+N859),C895+2*TAN(RADIANS(Q859))*(I895+N859))</f>
        <v>0</v>
      </c>
      <c r="D896" s="645">
        <f t="shared" si="135"/>
        <v>0</v>
      </c>
      <c r="E896" s="645">
        <f t="shared" si="135"/>
        <v>0</v>
      </c>
      <c r="F896" s="645">
        <f t="shared" si="135"/>
        <v>0</v>
      </c>
      <c r="G896" s="645">
        <f t="shared" si="135"/>
        <v>0</v>
      </c>
      <c r="H896" s="645">
        <f t="shared" si="135"/>
        <v>0</v>
      </c>
      <c r="I896" s="645">
        <f t="shared" si="135"/>
        <v>0</v>
      </c>
      <c r="J896" s="645">
        <f t="shared" si="135"/>
        <v>0</v>
      </c>
      <c r="K896" s="645">
        <f t="shared" si="135"/>
        <v>0</v>
      </c>
      <c r="L896" s="646" t="e">
        <f t="shared" si="127"/>
        <v>#DIV/0!</v>
      </c>
      <c r="M896" s="646" t="e">
        <f t="shared" si="128"/>
        <v>#DIV/0!</v>
      </c>
      <c r="N896" s="206"/>
      <c r="O896" s="631">
        <f t="shared" si="134"/>
        <v>360</v>
      </c>
      <c r="P896" s="247" t="e">
        <f t="shared" si="129"/>
        <v>#DIV/0!</v>
      </c>
      <c r="Q896" s="206" t="e">
        <f t="shared" si="130"/>
        <v>#DIV/0!</v>
      </c>
      <c r="R896" s="206"/>
      <c r="S896" s="341" t="e">
        <f t="shared" si="131"/>
        <v>#DIV/0!</v>
      </c>
      <c r="T896" s="341" t="e">
        <f t="shared" si="132"/>
        <v>#DIV/0!</v>
      </c>
      <c r="U896" s="206"/>
      <c r="V896" s="208"/>
      <c r="W896" s="196"/>
      <c r="X896" s="152"/>
      <c r="Z896" s="198"/>
      <c r="AA896" s="198"/>
    </row>
    <row r="897" spans="1:27" s="197" customFormat="1" ht="15" customHeight="1">
      <c r="A897" s="226"/>
      <c r="B897" s="224" t="s">
        <v>418</v>
      </c>
      <c r="C897" s="312">
        <f>IF(R859="Inclinado",C896+2*SIN(RADIANS(Q859))*(I896+N859),C896+2*TAN(RADIANS(Q859))*(I896+N859))</f>
        <v>0</v>
      </c>
      <c r="D897" s="645">
        <f t="shared" si="135"/>
        <v>0</v>
      </c>
      <c r="E897" s="645">
        <f t="shared" si="135"/>
        <v>0</v>
      </c>
      <c r="F897" s="645">
        <f t="shared" si="135"/>
        <v>0</v>
      </c>
      <c r="G897" s="645">
        <f t="shared" si="135"/>
        <v>0</v>
      </c>
      <c r="H897" s="645">
        <f t="shared" si="135"/>
        <v>0</v>
      </c>
      <c r="I897" s="645">
        <f t="shared" si="135"/>
        <v>0</v>
      </c>
      <c r="J897" s="645">
        <f t="shared" si="135"/>
        <v>0</v>
      </c>
      <c r="K897" s="645">
        <f t="shared" si="135"/>
        <v>0</v>
      </c>
      <c r="L897" s="646" t="e">
        <f t="shared" si="127"/>
        <v>#DIV/0!</v>
      </c>
      <c r="M897" s="646" t="e">
        <f t="shared" si="128"/>
        <v>#DIV/0!</v>
      </c>
      <c r="N897" s="206"/>
      <c r="O897" s="631">
        <f t="shared" si="134"/>
        <v>360</v>
      </c>
      <c r="P897" s="247" t="e">
        <f t="shared" si="129"/>
        <v>#DIV/0!</v>
      </c>
      <c r="Q897" s="206" t="e">
        <f t="shared" si="130"/>
        <v>#DIV/0!</v>
      </c>
      <c r="R897" s="206"/>
      <c r="S897" s="341" t="e">
        <f t="shared" si="131"/>
        <v>#DIV/0!</v>
      </c>
      <c r="T897" s="341" t="e">
        <f t="shared" si="132"/>
        <v>#DIV/0!</v>
      </c>
      <c r="U897" s="206"/>
      <c r="V897" s="208"/>
      <c r="W897" s="196"/>
      <c r="X897" s="152"/>
      <c r="Z897" s="198"/>
      <c r="AA897" s="198"/>
    </row>
    <row r="898" spans="1:27" s="197" customFormat="1" ht="15" customHeight="1">
      <c r="A898" s="226"/>
      <c r="B898" s="224" t="s">
        <v>419</v>
      </c>
      <c r="C898" s="312">
        <f>IF(R859="Inclinado",C897+2*SIN(RADIANS(Q859))*(I897+N859),C897+2*TAN(RADIANS(Q859))*(I897+N859))</f>
        <v>0</v>
      </c>
      <c r="D898" s="645">
        <f t="shared" si="135"/>
        <v>0</v>
      </c>
      <c r="E898" s="645">
        <f t="shared" si="135"/>
        <v>0</v>
      </c>
      <c r="F898" s="645">
        <f t="shared" si="135"/>
        <v>0</v>
      </c>
      <c r="G898" s="645">
        <f t="shared" si="135"/>
        <v>0</v>
      </c>
      <c r="H898" s="645">
        <f t="shared" si="135"/>
        <v>0</v>
      </c>
      <c r="I898" s="645">
        <f t="shared" si="135"/>
        <v>0</v>
      </c>
      <c r="J898" s="645">
        <f t="shared" si="135"/>
        <v>0</v>
      </c>
      <c r="K898" s="645">
        <f t="shared" si="135"/>
        <v>0</v>
      </c>
      <c r="L898" s="646" t="e">
        <f t="shared" si="127"/>
        <v>#DIV/0!</v>
      </c>
      <c r="M898" s="646" t="e">
        <f t="shared" si="128"/>
        <v>#DIV/0!</v>
      </c>
      <c r="N898" s="206"/>
      <c r="O898" s="631">
        <f t="shared" si="134"/>
        <v>360</v>
      </c>
      <c r="P898" s="247" t="e">
        <f t="shared" si="129"/>
        <v>#DIV/0!</v>
      </c>
      <c r="Q898" s="206" t="e">
        <f t="shared" si="130"/>
        <v>#DIV/0!</v>
      </c>
      <c r="R898" s="206"/>
      <c r="S898" s="341" t="e">
        <f t="shared" si="131"/>
        <v>#DIV/0!</v>
      </c>
      <c r="T898" s="341" t="e">
        <f t="shared" si="132"/>
        <v>#DIV/0!</v>
      </c>
      <c r="U898" s="206"/>
      <c r="V898" s="208"/>
      <c r="W898" s="196"/>
      <c r="X898" s="152"/>
      <c r="Z898" s="198"/>
      <c r="AA898" s="198"/>
    </row>
    <row r="899" spans="1:27" s="197" customFormat="1" ht="15" customHeight="1">
      <c r="A899" s="226"/>
      <c r="B899" s="224" t="s">
        <v>420</v>
      </c>
      <c r="C899" s="312">
        <f>IF(R859="Inclinado",C898+2*SIN(RADIANS(Q859))*(I898+N859),C898+2*TAN(RADIANS(Q859))*(I898+N859))</f>
        <v>0</v>
      </c>
      <c r="D899" s="645">
        <f t="shared" si="135"/>
        <v>0</v>
      </c>
      <c r="E899" s="645">
        <f t="shared" si="135"/>
        <v>0</v>
      </c>
      <c r="F899" s="645">
        <f t="shared" si="135"/>
        <v>0</v>
      </c>
      <c r="G899" s="645">
        <f t="shared" si="135"/>
        <v>0</v>
      </c>
      <c r="H899" s="645">
        <f t="shared" si="135"/>
        <v>0</v>
      </c>
      <c r="I899" s="645">
        <f t="shared" si="135"/>
        <v>0</v>
      </c>
      <c r="J899" s="645">
        <f t="shared" si="135"/>
        <v>0</v>
      </c>
      <c r="K899" s="645">
        <f t="shared" si="135"/>
        <v>0</v>
      </c>
      <c r="L899" s="646" t="e">
        <f t="shared" si="127"/>
        <v>#DIV/0!</v>
      </c>
      <c r="M899" s="646" t="e">
        <f t="shared" si="128"/>
        <v>#DIV/0!</v>
      </c>
      <c r="N899" s="206"/>
      <c r="O899" s="631">
        <f t="shared" si="134"/>
        <v>360</v>
      </c>
      <c r="P899" s="247" t="e">
        <f t="shared" si="129"/>
        <v>#DIV/0!</v>
      </c>
      <c r="Q899" s="206" t="e">
        <f t="shared" si="130"/>
        <v>#DIV/0!</v>
      </c>
      <c r="R899" s="206"/>
      <c r="S899" s="341" t="e">
        <f t="shared" si="131"/>
        <v>#DIV/0!</v>
      </c>
      <c r="T899" s="341" t="e">
        <f t="shared" si="132"/>
        <v>#DIV/0!</v>
      </c>
      <c r="U899" s="206"/>
      <c r="V899" s="208"/>
      <c r="W899" s="196"/>
      <c r="X899" s="152"/>
      <c r="Z899" s="198"/>
      <c r="AA899" s="198"/>
    </row>
    <row r="900" spans="1:27" s="197" customFormat="1" ht="15" customHeight="1">
      <c r="A900" s="226"/>
      <c r="B900" s="224" t="s">
        <v>990</v>
      </c>
      <c r="C900" s="312">
        <f>IF(R859="Inclinado",C899+2*SIN(RADIANS(Q859))*(I899+N859),C899+2*TAN(RADIANS(Q859))*(I899+N859))</f>
        <v>0</v>
      </c>
      <c r="D900" s="645">
        <f t="shared" si="135"/>
        <v>0</v>
      </c>
      <c r="E900" s="645">
        <f t="shared" si="135"/>
        <v>0</v>
      </c>
      <c r="F900" s="645">
        <f t="shared" si="135"/>
        <v>0</v>
      </c>
      <c r="G900" s="645">
        <f t="shared" si="135"/>
        <v>0</v>
      </c>
      <c r="H900" s="645">
        <f t="shared" si="135"/>
        <v>0</v>
      </c>
      <c r="I900" s="645">
        <f t="shared" si="135"/>
        <v>0</v>
      </c>
      <c r="J900" s="645">
        <f t="shared" si="135"/>
        <v>0</v>
      </c>
      <c r="K900" s="645">
        <f t="shared" si="135"/>
        <v>0</v>
      </c>
      <c r="L900" s="646" t="e">
        <f t="shared" si="127"/>
        <v>#DIV/0!</v>
      </c>
      <c r="M900" s="646" t="e">
        <f t="shared" si="128"/>
        <v>#DIV/0!</v>
      </c>
      <c r="N900" s="206"/>
      <c r="O900" s="631">
        <f t="shared" si="134"/>
        <v>360</v>
      </c>
      <c r="P900" s="247" t="e">
        <f t="shared" si="129"/>
        <v>#DIV/0!</v>
      </c>
      <c r="Q900" s="206" t="e">
        <f t="shared" si="130"/>
        <v>#DIV/0!</v>
      </c>
      <c r="R900" s="206"/>
      <c r="S900" s="341" t="e">
        <f t="shared" si="131"/>
        <v>#DIV/0!</v>
      </c>
      <c r="T900" s="341" t="e">
        <f t="shared" si="132"/>
        <v>#DIV/0!</v>
      </c>
      <c r="U900" s="206"/>
      <c r="V900" s="208"/>
      <c r="W900" s="196"/>
      <c r="X900" s="152"/>
      <c r="Z900" s="198"/>
      <c r="AA900" s="198"/>
    </row>
    <row r="901" spans="1:27" s="197" customFormat="1" ht="15" customHeight="1">
      <c r="A901" s="226"/>
      <c r="B901" s="224" t="s">
        <v>991</v>
      </c>
      <c r="C901" s="312">
        <f>IF(R859="Inclinado",C900+2*SIN(RADIANS(Q859))*(I900+N859),C900+2*TAN(RADIANS(Q859))*(I900+N859))</f>
        <v>0</v>
      </c>
      <c r="D901" s="645">
        <f t="shared" si="135"/>
        <v>0</v>
      </c>
      <c r="E901" s="645">
        <f t="shared" si="135"/>
        <v>0</v>
      </c>
      <c r="F901" s="645">
        <f t="shared" si="135"/>
        <v>0</v>
      </c>
      <c r="G901" s="645">
        <f t="shared" si="135"/>
        <v>0</v>
      </c>
      <c r="H901" s="645">
        <f t="shared" si="135"/>
        <v>0</v>
      </c>
      <c r="I901" s="645">
        <f t="shared" si="135"/>
        <v>0</v>
      </c>
      <c r="J901" s="645">
        <f t="shared" si="135"/>
        <v>0</v>
      </c>
      <c r="K901" s="645">
        <f t="shared" si="135"/>
        <v>0</v>
      </c>
      <c r="L901" s="646" t="e">
        <f t="shared" si="127"/>
        <v>#DIV/0!</v>
      </c>
      <c r="M901" s="646" t="e">
        <f t="shared" si="128"/>
        <v>#DIV/0!</v>
      </c>
      <c r="N901" s="206"/>
      <c r="O901" s="631">
        <f t="shared" si="134"/>
        <v>360</v>
      </c>
      <c r="P901" s="247" t="e">
        <f t="shared" si="129"/>
        <v>#DIV/0!</v>
      </c>
      <c r="Q901" s="206" t="e">
        <f t="shared" si="130"/>
        <v>#DIV/0!</v>
      </c>
      <c r="R901" s="206"/>
      <c r="S901" s="341" t="e">
        <f t="shared" si="131"/>
        <v>#DIV/0!</v>
      </c>
      <c r="T901" s="341" t="e">
        <f t="shared" si="132"/>
        <v>#DIV/0!</v>
      </c>
      <c r="U901" s="206"/>
      <c r="V901" s="208"/>
      <c r="W901" s="196"/>
      <c r="X901" s="152"/>
      <c r="Z901" s="198"/>
      <c r="AA901" s="198"/>
    </row>
    <row r="902" spans="1:27" s="197" customFormat="1" ht="15" customHeight="1">
      <c r="A902" s="226"/>
      <c r="B902" s="224" t="s">
        <v>992</v>
      </c>
      <c r="C902" s="312">
        <f>IF(R859="Inclinado",C901+2*SIN(RADIANS(Q859))*(I901+N859),C901+2*TAN(RADIANS(Q859))*(I901+N859))</f>
        <v>0</v>
      </c>
      <c r="D902" s="645">
        <f t="shared" si="135"/>
        <v>0</v>
      </c>
      <c r="E902" s="645">
        <f t="shared" si="135"/>
        <v>0</v>
      </c>
      <c r="F902" s="645">
        <f t="shared" si="135"/>
        <v>0</v>
      </c>
      <c r="G902" s="645">
        <f t="shared" si="135"/>
        <v>0</v>
      </c>
      <c r="H902" s="645">
        <f t="shared" si="135"/>
        <v>0</v>
      </c>
      <c r="I902" s="645">
        <f t="shared" si="135"/>
        <v>0</v>
      </c>
      <c r="J902" s="645">
        <f t="shared" si="135"/>
        <v>0</v>
      </c>
      <c r="K902" s="645">
        <f t="shared" si="135"/>
        <v>0</v>
      </c>
      <c r="L902" s="646" t="e">
        <f t="shared" si="127"/>
        <v>#DIV/0!</v>
      </c>
      <c r="M902" s="646" t="e">
        <f t="shared" si="128"/>
        <v>#DIV/0!</v>
      </c>
      <c r="N902" s="206"/>
      <c r="O902" s="631">
        <f t="shared" si="134"/>
        <v>360</v>
      </c>
      <c r="P902" s="247" t="e">
        <f t="shared" si="129"/>
        <v>#DIV/0!</v>
      </c>
      <c r="Q902" s="206" t="e">
        <f t="shared" si="130"/>
        <v>#DIV/0!</v>
      </c>
      <c r="R902" s="206"/>
      <c r="S902" s="341" t="e">
        <f t="shared" si="131"/>
        <v>#DIV/0!</v>
      </c>
      <c r="T902" s="341" t="e">
        <f t="shared" si="132"/>
        <v>#DIV/0!</v>
      </c>
      <c r="U902" s="206"/>
      <c r="V902" s="208"/>
      <c r="W902" s="196"/>
      <c r="X902" s="152"/>
      <c r="Z902" s="198"/>
      <c r="AA902" s="198"/>
    </row>
    <row r="903" spans="1:27" s="197" customFormat="1" ht="15" customHeight="1">
      <c r="A903" s="226"/>
      <c r="B903" s="224" t="s">
        <v>993</v>
      </c>
      <c r="C903" s="312">
        <f>IF(R859="Inclinado",C902+2*SIN(RADIANS(Q859))*(I902+N859),C902+2*TAN(RADIANS(Q859))*(I902+N859))</f>
        <v>0</v>
      </c>
      <c r="D903" s="645">
        <f t="shared" ref="D903:K918" si="136">D902</f>
        <v>0</v>
      </c>
      <c r="E903" s="645">
        <f t="shared" si="136"/>
        <v>0</v>
      </c>
      <c r="F903" s="645">
        <f t="shared" si="136"/>
        <v>0</v>
      </c>
      <c r="G903" s="645">
        <f t="shared" si="136"/>
        <v>0</v>
      </c>
      <c r="H903" s="645">
        <f t="shared" si="136"/>
        <v>0</v>
      </c>
      <c r="I903" s="645">
        <f t="shared" si="136"/>
        <v>0</v>
      </c>
      <c r="J903" s="645">
        <f t="shared" si="136"/>
        <v>0</v>
      </c>
      <c r="K903" s="645">
        <f t="shared" si="136"/>
        <v>0</v>
      </c>
      <c r="L903" s="646" t="e">
        <f t="shared" si="127"/>
        <v>#DIV/0!</v>
      </c>
      <c r="M903" s="646" t="e">
        <f t="shared" si="128"/>
        <v>#DIV/0!</v>
      </c>
      <c r="N903" s="206"/>
      <c r="O903" s="631">
        <f t="shared" si="134"/>
        <v>360</v>
      </c>
      <c r="P903" s="247" t="e">
        <f t="shared" si="129"/>
        <v>#DIV/0!</v>
      </c>
      <c r="Q903" s="206" t="e">
        <f t="shared" si="130"/>
        <v>#DIV/0!</v>
      </c>
      <c r="R903" s="206"/>
      <c r="S903" s="341" t="e">
        <f t="shared" si="131"/>
        <v>#DIV/0!</v>
      </c>
      <c r="T903" s="341" t="e">
        <f t="shared" si="132"/>
        <v>#DIV/0!</v>
      </c>
      <c r="U903" s="206"/>
      <c r="V903" s="208"/>
      <c r="W903" s="196"/>
      <c r="X903" s="152"/>
      <c r="Z903" s="198"/>
      <c r="AA903" s="198"/>
    </row>
    <row r="904" spans="1:27" s="197" customFormat="1" ht="15" customHeight="1">
      <c r="A904" s="226"/>
      <c r="B904" s="224" t="s">
        <v>994</v>
      </c>
      <c r="C904" s="312">
        <f>IF(R859="Inclinado",C903+2*SIN(RADIANS(Q859))*(I903+N859),C903+2*TAN(RADIANS(Q859))*(I903+N859))</f>
        <v>0</v>
      </c>
      <c r="D904" s="645">
        <f t="shared" si="136"/>
        <v>0</v>
      </c>
      <c r="E904" s="645">
        <f t="shared" si="136"/>
        <v>0</v>
      </c>
      <c r="F904" s="645">
        <f t="shared" si="136"/>
        <v>0</v>
      </c>
      <c r="G904" s="645">
        <f t="shared" si="136"/>
        <v>0</v>
      </c>
      <c r="H904" s="645">
        <f t="shared" si="136"/>
        <v>0</v>
      </c>
      <c r="I904" s="645">
        <f t="shared" si="136"/>
        <v>0</v>
      </c>
      <c r="J904" s="645">
        <f t="shared" si="136"/>
        <v>0</v>
      </c>
      <c r="K904" s="645">
        <f t="shared" si="136"/>
        <v>0</v>
      </c>
      <c r="L904" s="646" t="e">
        <f t="shared" si="127"/>
        <v>#DIV/0!</v>
      </c>
      <c r="M904" s="646" t="e">
        <f t="shared" si="128"/>
        <v>#DIV/0!</v>
      </c>
      <c r="N904" s="206"/>
      <c r="O904" s="631">
        <f t="shared" si="134"/>
        <v>360</v>
      </c>
      <c r="P904" s="247" t="e">
        <f t="shared" si="129"/>
        <v>#DIV/0!</v>
      </c>
      <c r="Q904" s="206" t="e">
        <f t="shared" si="130"/>
        <v>#DIV/0!</v>
      </c>
      <c r="R904" s="206"/>
      <c r="S904" s="341" t="e">
        <f t="shared" si="131"/>
        <v>#DIV/0!</v>
      </c>
      <c r="T904" s="341" t="e">
        <f t="shared" si="132"/>
        <v>#DIV/0!</v>
      </c>
      <c r="U904" s="206"/>
      <c r="V904" s="208"/>
      <c r="W904" s="196"/>
      <c r="X904" s="152"/>
      <c r="Z904" s="198"/>
      <c r="AA904" s="198"/>
    </row>
    <row r="905" spans="1:27" s="197" customFormat="1" ht="15" customHeight="1">
      <c r="A905" s="226"/>
      <c r="B905" s="224" t="s">
        <v>995</v>
      </c>
      <c r="C905" s="312">
        <f>IF(R859="Inclinado",C904+2*SIN(RADIANS(Q859))*(I904+N859),C904+2*TAN(RADIANS(Q859))*(I904+N859))</f>
        <v>0</v>
      </c>
      <c r="D905" s="645">
        <f t="shared" si="136"/>
        <v>0</v>
      </c>
      <c r="E905" s="645">
        <f t="shared" si="136"/>
        <v>0</v>
      </c>
      <c r="F905" s="645">
        <f t="shared" si="136"/>
        <v>0</v>
      </c>
      <c r="G905" s="645">
        <f t="shared" si="136"/>
        <v>0</v>
      </c>
      <c r="H905" s="645">
        <f t="shared" si="136"/>
        <v>0</v>
      </c>
      <c r="I905" s="645">
        <f t="shared" si="136"/>
        <v>0</v>
      </c>
      <c r="J905" s="645">
        <f t="shared" si="136"/>
        <v>0</v>
      </c>
      <c r="K905" s="645">
        <f t="shared" si="136"/>
        <v>0</v>
      </c>
      <c r="L905" s="646" t="e">
        <f t="shared" si="127"/>
        <v>#DIV/0!</v>
      </c>
      <c r="M905" s="646" t="e">
        <f t="shared" si="128"/>
        <v>#DIV/0!</v>
      </c>
      <c r="N905" s="206"/>
      <c r="O905" s="631">
        <f t="shared" si="134"/>
        <v>360</v>
      </c>
      <c r="P905" s="247" t="e">
        <f t="shared" si="129"/>
        <v>#DIV/0!</v>
      </c>
      <c r="Q905" s="206" t="e">
        <f t="shared" si="130"/>
        <v>#DIV/0!</v>
      </c>
      <c r="R905" s="206"/>
      <c r="S905" s="341" t="e">
        <f t="shared" si="131"/>
        <v>#DIV/0!</v>
      </c>
      <c r="T905" s="341" t="e">
        <f t="shared" si="132"/>
        <v>#DIV/0!</v>
      </c>
      <c r="U905" s="206"/>
      <c r="V905" s="208"/>
      <c r="W905" s="196"/>
      <c r="X905" s="152"/>
      <c r="Z905" s="198"/>
      <c r="AA905" s="198"/>
    </row>
    <row r="906" spans="1:27" s="197" customFormat="1" ht="15" customHeight="1">
      <c r="A906" s="226"/>
      <c r="B906" s="224" t="s">
        <v>996</v>
      </c>
      <c r="C906" s="312">
        <f>IF(R859="Inclinado",C905+2*SIN(RADIANS(Q859))*(I905+N859),C905+2*TAN(RADIANS(Q859))*(I905+N859))</f>
        <v>0</v>
      </c>
      <c r="D906" s="645">
        <f t="shared" si="136"/>
        <v>0</v>
      </c>
      <c r="E906" s="645">
        <f t="shared" si="136"/>
        <v>0</v>
      </c>
      <c r="F906" s="645">
        <f t="shared" si="136"/>
        <v>0</v>
      </c>
      <c r="G906" s="645">
        <f t="shared" si="136"/>
        <v>0</v>
      </c>
      <c r="H906" s="645">
        <f t="shared" si="136"/>
        <v>0</v>
      </c>
      <c r="I906" s="645">
        <f t="shared" si="136"/>
        <v>0</v>
      </c>
      <c r="J906" s="645">
        <f t="shared" si="136"/>
        <v>0</v>
      </c>
      <c r="K906" s="645">
        <f t="shared" si="136"/>
        <v>0</v>
      </c>
      <c r="L906" s="646" t="e">
        <f t="shared" si="127"/>
        <v>#DIV/0!</v>
      </c>
      <c r="M906" s="646" t="e">
        <f t="shared" si="128"/>
        <v>#DIV/0!</v>
      </c>
      <c r="N906" s="206"/>
      <c r="O906" s="631">
        <f t="shared" si="134"/>
        <v>360</v>
      </c>
      <c r="P906" s="247" t="e">
        <f t="shared" si="129"/>
        <v>#DIV/0!</v>
      </c>
      <c r="Q906" s="206" t="e">
        <f t="shared" si="130"/>
        <v>#DIV/0!</v>
      </c>
      <c r="R906" s="206"/>
      <c r="S906" s="341" t="e">
        <f t="shared" si="131"/>
        <v>#DIV/0!</v>
      </c>
      <c r="T906" s="341" t="e">
        <f t="shared" si="132"/>
        <v>#DIV/0!</v>
      </c>
      <c r="U906" s="206"/>
      <c r="V906" s="208"/>
      <c r="W906" s="196"/>
      <c r="X906" s="152"/>
      <c r="Z906" s="198"/>
      <c r="AA906" s="198"/>
    </row>
    <row r="907" spans="1:27" s="197" customFormat="1" ht="15" customHeight="1">
      <c r="A907" s="226"/>
      <c r="B907" s="224" t="s">
        <v>997</v>
      </c>
      <c r="C907" s="312">
        <f>IF(R859="Inclinado",C906+2*SIN(RADIANS(Q859))*(I906+N859),C906+2*TAN(RADIANS(Q859))*(I906+N859))</f>
        <v>0</v>
      </c>
      <c r="D907" s="645">
        <f t="shared" si="136"/>
        <v>0</v>
      </c>
      <c r="E907" s="645">
        <f t="shared" si="136"/>
        <v>0</v>
      </c>
      <c r="F907" s="645">
        <f t="shared" si="136"/>
        <v>0</v>
      </c>
      <c r="G907" s="645">
        <f t="shared" si="136"/>
        <v>0</v>
      </c>
      <c r="H907" s="645">
        <f t="shared" si="136"/>
        <v>0</v>
      </c>
      <c r="I907" s="645">
        <f t="shared" si="136"/>
        <v>0</v>
      </c>
      <c r="J907" s="645">
        <f t="shared" si="136"/>
        <v>0</v>
      </c>
      <c r="K907" s="645">
        <f t="shared" si="136"/>
        <v>0</v>
      </c>
      <c r="L907" s="646" t="e">
        <f t="shared" si="127"/>
        <v>#DIV/0!</v>
      </c>
      <c r="M907" s="646" t="e">
        <f t="shared" si="128"/>
        <v>#DIV/0!</v>
      </c>
      <c r="N907" s="206"/>
      <c r="O907" s="631">
        <f t="shared" si="134"/>
        <v>360</v>
      </c>
      <c r="P907" s="247" t="e">
        <f t="shared" si="129"/>
        <v>#DIV/0!</v>
      </c>
      <c r="Q907" s="206" t="e">
        <f t="shared" si="130"/>
        <v>#DIV/0!</v>
      </c>
      <c r="R907" s="206"/>
      <c r="S907" s="341" t="e">
        <f t="shared" si="131"/>
        <v>#DIV/0!</v>
      </c>
      <c r="T907" s="341" t="e">
        <f t="shared" si="132"/>
        <v>#DIV/0!</v>
      </c>
      <c r="U907" s="206"/>
      <c r="V907" s="208"/>
      <c r="W907" s="196"/>
      <c r="X907" s="152"/>
      <c r="Z907" s="198"/>
      <c r="AA907" s="198"/>
    </row>
    <row r="908" spans="1:27" s="197" customFormat="1" ht="15" customHeight="1">
      <c r="A908" s="226"/>
      <c r="B908" s="224" t="s">
        <v>998</v>
      </c>
      <c r="C908" s="312">
        <f>IF(R859="Inclinado",C907+2*SIN(RADIANS(Q859))*(I907+N859),C907+2*TAN(RADIANS(Q859))*(I907+N859))</f>
        <v>0</v>
      </c>
      <c r="D908" s="645">
        <f t="shared" si="136"/>
        <v>0</v>
      </c>
      <c r="E908" s="645">
        <f t="shared" si="136"/>
        <v>0</v>
      </c>
      <c r="F908" s="645">
        <f t="shared" si="136"/>
        <v>0</v>
      </c>
      <c r="G908" s="645">
        <f t="shared" si="136"/>
        <v>0</v>
      </c>
      <c r="H908" s="645">
        <f t="shared" si="136"/>
        <v>0</v>
      </c>
      <c r="I908" s="645">
        <f t="shared" si="136"/>
        <v>0</v>
      </c>
      <c r="J908" s="645">
        <f t="shared" si="136"/>
        <v>0</v>
      </c>
      <c r="K908" s="645">
        <f t="shared" si="136"/>
        <v>0</v>
      </c>
      <c r="L908" s="646" t="e">
        <f t="shared" si="127"/>
        <v>#DIV/0!</v>
      </c>
      <c r="M908" s="646" t="e">
        <f t="shared" si="128"/>
        <v>#DIV/0!</v>
      </c>
      <c r="N908" s="206"/>
      <c r="O908" s="631">
        <f t="shared" si="134"/>
        <v>360</v>
      </c>
      <c r="P908" s="247" t="e">
        <f t="shared" si="129"/>
        <v>#DIV/0!</v>
      </c>
      <c r="Q908" s="206" t="e">
        <f t="shared" si="130"/>
        <v>#DIV/0!</v>
      </c>
      <c r="R908" s="206"/>
      <c r="S908" s="341" t="e">
        <f t="shared" si="131"/>
        <v>#DIV/0!</v>
      </c>
      <c r="T908" s="341" t="e">
        <f t="shared" si="132"/>
        <v>#DIV/0!</v>
      </c>
      <c r="U908" s="206"/>
      <c r="V908" s="208"/>
      <c r="W908" s="196"/>
      <c r="X908" s="152"/>
      <c r="Z908" s="198"/>
      <c r="AA908" s="198"/>
    </row>
    <row r="909" spans="1:27" s="197" customFormat="1" ht="15" customHeight="1">
      <c r="A909" s="226"/>
      <c r="B909" s="224" t="s">
        <v>999</v>
      </c>
      <c r="C909" s="312">
        <f>IF(R859="Inclinado",C908+2*SIN(RADIANS(Q859))*(I908+N859),C908+2*TAN(RADIANS(Q859))*(I908+N859))</f>
        <v>0</v>
      </c>
      <c r="D909" s="645">
        <f t="shared" si="136"/>
        <v>0</v>
      </c>
      <c r="E909" s="645">
        <f t="shared" si="136"/>
        <v>0</v>
      </c>
      <c r="F909" s="645">
        <f t="shared" si="136"/>
        <v>0</v>
      </c>
      <c r="G909" s="645">
        <f t="shared" si="136"/>
        <v>0</v>
      </c>
      <c r="H909" s="645">
        <f t="shared" si="136"/>
        <v>0</v>
      </c>
      <c r="I909" s="645">
        <f t="shared" si="136"/>
        <v>0</v>
      </c>
      <c r="J909" s="645">
        <f t="shared" si="136"/>
        <v>0</v>
      </c>
      <c r="K909" s="645">
        <f t="shared" si="136"/>
        <v>0</v>
      </c>
      <c r="L909" s="646" t="e">
        <f t="shared" si="127"/>
        <v>#DIV/0!</v>
      </c>
      <c r="M909" s="646" t="e">
        <f t="shared" si="128"/>
        <v>#DIV/0!</v>
      </c>
      <c r="N909" s="206"/>
      <c r="O909" s="631">
        <f t="shared" si="134"/>
        <v>360</v>
      </c>
      <c r="P909" s="247" t="e">
        <f t="shared" si="129"/>
        <v>#DIV/0!</v>
      </c>
      <c r="Q909" s="206" t="e">
        <f t="shared" si="130"/>
        <v>#DIV/0!</v>
      </c>
      <c r="R909" s="206"/>
      <c r="S909" s="341" t="e">
        <f t="shared" si="131"/>
        <v>#DIV/0!</v>
      </c>
      <c r="T909" s="341" t="e">
        <f t="shared" si="132"/>
        <v>#DIV/0!</v>
      </c>
      <c r="U909" s="206"/>
      <c r="V909" s="208"/>
      <c r="W909" s="196"/>
      <c r="X909" s="152"/>
      <c r="Z909" s="198"/>
      <c r="AA909" s="198"/>
    </row>
    <row r="910" spans="1:27" s="197" customFormat="1" ht="15" customHeight="1">
      <c r="A910" s="226"/>
      <c r="B910" s="224" t="s">
        <v>1000</v>
      </c>
      <c r="C910" s="312">
        <f>IF(R859="Inclinado",C909+2*SIN(RADIANS(Q859))*(I909+N859),C909+2*TAN(RADIANS(Q859))*(I909+N859))</f>
        <v>0</v>
      </c>
      <c r="D910" s="645">
        <f t="shared" si="136"/>
        <v>0</v>
      </c>
      <c r="E910" s="645">
        <f t="shared" si="136"/>
        <v>0</v>
      </c>
      <c r="F910" s="645">
        <f t="shared" si="136"/>
        <v>0</v>
      </c>
      <c r="G910" s="645">
        <f t="shared" si="136"/>
        <v>0</v>
      </c>
      <c r="H910" s="645">
        <f t="shared" si="136"/>
        <v>0</v>
      </c>
      <c r="I910" s="645">
        <f t="shared" si="136"/>
        <v>0</v>
      </c>
      <c r="J910" s="645">
        <f t="shared" si="136"/>
        <v>0</v>
      </c>
      <c r="K910" s="645">
        <f t="shared" si="136"/>
        <v>0</v>
      </c>
      <c r="L910" s="646" t="e">
        <f t="shared" si="127"/>
        <v>#DIV/0!</v>
      </c>
      <c r="M910" s="646" t="e">
        <f t="shared" si="128"/>
        <v>#DIV/0!</v>
      </c>
      <c r="N910" s="206"/>
      <c r="O910" s="631">
        <f t="shared" si="134"/>
        <v>360</v>
      </c>
      <c r="P910" s="247" t="e">
        <f t="shared" si="129"/>
        <v>#DIV/0!</v>
      </c>
      <c r="Q910" s="206" t="e">
        <f t="shared" si="130"/>
        <v>#DIV/0!</v>
      </c>
      <c r="R910" s="206"/>
      <c r="S910" s="341" t="e">
        <f t="shared" si="131"/>
        <v>#DIV/0!</v>
      </c>
      <c r="T910" s="341" t="e">
        <f t="shared" si="132"/>
        <v>#DIV/0!</v>
      </c>
      <c r="U910" s="206"/>
      <c r="V910" s="208"/>
      <c r="W910" s="196"/>
      <c r="X910" s="152"/>
      <c r="Z910" s="198"/>
      <c r="AA910" s="198"/>
    </row>
    <row r="911" spans="1:27" s="197" customFormat="1" ht="15" customHeight="1">
      <c r="A911" s="226"/>
      <c r="B911" s="224" t="s">
        <v>1001</v>
      </c>
      <c r="C911" s="312">
        <f>IF(R859="Inclinado",C910+2*SIN(RADIANS(Q859))*(I910+N859),C910+2*TAN(RADIANS(Q859))*(I910+N859))</f>
        <v>0</v>
      </c>
      <c r="D911" s="645">
        <f t="shared" si="136"/>
        <v>0</v>
      </c>
      <c r="E911" s="645">
        <f t="shared" si="136"/>
        <v>0</v>
      </c>
      <c r="F911" s="645">
        <f t="shared" si="136"/>
        <v>0</v>
      </c>
      <c r="G911" s="645">
        <f t="shared" si="136"/>
        <v>0</v>
      </c>
      <c r="H911" s="645">
        <f t="shared" si="136"/>
        <v>0</v>
      </c>
      <c r="I911" s="645">
        <f t="shared" si="136"/>
        <v>0</v>
      </c>
      <c r="J911" s="645">
        <f t="shared" si="136"/>
        <v>0</v>
      </c>
      <c r="K911" s="645">
        <f t="shared" si="136"/>
        <v>0</v>
      </c>
      <c r="L911" s="646" t="e">
        <f t="shared" si="127"/>
        <v>#DIV/0!</v>
      </c>
      <c r="M911" s="646" t="e">
        <f t="shared" si="128"/>
        <v>#DIV/0!</v>
      </c>
      <c r="N911" s="206"/>
      <c r="O911" s="631">
        <f t="shared" si="134"/>
        <v>360</v>
      </c>
      <c r="P911" s="247" t="e">
        <f t="shared" si="129"/>
        <v>#DIV/0!</v>
      </c>
      <c r="Q911" s="206" t="e">
        <f t="shared" si="130"/>
        <v>#DIV/0!</v>
      </c>
      <c r="R911" s="206"/>
      <c r="S911" s="341" t="e">
        <f t="shared" si="131"/>
        <v>#DIV/0!</v>
      </c>
      <c r="T911" s="341" t="e">
        <f t="shared" si="132"/>
        <v>#DIV/0!</v>
      </c>
      <c r="U911" s="206"/>
      <c r="V911" s="208"/>
      <c r="W911" s="196"/>
      <c r="X911" s="152"/>
      <c r="Z911" s="198"/>
      <c r="AA911" s="198"/>
    </row>
    <row r="912" spans="1:27" s="197" customFormat="1" ht="15" customHeight="1">
      <c r="A912" s="226"/>
      <c r="B912" s="224" t="s">
        <v>1002</v>
      </c>
      <c r="C912" s="312">
        <f>IF(R859="Inclinado",C911+2*SIN(RADIANS(Q859))*(I911+N859),C911+2*TAN(RADIANS(Q859))*(I911+N859))</f>
        <v>0</v>
      </c>
      <c r="D912" s="645">
        <f t="shared" si="136"/>
        <v>0</v>
      </c>
      <c r="E912" s="645">
        <f t="shared" si="136"/>
        <v>0</v>
      </c>
      <c r="F912" s="645">
        <f t="shared" si="136"/>
        <v>0</v>
      </c>
      <c r="G912" s="645">
        <f t="shared" si="136"/>
        <v>0</v>
      </c>
      <c r="H912" s="645">
        <f t="shared" si="136"/>
        <v>0</v>
      </c>
      <c r="I912" s="645">
        <f t="shared" si="136"/>
        <v>0</v>
      </c>
      <c r="J912" s="645">
        <f t="shared" si="136"/>
        <v>0</v>
      </c>
      <c r="K912" s="645">
        <f t="shared" si="136"/>
        <v>0</v>
      </c>
      <c r="L912" s="646" t="e">
        <f t="shared" si="127"/>
        <v>#DIV/0!</v>
      </c>
      <c r="M912" s="646" t="e">
        <f t="shared" si="128"/>
        <v>#DIV/0!</v>
      </c>
      <c r="N912" s="206"/>
      <c r="O912" s="631">
        <f t="shared" si="134"/>
        <v>360</v>
      </c>
      <c r="P912" s="247" t="e">
        <f t="shared" si="129"/>
        <v>#DIV/0!</v>
      </c>
      <c r="Q912" s="206" t="e">
        <f t="shared" si="130"/>
        <v>#DIV/0!</v>
      </c>
      <c r="R912" s="206"/>
      <c r="S912" s="341" t="e">
        <f t="shared" si="131"/>
        <v>#DIV/0!</v>
      </c>
      <c r="T912" s="341" t="e">
        <f t="shared" si="132"/>
        <v>#DIV/0!</v>
      </c>
      <c r="U912" s="206"/>
      <c r="V912" s="208"/>
      <c r="W912" s="196"/>
      <c r="X912" s="152"/>
      <c r="Z912" s="198"/>
      <c r="AA912" s="198"/>
    </row>
    <row r="913" spans="1:27" s="197" customFormat="1" ht="15" customHeight="1">
      <c r="A913" s="226"/>
      <c r="B913" s="224" t="s">
        <v>1003</v>
      </c>
      <c r="C913" s="312">
        <f>IF(R859="Inclinado",C912+2*SIN(RADIANS(Q859))*(I912+N859),C912+2*TAN(RADIANS(Q859))*(I912+N859))</f>
        <v>0</v>
      </c>
      <c r="D913" s="645">
        <f t="shared" si="136"/>
        <v>0</v>
      </c>
      <c r="E913" s="645">
        <f t="shared" si="136"/>
        <v>0</v>
      </c>
      <c r="F913" s="645">
        <f t="shared" si="136"/>
        <v>0</v>
      </c>
      <c r="G913" s="645">
        <f t="shared" si="136"/>
        <v>0</v>
      </c>
      <c r="H913" s="645">
        <f t="shared" si="136"/>
        <v>0</v>
      </c>
      <c r="I913" s="645">
        <f t="shared" si="136"/>
        <v>0</v>
      </c>
      <c r="J913" s="645">
        <f t="shared" si="136"/>
        <v>0</v>
      </c>
      <c r="K913" s="645">
        <f t="shared" si="136"/>
        <v>0</v>
      </c>
      <c r="L913" s="646" t="e">
        <f t="shared" si="127"/>
        <v>#DIV/0!</v>
      </c>
      <c r="M913" s="646" t="e">
        <f t="shared" si="128"/>
        <v>#DIV/0!</v>
      </c>
      <c r="N913" s="206"/>
      <c r="O913" s="631">
        <f t="shared" si="134"/>
        <v>360</v>
      </c>
      <c r="P913" s="247" t="e">
        <f t="shared" si="129"/>
        <v>#DIV/0!</v>
      </c>
      <c r="Q913" s="206" t="e">
        <f t="shared" si="130"/>
        <v>#DIV/0!</v>
      </c>
      <c r="R913" s="206"/>
      <c r="S913" s="341" t="e">
        <f t="shared" si="131"/>
        <v>#DIV/0!</v>
      </c>
      <c r="T913" s="341" t="e">
        <f t="shared" si="132"/>
        <v>#DIV/0!</v>
      </c>
      <c r="U913" s="206"/>
      <c r="V913" s="208"/>
      <c r="W913" s="196"/>
      <c r="X913" s="152"/>
      <c r="Z913" s="198"/>
      <c r="AA913" s="198"/>
    </row>
    <row r="914" spans="1:27" s="197" customFormat="1" ht="15" customHeight="1">
      <c r="A914" s="226"/>
      <c r="B914" s="224" t="s">
        <v>1004</v>
      </c>
      <c r="C914" s="312">
        <f>IF(R859="Inclinado",C913+2*SIN(RADIANS(Q859))*(I913+N859),C913+2*TAN(RADIANS(Q859))*(I913+N859))</f>
        <v>0</v>
      </c>
      <c r="D914" s="645">
        <f t="shared" si="136"/>
        <v>0</v>
      </c>
      <c r="E914" s="645">
        <f t="shared" si="136"/>
        <v>0</v>
      </c>
      <c r="F914" s="645">
        <f t="shared" si="136"/>
        <v>0</v>
      </c>
      <c r="G914" s="645">
        <f t="shared" si="136"/>
        <v>0</v>
      </c>
      <c r="H914" s="645">
        <f t="shared" si="136"/>
        <v>0</v>
      </c>
      <c r="I914" s="645">
        <f t="shared" si="136"/>
        <v>0</v>
      </c>
      <c r="J914" s="645">
        <f t="shared" si="136"/>
        <v>0</v>
      </c>
      <c r="K914" s="645">
        <f t="shared" si="136"/>
        <v>0</v>
      </c>
      <c r="L914" s="646" t="e">
        <f t="shared" si="127"/>
        <v>#DIV/0!</v>
      </c>
      <c r="M914" s="646" t="e">
        <f t="shared" si="128"/>
        <v>#DIV/0!</v>
      </c>
      <c r="N914" s="206"/>
      <c r="O914" s="631">
        <f t="shared" si="134"/>
        <v>360</v>
      </c>
      <c r="P914" s="247" t="e">
        <f t="shared" si="129"/>
        <v>#DIV/0!</v>
      </c>
      <c r="Q914" s="206" t="e">
        <f t="shared" si="130"/>
        <v>#DIV/0!</v>
      </c>
      <c r="R914" s="206"/>
      <c r="S914" s="341" t="e">
        <f t="shared" si="131"/>
        <v>#DIV/0!</v>
      </c>
      <c r="T914" s="341" t="e">
        <f t="shared" si="132"/>
        <v>#DIV/0!</v>
      </c>
      <c r="U914" s="206"/>
      <c r="V914" s="208"/>
      <c r="W914" s="196"/>
      <c r="X914" s="152"/>
      <c r="Z914" s="198"/>
      <c r="AA914" s="198"/>
    </row>
    <row r="915" spans="1:27" s="197" customFormat="1" ht="15" customHeight="1">
      <c r="A915" s="226"/>
      <c r="B915" s="224" t="s">
        <v>1005</v>
      </c>
      <c r="C915" s="312">
        <f>IF(R859="Inclinado",C914+2*SIN(RADIANS(Q859))*(I914+N859),C914+2*TAN(RADIANS(Q859))*(I914+N859))</f>
        <v>0</v>
      </c>
      <c r="D915" s="645">
        <f t="shared" si="136"/>
        <v>0</v>
      </c>
      <c r="E915" s="645">
        <f t="shared" si="136"/>
        <v>0</v>
      </c>
      <c r="F915" s="645">
        <f t="shared" si="136"/>
        <v>0</v>
      </c>
      <c r="G915" s="645">
        <f t="shared" si="136"/>
        <v>0</v>
      </c>
      <c r="H915" s="645">
        <f t="shared" si="136"/>
        <v>0</v>
      </c>
      <c r="I915" s="645">
        <f t="shared" si="136"/>
        <v>0</v>
      </c>
      <c r="J915" s="645">
        <f t="shared" si="136"/>
        <v>0</v>
      </c>
      <c r="K915" s="645">
        <f t="shared" si="136"/>
        <v>0</v>
      </c>
      <c r="L915" s="646" t="e">
        <f t="shared" si="127"/>
        <v>#DIV/0!</v>
      </c>
      <c r="M915" s="646" t="e">
        <f t="shared" si="128"/>
        <v>#DIV/0!</v>
      </c>
      <c r="N915" s="206"/>
      <c r="O915" s="631">
        <f t="shared" si="134"/>
        <v>360</v>
      </c>
      <c r="P915" s="247" t="e">
        <f t="shared" si="129"/>
        <v>#DIV/0!</v>
      </c>
      <c r="Q915" s="206" t="e">
        <f t="shared" si="130"/>
        <v>#DIV/0!</v>
      </c>
      <c r="R915" s="206"/>
      <c r="S915" s="341" t="e">
        <f t="shared" si="131"/>
        <v>#DIV/0!</v>
      </c>
      <c r="T915" s="341" t="e">
        <f t="shared" si="132"/>
        <v>#DIV/0!</v>
      </c>
      <c r="U915" s="206"/>
      <c r="V915" s="208"/>
      <c r="W915" s="196"/>
      <c r="X915" s="152"/>
      <c r="Z915" s="198"/>
      <c r="AA915" s="198"/>
    </row>
    <row r="916" spans="1:27" s="197" customFormat="1" ht="15" customHeight="1">
      <c r="A916" s="226"/>
      <c r="B916" s="224" t="s">
        <v>1006</v>
      </c>
      <c r="C916" s="312">
        <f>IF(R859="Inclinado",C915+2*SIN(RADIANS(Q859))*(I915+N859),C915+2*TAN(RADIANS(Q859))*(I915+N859))</f>
        <v>0</v>
      </c>
      <c r="D916" s="645">
        <f t="shared" si="136"/>
        <v>0</v>
      </c>
      <c r="E916" s="645">
        <f t="shared" si="136"/>
        <v>0</v>
      </c>
      <c r="F916" s="645">
        <f t="shared" si="136"/>
        <v>0</v>
      </c>
      <c r="G916" s="645">
        <f t="shared" si="136"/>
        <v>0</v>
      </c>
      <c r="H916" s="645">
        <f t="shared" si="136"/>
        <v>0</v>
      </c>
      <c r="I916" s="645">
        <f t="shared" si="136"/>
        <v>0</v>
      </c>
      <c r="J916" s="645">
        <f t="shared" si="136"/>
        <v>0</v>
      </c>
      <c r="K916" s="645">
        <f t="shared" si="136"/>
        <v>0</v>
      </c>
      <c r="L916" s="646" t="e">
        <f t="shared" si="127"/>
        <v>#DIV/0!</v>
      </c>
      <c r="M916" s="646" t="e">
        <f t="shared" si="128"/>
        <v>#DIV/0!</v>
      </c>
      <c r="N916" s="206"/>
      <c r="O916" s="631">
        <f t="shared" si="134"/>
        <v>360</v>
      </c>
      <c r="P916" s="247" t="e">
        <f t="shared" si="129"/>
        <v>#DIV/0!</v>
      </c>
      <c r="Q916" s="206" t="e">
        <f t="shared" si="130"/>
        <v>#DIV/0!</v>
      </c>
      <c r="R916" s="206"/>
      <c r="S916" s="341" t="e">
        <f t="shared" si="131"/>
        <v>#DIV/0!</v>
      </c>
      <c r="T916" s="341" t="e">
        <f t="shared" si="132"/>
        <v>#DIV/0!</v>
      </c>
      <c r="U916" s="206"/>
      <c r="V916" s="208"/>
      <c r="W916" s="196"/>
      <c r="X916" s="152"/>
      <c r="Z916" s="198"/>
      <c r="AA916" s="198"/>
    </row>
    <row r="917" spans="1:27" s="197" customFormat="1" ht="15" customHeight="1">
      <c r="A917" s="226"/>
      <c r="B917" s="224" t="s">
        <v>1007</v>
      </c>
      <c r="C917" s="312">
        <f>IF(R859="Inclinado",C916+2*SIN(RADIANS(Q859))*(I916+N859),C916+2*TAN(RADIANS(Q859))*(I916+N859))</f>
        <v>0</v>
      </c>
      <c r="D917" s="645">
        <f t="shared" si="136"/>
        <v>0</v>
      </c>
      <c r="E917" s="645">
        <f t="shared" si="136"/>
        <v>0</v>
      </c>
      <c r="F917" s="645">
        <f t="shared" si="136"/>
        <v>0</v>
      </c>
      <c r="G917" s="645">
        <f t="shared" si="136"/>
        <v>0</v>
      </c>
      <c r="H917" s="645">
        <f t="shared" si="136"/>
        <v>0</v>
      </c>
      <c r="I917" s="645">
        <f t="shared" si="136"/>
        <v>0</v>
      </c>
      <c r="J917" s="645">
        <f t="shared" si="136"/>
        <v>0</v>
      </c>
      <c r="K917" s="645">
        <f t="shared" si="136"/>
        <v>0</v>
      </c>
      <c r="L917" s="646" t="e">
        <f t="shared" si="127"/>
        <v>#DIV/0!</v>
      </c>
      <c r="M917" s="646" t="e">
        <f t="shared" si="128"/>
        <v>#DIV/0!</v>
      </c>
      <c r="N917" s="206"/>
      <c r="O917" s="631">
        <f t="shared" si="134"/>
        <v>360</v>
      </c>
      <c r="P917" s="247" t="e">
        <f t="shared" si="129"/>
        <v>#DIV/0!</v>
      </c>
      <c r="Q917" s="206" t="e">
        <f t="shared" si="130"/>
        <v>#DIV/0!</v>
      </c>
      <c r="R917" s="206"/>
      <c r="S917" s="341" t="e">
        <f t="shared" si="131"/>
        <v>#DIV/0!</v>
      </c>
      <c r="T917" s="341" t="e">
        <f t="shared" si="132"/>
        <v>#DIV/0!</v>
      </c>
      <c r="U917" s="206"/>
      <c r="V917" s="208"/>
      <c r="W917" s="196"/>
      <c r="X917" s="152"/>
      <c r="Z917" s="198"/>
      <c r="AA917" s="198"/>
    </row>
    <row r="918" spans="1:27" s="197" customFormat="1" ht="15" customHeight="1">
      <c r="A918" s="226"/>
      <c r="B918" s="224" t="s">
        <v>1008</v>
      </c>
      <c r="C918" s="312">
        <f>IF(R859="Inclinado",C917+2*SIN(RADIANS(Q859))*(I917+N859),C917+2*TAN(RADIANS(Q859))*(I917+N859))</f>
        <v>0</v>
      </c>
      <c r="D918" s="645">
        <f t="shared" si="136"/>
        <v>0</v>
      </c>
      <c r="E918" s="645">
        <f t="shared" si="136"/>
        <v>0</v>
      </c>
      <c r="F918" s="645">
        <f t="shared" si="136"/>
        <v>0</v>
      </c>
      <c r="G918" s="645">
        <f t="shared" si="136"/>
        <v>0</v>
      </c>
      <c r="H918" s="645">
        <f t="shared" si="136"/>
        <v>0</v>
      </c>
      <c r="I918" s="645">
        <f t="shared" si="136"/>
        <v>0</v>
      </c>
      <c r="J918" s="645">
        <f t="shared" si="136"/>
        <v>0</v>
      </c>
      <c r="K918" s="645">
        <f t="shared" si="136"/>
        <v>0</v>
      </c>
      <c r="L918" s="646" t="e">
        <f t="shared" si="127"/>
        <v>#DIV/0!</v>
      </c>
      <c r="M918" s="646" t="e">
        <f t="shared" si="128"/>
        <v>#DIV/0!</v>
      </c>
      <c r="N918" s="206"/>
      <c r="O918" s="631">
        <f t="shared" si="134"/>
        <v>360</v>
      </c>
      <c r="P918" s="247" t="e">
        <f t="shared" si="129"/>
        <v>#DIV/0!</v>
      </c>
      <c r="Q918" s="206" t="e">
        <f t="shared" si="130"/>
        <v>#DIV/0!</v>
      </c>
      <c r="R918" s="206"/>
      <c r="S918" s="341" t="e">
        <f t="shared" si="131"/>
        <v>#DIV/0!</v>
      </c>
      <c r="T918" s="341" t="e">
        <f t="shared" si="132"/>
        <v>#DIV/0!</v>
      </c>
      <c r="U918" s="206"/>
      <c r="V918" s="208"/>
      <c r="W918" s="196"/>
      <c r="X918" s="152"/>
      <c r="Z918" s="198"/>
      <c r="AA918" s="198"/>
    </row>
    <row r="919" spans="1:27" s="197" customFormat="1" ht="15" customHeight="1" thickBot="1">
      <c r="A919" s="226"/>
      <c r="B919" s="224" t="s">
        <v>1009</v>
      </c>
      <c r="C919" s="312">
        <f>IF(R859="Inclinado",C918+2*SIN(RADIANS(Q859))*(I918+N859),C918+2*TAN(RADIANS(Q859))*(I918+N859))</f>
        <v>0</v>
      </c>
      <c r="D919" s="645">
        <f t="shared" ref="D919:K919" si="137">D918</f>
        <v>0</v>
      </c>
      <c r="E919" s="645">
        <f t="shared" si="137"/>
        <v>0</v>
      </c>
      <c r="F919" s="645">
        <f t="shared" si="137"/>
        <v>0</v>
      </c>
      <c r="G919" s="645">
        <f t="shared" si="137"/>
        <v>0</v>
      </c>
      <c r="H919" s="645">
        <f t="shared" si="137"/>
        <v>0</v>
      </c>
      <c r="I919" s="645">
        <f t="shared" si="137"/>
        <v>0</v>
      </c>
      <c r="J919" s="645">
        <f t="shared" si="137"/>
        <v>0</v>
      </c>
      <c r="K919" s="645">
        <f t="shared" si="137"/>
        <v>0</v>
      </c>
      <c r="L919" s="646" t="e">
        <f t="shared" si="127"/>
        <v>#DIV/0!</v>
      </c>
      <c r="M919" s="646" t="e">
        <f t="shared" si="128"/>
        <v>#DIV/0!</v>
      </c>
      <c r="N919" s="206"/>
      <c r="O919" s="632">
        <f t="shared" si="134"/>
        <v>360</v>
      </c>
      <c r="P919" s="247" t="e">
        <f t="shared" si="129"/>
        <v>#DIV/0!</v>
      </c>
      <c r="Q919" s="206" t="e">
        <f t="shared" si="130"/>
        <v>#DIV/0!</v>
      </c>
      <c r="R919" s="206"/>
      <c r="S919" s="341" t="e">
        <f t="shared" si="131"/>
        <v>#DIV/0!</v>
      </c>
      <c r="T919" s="341" t="e">
        <f t="shared" si="132"/>
        <v>#DIV/0!</v>
      </c>
      <c r="U919" s="206"/>
      <c r="V919" s="208"/>
      <c r="W919" s="196"/>
      <c r="X919" s="152"/>
      <c r="Z919" s="198"/>
      <c r="AA919" s="198"/>
    </row>
    <row r="920" spans="1:27" s="197" customFormat="1" ht="15" customHeight="1">
      <c r="A920" s="226"/>
      <c r="B920" s="221"/>
      <c r="C920" s="312"/>
      <c r="D920" s="206"/>
      <c r="E920" s="146"/>
      <c r="F920" s="146"/>
      <c r="G920" s="146"/>
      <c r="H920" s="146"/>
      <c r="I920" s="243"/>
      <c r="J920" s="243"/>
      <c r="K920" s="243"/>
      <c r="L920" s="206"/>
      <c r="M920" s="206"/>
      <c r="N920" s="206"/>
      <c r="O920" s="155"/>
      <c r="P920" s="206"/>
      <c r="Q920" s="206"/>
      <c r="R920" s="206"/>
      <c r="S920" s="206"/>
      <c r="T920" s="206"/>
      <c r="U920" s="206"/>
      <c r="V920" s="208"/>
      <c r="W920" s="196"/>
      <c r="X920" s="152"/>
      <c r="Z920" s="198"/>
      <c r="AA920" s="198"/>
    </row>
    <row r="921" spans="1:27" s="197" customFormat="1" ht="15" customHeight="1" thickBot="1">
      <c r="A921" s="226"/>
      <c r="B921" s="291" t="s">
        <v>1010</v>
      </c>
      <c r="C921" s="292"/>
      <c r="D921" s="293"/>
      <c r="E921" s="293"/>
      <c r="F921" s="293"/>
      <c r="G921" s="293"/>
      <c r="H921" s="293"/>
      <c r="I921" s="293"/>
      <c r="J921" s="294"/>
      <c r="K921" s="294"/>
      <c r="L921" s="295"/>
      <c r="M921" s="293"/>
      <c r="N921" s="293"/>
      <c r="O921" s="293"/>
      <c r="P921" s="293"/>
      <c r="Q921" s="293"/>
      <c r="R921" s="293"/>
      <c r="S921" s="296"/>
      <c r="T921" s="293"/>
      <c r="U921" s="293" t="s">
        <v>678</v>
      </c>
      <c r="V921" s="297" t="s">
        <v>27</v>
      </c>
      <c r="W921" s="298"/>
      <c r="X921" s="299"/>
      <c r="Z921" s="198"/>
      <c r="AA921" s="198"/>
    </row>
    <row r="922" spans="1:27" s="197" customFormat="1" ht="15" customHeight="1" thickBot="1">
      <c r="A922" s="226"/>
      <c r="B922" s="221"/>
      <c r="C922" s="144">
        <f>SUMIF(Densidades!A:A,'Memória TOTAL'!X922,Densidades!B:B)</f>
        <v>0</v>
      </c>
      <c r="D922" s="145">
        <f>SUMIF(Densidades!A:A,'Memória TOTAL'!X922,Densidades!C:C)</f>
        <v>0</v>
      </c>
      <c r="E922" s="145" t="str">
        <f>IF(I922=15,"FIRECLAY MORTAR",IF(I922=16,"ALUMINA MORTAR",IF(I922=17,"BASIC MORTAR",IF(I922=18,"MORTAR","-"))))</f>
        <v>-</v>
      </c>
      <c r="F922" s="145" t="str">
        <f>IF(I922=15,"FIRECLAY MORTAR",IF(I922=16,"ALUMINA MORTAR",IF(I922=17,"BASIC MORTAR",IF(I922=18,"MORTAR","-"))))</f>
        <v>-</v>
      </c>
      <c r="G922" s="145" t="str">
        <f>IF(I922=15,"FIRECLAY MORTAR",IF(I922=16,"ALUMINA MORTAR",IF(I922=17,"BASIC MORTAR",IF(I922=18,"MORTAR","-"))))</f>
        <v>-</v>
      </c>
      <c r="H922" s="145" t="str">
        <f>IF(I922=15,"FIRECLAY MORTAR",IF(I922=16,"ALUMINA MORTAR",IF(I922=17,"BASIC MORTAR",IF(I922=18,"MORTAR","-"))))</f>
        <v>-</v>
      </c>
      <c r="I922" s="145">
        <f>SUMIF(Densidades!A:A,'Memória TOTAL'!X922,Densidades!G:G)</f>
        <v>0</v>
      </c>
      <c r="J922" s="147">
        <f>SUMIF(Formatos!A:A,'Memória TOTAL'!X923,Formatos!G:G)</f>
        <v>0</v>
      </c>
      <c r="K922" s="148">
        <f>SUMIF(Densidades!A:A,'Memória TOTAL'!X922,Densidades!I:I)</f>
        <v>0</v>
      </c>
      <c r="L922" s="199">
        <v>0</v>
      </c>
      <c r="M922" s="200"/>
      <c r="N922" s="200"/>
      <c r="O922" s="200"/>
      <c r="P922" s="200"/>
      <c r="Q922" s="200"/>
      <c r="R922" s="200"/>
      <c r="S922" s="200"/>
      <c r="T922" s="201"/>
      <c r="U922" s="302">
        <v>0.06</v>
      </c>
      <c r="V922" s="203" t="e">
        <f>(W859*J859*C922+W863*J863*C922)*U922</f>
        <v>#VALUE!</v>
      </c>
      <c r="W922" s="204" t="str">
        <f>IF(C922=0,"",ROUNDUP(SUM(V922:V924)*(1+L922)/D922,0)*D922)</f>
        <v/>
      </c>
      <c r="X922" s="274"/>
      <c r="Z922" s="198"/>
      <c r="AA922" s="198"/>
    </row>
    <row r="923" spans="1:27" s="197" customFormat="1" ht="15" customHeight="1">
      <c r="A923" s="226"/>
      <c r="B923" s="221"/>
      <c r="C923" s="144"/>
      <c r="D923" s="206"/>
      <c r="E923" s="206"/>
      <c r="F923" s="206"/>
      <c r="G923" s="206"/>
      <c r="H923" s="206"/>
      <c r="I923" s="206"/>
      <c r="J923" s="207"/>
      <c r="K923" s="207"/>
      <c r="L923" s="155"/>
      <c r="M923" s="206"/>
      <c r="N923" s="206"/>
      <c r="O923" s="206"/>
      <c r="P923" s="206"/>
      <c r="Q923" s="206"/>
      <c r="R923" s="206"/>
      <c r="S923" s="206"/>
      <c r="T923" s="206"/>
      <c r="U923" s="206"/>
      <c r="V923" s="208"/>
      <c r="W923" s="196"/>
      <c r="X923" s="152" t="str">
        <f>IF(AND(H922="-",G922="-",F922="-"),E922,IF(AND(H922="-",G922="-",E922="-"),F922,IF(AND(H922="-",F922="-",E922="-"),G922,H922)))</f>
        <v>-</v>
      </c>
      <c r="Z923" s="198"/>
      <c r="AA923" s="198"/>
    </row>
    <row r="924" spans="1:27" s="197" customFormat="1" ht="15" customHeight="1">
      <c r="A924" s="226"/>
      <c r="B924" s="224"/>
      <c r="C924" s="144"/>
      <c r="D924" s="206"/>
      <c r="E924" s="206"/>
      <c r="F924" s="206"/>
      <c r="G924" s="206"/>
      <c r="H924" s="206"/>
      <c r="I924" s="206"/>
      <c r="J924" s="207"/>
      <c r="K924" s="207"/>
      <c r="L924" s="155"/>
      <c r="M924" s="206"/>
      <c r="N924" s="206"/>
      <c r="O924" s="206"/>
      <c r="P924" s="206"/>
      <c r="Q924" s="206"/>
      <c r="R924" s="206"/>
      <c r="S924" s="206"/>
      <c r="T924" s="206"/>
      <c r="U924" s="206"/>
      <c r="V924" s="208"/>
      <c r="W924" s="196"/>
      <c r="X924" s="152" t="s">
        <v>2</v>
      </c>
      <c r="Z924" s="198"/>
      <c r="AA924" s="198"/>
    </row>
    <row r="925" spans="1:27" ht="15" customHeight="1">
      <c r="A925" s="226"/>
      <c r="B925" s="142"/>
      <c r="C925" s="180"/>
      <c r="D925" s="181"/>
      <c r="E925" s="181"/>
      <c r="F925" s="181"/>
      <c r="G925" s="181"/>
      <c r="H925" s="181"/>
      <c r="I925" s="181"/>
      <c r="J925" s="182"/>
      <c r="K925" s="182"/>
      <c r="L925" s="183"/>
      <c r="M925" s="181"/>
      <c r="N925" s="181"/>
      <c r="O925" s="181"/>
      <c r="P925" s="181"/>
      <c r="Q925" s="181"/>
      <c r="R925" s="181"/>
      <c r="S925" s="181"/>
      <c r="T925" s="181"/>
      <c r="U925" s="181"/>
      <c r="V925" s="184"/>
      <c r="W925" s="185"/>
      <c r="X925" s="186"/>
    </row>
    <row r="926" spans="1:27" s="197" customFormat="1" ht="15" customHeight="1" thickBot="1">
      <c r="A926" s="226"/>
      <c r="B926" s="291" t="s">
        <v>1011</v>
      </c>
      <c r="C926" s="292"/>
      <c r="D926" s="293"/>
      <c r="E926" s="293"/>
      <c r="F926" s="293"/>
      <c r="G926" s="293"/>
      <c r="H926" s="293"/>
      <c r="I926" s="293"/>
      <c r="J926" s="294"/>
      <c r="K926" s="294"/>
      <c r="L926" s="295"/>
      <c r="M926" s="293"/>
      <c r="N926" s="293"/>
      <c r="O926" s="293"/>
      <c r="P926" s="293"/>
      <c r="Q926" s="293"/>
      <c r="R926" s="293" t="s">
        <v>636</v>
      </c>
      <c r="S926" s="296" t="s">
        <v>637</v>
      </c>
      <c r="T926" s="293" t="s">
        <v>638</v>
      </c>
      <c r="U926" s="293" t="s">
        <v>38</v>
      </c>
      <c r="V926" s="297" t="s">
        <v>27</v>
      </c>
      <c r="W926" s="298"/>
      <c r="X926" s="299"/>
      <c r="Z926" s="198"/>
      <c r="AA926" s="198"/>
    </row>
    <row r="927" spans="1:27" s="197" customFormat="1" ht="15" customHeight="1" thickBot="1">
      <c r="A927" s="226"/>
      <c r="B927" s="221"/>
      <c r="C927" s="144">
        <f>SUMIF(Densidades!A:A,'Memória TOTAL'!X927,Densidades!B:B)</f>
        <v>0</v>
      </c>
      <c r="D927" s="145">
        <f>SUMIF(Densidades!A:A,'Memória TOTAL'!X927,Densidades!C:C)</f>
        <v>0</v>
      </c>
      <c r="E927" s="145" t="str">
        <f>IF(I927=15,"FIRECLAY MORTAR",IF(I927=16,"ALUMINA MORTAR",IF(I927=17,"BASIC MORTAR",IF(I927=18,"MORTAR","-"))))</f>
        <v>-</v>
      </c>
      <c r="F927" s="145" t="str">
        <f>IF(I927=15,"FIRECLAY MORTAR",IF(I927=16,"ALUMINA MORTAR",IF(I927=17,"BASIC MORTAR",IF(I927=18,"MORTAR","-"))))</f>
        <v>-</v>
      </c>
      <c r="G927" s="145" t="str">
        <f>IF(I927=15,"FIRECLAY MORTAR",IF(I927=16,"ALUMINA MORTAR",IF(I927=17,"BASIC MORTAR",IF(I927=18,"MORTAR","-"))))</f>
        <v>-</v>
      </c>
      <c r="H927" s="145" t="str">
        <f>IF(I927=15,"FIRECLAY MORTAR",IF(I927=16,"ALUMINA MORTAR",IF(I927=17,"BASIC MORTAR",IF(I927=18,"MORTAR","-"))))</f>
        <v>-</v>
      </c>
      <c r="I927" s="145">
        <f>SUMIF(Densidades!A:A,'Memória TOTAL'!X927,Densidades!G:G)</f>
        <v>0</v>
      </c>
      <c r="J927" s="147">
        <f>SUMIF(Formatos!A:A,'Memória TOTAL'!X928,Formatos!G:G)</f>
        <v>0</v>
      </c>
      <c r="K927" s="233">
        <f>SUMIF(Densidades!A:A,'Memória TOTAL'!X927,Densidades!I:I)</f>
        <v>0</v>
      </c>
      <c r="L927" s="199">
        <v>0</v>
      </c>
      <c r="M927" s="200"/>
      <c r="N927" s="200"/>
      <c r="O927" s="200"/>
      <c r="P927" s="200"/>
      <c r="Q927" s="200"/>
      <c r="R927" s="201">
        <f>((G859*H859)+(G859*E859)+(H859*E859))/1000000</f>
        <v>0</v>
      </c>
      <c r="S927" s="270">
        <v>2</v>
      </c>
      <c r="T927" s="201">
        <f>R927*S927</f>
        <v>0</v>
      </c>
      <c r="U927" s="202">
        <f>SUM(W859:W864)</f>
        <v>0</v>
      </c>
      <c r="V927" s="203">
        <f>(T927*C927*(1+L927))*U927</f>
        <v>0</v>
      </c>
      <c r="W927" s="151" t="str">
        <f>IF(C927=0,"",ROUNDUP(SUM(V927:V929)*(1+L927)/D927,0)*D927)</f>
        <v/>
      </c>
      <c r="X927" s="274"/>
      <c r="Z927" s="198"/>
      <c r="AA927" s="198"/>
    </row>
    <row r="928" spans="1:27" s="197" customFormat="1" ht="15" customHeight="1">
      <c r="A928" s="226"/>
      <c r="B928" s="221"/>
      <c r="C928" s="144"/>
      <c r="D928" s="206"/>
      <c r="E928" s="206"/>
      <c r="F928" s="206"/>
      <c r="G928" s="206"/>
      <c r="H928" s="206"/>
      <c r="I928" s="206"/>
      <c r="J928" s="207"/>
      <c r="K928" s="207"/>
      <c r="L928" s="155"/>
      <c r="M928" s="206"/>
      <c r="N928" s="206"/>
      <c r="O928" s="206"/>
      <c r="P928" s="206"/>
      <c r="Q928" s="206"/>
      <c r="R928" s="206"/>
      <c r="S928" s="206"/>
      <c r="T928" s="206"/>
      <c r="U928" s="206"/>
      <c r="V928" s="208"/>
      <c r="W928" s="196"/>
      <c r="X928" s="152" t="str">
        <f>IF(AND(H927="-",G927="-",F927="-"),E927,IF(AND(H927="-",G927="-",E927="-"),F927,IF(AND(H927="-",F927="-",E927="-"),G927,H927)))</f>
        <v>-</v>
      </c>
      <c r="Z928" s="198"/>
      <c r="AA928" s="198"/>
    </row>
    <row r="929" spans="1:27" s="197" customFormat="1" ht="15" customHeight="1">
      <c r="A929" s="226"/>
      <c r="B929" s="224"/>
      <c r="C929" s="144"/>
      <c r="D929" s="206"/>
      <c r="E929" s="206"/>
      <c r="F929" s="206"/>
      <c r="G929" s="206"/>
      <c r="H929" s="206"/>
      <c r="I929" s="206"/>
      <c r="J929" s="207"/>
      <c r="K929" s="207"/>
      <c r="L929" s="155"/>
      <c r="M929" s="206"/>
      <c r="N929" s="206"/>
      <c r="O929" s="206"/>
      <c r="P929" s="206"/>
      <c r="Q929" s="206"/>
      <c r="R929" s="206"/>
      <c r="S929" s="206"/>
      <c r="T929" s="206"/>
      <c r="U929" s="206"/>
      <c r="V929" s="208"/>
      <c r="W929" s="196"/>
      <c r="X929" s="152" t="s">
        <v>2</v>
      </c>
      <c r="Z929" s="198"/>
      <c r="AA929" s="198"/>
    </row>
    <row r="930" spans="1:27" s="197" customFormat="1" ht="15" customHeight="1">
      <c r="A930" s="226"/>
      <c r="B930" s="221"/>
      <c r="C930" s="312"/>
      <c r="D930" s="206"/>
      <c r="E930" s="206"/>
      <c r="F930" s="206"/>
      <c r="G930" s="206"/>
      <c r="H930" s="206"/>
      <c r="I930" s="206"/>
      <c r="J930" s="207"/>
      <c r="K930" s="207"/>
      <c r="L930" s="155"/>
      <c r="M930" s="206"/>
      <c r="N930" s="206"/>
      <c r="O930" s="206"/>
      <c r="P930" s="206"/>
      <c r="Q930" s="206"/>
      <c r="R930" s="206"/>
      <c r="S930" s="206"/>
      <c r="T930" s="206"/>
      <c r="U930" s="206"/>
      <c r="V930" s="208"/>
      <c r="W930" s="196"/>
      <c r="X930" s="152"/>
      <c r="Z930" s="198"/>
      <c r="AA930" s="198"/>
    </row>
    <row r="931" spans="1:27" s="197" customFormat="1" ht="15" customHeight="1" thickBot="1">
      <c r="A931" s="226"/>
      <c r="B931" s="524"/>
      <c r="C931" s="524"/>
      <c r="D931" s="527"/>
      <c r="E931" s="527"/>
      <c r="F931" s="527"/>
      <c r="G931" s="527"/>
      <c r="H931" s="527"/>
      <c r="I931" s="527"/>
      <c r="J931" s="527"/>
      <c r="K931" s="527"/>
      <c r="L931" s="527"/>
      <c r="M931" s="527"/>
      <c r="N931" s="527"/>
      <c r="O931" s="527"/>
      <c r="P931" s="527"/>
      <c r="Q931" s="527"/>
      <c r="R931" s="527"/>
      <c r="S931" s="527"/>
      <c r="T931" s="527"/>
      <c r="U931" s="527"/>
      <c r="V931" s="527"/>
      <c r="W931" s="527"/>
      <c r="X931" s="528"/>
      <c r="Z931" s="198"/>
      <c r="AA931" s="198"/>
    </row>
    <row r="932" spans="1:27" s="197" customFormat="1" ht="15" customHeight="1" thickBot="1">
      <c r="A932" s="226"/>
      <c r="B932" s="529" t="str">
        <f>IF(X933="","TIJOLO / TRONCO DE CONE - 3 TIJOLOS",X933)</f>
        <v>TIJOLO / TRONCO DE CONE - 3 TIJOLOS</v>
      </c>
      <c r="C932" s="530" t="s">
        <v>101</v>
      </c>
      <c r="D932" s="193" t="s">
        <v>102</v>
      </c>
      <c r="E932" s="193" t="s">
        <v>42</v>
      </c>
      <c r="F932" s="193" t="s">
        <v>42</v>
      </c>
      <c r="G932" s="193" t="s">
        <v>43</v>
      </c>
      <c r="H932" s="193" t="s">
        <v>44</v>
      </c>
      <c r="I932" s="193" t="s">
        <v>47</v>
      </c>
      <c r="J932" s="193" t="s">
        <v>103</v>
      </c>
      <c r="K932" s="193" t="s">
        <v>37</v>
      </c>
      <c r="L932" s="193" t="s">
        <v>39</v>
      </c>
      <c r="M932" s="193"/>
      <c r="N932" s="193"/>
      <c r="O932" s="193"/>
      <c r="P932" s="193"/>
      <c r="Q932" s="193"/>
      <c r="R932" s="193"/>
      <c r="S932" s="193"/>
      <c r="T932" s="193"/>
      <c r="U932" s="193"/>
      <c r="V932" s="531" t="s">
        <v>27</v>
      </c>
      <c r="W932" s="532"/>
      <c r="X932" s="533"/>
      <c r="Z932" s="198"/>
      <c r="AA932" s="198"/>
    </row>
    <row r="933" spans="1:27" s="197" customFormat="1" ht="15" customHeight="1" thickBot="1">
      <c r="A933" s="226"/>
      <c r="B933" s="806" t="s">
        <v>1833</v>
      </c>
      <c r="C933" s="144">
        <f>SUMIF(Densidades!A:A,'Memória TOTAL'!X933,Densidades!B:B)</f>
        <v>0</v>
      </c>
      <c r="D933" s="145">
        <f>SUMIF(Densidades!A:A,'Memória TOTAL'!X933,Densidades!C:C)</f>
        <v>0</v>
      </c>
      <c r="E933" s="146">
        <f>SUMIF(Formatos!A:A,'Memória TOTAL'!X934,Formatos!E:E)</f>
        <v>0</v>
      </c>
      <c r="F933" s="146">
        <f>SUMIF(Formatos!A:A,'Memória TOTAL'!X934,Formatos!F:F)</f>
        <v>0</v>
      </c>
      <c r="G933" s="146">
        <f>SUMIF(Formatos!A:A,'Memória TOTAL'!X934,Formatos!C:C)</f>
        <v>0</v>
      </c>
      <c r="H933" s="146">
        <f>SUMIF(Formatos!A:A,'Memória TOTAL'!X934,Formatos!D:D)</f>
        <v>0</v>
      </c>
      <c r="I933" s="146">
        <f>SUMIF(Densidades!A:A,'Memória TOTAL'!X933,Densidades!H:H)</f>
        <v>0</v>
      </c>
      <c r="J933" s="147">
        <f>SUMIF(Formatos!A:A,'Memória TOTAL'!X934,Formatos!G:G)</f>
        <v>4.1130000000000004</v>
      </c>
      <c r="K933" s="233">
        <f>SUMIF(Densidades!A:A,'Memória TOTAL'!X933,Densidades!I:I)</f>
        <v>0</v>
      </c>
      <c r="L933" s="234">
        <v>0</v>
      </c>
      <c r="M933" s="206"/>
      <c r="N933" s="206"/>
      <c r="O933" s="206"/>
      <c r="P933" s="206"/>
      <c r="Q933" s="206"/>
      <c r="R933" s="206"/>
      <c r="S933" s="206"/>
      <c r="T933" s="243"/>
      <c r="U933" s="206"/>
      <c r="V933" s="244">
        <f>IF(H974="","-",SUM(H974))</f>
        <v>0</v>
      </c>
      <c r="W933" s="204">
        <f>IF(V933="-","",ROUNDUP(SUM(V933)*(1+L933),0))</f>
        <v>0</v>
      </c>
      <c r="X933" s="274"/>
      <c r="Z933" s="198"/>
      <c r="AA933" s="198"/>
    </row>
    <row r="934" spans="1:27" s="197" customFormat="1" ht="15" customHeight="1" thickBot="1">
      <c r="A934" s="226"/>
      <c r="B934" s="807"/>
      <c r="C934" s="211"/>
      <c r="D934" s="206"/>
      <c r="E934" s="206"/>
      <c r="F934" s="206"/>
      <c r="G934" s="206"/>
      <c r="H934" s="206"/>
      <c r="I934" s="206"/>
      <c r="J934" s="207"/>
      <c r="K934" s="207"/>
      <c r="L934" s="155"/>
      <c r="M934" s="206"/>
      <c r="N934" s="206"/>
      <c r="O934" s="206"/>
      <c r="P934" s="206"/>
      <c r="Q934" s="206"/>
      <c r="R934" s="206"/>
      <c r="S934" s="206"/>
      <c r="T934" s="206"/>
      <c r="U934" s="206"/>
      <c r="V934" s="208"/>
      <c r="W934" s="196"/>
      <c r="X934" s="152" t="str">
        <f>IF(X933="","",G974)</f>
        <v/>
      </c>
      <c r="Z934" s="198"/>
      <c r="AA934" s="198"/>
    </row>
    <row r="935" spans="1:27" s="197" customFormat="1" ht="15" customHeight="1">
      <c r="A935" s="226"/>
      <c r="B935" s="205"/>
      <c r="C935" s="211"/>
      <c r="D935" s="206"/>
      <c r="E935" s="206"/>
      <c r="F935" s="206"/>
      <c r="G935" s="206"/>
      <c r="H935" s="206"/>
      <c r="I935" s="206"/>
      <c r="J935" s="207"/>
      <c r="K935" s="207"/>
      <c r="L935" s="155"/>
      <c r="M935" s="206"/>
      <c r="N935" s="206"/>
      <c r="O935" s="206"/>
      <c r="P935" s="206"/>
      <c r="Q935" s="206"/>
      <c r="R935" s="206"/>
      <c r="S935" s="206"/>
      <c r="T935" s="206"/>
      <c r="U935" s="206"/>
      <c r="V935" s="208"/>
      <c r="W935" s="196"/>
      <c r="X935" s="152" t="s">
        <v>524</v>
      </c>
      <c r="Z935" s="198"/>
      <c r="AA935" s="198"/>
    </row>
    <row r="936" spans="1:27" s="197" customFormat="1" ht="15" customHeight="1">
      <c r="A936" s="226"/>
      <c r="B936" s="205"/>
      <c r="C936" s="211" t="str">
        <f t="shared" ref="C936:L936" si="138">C932</f>
        <v>Dens.</v>
      </c>
      <c r="D936" s="206" t="str">
        <f t="shared" si="138"/>
        <v>Emb.</v>
      </c>
      <c r="E936" s="249" t="str">
        <f t="shared" si="138"/>
        <v>Esp. Tij.</v>
      </c>
      <c r="F936" s="249" t="str">
        <f t="shared" si="138"/>
        <v>Esp. Tij.</v>
      </c>
      <c r="G936" s="249" t="str">
        <f t="shared" si="138"/>
        <v>Comp. Tij.</v>
      </c>
      <c r="H936" s="249" t="str">
        <f t="shared" si="138"/>
        <v>Larg. Tij.</v>
      </c>
      <c r="I936" s="249" t="str">
        <f t="shared" si="138"/>
        <v>Tipo Fator</v>
      </c>
      <c r="J936" s="249" t="str">
        <f t="shared" si="138"/>
        <v>Vol.</v>
      </c>
      <c r="K936" s="249" t="str">
        <f t="shared" si="138"/>
        <v>Class.</v>
      </c>
      <c r="L936" s="206" t="str">
        <f t="shared" si="138"/>
        <v>Coefic. (%)</v>
      </c>
      <c r="M936" s="206"/>
      <c r="N936" s="206"/>
      <c r="O936" s="206"/>
      <c r="P936" s="206"/>
      <c r="Q936" s="206"/>
      <c r="R936" s="206"/>
      <c r="S936" s="206"/>
      <c r="T936" s="206"/>
      <c r="U936" s="206"/>
      <c r="V936" s="208"/>
      <c r="W936" s="196"/>
      <c r="X936" s="152"/>
      <c r="Z936" s="198"/>
      <c r="AA936" s="198"/>
    </row>
    <row r="937" spans="1:27" s="197" customFormat="1" ht="15" customHeight="1">
      <c r="A937" s="226"/>
      <c r="B937" s="205"/>
      <c r="C937" s="144">
        <f>SUMIF(Densidades!A:A,'Memória TOTAL'!X937,Densidades!B:B)</f>
        <v>0</v>
      </c>
      <c r="D937" s="145">
        <f>SUMIF(Densidades!A:A,'Memória TOTAL'!X937,Densidades!C:C)</f>
        <v>570</v>
      </c>
      <c r="E937" s="146">
        <f>SUMIF(Formatos!A:A,'Memória TOTAL'!X938,Formatos!E:E)</f>
        <v>0</v>
      </c>
      <c r="F937" s="146">
        <f>SUMIF(Formatos!A:A,'Memória TOTAL'!X938,Formatos!F:F)</f>
        <v>0</v>
      </c>
      <c r="G937" s="146">
        <f>SUMIF(Formatos!A:A,'Memória TOTAL'!X938,Formatos!C:C)</f>
        <v>0</v>
      </c>
      <c r="H937" s="146">
        <f>SUMIF(Formatos!A:A,'Memória TOTAL'!X938,Formatos!D:D)</f>
        <v>0</v>
      </c>
      <c r="I937" s="146">
        <f>SUMIF(Densidades!A:A,'Memória TOTAL'!X937,Densidades!H:H)</f>
        <v>0</v>
      </c>
      <c r="J937" s="147">
        <f>SUMIF(Formatos!A:A,'Memória TOTAL'!X938,Formatos!G:G)</f>
        <v>4.1130000000000004</v>
      </c>
      <c r="K937" s="233">
        <f>SUMIF(Densidades!A:A,'Memória TOTAL'!X937,Densidades!I:I)</f>
        <v>167</v>
      </c>
      <c r="L937" s="234">
        <v>0</v>
      </c>
      <c r="M937" s="206"/>
      <c r="N937" s="206"/>
      <c r="O937" s="206"/>
      <c r="P937" s="206"/>
      <c r="Q937" s="206"/>
      <c r="R937" s="206"/>
      <c r="S937" s="206"/>
      <c r="T937" s="243"/>
      <c r="U937" s="206"/>
      <c r="V937" s="244">
        <f>IF(H975="","-",SUM(H975))</f>
        <v>0</v>
      </c>
      <c r="W937" s="204">
        <f>IF(V937="-","",ROUNDUP(SUM(V937)*(1+L937),0))</f>
        <v>0</v>
      </c>
      <c r="X937" s="152" t="str">
        <f>IF(X933="","",X933)</f>
        <v/>
      </c>
      <c r="Z937" s="198"/>
      <c r="AA937" s="198"/>
    </row>
    <row r="938" spans="1:27" s="197" customFormat="1" ht="15" customHeight="1">
      <c r="A938" s="226"/>
      <c r="B938" s="205"/>
      <c r="C938" s="211"/>
      <c r="D938" s="206"/>
      <c r="E938" s="206"/>
      <c r="F938" s="206"/>
      <c r="G938" s="206"/>
      <c r="H938" s="206"/>
      <c r="I938" s="206"/>
      <c r="J938" s="207"/>
      <c r="K938" s="207"/>
      <c r="L938" s="155"/>
      <c r="M938" s="206"/>
      <c r="N938" s="206"/>
      <c r="O938" s="206"/>
      <c r="P938" s="206"/>
      <c r="Q938" s="206"/>
      <c r="R938" s="206"/>
      <c r="S938" s="206"/>
      <c r="T938" s="206"/>
      <c r="U938" s="206"/>
      <c r="V938" s="208"/>
      <c r="W938" s="196"/>
      <c r="X938" s="152" t="str">
        <f>IF(X937="","",G975)</f>
        <v/>
      </c>
      <c r="Z938" s="198"/>
      <c r="AA938" s="198"/>
    </row>
    <row r="939" spans="1:27" s="197" customFormat="1" ht="15" customHeight="1">
      <c r="A939" s="226"/>
      <c r="B939" s="205"/>
      <c r="C939" s="211"/>
      <c r="D939" s="206"/>
      <c r="E939" s="206"/>
      <c r="F939" s="206"/>
      <c r="G939" s="206"/>
      <c r="H939" s="206"/>
      <c r="I939" s="206"/>
      <c r="J939" s="207"/>
      <c r="K939" s="207"/>
      <c r="L939" s="155"/>
      <c r="M939" s="206"/>
      <c r="N939" s="206"/>
      <c r="O939" s="206"/>
      <c r="P939" s="206"/>
      <c r="Q939" s="206"/>
      <c r="R939" s="206"/>
      <c r="S939" s="206"/>
      <c r="T939" s="206"/>
      <c r="U939" s="206"/>
      <c r="V939" s="208"/>
      <c r="W939" s="196"/>
      <c r="X939" s="152" t="s">
        <v>524</v>
      </c>
      <c r="Z939" s="198"/>
      <c r="AA939" s="198"/>
    </row>
    <row r="940" spans="1:27" s="197" customFormat="1" ht="15" customHeight="1">
      <c r="A940" s="226"/>
      <c r="B940" s="205"/>
      <c r="C940" s="211" t="str">
        <f t="shared" ref="C940:L940" si="139">C936</f>
        <v>Dens.</v>
      </c>
      <c r="D940" s="206" t="str">
        <f t="shared" si="139"/>
        <v>Emb.</v>
      </c>
      <c r="E940" s="249" t="str">
        <f t="shared" si="139"/>
        <v>Esp. Tij.</v>
      </c>
      <c r="F940" s="249" t="str">
        <f t="shared" si="139"/>
        <v>Esp. Tij.</v>
      </c>
      <c r="G940" s="249" t="str">
        <f t="shared" si="139"/>
        <v>Comp. Tij.</v>
      </c>
      <c r="H940" s="249" t="str">
        <f t="shared" si="139"/>
        <v>Larg. Tij.</v>
      </c>
      <c r="I940" s="249" t="str">
        <f t="shared" si="139"/>
        <v>Tipo Fator</v>
      </c>
      <c r="J940" s="249" t="str">
        <f t="shared" si="139"/>
        <v>Vol.</v>
      </c>
      <c r="K940" s="249" t="str">
        <f t="shared" si="139"/>
        <v>Class.</v>
      </c>
      <c r="L940" s="206" t="str">
        <f t="shared" si="139"/>
        <v>Coefic. (%)</v>
      </c>
      <c r="M940" s="206"/>
      <c r="N940" s="206"/>
      <c r="O940" s="206"/>
      <c r="P940" s="206"/>
      <c r="Q940" s="206"/>
      <c r="R940" s="206"/>
      <c r="S940" s="206"/>
      <c r="T940" s="206"/>
      <c r="U940" s="206"/>
      <c r="V940" s="208"/>
      <c r="W940" s="196"/>
      <c r="X940" s="152"/>
      <c r="Z940" s="198"/>
      <c r="AA940" s="198"/>
    </row>
    <row r="941" spans="1:27" s="197" customFormat="1" ht="15" customHeight="1">
      <c r="A941" s="226"/>
      <c r="B941" s="205"/>
      <c r="C941" s="144">
        <f>SUMIF(Densidades!A:A,'Memória TOTAL'!X941,Densidades!B:B)</f>
        <v>0</v>
      </c>
      <c r="D941" s="145">
        <f>SUMIF(Densidades!A:A,'Memória TOTAL'!X941,Densidades!C:C)</f>
        <v>570</v>
      </c>
      <c r="E941" s="146">
        <f>SUMIF(Formatos!A:A,'Memória TOTAL'!X942,Formatos!E:E)</f>
        <v>0</v>
      </c>
      <c r="F941" s="146">
        <f>SUMIF(Formatos!A:A,'Memória TOTAL'!X942,Formatos!F:F)</f>
        <v>0</v>
      </c>
      <c r="G941" s="146">
        <f>SUMIF(Formatos!A:A,'Memória TOTAL'!X942,Formatos!C:C)</f>
        <v>0</v>
      </c>
      <c r="H941" s="146">
        <f>SUMIF(Formatos!A:A,'Memória TOTAL'!X942,Formatos!D:D)</f>
        <v>0</v>
      </c>
      <c r="I941" s="146">
        <f>SUMIF(Densidades!A:A,'Memória TOTAL'!X941,Densidades!H:H)</f>
        <v>0</v>
      </c>
      <c r="J941" s="147">
        <f>SUMIF(Formatos!A:A,'Memória TOTAL'!X942,Formatos!G:G)</f>
        <v>4.1130000000000004</v>
      </c>
      <c r="K941" s="233">
        <f>SUMIF(Densidades!A:A,'Memória TOTAL'!X941,Densidades!I:I)</f>
        <v>167</v>
      </c>
      <c r="L941" s="234">
        <v>0</v>
      </c>
      <c r="M941" s="206"/>
      <c r="N941" s="206"/>
      <c r="O941" s="206"/>
      <c r="P941" s="206"/>
      <c r="Q941" s="206"/>
      <c r="R941" s="206"/>
      <c r="S941" s="206"/>
      <c r="T941" s="243"/>
      <c r="U941" s="206"/>
      <c r="V941" s="244" t="e">
        <f>IF(H976="","-",SUM(H976))</f>
        <v>#N/A</v>
      </c>
      <c r="W941" s="204" t="e">
        <f>IF(V941="-","",ROUNDUP(SUM(V941)*(1+L941),0))</f>
        <v>#N/A</v>
      </c>
      <c r="X941" s="152" t="str">
        <f>X937</f>
        <v/>
      </c>
      <c r="Z941" s="198"/>
      <c r="AA941" s="198"/>
    </row>
    <row r="942" spans="1:27" s="197" customFormat="1" ht="15" customHeight="1">
      <c r="A942" s="226"/>
      <c r="B942" s="205"/>
      <c r="C942" s="211"/>
      <c r="D942" s="206"/>
      <c r="E942" s="206"/>
      <c r="F942" s="206"/>
      <c r="G942" s="206"/>
      <c r="H942" s="206"/>
      <c r="I942" s="206"/>
      <c r="J942" s="207"/>
      <c r="K942" s="207"/>
      <c r="L942" s="155"/>
      <c r="M942" s="206"/>
      <c r="N942" s="206"/>
      <c r="O942" s="206"/>
      <c r="P942" s="206"/>
      <c r="Q942" s="206"/>
      <c r="R942" s="206"/>
      <c r="S942" s="206"/>
      <c r="T942" s="206"/>
      <c r="U942" s="206"/>
      <c r="V942" s="208"/>
      <c r="W942" s="196"/>
      <c r="X942" s="152" t="str">
        <f>IF(X941="","",G976)</f>
        <v/>
      </c>
      <c r="Z942" s="198"/>
      <c r="AA942" s="198"/>
    </row>
    <row r="943" spans="1:27" s="197" customFormat="1" ht="15" customHeight="1">
      <c r="A943" s="226"/>
      <c r="B943" s="205"/>
      <c r="C943" s="211"/>
      <c r="D943" s="206"/>
      <c r="E943" s="206"/>
      <c r="F943" s="206"/>
      <c r="G943" s="206"/>
      <c r="H943" s="206"/>
      <c r="I943" s="206"/>
      <c r="J943" s="207"/>
      <c r="K943" s="207"/>
      <c r="L943" s="155"/>
      <c r="M943" s="206"/>
      <c r="N943" s="206"/>
      <c r="O943" s="206"/>
      <c r="P943" s="206"/>
      <c r="Q943" s="206"/>
      <c r="R943" s="206"/>
      <c r="S943" s="206"/>
      <c r="T943" s="206"/>
      <c r="U943" s="206"/>
      <c r="V943" s="208"/>
      <c r="W943" s="196"/>
      <c r="X943" s="152" t="s">
        <v>524</v>
      </c>
      <c r="Z943" s="198"/>
      <c r="AA943" s="198"/>
    </row>
    <row r="944" spans="1:27" s="197" customFormat="1" ht="15" customHeight="1">
      <c r="A944" s="226"/>
      <c r="B944" s="205"/>
      <c r="C944" s="211" t="str">
        <f t="shared" ref="C944:L944" si="140">C940</f>
        <v>Dens.</v>
      </c>
      <c r="D944" s="206" t="str">
        <f t="shared" si="140"/>
        <v>Emb.</v>
      </c>
      <c r="E944" s="249" t="str">
        <f t="shared" si="140"/>
        <v>Esp. Tij.</v>
      </c>
      <c r="F944" s="249" t="str">
        <f t="shared" si="140"/>
        <v>Esp. Tij.</v>
      </c>
      <c r="G944" s="249" t="str">
        <f t="shared" si="140"/>
        <v>Comp. Tij.</v>
      </c>
      <c r="H944" s="249" t="str">
        <f t="shared" si="140"/>
        <v>Larg. Tij.</v>
      </c>
      <c r="I944" s="249" t="str">
        <f t="shared" si="140"/>
        <v>Tipo Fator</v>
      </c>
      <c r="J944" s="249" t="str">
        <f t="shared" si="140"/>
        <v>Vol.</v>
      </c>
      <c r="K944" s="249" t="str">
        <f t="shared" si="140"/>
        <v>Class.</v>
      </c>
      <c r="L944" s="206" t="str">
        <f t="shared" si="140"/>
        <v>Coefic. (%)</v>
      </c>
      <c r="M944" s="206"/>
      <c r="N944" s="206"/>
      <c r="O944" s="206"/>
      <c r="P944" s="206"/>
      <c r="Q944" s="206"/>
      <c r="R944" s="206"/>
      <c r="S944" s="206"/>
      <c r="T944" s="206"/>
      <c r="U944" s="206"/>
      <c r="V944" s="208"/>
      <c r="W944" s="196"/>
      <c r="X944" s="152"/>
      <c r="Z944" s="198"/>
      <c r="AA944" s="198"/>
    </row>
    <row r="945" spans="1:27" s="197" customFormat="1" ht="15" customHeight="1">
      <c r="A945" s="226"/>
      <c r="B945" s="205"/>
      <c r="C945" s="144">
        <f>SUMIF(Densidades!A:A,'Memória TOTAL'!X945,Densidades!B:B)</f>
        <v>0</v>
      </c>
      <c r="D945" s="145">
        <f>SUMIF(Densidades!A:A,'Memória TOTAL'!X945,Densidades!C:C)</f>
        <v>570</v>
      </c>
      <c r="E945" s="146">
        <f>SUMIF(Formatos!A:A,'Memória TOTAL'!X946,Formatos!E:E)</f>
        <v>0</v>
      </c>
      <c r="F945" s="146">
        <f>SUMIF(Formatos!A:A,'Memória TOTAL'!X946,Formatos!F:F)</f>
        <v>0</v>
      </c>
      <c r="G945" s="146">
        <f>SUMIF(Formatos!A:A,'Memória TOTAL'!X946,Formatos!C:C)</f>
        <v>0</v>
      </c>
      <c r="H945" s="146">
        <f>SUMIF(Formatos!A:A,'Memória TOTAL'!X946,Formatos!D:D)</f>
        <v>0</v>
      </c>
      <c r="I945" s="146">
        <f>SUMIF(Densidades!A:A,'Memória TOTAL'!X945,Densidades!H:H)</f>
        <v>0</v>
      </c>
      <c r="J945" s="147">
        <f>SUMIF(Formatos!A:A,'Memória TOTAL'!X946,Formatos!G:G)</f>
        <v>4.1130000000000004</v>
      </c>
      <c r="K945" s="233">
        <f>SUMIF(Densidades!A:A,'Memória TOTAL'!X945,Densidades!I:I)</f>
        <v>167</v>
      </c>
      <c r="L945" s="234">
        <v>0</v>
      </c>
      <c r="M945" s="206"/>
      <c r="N945" s="206"/>
      <c r="O945" s="206"/>
      <c r="P945" s="206"/>
      <c r="Q945" s="206"/>
      <c r="R945" s="206"/>
      <c r="S945" s="206"/>
      <c r="T945" s="243"/>
      <c r="U945" s="206"/>
      <c r="V945" s="244" t="e">
        <f>IF(H977="","-",SUM(H977))</f>
        <v>#N/A</v>
      </c>
      <c r="W945" s="204" t="e">
        <f>IF(V945="-","",ROUNDUP(SUM(V945)*(1+L945),0))</f>
        <v>#N/A</v>
      </c>
      <c r="X945" s="152" t="str">
        <f>X941</f>
        <v/>
      </c>
      <c r="Z945" s="198"/>
      <c r="AA945" s="198"/>
    </row>
    <row r="946" spans="1:27" s="197" customFormat="1" ht="15" customHeight="1">
      <c r="A946" s="226"/>
      <c r="B946" s="205"/>
      <c r="C946" s="211"/>
      <c r="D946" s="206"/>
      <c r="E946" s="206"/>
      <c r="F946" s="206"/>
      <c r="G946" s="206"/>
      <c r="H946" s="206"/>
      <c r="I946" s="206"/>
      <c r="J946" s="207"/>
      <c r="K946" s="207"/>
      <c r="L946" s="155"/>
      <c r="M946" s="206"/>
      <c r="N946" s="206"/>
      <c r="O946" s="206"/>
      <c r="P946" s="206"/>
      <c r="Q946" s="206"/>
      <c r="R946" s="206"/>
      <c r="S946" s="206"/>
      <c r="T946" s="206"/>
      <c r="U946" s="206"/>
      <c r="V946" s="208"/>
      <c r="W946" s="196"/>
      <c r="X946" s="152" t="str">
        <f>IF(X945="","",G977)</f>
        <v/>
      </c>
      <c r="Z946" s="198"/>
      <c r="AA946" s="198"/>
    </row>
    <row r="947" spans="1:27" s="197" customFormat="1" ht="15" customHeight="1">
      <c r="A947" s="226"/>
      <c r="B947" s="205"/>
      <c r="C947" s="211"/>
      <c r="D947" s="206"/>
      <c r="E947" s="206"/>
      <c r="F947" s="206"/>
      <c r="G947" s="206"/>
      <c r="H947" s="206"/>
      <c r="I947" s="206"/>
      <c r="J947" s="207"/>
      <c r="K947" s="207"/>
      <c r="L947" s="155"/>
      <c r="M947" s="206"/>
      <c r="N947" s="206"/>
      <c r="O947" s="206"/>
      <c r="P947" s="206"/>
      <c r="Q947" s="206"/>
      <c r="R947" s="206"/>
      <c r="S947" s="206"/>
      <c r="T947" s="206"/>
      <c r="U947" s="206"/>
      <c r="V947" s="208"/>
      <c r="W947" s="196"/>
      <c r="X947" s="152" t="s">
        <v>524</v>
      </c>
      <c r="Z947" s="198"/>
      <c r="AA947" s="198"/>
    </row>
    <row r="948" spans="1:27" s="197" customFormat="1" ht="15" customHeight="1">
      <c r="A948" s="226"/>
      <c r="B948" s="205"/>
      <c r="C948" s="211" t="str">
        <f t="shared" ref="C948:L948" si="141">C944</f>
        <v>Dens.</v>
      </c>
      <c r="D948" s="206" t="str">
        <f t="shared" si="141"/>
        <v>Emb.</v>
      </c>
      <c r="E948" s="249" t="str">
        <f t="shared" si="141"/>
        <v>Esp. Tij.</v>
      </c>
      <c r="F948" s="249" t="str">
        <f t="shared" si="141"/>
        <v>Esp. Tij.</v>
      </c>
      <c r="G948" s="249" t="str">
        <f t="shared" si="141"/>
        <v>Comp. Tij.</v>
      </c>
      <c r="H948" s="249" t="str">
        <f t="shared" si="141"/>
        <v>Larg. Tij.</v>
      </c>
      <c r="I948" s="249" t="str">
        <f t="shared" si="141"/>
        <v>Tipo Fator</v>
      </c>
      <c r="J948" s="249" t="str">
        <f t="shared" si="141"/>
        <v>Vol.</v>
      </c>
      <c r="K948" s="249" t="str">
        <f t="shared" si="141"/>
        <v>Class.</v>
      </c>
      <c r="L948" s="206" t="str">
        <f t="shared" si="141"/>
        <v>Coefic. (%)</v>
      </c>
      <c r="M948" s="206"/>
      <c r="N948" s="206"/>
      <c r="O948" s="206"/>
      <c r="P948" s="206"/>
      <c r="Q948" s="206"/>
      <c r="R948" s="206"/>
      <c r="S948" s="206"/>
      <c r="T948" s="206"/>
      <c r="U948" s="206"/>
      <c r="V948" s="208"/>
      <c r="W948" s="196"/>
      <c r="X948" s="152"/>
      <c r="Z948" s="198"/>
      <c r="AA948" s="198"/>
    </row>
    <row r="949" spans="1:27" s="197" customFormat="1" ht="15" customHeight="1">
      <c r="A949" s="226"/>
      <c r="B949" s="205"/>
      <c r="C949" s="144">
        <f>SUMIF(Densidades!A:A,'Memória TOTAL'!X949,Densidades!B:B)</f>
        <v>0</v>
      </c>
      <c r="D949" s="145">
        <f>SUMIF(Densidades!A:A,'Memória TOTAL'!X949,Densidades!C:C)</f>
        <v>570</v>
      </c>
      <c r="E949" s="146">
        <f>SUMIF(Formatos!A:A,'Memória TOTAL'!X950,Formatos!E:E)</f>
        <v>0</v>
      </c>
      <c r="F949" s="146">
        <f>SUMIF(Formatos!A:A,'Memória TOTAL'!X950,Formatos!F:F)</f>
        <v>0</v>
      </c>
      <c r="G949" s="146">
        <f>SUMIF(Formatos!A:A,'Memória TOTAL'!X950,Formatos!C:C)</f>
        <v>0</v>
      </c>
      <c r="H949" s="146">
        <f>SUMIF(Formatos!A:A,'Memória TOTAL'!X950,Formatos!D:D)</f>
        <v>0</v>
      </c>
      <c r="I949" s="146">
        <f>SUMIF(Densidades!A:A,'Memória TOTAL'!X949,Densidades!H:H)</f>
        <v>0</v>
      </c>
      <c r="J949" s="147">
        <f>SUMIF(Formatos!A:A,'Memória TOTAL'!X950,Formatos!G:G)</f>
        <v>4.1130000000000004</v>
      </c>
      <c r="K949" s="233">
        <f>SUMIF(Densidades!A:A,'Memória TOTAL'!X949,Densidades!I:I)</f>
        <v>167</v>
      </c>
      <c r="L949" s="234">
        <v>0</v>
      </c>
      <c r="M949" s="206"/>
      <c r="N949" s="206"/>
      <c r="O949" s="206"/>
      <c r="P949" s="206"/>
      <c r="Q949" s="206"/>
      <c r="R949" s="206"/>
      <c r="S949" s="206"/>
      <c r="T949" s="243"/>
      <c r="U949" s="206"/>
      <c r="V949" s="244" t="e">
        <f>IF(H978="","-",SUM(H978))</f>
        <v>#N/A</v>
      </c>
      <c r="W949" s="204" t="e">
        <f>IF(V949="-","",ROUNDUP(SUM(V949)*(1+L949),0))</f>
        <v>#N/A</v>
      </c>
      <c r="X949" s="152" t="str">
        <f>X945</f>
        <v/>
      </c>
      <c r="Z949" s="198"/>
      <c r="AA949" s="198"/>
    </row>
    <row r="950" spans="1:27" s="197" customFormat="1" ht="15" customHeight="1">
      <c r="A950" s="226"/>
      <c r="B950" s="205"/>
      <c r="C950" s="211"/>
      <c r="D950" s="206"/>
      <c r="E950" s="206"/>
      <c r="F950" s="206"/>
      <c r="G950" s="206"/>
      <c r="H950" s="206"/>
      <c r="I950" s="206"/>
      <c r="J950" s="207"/>
      <c r="K950" s="207"/>
      <c r="L950" s="155"/>
      <c r="M950" s="206"/>
      <c r="N950" s="206"/>
      <c r="O950" s="206"/>
      <c r="P950" s="206"/>
      <c r="Q950" s="206"/>
      <c r="R950" s="206"/>
      <c r="S950" s="206"/>
      <c r="T950" s="206"/>
      <c r="U950" s="206"/>
      <c r="V950" s="208"/>
      <c r="W950" s="196"/>
      <c r="X950" s="152" t="str">
        <f>IF(X949="","",G978)</f>
        <v/>
      </c>
      <c r="Z950" s="198"/>
      <c r="AA950" s="198"/>
    </row>
    <row r="951" spans="1:27" s="197" customFormat="1" ht="15" customHeight="1">
      <c r="A951" s="226"/>
      <c r="B951" s="205"/>
      <c r="C951" s="211"/>
      <c r="D951" s="206"/>
      <c r="E951" s="206"/>
      <c r="F951" s="206"/>
      <c r="G951" s="206"/>
      <c r="H951" s="206"/>
      <c r="I951" s="206"/>
      <c r="J951" s="207"/>
      <c r="K951" s="207"/>
      <c r="L951" s="155"/>
      <c r="M951" s="206"/>
      <c r="N951" s="206"/>
      <c r="O951" s="206"/>
      <c r="P951" s="206"/>
      <c r="Q951" s="206"/>
      <c r="R951" s="206"/>
      <c r="S951" s="206"/>
      <c r="T951" s="206"/>
      <c r="U951" s="206"/>
      <c r="V951" s="208"/>
      <c r="W951" s="196"/>
      <c r="X951" s="152" t="s">
        <v>524</v>
      </c>
      <c r="Z951" s="198"/>
      <c r="AA951" s="198"/>
    </row>
    <row r="952" spans="1:27" s="197" customFormat="1" ht="15" customHeight="1">
      <c r="A952" s="226"/>
      <c r="B952" s="205"/>
      <c r="C952" s="211" t="str">
        <f t="shared" ref="C952:L952" si="142">C948</f>
        <v>Dens.</v>
      </c>
      <c r="D952" s="206" t="str">
        <f t="shared" si="142"/>
        <v>Emb.</v>
      </c>
      <c r="E952" s="249" t="str">
        <f t="shared" si="142"/>
        <v>Esp. Tij.</v>
      </c>
      <c r="F952" s="249" t="str">
        <f t="shared" si="142"/>
        <v>Esp. Tij.</v>
      </c>
      <c r="G952" s="249" t="str">
        <f t="shared" si="142"/>
        <v>Comp. Tij.</v>
      </c>
      <c r="H952" s="249" t="str">
        <f t="shared" si="142"/>
        <v>Larg. Tij.</v>
      </c>
      <c r="I952" s="249" t="str">
        <f t="shared" si="142"/>
        <v>Tipo Fator</v>
      </c>
      <c r="J952" s="249" t="str">
        <f t="shared" si="142"/>
        <v>Vol.</v>
      </c>
      <c r="K952" s="249" t="str">
        <f t="shared" si="142"/>
        <v>Class.</v>
      </c>
      <c r="L952" s="206" t="str">
        <f t="shared" si="142"/>
        <v>Coefic. (%)</v>
      </c>
      <c r="M952" s="206"/>
      <c r="N952" s="206"/>
      <c r="O952" s="206"/>
      <c r="P952" s="206"/>
      <c r="Q952" s="206"/>
      <c r="R952" s="206"/>
      <c r="S952" s="206"/>
      <c r="T952" s="206"/>
      <c r="U952" s="206"/>
      <c r="V952" s="208"/>
      <c r="W952" s="196"/>
      <c r="X952" s="152"/>
      <c r="Z952" s="198"/>
      <c r="AA952" s="198"/>
    </row>
    <row r="953" spans="1:27" s="197" customFormat="1" ht="15" customHeight="1">
      <c r="A953" s="226"/>
      <c r="B953" s="205"/>
      <c r="C953" s="144">
        <f>SUMIF(Densidades!A:A,'Memória TOTAL'!X953,Densidades!B:B)</f>
        <v>0</v>
      </c>
      <c r="D953" s="145">
        <f>SUMIF(Densidades!A:A,'Memória TOTAL'!X953,Densidades!C:C)</f>
        <v>570</v>
      </c>
      <c r="E953" s="146">
        <f>SUMIF(Formatos!A:A,'Memória TOTAL'!X954,Formatos!E:E)</f>
        <v>0</v>
      </c>
      <c r="F953" s="146">
        <f>SUMIF(Formatos!A:A,'Memória TOTAL'!X954,Formatos!F:F)</f>
        <v>0</v>
      </c>
      <c r="G953" s="146">
        <f>SUMIF(Formatos!A:A,'Memória TOTAL'!X954,Formatos!C:C)</f>
        <v>0</v>
      </c>
      <c r="H953" s="146">
        <f>SUMIF(Formatos!A:A,'Memória TOTAL'!X954,Formatos!D:D)</f>
        <v>0</v>
      </c>
      <c r="I953" s="146">
        <f>SUMIF(Densidades!A:A,'Memória TOTAL'!X953,Densidades!H:H)</f>
        <v>0</v>
      </c>
      <c r="J953" s="147">
        <f>SUMIF(Formatos!A:A,'Memória TOTAL'!X954,Formatos!G:G)</f>
        <v>4.1130000000000004</v>
      </c>
      <c r="K953" s="233">
        <f>SUMIF(Densidades!A:A,'Memória TOTAL'!X953,Densidades!I:I)</f>
        <v>167</v>
      </c>
      <c r="L953" s="234">
        <v>0</v>
      </c>
      <c r="M953" s="206"/>
      <c r="N953" s="206"/>
      <c r="O953" s="206"/>
      <c r="P953" s="206"/>
      <c r="Q953" s="206"/>
      <c r="R953" s="206"/>
      <c r="S953" s="206"/>
      <c r="T953" s="243"/>
      <c r="U953" s="206"/>
      <c r="V953" s="244">
        <f>IF(H979="","-",SUM(H979))</f>
        <v>0</v>
      </c>
      <c r="W953" s="204">
        <f>IF(V953="-","",ROUNDUP(SUM(V953)*(1+L953),0))</f>
        <v>0</v>
      </c>
      <c r="X953" s="152" t="str">
        <f>X949</f>
        <v/>
      </c>
      <c r="Z953" s="198"/>
      <c r="AA953" s="198"/>
    </row>
    <row r="954" spans="1:27" s="197" customFormat="1" ht="15" customHeight="1">
      <c r="A954" s="226"/>
      <c r="B954" s="205"/>
      <c r="C954" s="211"/>
      <c r="D954" s="206"/>
      <c r="E954" s="206"/>
      <c r="F954" s="206"/>
      <c r="G954" s="206"/>
      <c r="H954" s="206"/>
      <c r="I954" s="206"/>
      <c r="J954" s="207"/>
      <c r="K954" s="207"/>
      <c r="L954" s="155"/>
      <c r="M954" s="206"/>
      <c r="N954" s="206"/>
      <c r="O954" s="206"/>
      <c r="P954" s="206"/>
      <c r="Q954" s="206"/>
      <c r="R954" s="206"/>
      <c r="S954" s="206"/>
      <c r="T954" s="206"/>
      <c r="U954" s="206"/>
      <c r="V954" s="208"/>
      <c r="W954" s="196"/>
      <c r="X954" s="152" t="str">
        <f>IF(X953="","",G979)</f>
        <v/>
      </c>
      <c r="Z954" s="198"/>
      <c r="AA954" s="198"/>
    </row>
    <row r="955" spans="1:27" s="197" customFormat="1" ht="15" customHeight="1">
      <c r="A955" s="226"/>
      <c r="B955" s="205"/>
      <c r="C955" s="211"/>
      <c r="D955" s="206"/>
      <c r="E955" s="206"/>
      <c r="F955" s="206"/>
      <c r="G955" s="206"/>
      <c r="H955" s="206"/>
      <c r="I955" s="206"/>
      <c r="J955" s="207"/>
      <c r="K955" s="207"/>
      <c r="L955" s="155"/>
      <c r="M955" s="206"/>
      <c r="N955" s="206"/>
      <c r="O955" s="206"/>
      <c r="P955" s="206"/>
      <c r="Q955" s="206"/>
      <c r="R955" s="206"/>
      <c r="S955" s="206"/>
      <c r="T955" s="206"/>
      <c r="U955" s="206"/>
      <c r="V955" s="208"/>
      <c r="W955" s="196"/>
      <c r="X955" s="152" t="s">
        <v>524</v>
      </c>
      <c r="Z955" s="198"/>
      <c r="AA955" s="198"/>
    </row>
    <row r="956" spans="1:27" s="197" customFormat="1" ht="15" customHeight="1">
      <c r="A956" s="226"/>
      <c r="B956" s="205"/>
      <c r="C956" s="211" t="str">
        <f t="shared" ref="C956:L956" si="143">C952</f>
        <v>Dens.</v>
      </c>
      <c r="D956" s="206" t="str">
        <f t="shared" si="143"/>
        <v>Emb.</v>
      </c>
      <c r="E956" s="249" t="str">
        <f t="shared" si="143"/>
        <v>Esp. Tij.</v>
      </c>
      <c r="F956" s="249" t="str">
        <f t="shared" si="143"/>
        <v>Esp. Tij.</v>
      </c>
      <c r="G956" s="249" t="str">
        <f t="shared" si="143"/>
        <v>Comp. Tij.</v>
      </c>
      <c r="H956" s="249" t="str">
        <f t="shared" si="143"/>
        <v>Larg. Tij.</v>
      </c>
      <c r="I956" s="249" t="str">
        <f t="shared" si="143"/>
        <v>Tipo Fator</v>
      </c>
      <c r="J956" s="249" t="str">
        <f t="shared" si="143"/>
        <v>Vol.</v>
      </c>
      <c r="K956" s="249" t="str">
        <f t="shared" si="143"/>
        <v>Class.</v>
      </c>
      <c r="L956" s="206" t="str">
        <f t="shared" si="143"/>
        <v>Coefic. (%)</v>
      </c>
      <c r="M956" s="206"/>
      <c r="N956" s="206"/>
      <c r="O956" s="206"/>
      <c r="P956" s="206"/>
      <c r="Q956" s="206"/>
      <c r="R956" s="206"/>
      <c r="S956" s="206"/>
      <c r="T956" s="206"/>
      <c r="U956" s="206"/>
      <c r="V956" s="208"/>
      <c r="W956" s="196"/>
      <c r="X956" s="152"/>
      <c r="Z956" s="198"/>
      <c r="AA956" s="198"/>
    </row>
    <row r="957" spans="1:27" s="197" customFormat="1" ht="15" customHeight="1">
      <c r="A957" s="226"/>
      <c r="B957" s="205"/>
      <c r="C957" s="144">
        <f>SUMIF(Densidades!A:A,'Memória TOTAL'!X957,Densidades!B:B)</f>
        <v>0</v>
      </c>
      <c r="D957" s="145">
        <f>SUMIF(Densidades!A:A,'Memória TOTAL'!X957,Densidades!C:C)</f>
        <v>570</v>
      </c>
      <c r="E957" s="146">
        <f>SUMIF(Formatos!A:A,'Memória TOTAL'!X958,Formatos!E:E)</f>
        <v>0</v>
      </c>
      <c r="F957" s="146">
        <f>SUMIF(Formatos!A:A,'Memória TOTAL'!X958,Formatos!F:F)</f>
        <v>0</v>
      </c>
      <c r="G957" s="146">
        <f>SUMIF(Formatos!A:A,'Memória TOTAL'!X958,Formatos!C:C)</f>
        <v>0</v>
      </c>
      <c r="H957" s="146">
        <f>SUMIF(Formatos!A:A,'Memória TOTAL'!X958,Formatos!D:D)</f>
        <v>0</v>
      </c>
      <c r="I957" s="146">
        <f>SUMIF(Densidades!A:A,'Memória TOTAL'!X957,Densidades!H:H)</f>
        <v>0</v>
      </c>
      <c r="J957" s="147">
        <f>SUMIF(Formatos!A:A,'Memória TOTAL'!X958,Formatos!G:G)</f>
        <v>4.1130000000000004</v>
      </c>
      <c r="K957" s="233">
        <f>SUMIF(Densidades!A:A,'Memória TOTAL'!X957,Densidades!I:I)</f>
        <v>167</v>
      </c>
      <c r="L957" s="234">
        <v>0</v>
      </c>
      <c r="M957" s="206"/>
      <c r="N957" s="206"/>
      <c r="O957" s="206"/>
      <c r="P957" s="206"/>
      <c r="Q957" s="206"/>
      <c r="R957" s="206"/>
      <c r="S957" s="206"/>
      <c r="T957" s="243"/>
      <c r="U957" s="206"/>
      <c r="V957" s="244" t="e">
        <f>IF(H980="","-",SUM(H980))</f>
        <v>#N/A</v>
      </c>
      <c r="W957" s="204" t="e">
        <f>IF(V957="-","",ROUNDUP(SUM(V957)*(1+L957),0))</f>
        <v>#N/A</v>
      </c>
      <c r="X957" s="152" t="str">
        <f>X953</f>
        <v/>
      </c>
      <c r="Z957" s="198"/>
      <c r="AA957" s="198"/>
    </row>
    <row r="958" spans="1:27" s="197" customFormat="1" ht="15" customHeight="1">
      <c r="A958" s="226"/>
      <c r="B958" s="205"/>
      <c r="C958" s="211"/>
      <c r="D958" s="206"/>
      <c r="E958" s="206"/>
      <c r="F958" s="206"/>
      <c r="G958" s="206"/>
      <c r="H958" s="206"/>
      <c r="I958" s="206"/>
      <c r="J958" s="207"/>
      <c r="K958" s="207"/>
      <c r="L958" s="155"/>
      <c r="M958" s="206"/>
      <c r="N958" s="206"/>
      <c r="O958" s="206"/>
      <c r="P958" s="206"/>
      <c r="Q958" s="206"/>
      <c r="R958" s="206"/>
      <c r="S958" s="206"/>
      <c r="T958" s="206"/>
      <c r="U958" s="206"/>
      <c r="V958" s="208"/>
      <c r="W958" s="196"/>
      <c r="X958" s="152" t="str">
        <f>IF(X957="","",G980)</f>
        <v/>
      </c>
      <c r="Z958" s="198"/>
      <c r="AA958" s="198"/>
    </row>
    <row r="959" spans="1:27" s="197" customFormat="1" ht="15" customHeight="1">
      <c r="A959" s="226"/>
      <c r="B959" s="205"/>
      <c r="C959" s="211"/>
      <c r="D959" s="206"/>
      <c r="E959" s="206"/>
      <c r="F959" s="206"/>
      <c r="G959" s="206"/>
      <c r="H959" s="206"/>
      <c r="I959" s="206"/>
      <c r="J959" s="207"/>
      <c r="K959" s="207"/>
      <c r="L959" s="155"/>
      <c r="M959" s="206"/>
      <c r="N959" s="206"/>
      <c r="O959" s="206"/>
      <c r="P959" s="206"/>
      <c r="Q959" s="206"/>
      <c r="R959" s="206"/>
      <c r="S959" s="206"/>
      <c r="T959" s="206"/>
      <c r="U959" s="206"/>
      <c r="V959" s="208"/>
      <c r="W959" s="196"/>
      <c r="X959" s="152" t="s">
        <v>524</v>
      </c>
      <c r="Z959" s="198"/>
      <c r="AA959" s="198"/>
    </row>
    <row r="960" spans="1:27" s="197" customFormat="1" ht="15" customHeight="1">
      <c r="A960" s="226"/>
      <c r="B960" s="205"/>
      <c r="C960" s="211" t="str">
        <f t="shared" ref="C960:L960" si="144">C956</f>
        <v>Dens.</v>
      </c>
      <c r="D960" s="206" t="str">
        <f t="shared" si="144"/>
        <v>Emb.</v>
      </c>
      <c r="E960" s="249" t="str">
        <f t="shared" si="144"/>
        <v>Esp. Tij.</v>
      </c>
      <c r="F960" s="249" t="str">
        <f t="shared" si="144"/>
        <v>Esp. Tij.</v>
      </c>
      <c r="G960" s="249" t="str">
        <f t="shared" si="144"/>
        <v>Comp. Tij.</v>
      </c>
      <c r="H960" s="249" t="str">
        <f t="shared" si="144"/>
        <v>Larg. Tij.</v>
      </c>
      <c r="I960" s="249" t="str">
        <f t="shared" si="144"/>
        <v>Tipo Fator</v>
      </c>
      <c r="J960" s="249" t="str">
        <f t="shared" si="144"/>
        <v>Vol.</v>
      </c>
      <c r="K960" s="249" t="str">
        <f t="shared" si="144"/>
        <v>Class.</v>
      </c>
      <c r="L960" s="206" t="str">
        <f t="shared" si="144"/>
        <v>Coefic. (%)</v>
      </c>
      <c r="M960" s="206"/>
      <c r="N960" s="206" t="s">
        <v>1094</v>
      </c>
      <c r="O960" s="206"/>
      <c r="P960" s="206"/>
      <c r="Q960" s="206"/>
      <c r="R960" s="206"/>
      <c r="S960" s="206"/>
      <c r="T960" s="206"/>
      <c r="U960" s="206"/>
      <c r="V960" s="208"/>
      <c r="W960" s="196"/>
      <c r="X960" s="152"/>
      <c r="Z960" s="198"/>
      <c r="AA960" s="198"/>
    </row>
    <row r="961" spans="1:27" s="197" customFormat="1" ht="15" customHeight="1">
      <c r="A961" s="226"/>
      <c r="B961" s="205"/>
      <c r="C961" s="144">
        <f>SUMIF(Densidades!A:A,'Memória TOTAL'!X961,Densidades!B:B)</f>
        <v>0</v>
      </c>
      <c r="D961" s="145">
        <f>SUMIF(Densidades!A:A,'Memória TOTAL'!X961,Densidades!C:C)</f>
        <v>570</v>
      </c>
      <c r="E961" s="146">
        <f>SUMIF(Formatos!A:A,'Memória TOTAL'!X962,Formatos!E:E)</f>
        <v>0</v>
      </c>
      <c r="F961" s="146">
        <f>SUMIF(Formatos!A:A,'Memória TOTAL'!X962,Formatos!F:F)</f>
        <v>0</v>
      </c>
      <c r="G961" s="146">
        <f>SUMIF(Formatos!A:A,'Memória TOTAL'!X962,Formatos!C:C)</f>
        <v>0</v>
      </c>
      <c r="H961" s="146">
        <f>SUMIF(Formatos!A:A,'Memória TOTAL'!X962,Formatos!D:D)</f>
        <v>0</v>
      </c>
      <c r="I961" s="146">
        <f>SUMIF(Densidades!A:A,'Memória TOTAL'!X961,Densidades!H:H)</f>
        <v>0</v>
      </c>
      <c r="J961" s="147">
        <f>SUMIF(Formatos!A:A,'Memória TOTAL'!X962,Formatos!G:G)</f>
        <v>4.1130000000000004</v>
      </c>
      <c r="K961" s="233">
        <f>SUMIF(Densidades!A:A,'Memória TOTAL'!X961,Densidades!I:I)</f>
        <v>167</v>
      </c>
      <c r="L961" s="234">
        <v>0</v>
      </c>
      <c r="M961" s="206"/>
      <c r="N961" s="206"/>
      <c r="O961" s="206"/>
      <c r="P961" s="206"/>
      <c r="Q961" s="206"/>
      <c r="R961" s="206"/>
      <c r="S961" s="206"/>
      <c r="T961" s="243"/>
      <c r="U961" s="206"/>
      <c r="V961" s="244" t="e">
        <f>IF(H981="","-",SUM(H981))</f>
        <v>#N/A</v>
      </c>
      <c r="W961" s="204" t="e">
        <f>IF(V961="-","",ROUNDUP(SUM(V961)*(1+L961),0))</f>
        <v>#N/A</v>
      </c>
      <c r="X961" s="152" t="str">
        <f>X957</f>
        <v/>
      </c>
      <c r="Z961" s="198"/>
      <c r="AA961" s="198"/>
    </row>
    <row r="962" spans="1:27" s="197" customFormat="1" ht="15" customHeight="1">
      <c r="A962" s="226"/>
      <c r="B962" s="205"/>
      <c r="C962" s="211"/>
      <c r="D962" s="206"/>
      <c r="E962" s="206"/>
      <c r="F962" s="206"/>
      <c r="G962" s="206"/>
      <c r="H962" s="206"/>
      <c r="I962" s="206"/>
      <c r="J962" s="207"/>
      <c r="K962" s="207"/>
      <c r="L962" s="155"/>
      <c r="M962" s="206"/>
      <c r="N962" s="252"/>
      <c r="O962" s="252"/>
      <c r="P962" s="252"/>
      <c r="Q962" s="252"/>
      <c r="R962" s="252"/>
      <c r="S962" s="252"/>
      <c r="T962" s="252"/>
      <c r="U962" s="252"/>
      <c r="V962" s="208"/>
      <c r="W962" s="196"/>
      <c r="X962" s="152" t="str">
        <f>IF(X961="","",G981)</f>
        <v/>
      </c>
      <c r="Z962" s="198"/>
      <c r="AA962" s="198"/>
    </row>
    <row r="963" spans="1:27" s="197" customFormat="1" ht="15" customHeight="1">
      <c r="A963" s="226"/>
      <c r="B963" s="205"/>
      <c r="C963" s="211"/>
      <c r="D963" s="206"/>
      <c r="E963" s="206"/>
      <c r="F963" s="206"/>
      <c r="G963" s="206"/>
      <c r="H963" s="206"/>
      <c r="I963" s="206"/>
      <c r="J963" s="207"/>
      <c r="K963" s="207"/>
      <c r="L963" s="155"/>
      <c r="M963" s="246"/>
      <c r="N963" s="348" t="s">
        <v>1082</v>
      </c>
      <c r="O963" s="349"/>
      <c r="P963" s="349"/>
      <c r="Q963" s="349"/>
      <c r="R963" s="349"/>
      <c r="S963" s="349"/>
      <c r="T963" s="349"/>
      <c r="U963" s="349"/>
      <c r="V963" s="347"/>
      <c r="W963" s="196"/>
      <c r="X963" s="152" t="s">
        <v>524</v>
      </c>
      <c r="Z963" s="198"/>
      <c r="AA963" s="198"/>
    </row>
    <row r="964" spans="1:27" s="197" customFormat="1" ht="15" customHeight="1">
      <c r="A964" s="226"/>
      <c r="B964" s="205"/>
      <c r="C964" s="211" t="str">
        <f t="shared" ref="C964:L964" si="145">C960</f>
        <v>Dens.</v>
      </c>
      <c r="D964" s="206" t="str">
        <f t="shared" si="145"/>
        <v>Emb.</v>
      </c>
      <c r="E964" s="249" t="str">
        <f t="shared" si="145"/>
        <v>Esp. Tij.</v>
      </c>
      <c r="F964" s="249" t="str">
        <f t="shared" si="145"/>
        <v>Esp. Tij.</v>
      </c>
      <c r="G964" s="249" t="str">
        <f t="shared" si="145"/>
        <v>Comp. Tij.</v>
      </c>
      <c r="H964" s="249" t="str">
        <f t="shared" si="145"/>
        <v>Larg. Tij.</v>
      </c>
      <c r="I964" s="249" t="str">
        <f t="shared" si="145"/>
        <v>Tipo Fator</v>
      </c>
      <c r="J964" s="249" t="str">
        <f t="shared" si="145"/>
        <v>Vol.</v>
      </c>
      <c r="K964" s="249" t="str">
        <f t="shared" si="145"/>
        <v>Class.</v>
      </c>
      <c r="L964" s="206" t="str">
        <f t="shared" si="145"/>
        <v>Coefic. (%)</v>
      </c>
      <c r="M964" s="246"/>
      <c r="N964" s="348" t="s">
        <v>2202</v>
      </c>
      <c r="O964" s="349"/>
      <c r="P964" s="349"/>
      <c r="Q964" s="349"/>
      <c r="R964" s="349"/>
      <c r="S964" s="349"/>
      <c r="T964" s="349"/>
      <c r="U964" s="349"/>
      <c r="V964" s="347"/>
      <c r="W964" s="196"/>
      <c r="X964" s="152"/>
      <c r="Z964" s="198"/>
      <c r="AA964" s="198"/>
    </row>
    <row r="965" spans="1:27" s="197" customFormat="1" ht="15" customHeight="1">
      <c r="A965" s="226"/>
      <c r="B965" s="205"/>
      <c r="C965" s="144">
        <f>SUMIF(Densidades!A:A,'Memória TOTAL'!X965,Densidades!B:B)</f>
        <v>0</v>
      </c>
      <c r="D965" s="145">
        <f>SUMIF(Densidades!A:A,'Memória TOTAL'!X965,Densidades!C:C)</f>
        <v>570</v>
      </c>
      <c r="E965" s="146">
        <f>SUMIF(Formatos!A:A,'Memória TOTAL'!X966,Formatos!E:E)</f>
        <v>0</v>
      </c>
      <c r="F965" s="146">
        <f>SUMIF(Formatos!A:A,'Memória TOTAL'!X966,Formatos!F:F)</f>
        <v>0</v>
      </c>
      <c r="G965" s="146">
        <f>SUMIF(Formatos!A:A,'Memória TOTAL'!X966,Formatos!C:C)</f>
        <v>0</v>
      </c>
      <c r="H965" s="146">
        <f>SUMIF(Formatos!A:A,'Memória TOTAL'!X966,Formatos!D:D)</f>
        <v>0</v>
      </c>
      <c r="I965" s="146">
        <f>SUMIF(Densidades!A:A,'Memória TOTAL'!X965,Densidades!H:H)</f>
        <v>0</v>
      </c>
      <c r="J965" s="147">
        <f>SUMIF(Formatos!A:A,'Memória TOTAL'!X966,Formatos!G:G)</f>
        <v>4.1130000000000004</v>
      </c>
      <c r="K965" s="233">
        <f>SUMIF(Densidades!A:A,'Memória TOTAL'!X965,Densidades!I:I)</f>
        <v>167</v>
      </c>
      <c r="L965" s="234">
        <v>0</v>
      </c>
      <c r="M965" s="246"/>
      <c r="N965" s="348" t="s">
        <v>2196</v>
      </c>
      <c r="O965" s="349"/>
      <c r="P965" s="349"/>
      <c r="Q965" s="349"/>
      <c r="R965" s="349"/>
      <c r="S965" s="349"/>
      <c r="T965" s="350"/>
      <c r="U965" s="349"/>
      <c r="V965" s="280" t="e">
        <f>IF(H982="","-",SUM(H982))</f>
        <v>#N/A</v>
      </c>
      <c r="W965" s="204" t="e">
        <f>IF(V965="-","",ROUNDUP(SUM(V965)*(1+L965),0))</f>
        <v>#N/A</v>
      </c>
      <c r="X965" s="152" t="str">
        <f>X961</f>
        <v/>
      </c>
      <c r="Z965" s="198"/>
      <c r="AA965" s="198"/>
    </row>
    <row r="966" spans="1:27" s="197" customFormat="1" ht="15" customHeight="1">
      <c r="A966" s="226"/>
      <c r="B966" s="205"/>
      <c r="C966" s="211"/>
      <c r="D966" s="206"/>
      <c r="E966" s="206"/>
      <c r="F966" s="206"/>
      <c r="G966" s="206"/>
      <c r="H966" s="206"/>
      <c r="I966" s="206"/>
      <c r="J966" s="207"/>
      <c r="K966" s="207"/>
      <c r="L966" s="155"/>
      <c r="M966" s="246"/>
      <c r="N966" s="348" t="s">
        <v>2197</v>
      </c>
      <c r="O966" s="349"/>
      <c r="P966" s="349"/>
      <c r="Q966" s="349"/>
      <c r="R966" s="349"/>
      <c r="S966" s="349"/>
      <c r="T966" s="349"/>
      <c r="U966" s="349"/>
      <c r="V966" s="347"/>
      <c r="W966" s="196"/>
      <c r="X966" s="152" t="str">
        <f>IF(X965="","",G982)</f>
        <v/>
      </c>
      <c r="Z966" s="198"/>
      <c r="AA966" s="198"/>
    </row>
    <row r="967" spans="1:27" s="197" customFormat="1" ht="15" customHeight="1">
      <c r="A967" s="226"/>
      <c r="B967" s="205"/>
      <c r="C967" s="211"/>
      <c r="D967" s="206"/>
      <c r="E967" s="206"/>
      <c r="F967" s="206"/>
      <c r="G967" s="206"/>
      <c r="H967" s="206"/>
      <c r="I967" s="206"/>
      <c r="J967" s="207"/>
      <c r="K967" s="207"/>
      <c r="L967" s="155"/>
      <c r="M967" s="246"/>
      <c r="N967" s="348" t="s">
        <v>2198</v>
      </c>
      <c r="O967" s="349"/>
      <c r="P967" s="349"/>
      <c r="Q967" s="349"/>
      <c r="R967" s="349"/>
      <c r="S967" s="349"/>
      <c r="T967" s="349"/>
      <c r="U967" s="349"/>
      <c r="V967" s="347"/>
      <c r="W967" s="196"/>
      <c r="X967" s="152" t="s">
        <v>524</v>
      </c>
      <c r="Z967" s="198"/>
      <c r="AA967" s="198"/>
    </row>
    <row r="968" spans="1:27" s="197" customFormat="1" ht="15" customHeight="1">
      <c r="A968" s="226"/>
      <c r="B968" s="205"/>
      <c r="C968" s="211" t="str">
        <f t="shared" ref="C968:L968" si="146">C964</f>
        <v>Dens.</v>
      </c>
      <c r="D968" s="206" t="str">
        <f t="shared" si="146"/>
        <v>Emb.</v>
      </c>
      <c r="E968" s="249" t="str">
        <f t="shared" si="146"/>
        <v>Esp. Tij.</v>
      </c>
      <c r="F968" s="249" t="str">
        <f t="shared" si="146"/>
        <v>Esp. Tij.</v>
      </c>
      <c r="G968" s="249" t="str">
        <f t="shared" si="146"/>
        <v>Comp. Tij.</v>
      </c>
      <c r="H968" s="249" t="str">
        <f t="shared" si="146"/>
        <v>Larg. Tij.</v>
      </c>
      <c r="I968" s="249" t="str">
        <f t="shared" si="146"/>
        <v>Tipo Fator</v>
      </c>
      <c r="J968" s="249" t="str">
        <f t="shared" si="146"/>
        <v>Vol.</v>
      </c>
      <c r="K968" s="249" t="str">
        <f t="shared" si="146"/>
        <v>Class.</v>
      </c>
      <c r="L968" s="206" t="str">
        <f t="shared" si="146"/>
        <v>Coefic. (%)</v>
      </c>
      <c r="M968" s="246"/>
      <c r="N968" s="348" t="s">
        <v>2199</v>
      </c>
      <c r="O968" s="349"/>
      <c r="P968" s="349"/>
      <c r="Q968" s="349"/>
      <c r="R968" s="349"/>
      <c r="S968" s="349"/>
      <c r="T968" s="349"/>
      <c r="U968" s="349"/>
      <c r="V968" s="347"/>
      <c r="W968" s="196"/>
      <c r="X968" s="152"/>
      <c r="Z968" s="198"/>
      <c r="AA968" s="198"/>
    </row>
    <row r="969" spans="1:27" s="197" customFormat="1" ht="15" customHeight="1">
      <c r="A969" s="226"/>
      <c r="B969" s="205"/>
      <c r="C969" s="144">
        <f>SUMIF(Densidades!A:A,'Memória TOTAL'!X969,Densidades!B:B)</f>
        <v>0</v>
      </c>
      <c r="D969" s="145">
        <f>SUMIF(Densidades!A:A,'Memória TOTAL'!X969,Densidades!C:C)</f>
        <v>570</v>
      </c>
      <c r="E969" s="146">
        <f>SUMIF(Formatos!A:A,'Memória TOTAL'!X970,Formatos!E:E)</f>
        <v>0</v>
      </c>
      <c r="F969" s="146">
        <f>SUMIF(Formatos!A:A,'Memória TOTAL'!X970,Formatos!F:F)</f>
        <v>0</v>
      </c>
      <c r="G969" s="146">
        <f>SUMIF(Formatos!A:A,'Memória TOTAL'!X970,Formatos!C:C)</f>
        <v>0</v>
      </c>
      <c r="H969" s="146">
        <f>SUMIF(Formatos!A:A,'Memória TOTAL'!X970,Formatos!D:D)</f>
        <v>0</v>
      </c>
      <c r="I969" s="146">
        <f>SUMIF(Densidades!A:A,'Memória TOTAL'!X969,Densidades!H:H)</f>
        <v>0</v>
      </c>
      <c r="J969" s="147">
        <f>SUMIF(Formatos!A:A,'Memória TOTAL'!X970,Formatos!G:G)</f>
        <v>4.1130000000000004</v>
      </c>
      <c r="K969" s="233">
        <f>SUMIF(Densidades!A:A,'Memória TOTAL'!X969,Densidades!I:I)</f>
        <v>167</v>
      </c>
      <c r="L969" s="234">
        <v>0</v>
      </c>
      <c r="M969" s="246"/>
      <c r="N969" s="348" t="s">
        <v>2200</v>
      </c>
      <c r="O969" s="349"/>
      <c r="P969" s="349"/>
      <c r="Q969" s="349"/>
      <c r="R969" s="349"/>
      <c r="S969" s="349"/>
      <c r="T969" s="350"/>
      <c r="U969" s="349"/>
      <c r="V969" s="280" t="e">
        <f>IF(H983="","-",SUM(H983))</f>
        <v>#N/A</v>
      </c>
      <c r="W969" s="204" t="e">
        <f>IF(V969="-","",ROUNDUP(SUM(V969)*(1+L969),0))</f>
        <v>#N/A</v>
      </c>
      <c r="X969" s="152" t="str">
        <f>X965</f>
        <v/>
      </c>
      <c r="Z969" s="198"/>
      <c r="AA969" s="198"/>
    </row>
    <row r="970" spans="1:27" s="197" customFormat="1" ht="15" customHeight="1">
      <c r="A970" s="226"/>
      <c r="B970" s="205"/>
      <c r="C970" s="211"/>
      <c r="D970" s="206"/>
      <c r="E970" s="206"/>
      <c r="F970" s="206"/>
      <c r="G970" s="206"/>
      <c r="H970" s="206"/>
      <c r="I970" s="206"/>
      <c r="J970" s="207"/>
      <c r="K970" s="207"/>
      <c r="L970" s="155"/>
      <c r="M970" s="206"/>
      <c r="N970" s="348" t="s">
        <v>2201</v>
      </c>
      <c r="O970" s="206"/>
      <c r="P970" s="206"/>
      <c r="Q970" s="206"/>
      <c r="R970" s="206"/>
      <c r="S970" s="206"/>
      <c r="T970" s="206"/>
      <c r="U970" s="206"/>
      <c r="V970" s="208"/>
      <c r="W970" s="196"/>
      <c r="X970" s="152" t="str">
        <f>IF(X969="","",G983)</f>
        <v/>
      </c>
      <c r="Z970" s="198"/>
      <c r="AA970" s="198"/>
    </row>
    <row r="971" spans="1:27" s="197" customFormat="1" ht="15" customHeight="1">
      <c r="A971" s="226"/>
      <c r="B971" s="205"/>
      <c r="C971" s="211"/>
      <c r="D971" s="206"/>
      <c r="E971" s="206"/>
      <c r="F971" s="206"/>
      <c r="G971" s="206"/>
      <c r="H971" s="206"/>
      <c r="I971" s="206"/>
      <c r="J971" s="207"/>
      <c r="K971" s="207"/>
      <c r="L971" s="155"/>
      <c r="M971" s="206"/>
      <c r="N971" s="206"/>
      <c r="O971" s="206"/>
      <c r="P971" s="206"/>
      <c r="Q971" s="206"/>
      <c r="R971" s="206"/>
      <c r="S971" s="206"/>
      <c r="T971" s="206"/>
      <c r="U971" s="206"/>
      <c r="V971" s="208"/>
      <c r="W971" s="196"/>
      <c r="X971" s="152" t="s">
        <v>524</v>
      </c>
      <c r="Z971" s="198"/>
      <c r="AA971" s="198"/>
    </row>
    <row r="972" spans="1:27" s="197" customFormat="1" ht="15" customHeight="1" thickBot="1">
      <c r="A972" s="226"/>
      <c r="B972" s="205"/>
      <c r="C972" s="211"/>
      <c r="D972" s="206"/>
      <c r="E972" s="206"/>
      <c r="F972" s="206"/>
      <c r="G972" s="252"/>
      <c r="H972" s="252"/>
      <c r="I972" s="206"/>
      <c r="J972" s="207"/>
      <c r="K972" s="207"/>
      <c r="L972" s="155"/>
      <c r="M972" s="206"/>
      <c r="N972" s="206"/>
      <c r="O972" s="206"/>
      <c r="P972" s="206"/>
      <c r="Q972" s="206"/>
      <c r="R972" s="206"/>
      <c r="S972" s="206"/>
      <c r="T972" s="206"/>
      <c r="U972" s="206"/>
      <c r="V972" s="208"/>
      <c r="W972" s="196"/>
      <c r="X972" s="152"/>
      <c r="Z972" s="198"/>
      <c r="AA972" s="198"/>
    </row>
    <row r="973" spans="1:27" s="197" customFormat="1" ht="15" customHeight="1" thickBot="1">
      <c r="A973" s="226"/>
      <c r="B973" s="205"/>
      <c r="C973" s="211"/>
      <c r="D973" s="206"/>
      <c r="E973" s="206"/>
      <c r="F973" s="246"/>
      <c r="G973" s="796" t="s">
        <v>1023</v>
      </c>
      <c r="H973" s="796"/>
      <c r="I973" s="247"/>
      <c r="J973" s="207"/>
      <c r="K973" s="207"/>
      <c r="L973" s="207"/>
      <c r="M973" s="797" t="s">
        <v>1015</v>
      </c>
      <c r="N973" s="798"/>
      <c r="O973" s="798"/>
      <c r="P973" s="798"/>
      <c r="Q973" s="799"/>
      <c r="R973" s="797" t="s">
        <v>1016</v>
      </c>
      <c r="S973" s="798"/>
      <c r="T973" s="798"/>
      <c r="U973" s="798"/>
      <c r="V973" s="799"/>
      <c r="W973" s="196"/>
      <c r="X973" s="152"/>
      <c r="Z973" s="198"/>
      <c r="AA973" s="198"/>
    </row>
    <row r="974" spans="1:27" s="197" customFormat="1" ht="15" customHeight="1" thickBot="1">
      <c r="A974" s="226"/>
      <c r="B974" s="205"/>
      <c r="C974" s="311" t="s">
        <v>989</v>
      </c>
      <c r="D974" s="206"/>
      <c r="E974" s="206"/>
      <c r="F974" s="246"/>
      <c r="G974" s="340" t="str">
        <f>M975</f>
        <v>S9X41/2X3</v>
      </c>
      <c r="H974" s="340">
        <f>SUMIF(M987:M1036,G974,T987:T1036)+SUMIF(O987:O1036,G974,U987:U1036)+SUMIF(Q987:Q1036,G974,V987:V1036)</f>
        <v>0</v>
      </c>
      <c r="I974" s="247"/>
      <c r="J974" s="207"/>
      <c r="K974" s="207"/>
      <c r="L974" s="342" t="s">
        <v>1078</v>
      </c>
      <c r="M974" s="331" t="s">
        <v>104</v>
      </c>
      <c r="N974" s="332" t="s">
        <v>1075</v>
      </c>
      <c r="O974" s="332" t="s">
        <v>65</v>
      </c>
      <c r="P974" s="332" t="s">
        <v>7</v>
      </c>
      <c r="Q974" s="332" t="s">
        <v>15</v>
      </c>
      <c r="R974" s="331" t="s">
        <v>104</v>
      </c>
      <c r="S974" s="332" t="s">
        <v>1075</v>
      </c>
      <c r="T974" s="332" t="s">
        <v>65</v>
      </c>
      <c r="U974" s="332" t="s">
        <v>539</v>
      </c>
      <c r="V974" s="333" t="s">
        <v>540</v>
      </c>
      <c r="W974" s="196"/>
      <c r="X974" s="152"/>
      <c r="Z974" s="198"/>
      <c r="AA974" s="198"/>
    </row>
    <row r="975" spans="1:27" s="197" customFormat="1" ht="15" customHeight="1" thickBot="1">
      <c r="A975" s="226"/>
      <c r="B975" s="205"/>
      <c r="C975" s="267"/>
      <c r="D975" s="206"/>
      <c r="E975" s="206"/>
      <c r="F975" s="246"/>
      <c r="G975" s="340" t="str">
        <f>M976</f>
        <v>A9X41/2X3-23/4</v>
      </c>
      <c r="H975" s="340">
        <f>SUMIF(M987:M1036,G975,T987:T1036)+SUMIF(O987:O1036,G975,U987:U1036)+SUMIF(Q987:Q1036,G975,V987:V1036)</f>
        <v>0</v>
      </c>
      <c r="I975" s="247"/>
      <c r="J975" s="207"/>
      <c r="K975" s="207"/>
      <c r="L975" s="343" t="e">
        <f>IF(M975="","",((O975*Q975)/(P975-Q975)+O975)*2)</f>
        <v>#DIV/0!</v>
      </c>
      <c r="M975" s="274" t="s">
        <v>1317</v>
      </c>
      <c r="N975" s="334">
        <f>IF(M975="","",IF(VLOOKUP(M975,Formatos!A:F,2,FALSE)="S",IF(VLOOKUP(M976,Formatos!A:F,2,FALSE)="W",VLOOKUP(M976,Formatos!A:F,4,FALSE),VLOOKUP(M976,Formatos!A:F,3,FALSE)),IF(VLOOKUP(M975,Formatos!A:F,2,FALSE)="W",VLOOKUP(M975,Formatos!A:F,4,FALSE),VLOOKUP(M975,Formatos!A:F,3,FALSE))))</f>
        <v>228.6</v>
      </c>
      <c r="O975" s="334">
        <f>IF(M975="","",IF(VLOOKUP(M975,Formatos!A:F,2,FALSE)="S",IF(VLOOKUP(M976,Formatos!A:F,2,FALSE)="W",VLOOKUP(M976,Formatos!A:F,3,FALSE),VLOOKUP(M976,Formatos!A:F,4,FALSE)),IF(VLOOKUP(M975,Formatos!A:F,2,FALSE)="W",VLOOKUP(M975,Formatos!A:F,3,FALSE),VLOOKUP(M975,Formatos!A:F,4,FALSE))))</f>
        <v>114.3</v>
      </c>
      <c r="P975" s="334">
        <f>IF(M975="","",VLOOKUP(M975,Formatos!A:F,5,FALSE))</f>
        <v>76.2</v>
      </c>
      <c r="Q975" s="334">
        <f>IF(M975="","",VLOOKUP(M975,Formatos!A:F,6,FALSE))</f>
        <v>76.2</v>
      </c>
      <c r="R975" s="274" t="s">
        <v>1544</v>
      </c>
      <c r="S975" s="334">
        <f>IF(R975="","",IF(VLOOKUP(R975,Formatos!A:F,2,FALSE)="S",IF(VLOOKUP(R976,Formatos!A:F,2,FALSE)="W",VLOOKUP(R976,Formatos!A:F,3,FALSE),VLOOKUP(R976,Formatos!A:F,4,FALSE)),IF(VLOOKUP(R975,Formatos!A:F,2,FALSE)="W",VLOOKUP(R975,Formatos!A:F,3,FALSE),VLOOKUP(R975,Formatos!A:F,4,FALSE))))</f>
        <v>228.6</v>
      </c>
      <c r="T975" s="334">
        <f>IF(R975="","",IF(VLOOKUP(R975,Formatos!A:F,2,FALSE)="S",IF(VLOOKUP(R976,Formatos!A:F,2,FALSE)="W",VLOOKUP(R976,Formatos!A:F,4,FALSE),VLOOKUP(R976,Formatos!A:F,3,FALSE)),IF(VLOOKUP(R975,Formatos!A:F,2,FALSE)="W",VLOOKUP(R975,Formatos!A:F,4,FALSE),VLOOKUP(R975,Formatos!A:F,3,FALSE))))</f>
        <v>114.3</v>
      </c>
      <c r="U975" s="334">
        <f>IF(R975="","",VLOOKUP(R975,Formatos!A:F,5,FALSE))</f>
        <v>76.2</v>
      </c>
      <c r="V975" s="334">
        <f>IF(R975="","",VLOOKUP(R975,Formatos!A:F,6,FALSE))</f>
        <v>69.900000000000006</v>
      </c>
      <c r="W975" s="196"/>
      <c r="X975" s="152"/>
      <c r="Z975" s="198"/>
      <c r="AA975" s="198"/>
    </row>
    <row r="976" spans="1:27" s="197" customFormat="1" ht="15" customHeight="1" thickBot="1">
      <c r="A976" s="226"/>
      <c r="B976" s="205"/>
      <c r="C976" s="211"/>
      <c r="D976" s="206"/>
      <c r="E976" s="206"/>
      <c r="F976" s="246"/>
      <c r="G976" s="340">
        <f>M977</f>
        <v>0</v>
      </c>
      <c r="H976" s="340" t="e">
        <f>SUMIF(M987:M1036,G976,T987:T1036)+SUMIF(O987:O1036,G976,U987:U1036)+SUMIF(Q987:Q1036,G976,V987:V1036)</f>
        <v>#N/A</v>
      </c>
      <c r="I976" s="247"/>
      <c r="J976" s="207"/>
      <c r="K976" s="207"/>
      <c r="L976" s="343">
        <f>IF(M976="","",((O976*Q976)/(P976-Q976)+O976)*2)</f>
        <v>2764.9714285714299</v>
      </c>
      <c r="M976" s="274" t="s">
        <v>1126</v>
      </c>
      <c r="N976" s="334">
        <f>IF(M976="","",IF(VLOOKUP(M976,Formatos!A:F,2,FALSE)="S",IF(VLOOKUP(M977,Formatos!A:F,2,FALSE)="W",VLOOKUP(M977,Formatos!A:F,4,FALSE),VLOOKUP(M977,Formatos!A:F,3,FALSE)),IF(VLOOKUP(M976,Formatos!A:F,2,FALSE)="W",VLOOKUP(M976,Formatos!A:F,4,FALSE),VLOOKUP(M976,Formatos!A:F,3,FALSE))))</f>
        <v>228.6</v>
      </c>
      <c r="O976" s="334">
        <f>IF(M976="","",IF(VLOOKUP(M976,Formatos!A:F,2,FALSE)="S",IF(VLOOKUP(M977,Formatos!A:F,2,FALSE)="W",VLOOKUP(M977,Formatos!A:F,3,FALSE),VLOOKUP(M977,Formatos!A:F,4,FALSE)),IF(VLOOKUP(M976,Formatos!A:F,2,FALSE)="W",VLOOKUP(M976,Formatos!A:F,3,FALSE),VLOOKUP(M976,Formatos!A:F,4,FALSE))))</f>
        <v>114.3</v>
      </c>
      <c r="P976" s="334">
        <f>IF(M976="","",VLOOKUP(M976,Formatos!A:F,5,FALSE))</f>
        <v>76.2</v>
      </c>
      <c r="Q976" s="334">
        <f>IF(M976="","",VLOOKUP(M976,Formatos!A:F,6,FALSE))</f>
        <v>69.900000000000006</v>
      </c>
      <c r="R976" s="274"/>
      <c r="S976" s="334" t="str">
        <f>IF(R976="","",IF(VLOOKUP(R976,Formatos!A:F,2,FALSE)="S",IF(VLOOKUP(R977,Formatos!A:F,2,FALSE)="W",VLOOKUP(R977,Formatos!A:F,3,FALSE),VLOOKUP(R977,Formatos!A:F,4,FALSE)),IF(VLOOKUP(R976,Formatos!A:F,2,FALSE)="W",VLOOKUP(R976,Formatos!A:F,3,FALSE),VLOOKUP(R976,Formatos!A:F,4,FALSE))))</f>
        <v/>
      </c>
      <c r="T976" s="334" t="str">
        <f>IF(R976="","",IF(VLOOKUP(R976,Formatos!A:F,2,FALSE)="S",IF(VLOOKUP(R977,Formatos!A:F,2,FALSE)="W",VLOOKUP(R977,Formatos!A:F,4,FALSE),VLOOKUP(R977,Formatos!A:F,3,FALSE)),IF(VLOOKUP(R976,Formatos!A:F,2,FALSE)="W",VLOOKUP(R976,Formatos!A:F,4,FALSE),VLOOKUP(R976,Formatos!A:F,3,FALSE))))</f>
        <v/>
      </c>
      <c r="U976" s="334" t="str">
        <f>IF(R976="","",VLOOKUP(R976,Formatos!A:F,5,FALSE))</f>
        <v/>
      </c>
      <c r="V976" s="334" t="str">
        <f>IF(R976="","",VLOOKUP(R976,Formatos!A:F,6,FALSE))</f>
        <v/>
      </c>
      <c r="W976" s="196"/>
      <c r="X976" s="152"/>
      <c r="Z976" s="198"/>
      <c r="AA976" s="198"/>
    </row>
    <row r="977" spans="1:27" s="197" customFormat="1" ht="15" customHeight="1" thickBot="1">
      <c r="A977" s="226"/>
      <c r="B977" s="205"/>
      <c r="C977" s="311" t="s">
        <v>46</v>
      </c>
      <c r="D977" s="206"/>
      <c r="E977" s="206"/>
      <c r="F977" s="246"/>
      <c r="G977" s="340">
        <f>M978</f>
        <v>0</v>
      </c>
      <c r="H977" s="340" t="e">
        <f>SUMIF(M987:M1036,G977,T987:T1036)+SUMIF(O987:O1036,G977,U987:U1036)+SUMIF(Q987:Q1036,G977,V987:V1036)</f>
        <v>#N/A</v>
      </c>
      <c r="I977" s="247"/>
      <c r="J977" s="207"/>
      <c r="K977" s="207"/>
      <c r="L977" s="343" t="str">
        <f>IF(M977="","",((O977*Q977)/(P977-Q977)+O977)*2)</f>
        <v/>
      </c>
      <c r="M977" s="274"/>
      <c r="N977" s="334" t="str">
        <f>IF(M977="","",IF(VLOOKUP(M977,Formatos!A:F,2,FALSE)="S",IF(VLOOKUP(M978,Formatos!A:F,2,FALSE)="W",VLOOKUP(M978,Formatos!A:F,4,FALSE),VLOOKUP(M978,Formatos!A:F,3,FALSE)),IF(VLOOKUP(M977,Formatos!A:F,2,FALSE)="W",VLOOKUP(M977,Formatos!A:F,4,FALSE),VLOOKUP(M977,Formatos!A:F,3,FALSE))))</f>
        <v/>
      </c>
      <c r="O977" s="334" t="str">
        <f>IF(M977="","",IF(VLOOKUP(M977,Formatos!A:F,2,FALSE)="S",IF(VLOOKUP(M978,Formatos!A:F,2,FALSE)="W",VLOOKUP(M978,Formatos!A:F,3,FALSE),VLOOKUP(M978,Formatos!A:F,4,FALSE)),IF(VLOOKUP(M977,Formatos!A:F,2,FALSE)="W",VLOOKUP(M977,Formatos!A:F,3,FALSE),VLOOKUP(M977,Formatos!A:F,4,FALSE))))</f>
        <v/>
      </c>
      <c r="P977" s="334" t="str">
        <f>IF(M977="","",VLOOKUP(M977,Formatos!A:F,5,FALSE))</f>
        <v/>
      </c>
      <c r="Q977" s="334" t="str">
        <f>IF(M977="","",VLOOKUP(M977,Formatos!A:F,6,FALSE))</f>
        <v/>
      </c>
      <c r="R977" s="274"/>
      <c r="S977" s="334" t="str">
        <f>IF(R977="","",IF(VLOOKUP(R977,Formatos!A:F,2,FALSE)="S",IF(VLOOKUP(R978,Formatos!A:F,2,FALSE)="W",VLOOKUP(R978,Formatos!A:F,3,FALSE),VLOOKUP(R978,Formatos!A:F,4,FALSE)),IF(VLOOKUP(R977,Formatos!A:F,2,FALSE)="W",VLOOKUP(R977,Formatos!A:F,3,FALSE),VLOOKUP(R977,Formatos!A:F,4,FALSE))))</f>
        <v/>
      </c>
      <c r="T977" s="334" t="str">
        <f>IF(R977="","",IF(VLOOKUP(R977,Formatos!A:F,2,FALSE)="S",IF(VLOOKUP(R978,Formatos!A:F,2,FALSE)="W",VLOOKUP(R978,Formatos!A:F,4,FALSE),VLOOKUP(R978,Formatos!A:F,3,FALSE)),IF(VLOOKUP(R977,Formatos!A:F,2,FALSE)="W",VLOOKUP(R977,Formatos!A:F,4,FALSE),VLOOKUP(R977,Formatos!A:F,3,FALSE))))</f>
        <v/>
      </c>
      <c r="U977" s="334" t="str">
        <f>IF(R977="","",VLOOKUP(R977,Formatos!A:F,5,FALSE))</f>
        <v/>
      </c>
      <c r="V977" s="334" t="str">
        <f>IF(R977="","",VLOOKUP(R977,Formatos!A:F,6,FALSE))</f>
        <v/>
      </c>
      <c r="W977" s="196"/>
      <c r="X977" s="152"/>
      <c r="Z977" s="198"/>
      <c r="AA977" s="198"/>
    </row>
    <row r="978" spans="1:27" s="197" customFormat="1" ht="15" customHeight="1" thickBot="1">
      <c r="A978" s="226"/>
      <c r="B978" s="205"/>
      <c r="C978" s="624"/>
      <c r="D978" s="206"/>
      <c r="E978" s="206"/>
      <c r="F978" s="246"/>
      <c r="G978" s="340">
        <f>M979</f>
        <v>0</v>
      </c>
      <c r="H978" s="340" t="e">
        <f>SUMIF(M987:M1036,G978,T987:T1036)+SUMIF(O987:O1036,G978,U987:U1036)+SUMIF(Q987:Q1036,G978,V987:V1036)</f>
        <v>#N/A</v>
      </c>
      <c r="I978" s="247"/>
      <c r="J978" s="207"/>
      <c r="K978" s="207"/>
      <c r="L978" s="207" t="str">
        <f>IF(M978="","",((O978*Q978)/(P978-Q978)+O978)*2)</f>
        <v/>
      </c>
      <c r="M978" s="274"/>
      <c r="N978" s="334" t="str">
        <f>IF(M978="","",IF(VLOOKUP(M978,Formatos!A:F,2,FALSE)="S",IF(VLOOKUP(M979,Formatos!A:F,2,FALSE)="W",VLOOKUP(M979,Formatos!A:F,4,FALSE),VLOOKUP(M979,Formatos!A:F,3,FALSE)),IF(VLOOKUP(M978,Formatos!A:F,2,FALSE)="W",VLOOKUP(M978,Formatos!A:F,4,FALSE),VLOOKUP(M978,Formatos!A:F,3,FALSE))))</f>
        <v/>
      </c>
      <c r="O978" s="334" t="str">
        <f>IF(M978="","",IF(VLOOKUP(M978,Formatos!A:F,2,FALSE)="S",IF(VLOOKUP(M979,Formatos!A:F,2,FALSE)="W",VLOOKUP(M979,Formatos!A:F,3,FALSE),VLOOKUP(M979,Formatos!A:F,4,FALSE)),IF(VLOOKUP(M978,Formatos!A:F,2,FALSE)="W",VLOOKUP(M978,Formatos!A:F,3,FALSE),VLOOKUP(M978,Formatos!A:F,4,FALSE))))</f>
        <v/>
      </c>
      <c r="P978" s="334" t="str">
        <f>IF(M978="","",VLOOKUP(M978,Formatos!A:F,5,FALSE))</f>
        <v/>
      </c>
      <c r="Q978" s="334" t="str">
        <f>IF(M978="","",VLOOKUP(M978,Formatos!A:F,6,FALSE))</f>
        <v/>
      </c>
      <c r="R978" s="274"/>
      <c r="S978" s="334" t="str">
        <f>IF(R978="","",IF(VLOOKUP(R978,Formatos!A:F,2,FALSE)="S",IF(VLOOKUP(R979,Formatos!A:F,2,FALSE)="W",VLOOKUP(R979,Formatos!A:F,3,FALSE),VLOOKUP(R979,Formatos!A:F,4,FALSE)),IF(VLOOKUP(R978,Formatos!A:F,2,FALSE)="W",VLOOKUP(R978,Formatos!A:F,3,FALSE),VLOOKUP(R978,Formatos!A:F,4,FALSE))))</f>
        <v/>
      </c>
      <c r="T978" s="334" t="str">
        <f>IF(R978="","",IF(VLOOKUP(R978,Formatos!A:F,2,FALSE)="S",IF(VLOOKUP(R979,Formatos!A:F,2,FALSE)="W",VLOOKUP(R979,Formatos!A:F,4,FALSE),VLOOKUP(R979,Formatos!A:F,3,FALSE)),IF(VLOOKUP(R978,Formatos!A:F,2,FALSE)="W",VLOOKUP(R978,Formatos!A:F,4,FALSE),VLOOKUP(R978,Formatos!A:F,3,FALSE))))</f>
        <v/>
      </c>
      <c r="U978" s="334" t="str">
        <f>IF(R978="","",VLOOKUP(R978,Formatos!A:F,5,FALSE))</f>
        <v/>
      </c>
      <c r="V978" s="334" t="str">
        <f>IF(R978="","",VLOOKUP(R978,Formatos!A:F,6,FALSE))</f>
        <v/>
      </c>
      <c r="W978" s="196"/>
      <c r="X978" s="152"/>
      <c r="Z978" s="198"/>
      <c r="AA978" s="198"/>
    </row>
    <row r="979" spans="1:27" s="197" customFormat="1" ht="15" customHeight="1" thickBot="1">
      <c r="A979" s="226"/>
      <c r="B979" s="205"/>
      <c r="C979" s="211"/>
      <c r="D979" s="206"/>
      <c r="E979" s="206"/>
      <c r="F979" s="246"/>
      <c r="G979" s="340" t="str">
        <f>R975</f>
        <v>W9X41/2X3-23/4</v>
      </c>
      <c r="H979" s="340">
        <f>SUMIF(M987:M1036,G979,T987:T1036)+SUMIF(O987:O1036,G979,U987:U1036)+SUMIF(Q987:Q1036,G979,V987:V1036)</f>
        <v>0</v>
      </c>
      <c r="I979" s="247"/>
      <c r="J979" s="207"/>
      <c r="K979" s="207"/>
      <c r="L979" s="207" t="str">
        <f>IF(M979="","",((O979*Q979)/(P979-Q979)+O979)*2)</f>
        <v/>
      </c>
      <c r="M979" s="274"/>
      <c r="N979" s="334" t="str">
        <f>IF(M979="","",IF(VLOOKUP(M979,Formatos!A:F,2,FALSE)="S",IF(VLOOKUP(M980,Formatos!A:F,2,FALSE)="W",VLOOKUP(M980,Formatos!A:F,4,FALSE),VLOOKUP(M980,Formatos!A:F,3,FALSE)),IF(VLOOKUP(M979,Formatos!A:F,2,FALSE)="W",VLOOKUP(M979,Formatos!A:F,4,FALSE),VLOOKUP(M979,Formatos!A:F,3,FALSE))))</f>
        <v/>
      </c>
      <c r="O979" s="334" t="str">
        <f>IF(M979="","",IF(VLOOKUP(M979,Formatos!A:F,2,FALSE)="S",IF(VLOOKUP(M980,Formatos!A:F,2,FALSE)="W",VLOOKUP(M980,Formatos!A:F,3,FALSE),VLOOKUP(M980,Formatos!A:F,4,FALSE)),IF(VLOOKUP(M979,Formatos!A:F,2,FALSE)="W",VLOOKUP(M979,Formatos!A:F,3,FALSE),VLOOKUP(M979,Formatos!A:F,4,FALSE))))</f>
        <v/>
      </c>
      <c r="P979" s="334" t="str">
        <f>IF(M979="","",VLOOKUP(M979,Formatos!A:F,5,FALSE))</f>
        <v/>
      </c>
      <c r="Q979" s="334" t="str">
        <f>IF(M979="","",VLOOKUP(M979,Formatos!A:F,6,FALSE))</f>
        <v/>
      </c>
      <c r="R979" s="274"/>
      <c r="S979" s="334" t="str">
        <f>IF(R979="","",IF(VLOOKUP(R979,Formatos!A:F,2,FALSE)="S",IF(VLOOKUP(R980,Formatos!A:F,2,FALSE)="W",VLOOKUP(R980,Formatos!A:F,3,FALSE),VLOOKUP(R980,Formatos!A:F,4,FALSE)),IF(VLOOKUP(R979,Formatos!A:F,2,FALSE)="W",VLOOKUP(R979,Formatos!A:F,3,FALSE),VLOOKUP(R979,Formatos!A:F,4,FALSE))))</f>
        <v/>
      </c>
      <c r="T979" s="334" t="str">
        <f>IF(R979="","",IF(VLOOKUP(R979,Formatos!A:F,2,FALSE)="S",IF(VLOOKUP(R980,Formatos!A:F,2,FALSE)="W",VLOOKUP(R980,Formatos!A:F,4,FALSE),VLOOKUP(R980,Formatos!A:F,3,FALSE)),IF(VLOOKUP(R979,Formatos!A:F,2,FALSE)="W",VLOOKUP(R979,Formatos!A:F,4,FALSE),VLOOKUP(R979,Formatos!A:F,3,FALSE))))</f>
        <v/>
      </c>
      <c r="U979" s="334" t="str">
        <f>IF(R979="","",VLOOKUP(R979,Formatos!A:F,5,FALSE))</f>
        <v/>
      </c>
      <c r="V979" s="334" t="str">
        <f>IF(R979="","",VLOOKUP(R979,Formatos!A:F,6,FALSE))</f>
        <v/>
      </c>
      <c r="W979" s="196"/>
      <c r="X979" s="152"/>
      <c r="Z979" s="198"/>
      <c r="AA979" s="198"/>
    </row>
    <row r="980" spans="1:27" s="197" customFormat="1" ht="15" customHeight="1" thickBot="1">
      <c r="A980" s="226"/>
      <c r="B980" s="205"/>
      <c r="C980" s="311" t="s">
        <v>53</v>
      </c>
      <c r="D980" s="206"/>
      <c r="E980" s="206"/>
      <c r="F980" s="246"/>
      <c r="G980" s="340">
        <f>R976</f>
        <v>0</v>
      </c>
      <c r="H980" s="340" t="e">
        <f>SUMIF(M987:M1036,G980,T987:T1036)+SUMIF(O987:O1036,G980,U987:U1036)+SUMIF(Q987:Q1036,G980,V987:V1036)</f>
        <v>#N/A</v>
      </c>
      <c r="I980" s="247"/>
      <c r="J980" s="207"/>
      <c r="K980" s="207"/>
      <c r="L980" s="207"/>
      <c r="S980" s="206"/>
      <c r="T980" s="206"/>
      <c r="U980" s="206"/>
      <c r="V980" s="208"/>
      <c r="W980" s="196"/>
      <c r="X980" s="152"/>
      <c r="Z980" s="198"/>
      <c r="AA980" s="198"/>
    </row>
    <row r="981" spans="1:27" s="197" customFormat="1" ht="15" customHeight="1" thickBot="1">
      <c r="A981" s="226"/>
      <c r="B981" s="205"/>
      <c r="C981" s="267"/>
      <c r="D981" s="206"/>
      <c r="E981" s="206"/>
      <c r="F981" s="246"/>
      <c r="G981" s="340">
        <f>R977</f>
        <v>0</v>
      </c>
      <c r="H981" s="340" t="e">
        <f>SUMIF(M987:M1036,G981,T987:T1036)+SUMIF(O987:O1036,G981,U987:U1036)+SUMIF(Q987:Q1036,G981,V987:V1036)</f>
        <v>#N/A</v>
      </c>
      <c r="I981" s="247"/>
      <c r="J981" s="207"/>
      <c r="K981" s="207"/>
      <c r="L981" s="207"/>
      <c r="M981" s="335" t="s">
        <v>1014</v>
      </c>
      <c r="N981" s="335" t="str">
        <f>IF(R975="","CN1",R975)</f>
        <v>W9X41/2X3-23/4</v>
      </c>
      <c r="O981" s="335" t="str">
        <f>IF(R976="","CN2",R976)</f>
        <v>CN2</v>
      </c>
      <c r="P981" s="335" t="str">
        <f>IF(R977="","CN3",R977)</f>
        <v>CN3</v>
      </c>
      <c r="Q981" s="335" t="str">
        <f>IF(R978="","CN4",R978)</f>
        <v>CN4</v>
      </c>
      <c r="R981" s="335" t="str">
        <f>IF(R979="","CN5",R979)</f>
        <v>CN5</v>
      </c>
      <c r="S981" s="206"/>
      <c r="T981" s="206"/>
      <c r="U981" s="206"/>
      <c r="V981" s="208"/>
      <c r="W981" s="196"/>
      <c r="X981" s="152"/>
      <c r="Z981" s="198"/>
      <c r="AA981" s="198"/>
    </row>
    <row r="982" spans="1:27" s="197" customFormat="1" ht="15" customHeight="1" thickBot="1">
      <c r="A982" s="226"/>
      <c r="B982" s="205"/>
      <c r="C982" s="211"/>
      <c r="D982" s="206"/>
      <c r="E982" s="206"/>
      <c r="F982" s="246"/>
      <c r="G982" s="340">
        <f>R978</f>
        <v>0</v>
      </c>
      <c r="H982" s="340" t="e">
        <f>SUMIF(M987:M1036,G982,T987:T1036)+SUMIF(O987:O1036,G982,U987:U1036)+SUMIF(Q987:Q1036,G982,V987:V1036)</f>
        <v>#N/A</v>
      </c>
      <c r="I982" s="247"/>
      <c r="J982" s="207"/>
      <c r="K982" s="207"/>
      <c r="L982" s="207"/>
      <c r="M982" s="594">
        <f>C981</f>
        <v>0</v>
      </c>
      <c r="N982" s="336">
        <f>IF(R975="","",SIN(RADIANS(M982))*S975*2*PI()/(U975-V975))</f>
        <v>0</v>
      </c>
      <c r="O982" s="336" t="str">
        <f>IF(R976="","",SIN(RADIANS(M982))*S976*2*PI()/(U976-V976))</f>
        <v/>
      </c>
      <c r="P982" s="336" t="str">
        <f>IF(R977="","",SIN(RADIANS(M982))*S977*2*PI()/(U977-V977))</f>
        <v/>
      </c>
      <c r="Q982" s="336" t="str">
        <f>IF(R978="","",SIN(RADIANS(M982))*S978*2*PI()/(U978-V978))</f>
        <v/>
      </c>
      <c r="R982" s="336" t="str">
        <f>IF(R979="","",SIN(RADIANS(M982))*S979*2*PI()/(U979-V979))</f>
        <v/>
      </c>
      <c r="S982" s="206"/>
      <c r="T982" s="206"/>
      <c r="U982" s="206"/>
      <c r="V982" s="208"/>
      <c r="W982" s="196"/>
      <c r="X982" s="152"/>
      <c r="Z982" s="198"/>
      <c r="AA982" s="198"/>
    </row>
    <row r="983" spans="1:27" s="197" customFormat="1" ht="15" customHeight="1">
      <c r="A983" s="226"/>
      <c r="B983" s="205"/>
      <c r="C983" s="211"/>
      <c r="D983" s="206"/>
      <c r="E983" s="206"/>
      <c r="F983" s="246"/>
      <c r="G983" s="340">
        <f>R979</f>
        <v>0</v>
      </c>
      <c r="H983" s="340" t="e">
        <f>SUMIF(M987:M1036,G983,T987:T1036)+SUMIF(O987:O1036,G983,U987:U1036)+SUMIF(Q987:Q1036,G983,V987:V1036)</f>
        <v>#N/A</v>
      </c>
      <c r="I983" s="247"/>
      <c r="J983" s="207"/>
      <c r="K983" s="207"/>
      <c r="L983" s="207"/>
      <c r="M983" s="206"/>
      <c r="N983" s="206"/>
      <c r="O983" s="206"/>
      <c r="P983" s="206"/>
      <c r="Q983" s="206"/>
      <c r="R983" s="206"/>
      <c r="S983" s="206"/>
      <c r="T983" s="206"/>
      <c r="U983" s="206"/>
      <c r="V983" s="208"/>
      <c r="W983" s="242"/>
      <c r="X983" s="152"/>
      <c r="Z983" s="198"/>
      <c r="AA983" s="198"/>
    </row>
    <row r="984" spans="1:27" s="197" customFormat="1" ht="15" customHeight="1">
      <c r="A984" s="226"/>
      <c r="B984" s="205"/>
      <c r="C984" s="211"/>
      <c r="D984" s="206"/>
      <c r="E984" s="206"/>
      <c r="F984" s="206"/>
      <c r="G984" s="206"/>
      <c r="H984" s="206"/>
      <c r="I984" s="206"/>
      <c r="J984" s="207"/>
      <c r="K984" s="207"/>
      <c r="L984" s="207"/>
      <c r="M984" s="206"/>
      <c r="N984" s="206"/>
      <c r="O984" s="206"/>
      <c r="P984" s="206"/>
      <c r="Q984" s="206"/>
      <c r="R984" s="206"/>
      <c r="S984" s="206"/>
      <c r="T984" s="206"/>
      <c r="U984" s="206"/>
      <c r="V984" s="208"/>
      <c r="W984" s="196"/>
      <c r="X984" s="152"/>
      <c r="Z984" s="198"/>
      <c r="AA984" s="198"/>
    </row>
    <row r="985" spans="1:27" s="197" customFormat="1" ht="15" customHeight="1">
      <c r="A985" s="226"/>
      <c r="B985" s="205"/>
      <c r="C985" s="211"/>
      <c r="D985" s="206"/>
      <c r="E985" s="206"/>
      <c r="F985" s="206"/>
      <c r="G985" s="206"/>
      <c r="H985" s="206"/>
      <c r="I985" s="206"/>
      <c r="J985" s="207"/>
      <c r="K985" s="207"/>
      <c r="L985" s="155"/>
      <c r="M985" s="206"/>
      <c r="N985" s="206"/>
      <c r="O985" s="206"/>
      <c r="P985" s="206"/>
      <c r="Q985" s="206"/>
      <c r="R985" s="206"/>
      <c r="S985" s="206"/>
      <c r="T985" s="206"/>
      <c r="U985" s="206"/>
      <c r="V985" s="208"/>
      <c r="W985" s="196"/>
      <c r="X985" s="152"/>
      <c r="Z985" s="198"/>
      <c r="AA985" s="198"/>
    </row>
    <row r="986" spans="1:27" s="197" customFormat="1" ht="15" customHeight="1" thickBot="1">
      <c r="A986" s="226"/>
      <c r="B986" s="205"/>
      <c r="C986" s="311" t="s">
        <v>989</v>
      </c>
      <c r="D986" s="330" t="s">
        <v>1017</v>
      </c>
      <c r="E986" s="329" t="s">
        <v>1018</v>
      </c>
      <c r="F986" s="329" t="s">
        <v>1019</v>
      </c>
      <c r="G986" s="338" t="s">
        <v>1021</v>
      </c>
      <c r="H986" s="338" t="s">
        <v>7</v>
      </c>
      <c r="I986" s="338" t="s">
        <v>15</v>
      </c>
      <c r="J986" s="338" t="s">
        <v>539</v>
      </c>
      <c r="K986" s="338" t="s">
        <v>540</v>
      </c>
      <c r="L986" s="329" t="s">
        <v>1020</v>
      </c>
      <c r="M986" s="183"/>
      <c r="N986" s="206" t="s">
        <v>57</v>
      </c>
      <c r="O986" s="252"/>
      <c r="P986" s="206" t="s">
        <v>54</v>
      </c>
      <c r="Q986" s="252"/>
      <c r="R986" s="206" t="s">
        <v>55</v>
      </c>
      <c r="S986" s="252" t="s">
        <v>1022</v>
      </c>
      <c r="T986" s="206" t="s">
        <v>57</v>
      </c>
      <c r="U986" s="206" t="s">
        <v>54</v>
      </c>
      <c r="V986" s="208" t="s">
        <v>55</v>
      </c>
      <c r="W986" s="196"/>
      <c r="X986" s="152"/>
      <c r="Z986" s="198"/>
      <c r="AA986" s="198"/>
    </row>
    <row r="987" spans="1:27" s="197" customFormat="1" ht="15" customHeight="1">
      <c r="A987" s="226"/>
      <c r="B987" s="179" t="s">
        <v>1024</v>
      </c>
      <c r="C987" s="311">
        <f>C975</f>
        <v>0</v>
      </c>
      <c r="D987" s="337">
        <f>(C987-(SIN(RADIANS(M982))*N975)-(COS(RADIANS(M982))*O975))*PI()/MEDIAN(U975:V979,P975:Q979)</f>
        <v>-4.7123889803846897</v>
      </c>
      <c r="E987" s="337" t="e">
        <f>(C987*PI()-N987*(G987+C978))/PI()</f>
        <v>#N/A</v>
      </c>
      <c r="F987" s="337" t="e">
        <f>E987-2*O975*COS(RADIANS(M982))</f>
        <v>#N/A</v>
      </c>
      <c r="G987" s="339" t="e">
        <f>ROUND(VLOOKUP(M987,R975:V979,4,FALSE),)</f>
        <v>#N/A</v>
      </c>
      <c r="H987" s="339" t="e">
        <f>ROUND(VLOOKUP(O987,M975:Q979,4,FALSE),)</f>
        <v>#N/A</v>
      </c>
      <c r="I987" s="339" t="e">
        <f>ROUND(VLOOKUP(O987,M975:Q979,5,FALSE),)</f>
        <v>#N/A</v>
      </c>
      <c r="J987" s="339" t="e">
        <f>ROUND(VLOOKUP(Q987,M975:Q979,4,FALSE),)</f>
        <v>#N/A</v>
      </c>
      <c r="K987" s="339" t="e">
        <f>ROUND(VLOOKUP(Q987,M975:Q979,5,FALSE),)</f>
        <v>#N/A</v>
      </c>
      <c r="L987" s="636">
        <f t="shared" ref="L987:L1036" si="147">D987/3</f>
        <v>-1.5707963267948966</v>
      </c>
      <c r="M987" s="300"/>
      <c r="N987" s="637" t="e">
        <f>ROUND(HLOOKUP(M987,N981:R982,2,FALSE),)</f>
        <v>#N/A</v>
      </c>
      <c r="O987" s="300"/>
      <c r="P987" s="638" t="e">
        <f>PI()*(F987*(J987+C978)-E987*(K987+C978))/(((J987+C978)*(I987+C978))-((H987+C978)*(K987+C978)))</f>
        <v>#N/A</v>
      </c>
      <c r="Q987" s="300"/>
      <c r="R987" s="638" t="e">
        <f>(E987*PI()-P987*(H987+C978))/(J987+C978)</f>
        <v>#N/A</v>
      </c>
      <c r="S987" s="640">
        <v>360</v>
      </c>
      <c r="T987" s="247" t="e">
        <f t="shared" ref="T987:T1036" si="148">ROUND(N987/360*S987,)</f>
        <v>#N/A</v>
      </c>
      <c r="U987" s="206" t="e">
        <f t="shared" ref="U987:U1036" si="149">ROUND(P987/360*S987,)</f>
        <v>#N/A</v>
      </c>
      <c r="V987" s="206" t="e">
        <f t="shared" ref="V987:V1036" si="150">ROUND(R987/360*S987,)</f>
        <v>#N/A</v>
      </c>
      <c r="W987" s="196"/>
      <c r="X987" s="152"/>
      <c r="Z987" s="198"/>
      <c r="AA987" s="198"/>
    </row>
    <row r="988" spans="1:27" s="197" customFormat="1" ht="15" customHeight="1">
      <c r="A988" s="226"/>
      <c r="B988" s="179" t="s">
        <v>1025</v>
      </c>
      <c r="C988" s="312">
        <f>C987+2*SIN(RADIANS(M982))*(N975+C978)</f>
        <v>0</v>
      </c>
      <c r="D988" s="337">
        <f>(C988-(SIN(RADIANS(M982))*N975)-(COS(RADIANS(M982))*O975))*PI()/MEDIAN(U975:V979,P975:Q979)</f>
        <v>-4.7123889803846897</v>
      </c>
      <c r="E988" s="337" t="e">
        <f>(C988*PI()-N988*(G988+C978))/PI()</f>
        <v>#N/A</v>
      </c>
      <c r="F988" s="337" t="e">
        <f>E988-2*O975*COS(RADIANS(M982))</f>
        <v>#N/A</v>
      </c>
      <c r="G988" s="339" t="e">
        <f>ROUND(VLOOKUP(M988,R975:V979,4,FALSE),)</f>
        <v>#N/A</v>
      </c>
      <c r="H988" s="339" t="e">
        <f>ROUND(VLOOKUP(O988,M975:Q979,4,FALSE),)</f>
        <v>#N/A</v>
      </c>
      <c r="I988" s="339" t="e">
        <f>ROUND(VLOOKUP(O988,M975:Q979,5,FALSE),)</f>
        <v>#N/A</v>
      </c>
      <c r="J988" s="339" t="e">
        <f>ROUND(VLOOKUP(Q988,M975:Q979,4,FALSE),)</f>
        <v>#N/A</v>
      </c>
      <c r="K988" s="339" t="e">
        <f>ROUND(VLOOKUP(Q988,M975:Q979,5,FALSE),)</f>
        <v>#N/A</v>
      </c>
      <c r="L988" s="636">
        <f t="shared" si="147"/>
        <v>-1.5707963267948966</v>
      </c>
      <c r="M988" s="639">
        <f t="shared" ref="M988:M1036" si="151">M987</f>
        <v>0</v>
      </c>
      <c r="N988" s="637" t="e">
        <f>ROUND(HLOOKUP(M988,N981:R982,2,FALSE),)</f>
        <v>#N/A</v>
      </c>
      <c r="O988" s="639">
        <f t="shared" ref="O988:O1036" si="152">O987</f>
        <v>0</v>
      </c>
      <c r="P988" s="638" t="e">
        <f>PI()*(F988*(J988+C978)-E988*(K988+C978))/(((J988+C978)*(I988+C978))-((H988+C978)*(K988+C978)))</f>
        <v>#N/A</v>
      </c>
      <c r="Q988" s="639">
        <f t="shared" ref="Q988:Q1036" si="153">Q987</f>
        <v>0</v>
      </c>
      <c r="R988" s="638" t="e">
        <f>(E988*PI()-P988*(H988+C978))/(J988+C978)</f>
        <v>#N/A</v>
      </c>
      <c r="S988" s="641">
        <f>S987</f>
        <v>360</v>
      </c>
      <c r="T988" s="247" t="e">
        <f t="shared" si="148"/>
        <v>#N/A</v>
      </c>
      <c r="U988" s="206" t="e">
        <f t="shared" si="149"/>
        <v>#N/A</v>
      </c>
      <c r="V988" s="206" t="e">
        <f t="shared" si="150"/>
        <v>#N/A</v>
      </c>
      <c r="W988" s="196"/>
      <c r="X988" s="152"/>
      <c r="Z988" s="198"/>
      <c r="AA988" s="198"/>
    </row>
    <row r="989" spans="1:27" s="197" customFormat="1" ht="15" customHeight="1">
      <c r="A989" s="226"/>
      <c r="B989" s="179" t="s">
        <v>1026</v>
      </c>
      <c r="C989" s="312">
        <f>C988+2*SIN(RADIANS(M982))*(N975+C978)</f>
        <v>0</v>
      </c>
      <c r="D989" s="337">
        <f>(C989-(SIN(RADIANS(M982))*N975)-(COS(RADIANS(M982))*O975))*PI()/MEDIAN(U975:V979,P975:Q979)</f>
        <v>-4.7123889803846897</v>
      </c>
      <c r="E989" s="337" t="e">
        <f>(C989*PI()-N989*(G989+C978))/PI()</f>
        <v>#N/A</v>
      </c>
      <c r="F989" s="337" t="e">
        <f>E989-2*O975*COS(RADIANS(M982))</f>
        <v>#N/A</v>
      </c>
      <c r="G989" s="339" t="e">
        <f>ROUND(VLOOKUP(M989,R975:V979,4,FALSE),)</f>
        <v>#N/A</v>
      </c>
      <c r="H989" s="339" t="e">
        <f>ROUND(VLOOKUP(O989,M975:Q979,4,FALSE),)</f>
        <v>#N/A</v>
      </c>
      <c r="I989" s="339" t="e">
        <f>ROUND(VLOOKUP(O989,M975:Q979,5,FALSE),)</f>
        <v>#N/A</v>
      </c>
      <c r="J989" s="339" t="e">
        <f>ROUND(VLOOKUP(Q989,M975:Q979,4,FALSE),)</f>
        <v>#N/A</v>
      </c>
      <c r="K989" s="339" t="e">
        <f>ROUND(VLOOKUP(Q989,M975:Q979,5,FALSE),)</f>
        <v>#N/A</v>
      </c>
      <c r="L989" s="636">
        <f t="shared" si="147"/>
        <v>-1.5707963267948966</v>
      </c>
      <c r="M989" s="639">
        <f t="shared" si="151"/>
        <v>0</v>
      </c>
      <c r="N989" s="637" t="e">
        <f>ROUND(HLOOKUP(M989,N981:R982,2,FALSE),)</f>
        <v>#N/A</v>
      </c>
      <c r="O989" s="639">
        <f t="shared" si="152"/>
        <v>0</v>
      </c>
      <c r="P989" s="638" t="e">
        <f>PI()*(F989*(J989+C978)-E989*(K989+C978))/(((J989+C978)*(I989+C978))-((H989+C978)*(K989+C978)))</f>
        <v>#N/A</v>
      </c>
      <c r="Q989" s="639">
        <f t="shared" si="153"/>
        <v>0</v>
      </c>
      <c r="R989" s="638" t="e">
        <f>(E989*PI()-P989*(H989+C978))/(J989+C978)</f>
        <v>#N/A</v>
      </c>
      <c r="S989" s="641">
        <f t="shared" ref="S989:S1036" si="154">S988</f>
        <v>360</v>
      </c>
      <c r="T989" s="247" t="e">
        <f t="shared" si="148"/>
        <v>#N/A</v>
      </c>
      <c r="U989" s="206" t="e">
        <f t="shared" si="149"/>
        <v>#N/A</v>
      </c>
      <c r="V989" s="206" t="e">
        <f t="shared" si="150"/>
        <v>#N/A</v>
      </c>
      <c r="W989" s="196"/>
      <c r="X989" s="152"/>
      <c r="Z989" s="198"/>
      <c r="AA989" s="198"/>
    </row>
    <row r="990" spans="1:27" s="197" customFormat="1" ht="15" customHeight="1">
      <c r="A990" s="226"/>
      <c r="B990" s="179" t="s">
        <v>1027</v>
      </c>
      <c r="C990" s="312">
        <f>C989+2*SIN(RADIANS(M982))*(N975+C978)</f>
        <v>0</v>
      </c>
      <c r="D990" s="337">
        <f>(C990-(SIN(RADIANS(M982))*N975)-(COS(RADIANS(M982))*O975))*PI()/MEDIAN(U975:V979,P975:Q979)</f>
        <v>-4.7123889803846897</v>
      </c>
      <c r="E990" s="337" t="e">
        <f>(C990*PI()-N990*(G990+C978))/PI()</f>
        <v>#N/A</v>
      </c>
      <c r="F990" s="337" t="e">
        <f>E990-2*O975*COS(RADIANS(M982))</f>
        <v>#N/A</v>
      </c>
      <c r="G990" s="339" t="e">
        <f>ROUND(VLOOKUP(M990,R975:V979,4,FALSE),)</f>
        <v>#N/A</v>
      </c>
      <c r="H990" s="339" t="e">
        <f>ROUND(VLOOKUP(O990,M975:Q979,4,FALSE),)</f>
        <v>#N/A</v>
      </c>
      <c r="I990" s="339" t="e">
        <f>ROUND(VLOOKUP(O990,M975:Q979,5,FALSE),)</f>
        <v>#N/A</v>
      </c>
      <c r="J990" s="339" t="e">
        <f>ROUND(VLOOKUP(Q990,M975:Q979,4,FALSE),)</f>
        <v>#N/A</v>
      </c>
      <c r="K990" s="339" t="e">
        <f>ROUND(VLOOKUP(Q990,M975:Q979,5,FALSE),)</f>
        <v>#N/A</v>
      </c>
      <c r="L990" s="636">
        <f t="shared" si="147"/>
        <v>-1.5707963267948966</v>
      </c>
      <c r="M990" s="639">
        <f t="shared" si="151"/>
        <v>0</v>
      </c>
      <c r="N990" s="637" t="e">
        <f>ROUND(HLOOKUP(M990,N981:R982,2,FALSE),)</f>
        <v>#N/A</v>
      </c>
      <c r="O990" s="639">
        <f t="shared" si="152"/>
        <v>0</v>
      </c>
      <c r="P990" s="638" t="e">
        <f>PI()*(F990*(J990+C978)-E990*(K990+C978))/(((J990+C978)*(I990+C978))-((H990+C978)*(K990+C978)))</f>
        <v>#N/A</v>
      </c>
      <c r="Q990" s="639">
        <f t="shared" si="153"/>
        <v>0</v>
      </c>
      <c r="R990" s="638" t="e">
        <f>(E990*PI()-P990*(H990+C978))/(J990+C978)</f>
        <v>#N/A</v>
      </c>
      <c r="S990" s="641">
        <f t="shared" si="154"/>
        <v>360</v>
      </c>
      <c r="T990" s="247" t="e">
        <f t="shared" si="148"/>
        <v>#N/A</v>
      </c>
      <c r="U990" s="206" t="e">
        <f t="shared" si="149"/>
        <v>#N/A</v>
      </c>
      <c r="V990" s="206" t="e">
        <f t="shared" si="150"/>
        <v>#N/A</v>
      </c>
      <c r="W990" s="196"/>
      <c r="X990" s="152"/>
      <c r="Z990" s="198"/>
      <c r="AA990" s="198"/>
    </row>
    <row r="991" spans="1:27" s="197" customFormat="1" ht="15" customHeight="1">
      <c r="A991" s="226"/>
      <c r="B991" s="179" t="s">
        <v>1028</v>
      </c>
      <c r="C991" s="312">
        <f>C990+2*SIN(RADIANS(M982))*(N975+C978)</f>
        <v>0</v>
      </c>
      <c r="D991" s="337">
        <f>(C991-(SIN(RADIANS(M982))*N975)-(COS(RADIANS(M982))*O975))*PI()/MEDIAN(U975:V979,P975:Q979)</f>
        <v>-4.7123889803846897</v>
      </c>
      <c r="E991" s="337" t="e">
        <f>(C991*PI()-N991*(G991+C978))/PI()</f>
        <v>#N/A</v>
      </c>
      <c r="F991" s="337" t="e">
        <f>E991-2*O975*COS(RADIANS(M982))</f>
        <v>#N/A</v>
      </c>
      <c r="G991" s="339" t="e">
        <f>ROUND(VLOOKUP(M991,R975:V979,4,FALSE),)</f>
        <v>#N/A</v>
      </c>
      <c r="H991" s="339" t="e">
        <f>ROUND(VLOOKUP(O991,M975:Q979,4,FALSE),)</f>
        <v>#N/A</v>
      </c>
      <c r="I991" s="339" t="e">
        <f>ROUND(VLOOKUP(O991,M975:Q979,5,FALSE),)</f>
        <v>#N/A</v>
      </c>
      <c r="J991" s="339" t="e">
        <f>ROUND(VLOOKUP(Q991,M975:Q979,4,FALSE),)</f>
        <v>#N/A</v>
      </c>
      <c r="K991" s="339" t="e">
        <f>ROUND(VLOOKUP(Q991,M975:Q979,5,FALSE),)</f>
        <v>#N/A</v>
      </c>
      <c r="L991" s="636">
        <f t="shared" si="147"/>
        <v>-1.5707963267948966</v>
      </c>
      <c r="M991" s="639">
        <f t="shared" si="151"/>
        <v>0</v>
      </c>
      <c r="N991" s="637" t="e">
        <f>ROUND(HLOOKUP(M991,N981:R982,2,FALSE),)</f>
        <v>#N/A</v>
      </c>
      <c r="O991" s="639">
        <f t="shared" si="152"/>
        <v>0</v>
      </c>
      <c r="P991" s="638" t="e">
        <f>PI()*(F991*(J991+C978)-E991*(K991+C978))/(((J991+C978)*(I991+C978))-((H991+C978)*(K991+C978)))</f>
        <v>#N/A</v>
      </c>
      <c r="Q991" s="639">
        <f t="shared" si="153"/>
        <v>0</v>
      </c>
      <c r="R991" s="638" t="e">
        <f>(E991*PI()-P991*(H991+C978))/(J991+C978)</f>
        <v>#N/A</v>
      </c>
      <c r="S991" s="641">
        <f t="shared" si="154"/>
        <v>360</v>
      </c>
      <c r="T991" s="247" t="e">
        <f t="shared" si="148"/>
        <v>#N/A</v>
      </c>
      <c r="U991" s="206" t="e">
        <f t="shared" si="149"/>
        <v>#N/A</v>
      </c>
      <c r="V991" s="206" t="e">
        <f t="shared" si="150"/>
        <v>#N/A</v>
      </c>
      <c r="W991" s="196"/>
      <c r="X991" s="152"/>
      <c r="Z991" s="198"/>
      <c r="AA991" s="198"/>
    </row>
    <row r="992" spans="1:27" s="197" customFormat="1" ht="15" customHeight="1">
      <c r="A992" s="226"/>
      <c r="B992" s="179" t="s">
        <v>1029</v>
      </c>
      <c r="C992" s="312">
        <f>C991+2*SIN(RADIANS(M982))*(N975+C978)</f>
        <v>0</v>
      </c>
      <c r="D992" s="337">
        <f>(C992-(SIN(RADIANS(M982))*N975)-(COS(RADIANS(M982))*O975))*PI()/MEDIAN(U975:V979,P975:Q979)</f>
        <v>-4.7123889803846897</v>
      </c>
      <c r="E992" s="337" t="e">
        <f>(C992*PI()-N992*(G992+C978))/PI()</f>
        <v>#N/A</v>
      </c>
      <c r="F992" s="337" t="e">
        <f>E992-2*O975*COS(RADIANS(M982))</f>
        <v>#N/A</v>
      </c>
      <c r="G992" s="339" t="e">
        <f>ROUND(VLOOKUP(M992,R975:V979,4,FALSE),)</f>
        <v>#N/A</v>
      </c>
      <c r="H992" s="339" t="e">
        <f>ROUND(VLOOKUP(O992,M975:Q979,4,FALSE),)</f>
        <v>#N/A</v>
      </c>
      <c r="I992" s="339" t="e">
        <f>ROUND(VLOOKUP(O992,M975:Q979,5,FALSE),)</f>
        <v>#N/A</v>
      </c>
      <c r="J992" s="339" t="e">
        <f>ROUND(VLOOKUP(Q992,M975:Q979,4,FALSE),)</f>
        <v>#N/A</v>
      </c>
      <c r="K992" s="339" t="e">
        <f>ROUND(VLOOKUP(Q992,M975:Q979,5,FALSE),)</f>
        <v>#N/A</v>
      </c>
      <c r="L992" s="636">
        <f t="shared" si="147"/>
        <v>-1.5707963267948966</v>
      </c>
      <c r="M992" s="639">
        <f>M991</f>
        <v>0</v>
      </c>
      <c r="N992" s="637" t="e">
        <f>ROUND(HLOOKUP(M992,N981:R982,2,FALSE),)</f>
        <v>#N/A</v>
      </c>
      <c r="O992" s="639">
        <f>O991</f>
        <v>0</v>
      </c>
      <c r="P992" s="638" t="e">
        <f>PI()*(F992*(J992+C978)-E992*(K992+C978))/(((J992+C978)*(I992+C978))-((H992+C978)*(K992+C978)))</f>
        <v>#N/A</v>
      </c>
      <c r="Q992" s="639">
        <f>Q991</f>
        <v>0</v>
      </c>
      <c r="R992" s="638" t="e">
        <f>(E992*PI()-P992*(H992+C978))/(J992+C978)</f>
        <v>#N/A</v>
      </c>
      <c r="S992" s="641">
        <f t="shared" si="154"/>
        <v>360</v>
      </c>
      <c r="T992" s="247" t="e">
        <f t="shared" si="148"/>
        <v>#N/A</v>
      </c>
      <c r="U992" s="206" t="e">
        <f t="shared" si="149"/>
        <v>#N/A</v>
      </c>
      <c r="V992" s="206" t="e">
        <f t="shared" si="150"/>
        <v>#N/A</v>
      </c>
      <c r="W992" s="196"/>
      <c r="X992" s="152"/>
      <c r="Z992" s="198"/>
      <c r="AA992" s="198"/>
    </row>
    <row r="993" spans="1:27" s="197" customFormat="1" ht="15" customHeight="1">
      <c r="A993" s="226"/>
      <c r="B993" s="179" t="s">
        <v>1030</v>
      </c>
      <c r="C993" s="312">
        <f>C992+2*SIN(RADIANS(M982))*(N975+C978)</f>
        <v>0</v>
      </c>
      <c r="D993" s="337">
        <f>(C993-(SIN(RADIANS(M982))*N975)-(COS(RADIANS(M982))*O975))*PI()/MEDIAN(U975:V979,P975:Q979)</f>
        <v>-4.7123889803846897</v>
      </c>
      <c r="E993" s="337" t="e">
        <f>(C993*PI()-N993*(G993+C978))/PI()</f>
        <v>#N/A</v>
      </c>
      <c r="F993" s="337" t="e">
        <f>E993-2*O975*COS(RADIANS(M982))</f>
        <v>#N/A</v>
      </c>
      <c r="G993" s="339" t="e">
        <f>ROUND(VLOOKUP(M993,R975:V979,4,FALSE),)</f>
        <v>#N/A</v>
      </c>
      <c r="H993" s="339" t="e">
        <f>ROUND(VLOOKUP(O993,M975:Q979,4,FALSE),)</f>
        <v>#N/A</v>
      </c>
      <c r="I993" s="339" t="e">
        <f>ROUND(VLOOKUP(O993,M975:Q979,5,FALSE),)</f>
        <v>#N/A</v>
      </c>
      <c r="J993" s="339" t="e">
        <f>ROUND(VLOOKUP(Q993,M975:Q979,4,FALSE),)</f>
        <v>#N/A</v>
      </c>
      <c r="K993" s="339" t="e">
        <f>ROUND(VLOOKUP(Q993,M975:Q979,5,FALSE),)</f>
        <v>#N/A</v>
      </c>
      <c r="L993" s="636">
        <f t="shared" si="147"/>
        <v>-1.5707963267948966</v>
      </c>
      <c r="M993" s="639">
        <f t="shared" si="151"/>
        <v>0</v>
      </c>
      <c r="N993" s="637" t="e">
        <f>ROUND(HLOOKUP(M993,N981:R982,2,FALSE),)</f>
        <v>#N/A</v>
      </c>
      <c r="O993" s="639">
        <f t="shared" si="152"/>
        <v>0</v>
      </c>
      <c r="P993" s="638" t="e">
        <f>PI()*(F993*(J993+C978)-E993*(K993+C978))/(((J993+C978)*(I993+C978))-((H993+C978)*(K993+C978)))</f>
        <v>#N/A</v>
      </c>
      <c r="Q993" s="639">
        <f t="shared" si="153"/>
        <v>0</v>
      </c>
      <c r="R993" s="638" t="e">
        <f>(E993*PI()-P993*(H993+C978))/(J993+C978)</f>
        <v>#N/A</v>
      </c>
      <c r="S993" s="641">
        <f t="shared" si="154"/>
        <v>360</v>
      </c>
      <c r="T993" s="247" t="e">
        <f t="shared" si="148"/>
        <v>#N/A</v>
      </c>
      <c r="U993" s="206" t="e">
        <f t="shared" si="149"/>
        <v>#N/A</v>
      </c>
      <c r="V993" s="206" t="e">
        <f t="shared" si="150"/>
        <v>#N/A</v>
      </c>
      <c r="W993" s="196"/>
      <c r="X993" s="152"/>
      <c r="Z993" s="198"/>
      <c r="AA993" s="198"/>
    </row>
    <row r="994" spans="1:27" s="197" customFormat="1" ht="15" customHeight="1">
      <c r="A994" s="226"/>
      <c r="B994" s="179" t="s">
        <v>1031</v>
      </c>
      <c r="C994" s="312">
        <f>C993+2*SIN(RADIANS(M982))*(N975+C978)</f>
        <v>0</v>
      </c>
      <c r="D994" s="337">
        <f>(C994-(SIN(RADIANS(M982))*N975)-(COS(RADIANS(M982))*O975))*PI()/MEDIAN(U975:V979,P975:Q979)</f>
        <v>-4.7123889803846897</v>
      </c>
      <c r="E994" s="337" t="e">
        <f>(C994*PI()-N994*(G994+C978))/PI()</f>
        <v>#N/A</v>
      </c>
      <c r="F994" s="337" t="e">
        <f>E994-2*O975*COS(RADIANS(M982))</f>
        <v>#N/A</v>
      </c>
      <c r="G994" s="339" t="e">
        <f>ROUND(VLOOKUP(M994,R975:V979,4,FALSE),)</f>
        <v>#N/A</v>
      </c>
      <c r="H994" s="339" t="e">
        <f>ROUND(VLOOKUP(O994,M975:Q979,4,FALSE),)</f>
        <v>#N/A</v>
      </c>
      <c r="I994" s="339" t="e">
        <f>ROUND(VLOOKUP(O994,M975:Q979,5,FALSE),)</f>
        <v>#N/A</v>
      </c>
      <c r="J994" s="339" t="e">
        <f>ROUND(VLOOKUP(Q994,M975:Q979,4,FALSE),)</f>
        <v>#N/A</v>
      </c>
      <c r="K994" s="339" t="e">
        <f>ROUND(VLOOKUP(Q994,M975:Q979,5,FALSE),)</f>
        <v>#N/A</v>
      </c>
      <c r="L994" s="636">
        <f t="shared" si="147"/>
        <v>-1.5707963267948966</v>
      </c>
      <c r="M994" s="639">
        <f t="shared" si="151"/>
        <v>0</v>
      </c>
      <c r="N994" s="637" t="e">
        <f>ROUND(HLOOKUP(M994,N981:R982,2,FALSE),)</f>
        <v>#N/A</v>
      </c>
      <c r="O994" s="639">
        <f t="shared" si="152"/>
        <v>0</v>
      </c>
      <c r="P994" s="638" t="e">
        <f>PI()*(F994*(J994+C978)-E994*(K994+C978))/(((J994+C978)*(I994+C978))-((H994+C978)*(K994+C978)))</f>
        <v>#N/A</v>
      </c>
      <c r="Q994" s="639">
        <f t="shared" si="153"/>
        <v>0</v>
      </c>
      <c r="R994" s="638" t="e">
        <f>(E994*PI()-P994*(H994+C978))/(J994+C978)</f>
        <v>#N/A</v>
      </c>
      <c r="S994" s="641">
        <f t="shared" si="154"/>
        <v>360</v>
      </c>
      <c r="T994" s="247" t="e">
        <f t="shared" si="148"/>
        <v>#N/A</v>
      </c>
      <c r="U994" s="206" t="e">
        <f t="shared" si="149"/>
        <v>#N/A</v>
      </c>
      <c r="V994" s="206" t="e">
        <f t="shared" si="150"/>
        <v>#N/A</v>
      </c>
      <c r="W994" s="196"/>
      <c r="X994" s="152"/>
      <c r="Z994" s="198"/>
      <c r="AA994" s="198"/>
    </row>
    <row r="995" spans="1:27" s="197" customFormat="1" ht="15" customHeight="1">
      <c r="A995" s="226"/>
      <c r="B995" s="179" t="s">
        <v>1032</v>
      </c>
      <c r="C995" s="312">
        <f>C994+2*SIN(RADIANS(M982))*(N975+C978)</f>
        <v>0</v>
      </c>
      <c r="D995" s="337">
        <f>(C995-(SIN(RADIANS(M982))*N975)-(COS(RADIANS(M982))*O975))*PI()/MEDIAN(U975:V979,P975:Q979)</f>
        <v>-4.7123889803846897</v>
      </c>
      <c r="E995" s="337" t="e">
        <f>(C995*PI()-N995*(G995+C978))/PI()</f>
        <v>#N/A</v>
      </c>
      <c r="F995" s="337" t="e">
        <f>E995-2*O975*COS(RADIANS(M982))</f>
        <v>#N/A</v>
      </c>
      <c r="G995" s="339" t="e">
        <f>ROUND(VLOOKUP(M995,R975:V979,4,FALSE),)</f>
        <v>#N/A</v>
      </c>
      <c r="H995" s="339" t="e">
        <f>ROUND(VLOOKUP(O995,M975:Q979,4,FALSE),)</f>
        <v>#N/A</v>
      </c>
      <c r="I995" s="339" t="e">
        <f>ROUND(VLOOKUP(O995,M975:Q979,5,FALSE),)</f>
        <v>#N/A</v>
      </c>
      <c r="J995" s="339" t="e">
        <f>ROUND(VLOOKUP(Q995,M975:Q979,4,FALSE),)</f>
        <v>#N/A</v>
      </c>
      <c r="K995" s="339" t="e">
        <f>ROUND(VLOOKUP(Q995,M975:Q979,5,FALSE),)</f>
        <v>#N/A</v>
      </c>
      <c r="L995" s="636">
        <f t="shared" si="147"/>
        <v>-1.5707963267948966</v>
      </c>
      <c r="M995" s="639">
        <f t="shared" si="151"/>
        <v>0</v>
      </c>
      <c r="N995" s="637" t="e">
        <f>ROUND(HLOOKUP(M995,N981:R982,2,FALSE),)</f>
        <v>#N/A</v>
      </c>
      <c r="O995" s="639">
        <f t="shared" si="152"/>
        <v>0</v>
      </c>
      <c r="P995" s="638" t="e">
        <f>PI()*(F995*(J995+C978)-E995*(K995+C978))/(((J995+C978)*(I995+C978))-((H995+C978)*(K995+C978)))</f>
        <v>#N/A</v>
      </c>
      <c r="Q995" s="639">
        <f t="shared" si="153"/>
        <v>0</v>
      </c>
      <c r="R995" s="638" t="e">
        <f>(E995*PI()-P995*(H995+C978))/(J995+C978)</f>
        <v>#N/A</v>
      </c>
      <c r="S995" s="641">
        <f t="shared" si="154"/>
        <v>360</v>
      </c>
      <c r="T995" s="247" t="e">
        <f t="shared" si="148"/>
        <v>#N/A</v>
      </c>
      <c r="U995" s="206" t="e">
        <f t="shared" si="149"/>
        <v>#N/A</v>
      </c>
      <c r="V995" s="206" t="e">
        <f t="shared" si="150"/>
        <v>#N/A</v>
      </c>
      <c r="W995" s="196"/>
      <c r="X995" s="152"/>
      <c r="Z995" s="198"/>
      <c r="AA995" s="198"/>
    </row>
    <row r="996" spans="1:27" s="197" customFormat="1" ht="15" customHeight="1">
      <c r="A996" s="226"/>
      <c r="B996" s="179" t="s">
        <v>1033</v>
      </c>
      <c r="C996" s="312">
        <f>C995+2*SIN(RADIANS(M982))*(N975+C978)</f>
        <v>0</v>
      </c>
      <c r="D996" s="337">
        <f>(C996-(SIN(RADIANS(M982))*N975)-(COS(RADIANS(M982))*O975))*PI()/MEDIAN(U975:V979,P975:Q979)</f>
        <v>-4.7123889803846897</v>
      </c>
      <c r="E996" s="337" t="e">
        <f>(C996*PI()-N996*(G996+C978))/PI()</f>
        <v>#N/A</v>
      </c>
      <c r="F996" s="337" t="e">
        <f>E996-2*O975*COS(RADIANS(M982))</f>
        <v>#N/A</v>
      </c>
      <c r="G996" s="339" t="e">
        <f>ROUND(VLOOKUP(M996,R975:V979,4,FALSE),)</f>
        <v>#N/A</v>
      </c>
      <c r="H996" s="339" t="e">
        <f>ROUND(VLOOKUP(O996,M975:Q979,4,FALSE),)</f>
        <v>#N/A</v>
      </c>
      <c r="I996" s="339" t="e">
        <f>ROUND(VLOOKUP(O996,M975:Q979,5,FALSE),)</f>
        <v>#N/A</v>
      </c>
      <c r="J996" s="339" t="e">
        <f>ROUND(VLOOKUP(Q996,M975:Q979,4,FALSE),)</f>
        <v>#N/A</v>
      </c>
      <c r="K996" s="339" t="e">
        <f>ROUND(VLOOKUP(Q996,M975:Q979,5,FALSE),)</f>
        <v>#N/A</v>
      </c>
      <c r="L996" s="636">
        <f t="shared" si="147"/>
        <v>-1.5707963267948966</v>
      </c>
      <c r="M996" s="639">
        <f t="shared" si="151"/>
        <v>0</v>
      </c>
      <c r="N996" s="637" t="e">
        <f>ROUND(HLOOKUP(M996,N981:R982,2,FALSE),)</f>
        <v>#N/A</v>
      </c>
      <c r="O996" s="639">
        <f t="shared" si="152"/>
        <v>0</v>
      </c>
      <c r="P996" s="638" t="e">
        <f>PI()*(F996*(J996+C978)-E996*(K996+C978))/(((J996+C978)*(I996+C978))-((H996+C978)*(K996+C978)))</f>
        <v>#N/A</v>
      </c>
      <c r="Q996" s="639">
        <f t="shared" si="153"/>
        <v>0</v>
      </c>
      <c r="R996" s="638" t="e">
        <f>(E996*PI()-P996*(H996+C978))/(J996+C978)</f>
        <v>#N/A</v>
      </c>
      <c r="S996" s="641">
        <f t="shared" si="154"/>
        <v>360</v>
      </c>
      <c r="T996" s="247" t="e">
        <f t="shared" si="148"/>
        <v>#N/A</v>
      </c>
      <c r="U996" s="206" t="e">
        <f t="shared" si="149"/>
        <v>#N/A</v>
      </c>
      <c r="V996" s="206" t="e">
        <f t="shared" si="150"/>
        <v>#N/A</v>
      </c>
      <c r="W996" s="196"/>
      <c r="X996" s="152"/>
      <c r="Z996" s="198"/>
      <c r="AA996" s="198"/>
    </row>
    <row r="997" spans="1:27" s="197" customFormat="1" ht="15" customHeight="1">
      <c r="A997" s="226"/>
      <c r="B997" s="179" t="s">
        <v>1034</v>
      </c>
      <c r="C997" s="312">
        <f>C996+2*SIN(RADIANS(M982))*(N975+C978)</f>
        <v>0</v>
      </c>
      <c r="D997" s="337">
        <f>(C997-(SIN(RADIANS(M982))*N975)-(COS(RADIANS(M982))*O975))*PI()/MEDIAN(U975:V979,P975:Q979)</f>
        <v>-4.7123889803846897</v>
      </c>
      <c r="E997" s="337" t="e">
        <f>(C997*PI()-N997*(G997+C978))/PI()</f>
        <v>#N/A</v>
      </c>
      <c r="F997" s="337" t="e">
        <f>E997-2*O975*COS(RADIANS(M982))</f>
        <v>#N/A</v>
      </c>
      <c r="G997" s="339" t="e">
        <f>ROUND(VLOOKUP(M997,R975:V979,4,FALSE),)</f>
        <v>#N/A</v>
      </c>
      <c r="H997" s="339" t="e">
        <f>ROUND(VLOOKUP(O997,M975:Q979,4,FALSE),)</f>
        <v>#N/A</v>
      </c>
      <c r="I997" s="339" t="e">
        <f>ROUND(VLOOKUP(O997,M975:Q979,5,FALSE),)</f>
        <v>#N/A</v>
      </c>
      <c r="J997" s="339" t="e">
        <f>ROUND(VLOOKUP(Q997,M975:Q979,4,FALSE),)</f>
        <v>#N/A</v>
      </c>
      <c r="K997" s="339" t="e">
        <f>ROUND(VLOOKUP(Q997,M975:Q979,5,FALSE),)</f>
        <v>#N/A</v>
      </c>
      <c r="L997" s="636">
        <f t="shared" si="147"/>
        <v>-1.5707963267948966</v>
      </c>
      <c r="M997" s="639">
        <f t="shared" si="151"/>
        <v>0</v>
      </c>
      <c r="N997" s="637" t="e">
        <f>ROUND(HLOOKUP(M997,N981:R982,2,FALSE),)</f>
        <v>#N/A</v>
      </c>
      <c r="O997" s="639">
        <f t="shared" si="152"/>
        <v>0</v>
      </c>
      <c r="P997" s="638" t="e">
        <f>PI()*(F997*(J997+C978)-E997*(K997+C978))/(((J997+C978)*(I997+C978))-((H997+C978)*(K997+C978)))</f>
        <v>#N/A</v>
      </c>
      <c r="Q997" s="639">
        <f t="shared" si="153"/>
        <v>0</v>
      </c>
      <c r="R997" s="638" t="e">
        <f>(E997*PI()-P997*(H997+C978))/(J997+C978)</f>
        <v>#N/A</v>
      </c>
      <c r="S997" s="641">
        <f t="shared" si="154"/>
        <v>360</v>
      </c>
      <c r="T997" s="247" t="e">
        <f t="shared" si="148"/>
        <v>#N/A</v>
      </c>
      <c r="U997" s="206" t="e">
        <f t="shared" si="149"/>
        <v>#N/A</v>
      </c>
      <c r="V997" s="206" t="e">
        <f t="shared" si="150"/>
        <v>#N/A</v>
      </c>
      <c r="W997" s="196"/>
      <c r="X997" s="152"/>
      <c r="Z997" s="198"/>
      <c r="AA997" s="198"/>
    </row>
    <row r="998" spans="1:27" s="197" customFormat="1" ht="15" customHeight="1">
      <c r="A998" s="226"/>
      <c r="B998" s="179" t="s">
        <v>1035</v>
      </c>
      <c r="C998" s="312">
        <f>C997+2*SIN(RADIANS(M982))*(N975+C978)</f>
        <v>0</v>
      </c>
      <c r="D998" s="337">
        <f>(C998-(SIN(RADIANS(M982))*N975)-(COS(RADIANS(M982))*O975))*PI()/MEDIAN(U975:V979,P975:Q979)</f>
        <v>-4.7123889803846897</v>
      </c>
      <c r="E998" s="337" t="e">
        <f>(C998*PI()-N998*(G998+C978))/PI()</f>
        <v>#N/A</v>
      </c>
      <c r="F998" s="337" t="e">
        <f>E998-2*O975*COS(RADIANS(M982))</f>
        <v>#N/A</v>
      </c>
      <c r="G998" s="339" t="e">
        <f>ROUND(VLOOKUP(M998,R975:V979,4,FALSE),)</f>
        <v>#N/A</v>
      </c>
      <c r="H998" s="339" t="e">
        <f>ROUND(VLOOKUP(O998,M975:Q979,4,FALSE),)</f>
        <v>#N/A</v>
      </c>
      <c r="I998" s="339" t="e">
        <f>ROUND(VLOOKUP(O998,M975:Q979,5,FALSE),)</f>
        <v>#N/A</v>
      </c>
      <c r="J998" s="339" t="e">
        <f>ROUND(VLOOKUP(Q998,M975:Q979,4,FALSE),)</f>
        <v>#N/A</v>
      </c>
      <c r="K998" s="339" t="e">
        <f>ROUND(VLOOKUP(Q998,M975:Q979,5,FALSE),)</f>
        <v>#N/A</v>
      </c>
      <c r="L998" s="636">
        <f t="shared" si="147"/>
        <v>-1.5707963267948966</v>
      </c>
      <c r="M998" s="639">
        <f t="shared" si="151"/>
        <v>0</v>
      </c>
      <c r="N998" s="637" t="e">
        <f>ROUND(HLOOKUP(M998,N981:R982,2,FALSE),)</f>
        <v>#N/A</v>
      </c>
      <c r="O998" s="639">
        <f t="shared" si="152"/>
        <v>0</v>
      </c>
      <c r="P998" s="638" t="e">
        <f>PI()*(F998*(J998+C978)-E998*(K998+C978))/(((J998+C978)*(I998+C978))-((H998+C978)*(K998+C978)))</f>
        <v>#N/A</v>
      </c>
      <c r="Q998" s="639">
        <f t="shared" si="153"/>
        <v>0</v>
      </c>
      <c r="R998" s="638" t="e">
        <f>(E998*PI()-P998*(H998+C978))/(J998+C978)</f>
        <v>#N/A</v>
      </c>
      <c r="S998" s="641">
        <f t="shared" si="154"/>
        <v>360</v>
      </c>
      <c r="T998" s="247" t="e">
        <f t="shared" si="148"/>
        <v>#N/A</v>
      </c>
      <c r="U998" s="206" t="e">
        <f t="shared" si="149"/>
        <v>#N/A</v>
      </c>
      <c r="V998" s="206" t="e">
        <f t="shared" si="150"/>
        <v>#N/A</v>
      </c>
      <c r="W998" s="196"/>
      <c r="X998" s="152"/>
      <c r="Z998" s="198"/>
      <c r="AA998" s="198"/>
    </row>
    <row r="999" spans="1:27" s="197" customFormat="1" ht="15" customHeight="1">
      <c r="A999" s="226"/>
      <c r="B999" s="179" t="s">
        <v>1036</v>
      </c>
      <c r="C999" s="312">
        <f>C998+2*SIN(RADIANS(M982))*(N975+C978)</f>
        <v>0</v>
      </c>
      <c r="D999" s="337">
        <f>(C999-(SIN(RADIANS(M982))*N975)-(COS(RADIANS(M982))*O975))*PI()/MEDIAN(U975:V979,P975:Q979)</f>
        <v>-4.7123889803846897</v>
      </c>
      <c r="E999" s="337" t="e">
        <f>(C999*PI()-N999*(G999+C978))/PI()</f>
        <v>#N/A</v>
      </c>
      <c r="F999" s="337" t="e">
        <f>E999-2*O975*COS(RADIANS(M982))</f>
        <v>#N/A</v>
      </c>
      <c r="G999" s="339" t="e">
        <f>ROUND(VLOOKUP(M999,R975:V979,4,FALSE),)</f>
        <v>#N/A</v>
      </c>
      <c r="H999" s="339" t="e">
        <f>ROUND(VLOOKUP(O999,M975:Q979,4,FALSE),)</f>
        <v>#N/A</v>
      </c>
      <c r="I999" s="339" t="e">
        <f>ROUND(VLOOKUP(O999,M975:Q979,5,FALSE),)</f>
        <v>#N/A</v>
      </c>
      <c r="J999" s="339" t="e">
        <f>ROUND(VLOOKUP(Q999,M975:Q979,4,FALSE),)</f>
        <v>#N/A</v>
      </c>
      <c r="K999" s="339" t="e">
        <f>ROUND(VLOOKUP(Q999,M975:Q979,5,FALSE),)</f>
        <v>#N/A</v>
      </c>
      <c r="L999" s="636">
        <f t="shared" si="147"/>
        <v>-1.5707963267948966</v>
      </c>
      <c r="M999" s="639">
        <f t="shared" si="151"/>
        <v>0</v>
      </c>
      <c r="N999" s="637" t="e">
        <f>ROUND(HLOOKUP(M999,N981:R982,2,FALSE),)</f>
        <v>#N/A</v>
      </c>
      <c r="O999" s="639">
        <f t="shared" si="152"/>
        <v>0</v>
      </c>
      <c r="P999" s="638" t="e">
        <f>PI()*(F999*(J999+C978)-E999*(K999+C978))/(((J999+C978)*(I999+C978))-((H999+C978)*(K999+C978)))</f>
        <v>#N/A</v>
      </c>
      <c r="Q999" s="639">
        <f t="shared" si="153"/>
        <v>0</v>
      </c>
      <c r="R999" s="638" t="e">
        <f>(E999*PI()-P999*(H999+C978))/(J999+C978)</f>
        <v>#N/A</v>
      </c>
      <c r="S999" s="641">
        <f t="shared" si="154"/>
        <v>360</v>
      </c>
      <c r="T999" s="247" t="e">
        <f t="shared" si="148"/>
        <v>#N/A</v>
      </c>
      <c r="U999" s="206" t="e">
        <f t="shared" si="149"/>
        <v>#N/A</v>
      </c>
      <c r="V999" s="206" t="e">
        <f t="shared" si="150"/>
        <v>#N/A</v>
      </c>
      <c r="W999" s="196"/>
      <c r="X999" s="152"/>
      <c r="Z999" s="198"/>
      <c r="AA999" s="198"/>
    </row>
    <row r="1000" spans="1:27" s="197" customFormat="1" ht="15" customHeight="1">
      <c r="A1000" s="226"/>
      <c r="B1000" s="179" t="s">
        <v>1037</v>
      </c>
      <c r="C1000" s="312">
        <f>C999+2*SIN(RADIANS(M982))*(N975+C978)</f>
        <v>0</v>
      </c>
      <c r="D1000" s="337">
        <f>(C1000-(SIN(RADIANS(M982))*N975)-(COS(RADIANS(M982))*O975))*PI()/MEDIAN(U975:V979,P975:Q979)</f>
        <v>-4.7123889803846897</v>
      </c>
      <c r="E1000" s="337" t="e">
        <f>(C1000*PI()-N1000*(G1000+C978))/PI()</f>
        <v>#N/A</v>
      </c>
      <c r="F1000" s="337" t="e">
        <f>E1000-2*O975*COS(RADIANS(M982))</f>
        <v>#N/A</v>
      </c>
      <c r="G1000" s="339" t="e">
        <f>ROUND(VLOOKUP(M1000,R975:V979,4,FALSE),)</f>
        <v>#N/A</v>
      </c>
      <c r="H1000" s="339" t="e">
        <f>ROUND(VLOOKUP(O1000,M975:Q979,4,FALSE),)</f>
        <v>#N/A</v>
      </c>
      <c r="I1000" s="339" t="e">
        <f>ROUND(VLOOKUP(O1000,M975:Q979,5,FALSE),)</f>
        <v>#N/A</v>
      </c>
      <c r="J1000" s="339" t="e">
        <f>ROUND(VLOOKUP(Q1000,M975:Q979,4,FALSE),)</f>
        <v>#N/A</v>
      </c>
      <c r="K1000" s="339" t="e">
        <f>ROUND(VLOOKUP(Q1000,M975:Q979,5,FALSE),)</f>
        <v>#N/A</v>
      </c>
      <c r="L1000" s="636">
        <f t="shared" si="147"/>
        <v>-1.5707963267948966</v>
      </c>
      <c r="M1000" s="639">
        <f t="shared" si="151"/>
        <v>0</v>
      </c>
      <c r="N1000" s="637" t="e">
        <f>ROUND(HLOOKUP(M1000,N981:R982,2,FALSE),)</f>
        <v>#N/A</v>
      </c>
      <c r="O1000" s="639">
        <f t="shared" si="152"/>
        <v>0</v>
      </c>
      <c r="P1000" s="638" t="e">
        <f>PI()*(F1000*(J1000+C978)-E1000*(K1000+C978))/(((J1000+C978)*(I1000+C978))-((H1000+C978)*(K1000+C978)))</f>
        <v>#N/A</v>
      </c>
      <c r="Q1000" s="639">
        <f t="shared" si="153"/>
        <v>0</v>
      </c>
      <c r="R1000" s="638" t="e">
        <f>(E1000*PI()-P1000*(H1000+C978))/(J1000+C978)</f>
        <v>#N/A</v>
      </c>
      <c r="S1000" s="641">
        <f t="shared" si="154"/>
        <v>360</v>
      </c>
      <c r="T1000" s="247" t="e">
        <f t="shared" si="148"/>
        <v>#N/A</v>
      </c>
      <c r="U1000" s="206" t="e">
        <f t="shared" si="149"/>
        <v>#N/A</v>
      </c>
      <c r="V1000" s="206" t="e">
        <f t="shared" si="150"/>
        <v>#N/A</v>
      </c>
      <c r="W1000" s="196"/>
      <c r="X1000" s="152"/>
      <c r="Z1000" s="198"/>
      <c r="AA1000" s="198"/>
    </row>
    <row r="1001" spans="1:27" s="197" customFormat="1" ht="15" customHeight="1">
      <c r="A1001" s="226"/>
      <c r="B1001" s="179" t="s">
        <v>1038</v>
      </c>
      <c r="C1001" s="312">
        <f>C1000+2*SIN(RADIANS(M982))*(N975+C978)</f>
        <v>0</v>
      </c>
      <c r="D1001" s="337">
        <f>(C1001-(SIN(RADIANS(M982))*N975)-(COS(RADIANS(M982))*O975))*PI()/MEDIAN(U975:V979,P975:Q979)</f>
        <v>-4.7123889803846897</v>
      </c>
      <c r="E1001" s="337" t="e">
        <f>(C1001*PI()-N1001*(G1001+C978))/PI()</f>
        <v>#N/A</v>
      </c>
      <c r="F1001" s="337" t="e">
        <f>E1001-2*O975*COS(RADIANS(M982))</f>
        <v>#N/A</v>
      </c>
      <c r="G1001" s="339" t="e">
        <f>ROUND(VLOOKUP(M1001,R975:V979,4,FALSE),)</f>
        <v>#N/A</v>
      </c>
      <c r="H1001" s="339" t="e">
        <f>ROUND(VLOOKUP(O1001,M975:Q979,4,FALSE),)</f>
        <v>#N/A</v>
      </c>
      <c r="I1001" s="339" t="e">
        <f>ROUND(VLOOKUP(O1001,M975:Q979,5,FALSE),)</f>
        <v>#N/A</v>
      </c>
      <c r="J1001" s="339" t="e">
        <f>ROUND(VLOOKUP(Q1001,M975:Q979,4,FALSE),)</f>
        <v>#N/A</v>
      </c>
      <c r="K1001" s="339" t="e">
        <f>ROUND(VLOOKUP(Q1001,M975:Q979,5,FALSE),)</f>
        <v>#N/A</v>
      </c>
      <c r="L1001" s="636">
        <f t="shared" si="147"/>
        <v>-1.5707963267948966</v>
      </c>
      <c r="M1001" s="639">
        <f t="shared" si="151"/>
        <v>0</v>
      </c>
      <c r="N1001" s="637" t="e">
        <f>ROUND(HLOOKUP(M1001,N981:R982,2,FALSE),)</f>
        <v>#N/A</v>
      </c>
      <c r="O1001" s="639">
        <f t="shared" si="152"/>
        <v>0</v>
      </c>
      <c r="P1001" s="638" t="e">
        <f>PI()*(F1001*(J1001+C978)-E1001*(K1001+C978))/(((J1001+C978)*(I1001+C978))-((H1001+C978)*(K1001+C978)))</f>
        <v>#N/A</v>
      </c>
      <c r="Q1001" s="639">
        <f t="shared" si="153"/>
        <v>0</v>
      </c>
      <c r="R1001" s="638" t="e">
        <f>(E1001*PI()-P1001*(H1001+C978))/(J1001+C978)</f>
        <v>#N/A</v>
      </c>
      <c r="S1001" s="641">
        <f t="shared" si="154"/>
        <v>360</v>
      </c>
      <c r="T1001" s="247" t="e">
        <f t="shared" si="148"/>
        <v>#N/A</v>
      </c>
      <c r="U1001" s="206" t="e">
        <f t="shared" si="149"/>
        <v>#N/A</v>
      </c>
      <c r="V1001" s="206" t="e">
        <f t="shared" si="150"/>
        <v>#N/A</v>
      </c>
      <c r="W1001" s="196"/>
      <c r="X1001" s="152"/>
      <c r="Z1001" s="198"/>
      <c r="AA1001" s="198"/>
    </row>
    <row r="1002" spans="1:27" s="197" customFormat="1" ht="15" customHeight="1">
      <c r="A1002" s="226"/>
      <c r="B1002" s="179" t="s">
        <v>1039</v>
      </c>
      <c r="C1002" s="312">
        <f>C1001+2*SIN(RADIANS(M982))*(N975+C978)</f>
        <v>0</v>
      </c>
      <c r="D1002" s="337">
        <f>(C1002-(SIN(RADIANS(M982))*N975)-(COS(RADIANS(M982))*O975))*PI()/MEDIAN(U975:V979,P975:Q979)</f>
        <v>-4.7123889803846897</v>
      </c>
      <c r="E1002" s="337" t="e">
        <f>(C1002*PI()-N1002*(G1002+C978))/PI()</f>
        <v>#N/A</v>
      </c>
      <c r="F1002" s="337" t="e">
        <f>E1002-2*O975*COS(RADIANS(M982))</f>
        <v>#N/A</v>
      </c>
      <c r="G1002" s="339" t="e">
        <f>ROUND(VLOOKUP(M1002,R975:V979,4,FALSE),)</f>
        <v>#N/A</v>
      </c>
      <c r="H1002" s="339" t="e">
        <f>ROUND(VLOOKUP(O1002,M975:Q979,4,FALSE),)</f>
        <v>#N/A</v>
      </c>
      <c r="I1002" s="339" t="e">
        <f>ROUND(VLOOKUP(O1002,M975:Q979,5,FALSE),)</f>
        <v>#N/A</v>
      </c>
      <c r="J1002" s="339" t="e">
        <f>ROUND(VLOOKUP(Q1002,M975:Q979,4,FALSE),)</f>
        <v>#N/A</v>
      </c>
      <c r="K1002" s="339" t="e">
        <f>ROUND(VLOOKUP(Q1002,M975:Q979,5,FALSE),)</f>
        <v>#N/A</v>
      </c>
      <c r="L1002" s="636">
        <f t="shared" si="147"/>
        <v>-1.5707963267948966</v>
      </c>
      <c r="M1002" s="639">
        <f t="shared" si="151"/>
        <v>0</v>
      </c>
      <c r="N1002" s="637" t="e">
        <f>ROUND(HLOOKUP(M1002,N981:R982,2,FALSE),)</f>
        <v>#N/A</v>
      </c>
      <c r="O1002" s="639">
        <f t="shared" si="152"/>
        <v>0</v>
      </c>
      <c r="P1002" s="638" t="e">
        <f>PI()*(F1002*(J1002+C978)-E1002*(K1002+C978))/(((J1002+C978)*(I1002+C978))-((H1002+C978)*(K1002+C978)))</f>
        <v>#N/A</v>
      </c>
      <c r="Q1002" s="639">
        <f t="shared" si="153"/>
        <v>0</v>
      </c>
      <c r="R1002" s="638" t="e">
        <f>(E1002*PI()-P1002*(H1002+C978))/(J1002+C978)</f>
        <v>#N/A</v>
      </c>
      <c r="S1002" s="641">
        <f t="shared" si="154"/>
        <v>360</v>
      </c>
      <c r="T1002" s="247" t="e">
        <f t="shared" si="148"/>
        <v>#N/A</v>
      </c>
      <c r="U1002" s="206" t="e">
        <f t="shared" si="149"/>
        <v>#N/A</v>
      </c>
      <c r="V1002" s="206" t="e">
        <f t="shared" si="150"/>
        <v>#N/A</v>
      </c>
      <c r="W1002" s="196"/>
      <c r="X1002" s="152"/>
      <c r="Z1002" s="198"/>
      <c r="AA1002" s="198"/>
    </row>
    <row r="1003" spans="1:27" s="197" customFormat="1" ht="15" customHeight="1">
      <c r="A1003" s="226"/>
      <c r="B1003" s="179" t="s">
        <v>1040</v>
      </c>
      <c r="C1003" s="312">
        <f>C1002+2*SIN(RADIANS(M982))*(N975+C978)</f>
        <v>0</v>
      </c>
      <c r="D1003" s="337">
        <f>(C1003-(SIN(RADIANS(M982))*N975)-(COS(RADIANS(M982))*O975))*PI()/MEDIAN(U975:V979,P975:Q979)</f>
        <v>-4.7123889803846897</v>
      </c>
      <c r="E1003" s="337" t="e">
        <f>(C1003*PI()-N1003*(G1003+C978))/PI()</f>
        <v>#N/A</v>
      </c>
      <c r="F1003" s="337" t="e">
        <f>E1003-2*O975*COS(RADIANS(M982))</f>
        <v>#N/A</v>
      </c>
      <c r="G1003" s="339" t="e">
        <f>ROUND(VLOOKUP(M1003,R975:V979,4,FALSE),)</f>
        <v>#N/A</v>
      </c>
      <c r="H1003" s="339" t="e">
        <f>ROUND(VLOOKUP(O1003,M975:Q979,4,FALSE),)</f>
        <v>#N/A</v>
      </c>
      <c r="I1003" s="339" t="e">
        <f>ROUND(VLOOKUP(O1003,M975:Q979,5,FALSE),)</f>
        <v>#N/A</v>
      </c>
      <c r="J1003" s="339" t="e">
        <f>ROUND(VLOOKUP(Q1003,M975:Q979,4,FALSE),)</f>
        <v>#N/A</v>
      </c>
      <c r="K1003" s="339" t="e">
        <f>ROUND(VLOOKUP(Q1003,M975:Q979,5,FALSE),)</f>
        <v>#N/A</v>
      </c>
      <c r="L1003" s="636">
        <f t="shared" si="147"/>
        <v>-1.5707963267948966</v>
      </c>
      <c r="M1003" s="639">
        <f t="shared" si="151"/>
        <v>0</v>
      </c>
      <c r="N1003" s="637" t="e">
        <f>ROUND(HLOOKUP(M1003,N981:R982,2,FALSE),)</f>
        <v>#N/A</v>
      </c>
      <c r="O1003" s="639">
        <f t="shared" si="152"/>
        <v>0</v>
      </c>
      <c r="P1003" s="638" t="e">
        <f>PI()*(F1003*(J1003+C978)-E1003*(K1003+C978))/(((J1003+C978)*(I1003+C978))-((H1003+C978)*(K1003+C978)))</f>
        <v>#N/A</v>
      </c>
      <c r="Q1003" s="639">
        <f t="shared" si="153"/>
        <v>0</v>
      </c>
      <c r="R1003" s="638" t="e">
        <f>(E1003*PI()-P1003*(H1003+C978))/(J1003+C978)</f>
        <v>#N/A</v>
      </c>
      <c r="S1003" s="641">
        <f t="shared" si="154"/>
        <v>360</v>
      </c>
      <c r="T1003" s="247" t="e">
        <f t="shared" si="148"/>
        <v>#N/A</v>
      </c>
      <c r="U1003" s="206" t="e">
        <f t="shared" si="149"/>
        <v>#N/A</v>
      </c>
      <c r="V1003" s="206" t="e">
        <f t="shared" si="150"/>
        <v>#N/A</v>
      </c>
      <c r="W1003" s="196"/>
      <c r="X1003" s="152"/>
      <c r="Z1003" s="198"/>
      <c r="AA1003" s="198"/>
    </row>
    <row r="1004" spans="1:27" s="197" customFormat="1" ht="15" customHeight="1">
      <c r="A1004" s="226"/>
      <c r="B1004" s="179" t="s">
        <v>1041</v>
      </c>
      <c r="C1004" s="312">
        <f>C1003+2*SIN(RADIANS(M982))*(N975+C978)</f>
        <v>0</v>
      </c>
      <c r="D1004" s="337">
        <f>(C1004-(SIN(RADIANS(M982))*N975)-(COS(RADIANS(M982))*O975))*PI()/MEDIAN(U975:V979,P975:Q979)</f>
        <v>-4.7123889803846897</v>
      </c>
      <c r="E1004" s="337" t="e">
        <f>(C1004*PI()-N1004*(G1004+C978))/PI()</f>
        <v>#N/A</v>
      </c>
      <c r="F1004" s="337" t="e">
        <f>E1004-2*O975*COS(RADIANS(M982))</f>
        <v>#N/A</v>
      </c>
      <c r="G1004" s="339" t="e">
        <f>ROUND(VLOOKUP(M1004,R975:V979,4,FALSE),)</f>
        <v>#N/A</v>
      </c>
      <c r="H1004" s="339" t="e">
        <f>ROUND(VLOOKUP(O1004,M975:Q979,4,FALSE),)</f>
        <v>#N/A</v>
      </c>
      <c r="I1004" s="339" t="e">
        <f>ROUND(VLOOKUP(O1004,M975:Q979,5,FALSE),)</f>
        <v>#N/A</v>
      </c>
      <c r="J1004" s="339" t="e">
        <f>ROUND(VLOOKUP(Q1004,M975:Q979,4,FALSE),)</f>
        <v>#N/A</v>
      </c>
      <c r="K1004" s="339" t="e">
        <f>ROUND(VLOOKUP(Q1004,M975:Q979,5,FALSE),)</f>
        <v>#N/A</v>
      </c>
      <c r="L1004" s="636">
        <f t="shared" si="147"/>
        <v>-1.5707963267948966</v>
      </c>
      <c r="M1004" s="639">
        <f t="shared" si="151"/>
        <v>0</v>
      </c>
      <c r="N1004" s="637" t="e">
        <f>ROUND(HLOOKUP(M1004,N981:R982,2,FALSE),)</f>
        <v>#N/A</v>
      </c>
      <c r="O1004" s="639">
        <f t="shared" si="152"/>
        <v>0</v>
      </c>
      <c r="P1004" s="638" t="e">
        <f>PI()*(F1004*(J1004+C978)-E1004*(K1004+C978))/(((J1004+C978)*(I1004+C978))-((H1004+C978)*(K1004+C978)))</f>
        <v>#N/A</v>
      </c>
      <c r="Q1004" s="639">
        <f t="shared" si="153"/>
        <v>0</v>
      </c>
      <c r="R1004" s="638" t="e">
        <f>(E1004*PI()-P1004*(H1004+C978))/(J1004+C978)</f>
        <v>#N/A</v>
      </c>
      <c r="S1004" s="641">
        <f t="shared" si="154"/>
        <v>360</v>
      </c>
      <c r="T1004" s="247" t="e">
        <f t="shared" si="148"/>
        <v>#N/A</v>
      </c>
      <c r="U1004" s="206" t="e">
        <f t="shared" si="149"/>
        <v>#N/A</v>
      </c>
      <c r="V1004" s="206" t="e">
        <f t="shared" si="150"/>
        <v>#N/A</v>
      </c>
      <c r="W1004" s="196"/>
      <c r="X1004" s="152"/>
      <c r="Z1004" s="198"/>
      <c r="AA1004" s="198"/>
    </row>
    <row r="1005" spans="1:27" s="197" customFormat="1" ht="15" customHeight="1">
      <c r="A1005" s="226"/>
      <c r="B1005" s="179" t="s">
        <v>1042</v>
      </c>
      <c r="C1005" s="312">
        <f>C1004+2*SIN(RADIANS(M982))*(N975+C978)</f>
        <v>0</v>
      </c>
      <c r="D1005" s="337">
        <f>(C1005-(SIN(RADIANS(M982))*N975)-(COS(RADIANS(M982))*O975))*PI()/MEDIAN(U975:V979,P975:Q979)</f>
        <v>-4.7123889803846897</v>
      </c>
      <c r="E1005" s="337" t="e">
        <f>(C1005*PI()-N1005*(G1005+C978))/PI()</f>
        <v>#N/A</v>
      </c>
      <c r="F1005" s="337" t="e">
        <f>E1005-2*O975*COS(RADIANS(M982))</f>
        <v>#N/A</v>
      </c>
      <c r="G1005" s="339" t="e">
        <f>ROUND(VLOOKUP(M1005,R975:V979,4,FALSE),)</f>
        <v>#N/A</v>
      </c>
      <c r="H1005" s="339" t="e">
        <f>ROUND(VLOOKUP(O1005,M975:Q979,4,FALSE),)</f>
        <v>#N/A</v>
      </c>
      <c r="I1005" s="339" t="e">
        <f>ROUND(VLOOKUP(O1005,M975:Q979,5,FALSE),)</f>
        <v>#N/A</v>
      </c>
      <c r="J1005" s="339" t="e">
        <f>ROUND(VLOOKUP(Q1005,M975:Q979,4,FALSE),)</f>
        <v>#N/A</v>
      </c>
      <c r="K1005" s="339" t="e">
        <f>ROUND(VLOOKUP(Q1005,M975:Q979,5,FALSE),)</f>
        <v>#N/A</v>
      </c>
      <c r="L1005" s="636">
        <f t="shared" si="147"/>
        <v>-1.5707963267948966</v>
      </c>
      <c r="M1005" s="639">
        <f t="shared" si="151"/>
        <v>0</v>
      </c>
      <c r="N1005" s="637" t="e">
        <f>ROUND(HLOOKUP(M1005,N981:R982,2,FALSE),)</f>
        <v>#N/A</v>
      </c>
      <c r="O1005" s="639">
        <f t="shared" si="152"/>
        <v>0</v>
      </c>
      <c r="P1005" s="638" t="e">
        <f>PI()*(F1005*(J1005+C978)-E1005*(K1005+C978))/(((J1005+C978)*(I1005+C978))-((H1005+C978)*(K1005+C978)))</f>
        <v>#N/A</v>
      </c>
      <c r="Q1005" s="639">
        <f t="shared" si="153"/>
        <v>0</v>
      </c>
      <c r="R1005" s="638" t="e">
        <f>(E1005*PI()-P1005*(H1005+C978))/(J1005+C978)</f>
        <v>#N/A</v>
      </c>
      <c r="S1005" s="641">
        <f t="shared" si="154"/>
        <v>360</v>
      </c>
      <c r="T1005" s="247" t="e">
        <f t="shared" si="148"/>
        <v>#N/A</v>
      </c>
      <c r="U1005" s="206" t="e">
        <f t="shared" si="149"/>
        <v>#N/A</v>
      </c>
      <c r="V1005" s="206" t="e">
        <f t="shared" si="150"/>
        <v>#N/A</v>
      </c>
      <c r="W1005" s="196"/>
      <c r="X1005" s="152"/>
      <c r="Z1005" s="198"/>
      <c r="AA1005" s="198"/>
    </row>
    <row r="1006" spans="1:27" s="197" customFormat="1" ht="15" customHeight="1">
      <c r="A1006" s="226"/>
      <c r="B1006" s="179" t="s">
        <v>1043</v>
      </c>
      <c r="C1006" s="312">
        <f>C1005+2*SIN(RADIANS(M982))*(N975+C978)</f>
        <v>0</v>
      </c>
      <c r="D1006" s="337">
        <f>(C1006-(SIN(RADIANS(M982))*N975)-(COS(RADIANS(M982))*O975))*PI()/MEDIAN(U975:V979,P975:Q979)</f>
        <v>-4.7123889803846897</v>
      </c>
      <c r="E1006" s="337" t="e">
        <f>(C1006*PI()-N1006*(G1006+C978))/PI()</f>
        <v>#N/A</v>
      </c>
      <c r="F1006" s="337" t="e">
        <f>E1006-2*O975*COS(RADIANS(M982))</f>
        <v>#N/A</v>
      </c>
      <c r="G1006" s="339" t="e">
        <f>ROUND(VLOOKUP(M1006,R975:V979,4,FALSE),)</f>
        <v>#N/A</v>
      </c>
      <c r="H1006" s="339" t="e">
        <f>ROUND(VLOOKUP(O1006,M975:Q979,4,FALSE),)</f>
        <v>#N/A</v>
      </c>
      <c r="I1006" s="339" t="e">
        <f>ROUND(VLOOKUP(O1006,M975:Q979,5,FALSE),)</f>
        <v>#N/A</v>
      </c>
      <c r="J1006" s="339" t="e">
        <f>ROUND(VLOOKUP(Q1006,M975:Q979,4,FALSE),)</f>
        <v>#N/A</v>
      </c>
      <c r="K1006" s="339" t="e">
        <f>ROUND(VLOOKUP(Q1006,M975:Q979,5,FALSE),)</f>
        <v>#N/A</v>
      </c>
      <c r="L1006" s="636">
        <f t="shared" si="147"/>
        <v>-1.5707963267948966</v>
      </c>
      <c r="M1006" s="639">
        <f t="shared" si="151"/>
        <v>0</v>
      </c>
      <c r="N1006" s="637" t="e">
        <f>ROUND(HLOOKUP(M1006,N981:R982,2,FALSE),)</f>
        <v>#N/A</v>
      </c>
      <c r="O1006" s="639">
        <f t="shared" si="152"/>
        <v>0</v>
      </c>
      <c r="P1006" s="638" t="e">
        <f>PI()*(F1006*(J1006+C978)-E1006*(K1006+C978))/(((J1006+C978)*(I1006+C978))-((H1006+C978)*(K1006+C978)))</f>
        <v>#N/A</v>
      </c>
      <c r="Q1006" s="639">
        <f t="shared" si="153"/>
        <v>0</v>
      </c>
      <c r="R1006" s="638" t="e">
        <f>(E1006*PI()-P1006*(H1006+C978))/(J1006+C978)</f>
        <v>#N/A</v>
      </c>
      <c r="S1006" s="641">
        <f t="shared" si="154"/>
        <v>360</v>
      </c>
      <c r="T1006" s="247" t="e">
        <f t="shared" si="148"/>
        <v>#N/A</v>
      </c>
      <c r="U1006" s="206" t="e">
        <f t="shared" si="149"/>
        <v>#N/A</v>
      </c>
      <c r="V1006" s="206" t="e">
        <f t="shared" si="150"/>
        <v>#N/A</v>
      </c>
      <c r="W1006" s="196"/>
      <c r="X1006" s="152"/>
      <c r="Z1006" s="198"/>
      <c r="AA1006" s="198"/>
    </row>
    <row r="1007" spans="1:27" s="197" customFormat="1" ht="15" customHeight="1">
      <c r="A1007" s="226"/>
      <c r="B1007" s="179" t="s">
        <v>1044</v>
      </c>
      <c r="C1007" s="312">
        <f>C1006+2*SIN(RADIANS(M982))*(N975+C978)</f>
        <v>0</v>
      </c>
      <c r="D1007" s="337">
        <f>(C1007-(SIN(RADIANS(M982))*N975)-(COS(RADIANS(M982))*O975))*PI()/MEDIAN(U975:V979,P975:Q979)</f>
        <v>-4.7123889803846897</v>
      </c>
      <c r="E1007" s="337" t="e">
        <f>(C1007*PI()-N1007*(G1007+C978))/PI()</f>
        <v>#N/A</v>
      </c>
      <c r="F1007" s="337" t="e">
        <f>E1007-2*O975*COS(RADIANS(M982))</f>
        <v>#N/A</v>
      </c>
      <c r="G1007" s="339" t="e">
        <f>ROUND(VLOOKUP(M1007,R975:V979,4,FALSE),)</f>
        <v>#N/A</v>
      </c>
      <c r="H1007" s="339" t="e">
        <f>ROUND(VLOOKUP(O1007,M975:Q979,4,FALSE),)</f>
        <v>#N/A</v>
      </c>
      <c r="I1007" s="339" t="e">
        <f>ROUND(VLOOKUP(O1007,M975:Q979,5,FALSE),)</f>
        <v>#N/A</v>
      </c>
      <c r="J1007" s="339" t="e">
        <f>ROUND(VLOOKUP(Q1007,M975:Q979,4,FALSE),)</f>
        <v>#N/A</v>
      </c>
      <c r="K1007" s="339" t="e">
        <f>ROUND(VLOOKUP(Q1007,M975:Q979,5,FALSE),)</f>
        <v>#N/A</v>
      </c>
      <c r="L1007" s="636">
        <f t="shared" si="147"/>
        <v>-1.5707963267948966</v>
      </c>
      <c r="M1007" s="639">
        <f t="shared" si="151"/>
        <v>0</v>
      </c>
      <c r="N1007" s="637" t="e">
        <f>ROUND(HLOOKUP(M1007,N981:R982,2,FALSE),)</f>
        <v>#N/A</v>
      </c>
      <c r="O1007" s="639">
        <f t="shared" si="152"/>
        <v>0</v>
      </c>
      <c r="P1007" s="638" t="e">
        <f>PI()*(F1007*(J1007+C978)-E1007*(K1007+C978))/(((J1007+C978)*(I1007+C978))-((H1007+C978)*(K1007+C978)))</f>
        <v>#N/A</v>
      </c>
      <c r="Q1007" s="639">
        <f t="shared" si="153"/>
        <v>0</v>
      </c>
      <c r="R1007" s="638" t="e">
        <f>(E1007*PI()-P1007*(H1007+C978))/(J1007+C978)</f>
        <v>#N/A</v>
      </c>
      <c r="S1007" s="641">
        <f t="shared" si="154"/>
        <v>360</v>
      </c>
      <c r="T1007" s="247" t="e">
        <f t="shared" si="148"/>
        <v>#N/A</v>
      </c>
      <c r="U1007" s="206" t="e">
        <f t="shared" si="149"/>
        <v>#N/A</v>
      </c>
      <c r="V1007" s="206" t="e">
        <f t="shared" si="150"/>
        <v>#N/A</v>
      </c>
      <c r="W1007" s="196"/>
      <c r="X1007" s="152"/>
      <c r="Z1007" s="198"/>
      <c r="AA1007" s="198"/>
    </row>
    <row r="1008" spans="1:27" s="197" customFormat="1" ht="15" customHeight="1">
      <c r="A1008" s="226"/>
      <c r="B1008" s="179" t="s">
        <v>1045</v>
      </c>
      <c r="C1008" s="312">
        <f>C1007+2*SIN(RADIANS(M982))*(N975+C978)</f>
        <v>0</v>
      </c>
      <c r="D1008" s="337">
        <f>(C1008-(SIN(RADIANS(M982))*N975)-(COS(RADIANS(M982))*O975))*PI()/MEDIAN(U975:V979,P975:Q979)</f>
        <v>-4.7123889803846897</v>
      </c>
      <c r="E1008" s="337" t="e">
        <f>(C1008*PI()-N1008*(G1008+C978))/PI()</f>
        <v>#N/A</v>
      </c>
      <c r="F1008" s="337" t="e">
        <f>E1008-2*O975*COS(RADIANS(M982))</f>
        <v>#N/A</v>
      </c>
      <c r="G1008" s="339" t="e">
        <f>ROUND(VLOOKUP(M1008,R975:V979,4,FALSE),)</f>
        <v>#N/A</v>
      </c>
      <c r="H1008" s="339" t="e">
        <f>ROUND(VLOOKUP(O1008,M975:Q979,4,FALSE),)</f>
        <v>#N/A</v>
      </c>
      <c r="I1008" s="339" t="e">
        <f>ROUND(VLOOKUP(O1008,M975:Q979,5,FALSE),)</f>
        <v>#N/A</v>
      </c>
      <c r="J1008" s="339" t="e">
        <f>ROUND(VLOOKUP(Q1008,M975:Q979,4,FALSE),)</f>
        <v>#N/A</v>
      </c>
      <c r="K1008" s="339" t="e">
        <f>ROUND(VLOOKUP(Q1008,M975:Q979,5,FALSE),)</f>
        <v>#N/A</v>
      </c>
      <c r="L1008" s="636">
        <f t="shared" si="147"/>
        <v>-1.5707963267948966</v>
      </c>
      <c r="M1008" s="639">
        <f t="shared" si="151"/>
        <v>0</v>
      </c>
      <c r="N1008" s="637" t="e">
        <f>ROUND(HLOOKUP(M1008,N981:R982,2,FALSE),)</f>
        <v>#N/A</v>
      </c>
      <c r="O1008" s="639">
        <f t="shared" si="152"/>
        <v>0</v>
      </c>
      <c r="P1008" s="638" t="e">
        <f>PI()*(F1008*(J1008+C978)-E1008*(K1008+C978))/(((J1008+C978)*(I1008+C978))-((H1008+C978)*(K1008+C978)))</f>
        <v>#N/A</v>
      </c>
      <c r="Q1008" s="639">
        <f t="shared" si="153"/>
        <v>0</v>
      </c>
      <c r="R1008" s="638" t="e">
        <f>(E1008*PI()-P1008*(H1008+C978))/(J1008+C978)</f>
        <v>#N/A</v>
      </c>
      <c r="S1008" s="641">
        <f t="shared" si="154"/>
        <v>360</v>
      </c>
      <c r="T1008" s="247" t="e">
        <f t="shared" si="148"/>
        <v>#N/A</v>
      </c>
      <c r="U1008" s="206" t="e">
        <f t="shared" si="149"/>
        <v>#N/A</v>
      </c>
      <c r="V1008" s="206" t="e">
        <f t="shared" si="150"/>
        <v>#N/A</v>
      </c>
      <c r="W1008" s="196"/>
      <c r="X1008" s="152"/>
      <c r="Z1008" s="198"/>
      <c r="AA1008" s="198"/>
    </row>
    <row r="1009" spans="1:27" s="197" customFormat="1" ht="15" customHeight="1">
      <c r="A1009" s="226"/>
      <c r="B1009" s="179" t="s">
        <v>1046</v>
      </c>
      <c r="C1009" s="312">
        <f>C1008+2*SIN(RADIANS(M982))*(N975+C978)</f>
        <v>0</v>
      </c>
      <c r="D1009" s="337">
        <f>(C1009-(SIN(RADIANS(M982))*N975)-(COS(RADIANS(M982))*O975))*PI()/MEDIAN(U975:V979,P975:Q979)</f>
        <v>-4.7123889803846897</v>
      </c>
      <c r="E1009" s="337" t="e">
        <f>(C1009*PI()-N1009*(G1009+C978))/PI()</f>
        <v>#N/A</v>
      </c>
      <c r="F1009" s="337" t="e">
        <f>E1009-2*O975*COS(RADIANS(M982))</f>
        <v>#N/A</v>
      </c>
      <c r="G1009" s="339" t="e">
        <f>ROUND(VLOOKUP(M1009,R975:V979,4,FALSE),)</f>
        <v>#N/A</v>
      </c>
      <c r="H1009" s="339" t="e">
        <f>ROUND(VLOOKUP(O1009,M975:Q979,4,FALSE),)</f>
        <v>#N/A</v>
      </c>
      <c r="I1009" s="339" t="e">
        <f>ROUND(VLOOKUP(O1009,M975:Q979,5,FALSE),)</f>
        <v>#N/A</v>
      </c>
      <c r="J1009" s="339" t="e">
        <f>ROUND(VLOOKUP(Q1009,M975:Q979,4,FALSE),)</f>
        <v>#N/A</v>
      </c>
      <c r="K1009" s="339" t="e">
        <f>ROUND(VLOOKUP(Q1009,M975:Q979,5,FALSE),)</f>
        <v>#N/A</v>
      </c>
      <c r="L1009" s="636">
        <f t="shared" si="147"/>
        <v>-1.5707963267948966</v>
      </c>
      <c r="M1009" s="639">
        <f t="shared" si="151"/>
        <v>0</v>
      </c>
      <c r="N1009" s="637" t="e">
        <f>ROUND(HLOOKUP(M1009,N981:R982,2,FALSE),)</f>
        <v>#N/A</v>
      </c>
      <c r="O1009" s="639">
        <f t="shared" si="152"/>
        <v>0</v>
      </c>
      <c r="P1009" s="638" t="e">
        <f>PI()*(F1009*(J1009+C978)-E1009*(K1009+C978))/(((J1009+C978)*(I1009+C978))-((H1009+C978)*(K1009+C978)))</f>
        <v>#N/A</v>
      </c>
      <c r="Q1009" s="639">
        <f t="shared" si="153"/>
        <v>0</v>
      </c>
      <c r="R1009" s="638" t="e">
        <f>(E1009*PI()-P1009*(H1009+C978))/(J1009+C978)</f>
        <v>#N/A</v>
      </c>
      <c r="S1009" s="641">
        <f t="shared" si="154"/>
        <v>360</v>
      </c>
      <c r="T1009" s="247" t="e">
        <f t="shared" si="148"/>
        <v>#N/A</v>
      </c>
      <c r="U1009" s="206" t="e">
        <f t="shared" si="149"/>
        <v>#N/A</v>
      </c>
      <c r="V1009" s="206" t="e">
        <f t="shared" si="150"/>
        <v>#N/A</v>
      </c>
      <c r="W1009" s="196"/>
      <c r="X1009" s="152"/>
      <c r="Z1009" s="198"/>
      <c r="AA1009" s="198"/>
    </row>
    <row r="1010" spans="1:27" s="197" customFormat="1" ht="15" customHeight="1">
      <c r="A1010" s="226"/>
      <c r="B1010" s="179" t="s">
        <v>1047</v>
      </c>
      <c r="C1010" s="312">
        <f>C1009+2*SIN(RADIANS(M982))*(N975+C978)</f>
        <v>0</v>
      </c>
      <c r="D1010" s="337">
        <f>(C1010-(SIN(RADIANS(M982))*N975)-(COS(RADIANS(M982))*O975))*PI()/MEDIAN(U975:V979,P975:Q979)</f>
        <v>-4.7123889803846897</v>
      </c>
      <c r="E1010" s="337" t="e">
        <f>(C1010*PI()-N1010*(G1010+C978))/PI()</f>
        <v>#N/A</v>
      </c>
      <c r="F1010" s="337" t="e">
        <f>E1010-2*O975*COS(RADIANS(M982))</f>
        <v>#N/A</v>
      </c>
      <c r="G1010" s="339" t="e">
        <f>ROUND(VLOOKUP(M1010,R975:V979,4,FALSE),)</f>
        <v>#N/A</v>
      </c>
      <c r="H1010" s="339" t="e">
        <f>ROUND(VLOOKUP(O1010,M975:Q979,4,FALSE),)</f>
        <v>#N/A</v>
      </c>
      <c r="I1010" s="339" t="e">
        <f>ROUND(VLOOKUP(O1010,M975:Q979,5,FALSE),)</f>
        <v>#N/A</v>
      </c>
      <c r="J1010" s="339" t="e">
        <f>ROUND(VLOOKUP(Q1010,M975:Q979,4,FALSE),)</f>
        <v>#N/A</v>
      </c>
      <c r="K1010" s="339" t="e">
        <f>ROUND(VLOOKUP(Q1010,M975:Q979,5,FALSE),)</f>
        <v>#N/A</v>
      </c>
      <c r="L1010" s="636">
        <f t="shared" si="147"/>
        <v>-1.5707963267948966</v>
      </c>
      <c r="M1010" s="639">
        <f t="shared" si="151"/>
        <v>0</v>
      </c>
      <c r="N1010" s="637" t="e">
        <f>ROUND(HLOOKUP(M1010,N981:R982,2,FALSE),)</f>
        <v>#N/A</v>
      </c>
      <c r="O1010" s="639">
        <f t="shared" si="152"/>
        <v>0</v>
      </c>
      <c r="P1010" s="638" t="e">
        <f>PI()*(F1010*(J1010+C978)-E1010*(K1010+C978))/(((J1010+C978)*(I1010+C978))-((H1010+C978)*(K1010+C978)))</f>
        <v>#N/A</v>
      </c>
      <c r="Q1010" s="639">
        <f t="shared" si="153"/>
        <v>0</v>
      </c>
      <c r="R1010" s="638" t="e">
        <f>(E1010*PI()-P1010*(H1010+C978))/(J1010+C978)</f>
        <v>#N/A</v>
      </c>
      <c r="S1010" s="641">
        <f t="shared" si="154"/>
        <v>360</v>
      </c>
      <c r="T1010" s="247" t="e">
        <f t="shared" si="148"/>
        <v>#N/A</v>
      </c>
      <c r="U1010" s="206" t="e">
        <f t="shared" si="149"/>
        <v>#N/A</v>
      </c>
      <c r="V1010" s="206" t="e">
        <f t="shared" si="150"/>
        <v>#N/A</v>
      </c>
      <c r="W1010" s="196"/>
      <c r="X1010" s="152"/>
      <c r="Z1010" s="198"/>
      <c r="AA1010" s="198"/>
    </row>
    <row r="1011" spans="1:27" s="197" customFormat="1" ht="15" customHeight="1">
      <c r="A1011" s="226"/>
      <c r="B1011" s="179" t="s">
        <v>1048</v>
      </c>
      <c r="C1011" s="312">
        <f>C1010+2*SIN(RADIANS(M982))*(N975+C978)</f>
        <v>0</v>
      </c>
      <c r="D1011" s="337">
        <f>(C1011-(SIN(RADIANS(M982))*N975)-(COS(RADIANS(M982))*O975))*PI()/MEDIAN(U975:V979,P975:Q979)</f>
        <v>-4.7123889803846897</v>
      </c>
      <c r="E1011" s="337" t="e">
        <f>(C1011*PI()-N1011*(G1011+C978))/PI()</f>
        <v>#N/A</v>
      </c>
      <c r="F1011" s="337" t="e">
        <f>E1011-2*O975*COS(RADIANS(M982))</f>
        <v>#N/A</v>
      </c>
      <c r="G1011" s="339" t="e">
        <f>ROUND(VLOOKUP(M1011,R975:V979,4,FALSE),)</f>
        <v>#N/A</v>
      </c>
      <c r="H1011" s="339" t="e">
        <f>ROUND(VLOOKUP(O1011,M975:Q979,4,FALSE),)</f>
        <v>#N/A</v>
      </c>
      <c r="I1011" s="339" t="e">
        <f>ROUND(VLOOKUP(O1011,M975:Q979,5,FALSE),)</f>
        <v>#N/A</v>
      </c>
      <c r="J1011" s="339" t="e">
        <f>ROUND(VLOOKUP(Q1011,M975:Q979,4,FALSE),)</f>
        <v>#N/A</v>
      </c>
      <c r="K1011" s="339" t="e">
        <f>ROUND(VLOOKUP(Q1011,M975:Q979,5,FALSE),)</f>
        <v>#N/A</v>
      </c>
      <c r="L1011" s="636">
        <f t="shared" si="147"/>
        <v>-1.5707963267948966</v>
      </c>
      <c r="M1011" s="639">
        <f t="shared" si="151"/>
        <v>0</v>
      </c>
      <c r="N1011" s="637" t="e">
        <f>ROUND(HLOOKUP(M1011,N981:R982,2,FALSE),)</f>
        <v>#N/A</v>
      </c>
      <c r="O1011" s="639">
        <f t="shared" si="152"/>
        <v>0</v>
      </c>
      <c r="P1011" s="638" t="e">
        <f>PI()*(F1011*(J1011+C978)-E1011*(K1011+C978))/(((J1011+C978)*(I1011+C978))-((H1011+C978)*(K1011+C978)))</f>
        <v>#N/A</v>
      </c>
      <c r="Q1011" s="639">
        <f t="shared" si="153"/>
        <v>0</v>
      </c>
      <c r="R1011" s="638" t="e">
        <f>(E1011*PI()-P1011*(H1011+C978))/(J1011+C978)</f>
        <v>#N/A</v>
      </c>
      <c r="S1011" s="641">
        <f t="shared" si="154"/>
        <v>360</v>
      </c>
      <c r="T1011" s="247" t="e">
        <f t="shared" si="148"/>
        <v>#N/A</v>
      </c>
      <c r="U1011" s="206" t="e">
        <f t="shared" si="149"/>
        <v>#N/A</v>
      </c>
      <c r="V1011" s="206" t="e">
        <f t="shared" si="150"/>
        <v>#N/A</v>
      </c>
      <c r="W1011" s="196"/>
      <c r="X1011" s="152"/>
      <c r="Z1011" s="198"/>
      <c r="AA1011" s="198"/>
    </row>
    <row r="1012" spans="1:27" s="197" customFormat="1" ht="15" customHeight="1">
      <c r="A1012" s="226"/>
      <c r="B1012" s="179" t="s">
        <v>1049</v>
      </c>
      <c r="C1012" s="312">
        <f>C1011+2*SIN(RADIANS(M982))*(N975+C978)</f>
        <v>0</v>
      </c>
      <c r="D1012" s="337">
        <f>(C1012-(SIN(RADIANS(M982))*N975)-(COS(RADIANS(M982))*O975))*PI()/MEDIAN(U975:V979,P975:Q979)</f>
        <v>-4.7123889803846897</v>
      </c>
      <c r="E1012" s="337" t="e">
        <f>(C1012*PI()-N1012*(G1012+C978))/PI()</f>
        <v>#N/A</v>
      </c>
      <c r="F1012" s="337" t="e">
        <f>E1012-2*O975*COS(RADIANS(M982))</f>
        <v>#N/A</v>
      </c>
      <c r="G1012" s="339" t="e">
        <f>ROUND(VLOOKUP(M1012,R975:V979,4,FALSE),)</f>
        <v>#N/A</v>
      </c>
      <c r="H1012" s="339" t="e">
        <f>ROUND(VLOOKUP(O1012,M975:Q979,4,FALSE),)</f>
        <v>#N/A</v>
      </c>
      <c r="I1012" s="339" t="e">
        <f>ROUND(VLOOKUP(O1012,M975:Q979,5,FALSE),)</f>
        <v>#N/A</v>
      </c>
      <c r="J1012" s="339" t="e">
        <f>ROUND(VLOOKUP(Q1012,M975:Q979,4,FALSE),)</f>
        <v>#N/A</v>
      </c>
      <c r="K1012" s="339" t="e">
        <f>ROUND(VLOOKUP(Q1012,M975:Q979,5,FALSE),)</f>
        <v>#N/A</v>
      </c>
      <c r="L1012" s="636">
        <f t="shared" si="147"/>
        <v>-1.5707963267948966</v>
      </c>
      <c r="M1012" s="639">
        <f t="shared" si="151"/>
        <v>0</v>
      </c>
      <c r="N1012" s="637" t="e">
        <f>ROUND(HLOOKUP(M1012,N981:R982,2,FALSE),)</f>
        <v>#N/A</v>
      </c>
      <c r="O1012" s="639">
        <f t="shared" si="152"/>
        <v>0</v>
      </c>
      <c r="P1012" s="638" t="e">
        <f t="shared" ref="P1012" si="155">PI()*(F1012*(J1012+$C$343)-E1012*(K1012+$C$343))/(((J1012+$C$343)*(I1012+$C$343))-((H1012+$C$343)*(K1012+$C$343)))</f>
        <v>#N/A</v>
      </c>
      <c r="Q1012" s="639">
        <f t="shared" si="153"/>
        <v>0</v>
      </c>
      <c r="R1012" s="638" t="e">
        <f>(E1012*PI()-P1012*(H1012+C978))/(J1012+C978)</f>
        <v>#N/A</v>
      </c>
      <c r="S1012" s="641">
        <f t="shared" si="154"/>
        <v>360</v>
      </c>
      <c r="T1012" s="247" t="e">
        <f t="shared" si="148"/>
        <v>#N/A</v>
      </c>
      <c r="U1012" s="206" t="e">
        <f t="shared" si="149"/>
        <v>#N/A</v>
      </c>
      <c r="V1012" s="206" t="e">
        <f t="shared" si="150"/>
        <v>#N/A</v>
      </c>
      <c r="W1012" s="196"/>
      <c r="X1012" s="152"/>
      <c r="Z1012" s="198"/>
      <c r="AA1012" s="198"/>
    </row>
    <row r="1013" spans="1:27" s="197" customFormat="1" ht="15" customHeight="1">
      <c r="A1013" s="226"/>
      <c r="B1013" s="179" t="s">
        <v>1050</v>
      </c>
      <c r="C1013" s="312">
        <f>C1012+2*SIN(RADIANS(M982))*(N975+C978)</f>
        <v>0</v>
      </c>
      <c r="D1013" s="337">
        <f>(C1013-(SIN(RADIANS(M982))*N975)-(COS(RADIANS(M982))*O975))*PI()/MEDIAN(U975:V979,P975:Q979)</f>
        <v>-4.7123889803846897</v>
      </c>
      <c r="E1013" s="337" t="e">
        <f>(C1013*PI()-N1013*(G1013+C978))/PI()</f>
        <v>#N/A</v>
      </c>
      <c r="F1013" s="337" t="e">
        <f>E1013-2*O975*COS(RADIANS(M982))</f>
        <v>#N/A</v>
      </c>
      <c r="G1013" s="339" t="e">
        <f>ROUND(VLOOKUP(M1013,R975:V979,4,FALSE),)</f>
        <v>#N/A</v>
      </c>
      <c r="H1013" s="339" t="e">
        <f>ROUND(VLOOKUP(O1013,M975:Q979,4,FALSE),)</f>
        <v>#N/A</v>
      </c>
      <c r="I1013" s="339" t="e">
        <f>ROUND(VLOOKUP(O1013,M975:Q979,5,FALSE),)</f>
        <v>#N/A</v>
      </c>
      <c r="J1013" s="339" t="e">
        <f>ROUND(VLOOKUP(Q1013,M975:Q979,4,FALSE),)</f>
        <v>#N/A</v>
      </c>
      <c r="K1013" s="339" t="e">
        <f>ROUND(VLOOKUP(Q1013,M975:Q979,5,FALSE),)</f>
        <v>#N/A</v>
      </c>
      <c r="L1013" s="636">
        <f t="shared" si="147"/>
        <v>-1.5707963267948966</v>
      </c>
      <c r="M1013" s="639">
        <f t="shared" si="151"/>
        <v>0</v>
      </c>
      <c r="N1013" s="637" t="e">
        <f>ROUND(HLOOKUP(M1013,N981:R982,2,FALSE),)</f>
        <v>#N/A</v>
      </c>
      <c r="O1013" s="639">
        <f t="shared" si="152"/>
        <v>0</v>
      </c>
      <c r="P1013" s="638" t="e">
        <f>PI()*(F1013*(J1013+C978)-E1013*(K1013+C978))/(((J1013+C978)*(I1013+C978))-((H1013+C978)*(K1013+C978)))</f>
        <v>#N/A</v>
      </c>
      <c r="Q1013" s="639">
        <f t="shared" si="153"/>
        <v>0</v>
      </c>
      <c r="R1013" s="638" t="e">
        <f>(E1013*PI()-P1013*(H1013+C978))/(J1013+C978)</f>
        <v>#N/A</v>
      </c>
      <c r="S1013" s="641">
        <f t="shared" si="154"/>
        <v>360</v>
      </c>
      <c r="T1013" s="247" t="e">
        <f t="shared" si="148"/>
        <v>#N/A</v>
      </c>
      <c r="U1013" s="206" t="e">
        <f t="shared" si="149"/>
        <v>#N/A</v>
      </c>
      <c r="V1013" s="206" t="e">
        <f t="shared" si="150"/>
        <v>#N/A</v>
      </c>
      <c r="W1013" s="196"/>
      <c r="X1013" s="152"/>
      <c r="Z1013" s="198"/>
      <c r="AA1013" s="198"/>
    </row>
    <row r="1014" spans="1:27" s="197" customFormat="1" ht="15" customHeight="1">
      <c r="A1014" s="226"/>
      <c r="B1014" s="179" t="s">
        <v>1051</v>
      </c>
      <c r="C1014" s="312">
        <f>C1013+2*SIN(RADIANS(M982))*(N975+C978)</f>
        <v>0</v>
      </c>
      <c r="D1014" s="337">
        <f>(C1014-(SIN(RADIANS(M982))*N975)-(COS(RADIANS(M982))*O975))*PI()/MEDIAN(U975:V979,P975:Q979)</f>
        <v>-4.7123889803846897</v>
      </c>
      <c r="E1014" s="337" t="e">
        <f>(C1014*PI()-N1014*(G1014+C978))/PI()</f>
        <v>#N/A</v>
      </c>
      <c r="F1014" s="337" t="e">
        <f>E1014-2*O975*COS(RADIANS(M982))</f>
        <v>#N/A</v>
      </c>
      <c r="G1014" s="339" t="e">
        <f>ROUND(VLOOKUP(M1014,R975:V979,4,FALSE),)</f>
        <v>#N/A</v>
      </c>
      <c r="H1014" s="339" t="e">
        <f>ROUND(VLOOKUP(O1014,M975:Q979,4,FALSE),)</f>
        <v>#N/A</v>
      </c>
      <c r="I1014" s="339" t="e">
        <f>ROUND(VLOOKUP(O1014,M975:Q979,5,FALSE),)</f>
        <v>#N/A</v>
      </c>
      <c r="J1014" s="339" t="e">
        <f>ROUND(VLOOKUP(Q1014,M975:Q979,4,FALSE),)</f>
        <v>#N/A</v>
      </c>
      <c r="K1014" s="339" t="e">
        <f>ROUND(VLOOKUP(Q1014,M975:Q979,5,FALSE),)</f>
        <v>#N/A</v>
      </c>
      <c r="L1014" s="636">
        <f t="shared" si="147"/>
        <v>-1.5707963267948966</v>
      </c>
      <c r="M1014" s="639">
        <f t="shared" si="151"/>
        <v>0</v>
      </c>
      <c r="N1014" s="637" t="e">
        <f>ROUND(HLOOKUP(M1014,N981:R982,2,FALSE),)</f>
        <v>#N/A</v>
      </c>
      <c r="O1014" s="639">
        <f t="shared" si="152"/>
        <v>0</v>
      </c>
      <c r="P1014" s="638" t="e">
        <f>PI()*(F1014*(J1014+C978)-E1014*(K1014+C978))/(((J1014+C978)*(I1014+C978))-((H1014+C978)*(K1014+C978)))</f>
        <v>#N/A</v>
      </c>
      <c r="Q1014" s="639">
        <f t="shared" si="153"/>
        <v>0</v>
      </c>
      <c r="R1014" s="638" t="e">
        <f>(E1014*PI()-P1014*(H1014+C978))/(J1014+C978)</f>
        <v>#N/A</v>
      </c>
      <c r="S1014" s="641">
        <f t="shared" si="154"/>
        <v>360</v>
      </c>
      <c r="T1014" s="247" t="e">
        <f t="shared" si="148"/>
        <v>#N/A</v>
      </c>
      <c r="U1014" s="206" t="e">
        <f t="shared" si="149"/>
        <v>#N/A</v>
      </c>
      <c r="V1014" s="206" t="e">
        <f t="shared" si="150"/>
        <v>#N/A</v>
      </c>
      <c r="W1014" s="196"/>
      <c r="X1014" s="152"/>
      <c r="Z1014" s="198"/>
      <c r="AA1014" s="198"/>
    </row>
    <row r="1015" spans="1:27" s="197" customFormat="1" ht="15" customHeight="1">
      <c r="A1015" s="226"/>
      <c r="B1015" s="179" t="s">
        <v>1052</v>
      </c>
      <c r="C1015" s="312">
        <f>C1014+2*SIN(RADIANS(M982))*(N975+C978)</f>
        <v>0</v>
      </c>
      <c r="D1015" s="337">
        <f>(C1015-(SIN(RADIANS(M982))*N975)-(COS(RADIANS(M982))*O975))*PI()/MEDIAN(U975:V979,P975:Q979)</f>
        <v>-4.7123889803846897</v>
      </c>
      <c r="E1015" s="337" t="e">
        <f>(C1015*PI()-N1015*(G1015+C978))/PI()</f>
        <v>#N/A</v>
      </c>
      <c r="F1015" s="337" t="e">
        <f>E1015-2*O975*COS(RADIANS(M982))</f>
        <v>#N/A</v>
      </c>
      <c r="G1015" s="339" t="e">
        <f>ROUND(VLOOKUP(M1015,R975:V979,4,FALSE),)</f>
        <v>#N/A</v>
      </c>
      <c r="H1015" s="339" t="e">
        <f>ROUND(VLOOKUP(O1015,M975:Q979,4,FALSE),)</f>
        <v>#N/A</v>
      </c>
      <c r="I1015" s="339" t="e">
        <f>ROUND(VLOOKUP(O1015,M975:Q979,5,FALSE),)</f>
        <v>#N/A</v>
      </c>
      <c r="J1015" s="339" t="e">
        <f>ROUND(VLOOKUP(Q1015,M975:Q979,4,FALSE),)</f>
        <v>#N/A</v>
      </c>
      <c r="K1015" s="339" t="e">
        <f>ROUND(VLOOKUP(Q1015,M975:Q979,5,FALSE),)</f>
        <v>#N/A</v>
      </c>
      <c r="L1015" s="636">
        <f t="shared" si="147"/>
        <v>-1.5707963267948966</v>
      </c>
      <c r="M1015" s="639">
        <f t="shared" si="151"/>
        <v>0</v>
      </c>
      <c r="N1015" s="637" t="e">
        <f>ROUND(HLOOKUP(M1015,N981:R982,2,FALSE),)</f>
        <v>#N/A</v>
      </c>
      <c r="O1015" s="639">
        <f t="shared" si="152"/>
        <v>0</v>
      </c>
      <c r="P1015" s="638" t="e">
        <f>PI()*(F1015*(J1015+C978)-E1015*(K1015+C978))/(((J1015+C978)*(I1015+C978))-((H1015+C978)*(K1015+C978)))</f>
        <v>#N/A</v>
      </c>
      <c r="Q1015" s="639">
        <f t="shared" si="153"/>
        <v>0</v>
      </c>
      <c r="R1015" s="638" t="e">
        <f>(E1015*PI()-P1015*(H1015+C978))/(J1015+C978)</f>
        <v>#N/A</v>
      </c>
      <c r="S1015" s="641">
        <f t="shared" si="154"/>
        <v>360</v>
      </c>
      <c r="T1015" s="247" t="e">
        <f t="shared" si="148"/>
        <v>#N/A</v>
      </c>
      <c r="U1015" s="206" t="e">
        <f t="shared" si="149"/>
        <v>#N/A</v>
      </c>
      <c r="V1015" s="206" t="e">
        <f t="shared" si="150"/>
        <v>#N/A</v>
      </c>
      <c r="W1015" s="196"/>
      <c r="X1015" s="152"/>
      <c r="Z1015" s="198"/>
      <c r="AA1015" s="198"/>
    </row>
    <row r="1016" spans="1:27" s="197" customFormat="1" ht="15" customHeight="1">
      <c r="A1016" s="226"/>
      <c r="B1016" s="179" t="s">
        <v>1053</v>
      </c>
      <c r="C1016" s="312">
        <f>C1015+2*SIN(RADIANS(M982))*(N975+C978)</f>
        <v>0</v>
      </c>
      <c r="D1016" s="337">
        <f>(C1016-(SIN(RADIANS(M982))*N975)-(COS(RADIANS(M982))*O975))*PI()/MEDIAN(U975:V979,P975:Q979)</f>
        <v>-4.7123889803846897</v>
      </c>
      <c r="E1016" s="337" t="e">
        <f>(C1016*PI()-N1016*(G1016+C978))/PI()</f>
        <v>#N/A</v>
      </c>
      <c r="F1016" s="337" t="e">
        <f>E1016-2*O975*COS(RADIANS(M982))</f>
        <v>#N/A</v>
      </c>
      <c r="G1016" s="339" t="e">
        <f>ROUND(VLOOKUP(M1016,R975:V979,4,FALSE),)</f>
        <v>#N/A</v>
      </c>
      <c r="H1016" s="339" t="e">
        <f>ROUND(VLOOKUP(O1016,M975:Q979,4,FALSE),)</f>
        <v>#N/A</v>
      </c>
      <c r="I1016" s="339" t="e">
        <f>ROUND(VLOOKUP(O1016,M975:Q979,5,FALSE),)</f>
        <v>#N/A</v>
      </c>
      <c r="J1016" s="339" t="e">
        <f>ROUND(VLOOKUP(Q1016,M975:Q979,4,FALSE),)</f>
        <v>#N/A</v>
      </c>
      <c r="K1016" s="339" t="e">
        <f>ROUND(VLOOKUP(Q1016,M975:Q979,5,FALSE),)</f>
        <v>#N/A</v>
      </c>
      <c r="L1016" s="636">
        <f t="shared" si="147"/>
        <v>-1.5707963267948966</v>
      </c>
      <c r="M1016" s="639">
        <f t="shared" si="151"/>
        <v>0</v>
      </c>
      <c r="N1016" s="637" t="e">
        <f>ROUND(HLOOKUP(M1016,N981:R982,2,FALSE),)</f>
        <v>#N/A</v>
      </c>
      <c r="O1016" s="639">
        <f t="shared" si="152"/>
        <v>0</v>
      </c>
      <c r="P1016" s="638" t="e">
        <f>PI()*(F1016*(J1016+C978)-E1016*(K1016+C978))/(((J1016+C978)*(I1016+C978))-((H1016+C978)*(K1016+C978)))</f>
        <v>#N/A</v>
      </c>
      <c r="Q1016" s="639">
        <f t="shared" si="153"/>
        <v>0</v>
      </c>
      <c r="R1016" s="638" t="e">
        <f>(E1016*PI()-P1016*(H1016+C978))/(J1016+C978)</f>
        <v>#N/A</v>
      </c>
      <c r="S1016" s="641">
        <f t="shared" si="154"/>
        <v>360</v>
      </c>
      <c r="T1016" s="247" t="e">
        <f t="shared" si="148"/>
        <v>#N/A</v>
      </c>
      <c r="U1016" s="206" t="e">
        <f t="shared" si="149"/>
        <v>#N/A</v>
      </c>
      <c r="V1016" s="206" t="e">
        <f t="shared" si="150"/>
        <v>#N/A</v>
      </c>
      <c r="W1016" s="196"/>
      <c r="X1016" s="152"/>
      <c r="Z1016" s="198"/>
      <c r="AA1016" s="198"/>
    </row>
    <row r="1017" spans="1:27" s="197" customFormat="1" ht="15" customHeight="1">
      <c r="A1017" s="226"/>
      <c r="B1017" s="179" t="s">
        <v>1054</v>
      </c>
      <c r="C1017" s="312">
        <f>C1016+2*SIN(RADIANS(M982))*(N975+C978)</f>
        <v>0</v>
      </c>
      <c r="D1017" s="337">
        <f>(C1017-(SIN(RADIANS(M982))*N975)-(COS(RADIANS(M982))*O975))*PI()/MEDIAN(U975:V979,P975:Q979)</f>
        <v>-4.7123889803846897</v>
      </c>
      <c r="E1017" s="337" t="e">
        <f>(C1017*PI()-N1017*(G1017+C978))/PI()</f>
        <v>#N/A</v>
      </c>
      <c r="F1017" s="337" t="e">
        <f>E1017-2*O975*COS(RADIANS(M982))</f>
        <v>#N/A</v>
      </c>
      <c r="G1017" s="339" t="e">
        <f>ROUND(VLOOKUP(M1017,R975:V979,4,FALSE),)</f>
        <v>#N/A</v>
      </c>
      <c r="H1017" s="339" t="e">
        <f>ROUND(VLOOKUP(O1017,M975:Q979,4,FALSE),)</f>
        <v>#N/A</v>
      </c>
      <c r="I1017" s="339" t="e">
        <f>ROUND(VLOOKUP(O1017,M975:Q979,5,FALSE),)</f>
        <v>#N/A</v>
      </c>
      <c r="J1017" s="339" t="e">
        <f>ROUND(VLOOKUP(Q1017,M975:Q979,4,FALSE),)</f>
        <v>#N/A</v>
      </c>
      <c r="K1017" s="339" t="e">
        <f>ROUND(VLOOKUP(Q1017,M975:Q979,5,FALSE),)</f>
        <v>#N/A</v>
      </c>
      <c r="L1017" s="636">
        <f t="shared" si="147"/>
        <v>-1.5707963267948966</v>
      </c>
      <c r="M1017" s="639">
        <f t="shared" si="151"/>
        <v>0</v>
      </c>
      <c r="N1017" s="637" t="e">
        <f>ROUND(HLOOKUP(M1017,N981:R982,2,FALSE),)</f>
        <v>#N/A</v>
      </c>
      <c r="O1017" s="639">
        <f t="shared" si="152"/>
        <v>0</v>
      </c>
      <c r="P1017" s="638" t="e">
        <f>PI()*(F1017*(J1017+C978)-E1017*(K1017+C978))/(((J1017+C978)*(I1017+C978))-((H1017+C978)*(K1017+C978)))</f>
        <v>#N/A</v>
      </c>
      <c r="Q1017" s="639">
        <f t="shared" si="153"/>
        <v>0</v>
      </c>
      <c r="R1017" s="638" t="e">
        <f>(E1017*PI()-P1017*(H1017+C978))/(J1017+C978)</f>
        <v>#N/A</v>
      </c>
      <c r="S1017" s="641">
        <f t="shared" si="154"/>
        <v>360</v>
      </c>
      <c r="T1017" s="247" t="e">
        <f t="shared" si="148"/>
        <v>#N/A</v>
      </c>
      <c r="U1017" s="206" t="e">
        <f t="shared" si="149"/>
        <v>#N/A</v>
      </c>
      <c r="V1017" s="206" t="e">
        <f t="shared" si="150"/>
        <v>#N/A</v>
      </c>
      <c r="W1017" s="196"/>
      <c r="X1017" s="152"/>
      <c r="Z1017" s="198"/>
      <c r="AA1017" s="198"/>
    </row>
    <row r="1018" spans="1:27" s="197" customFormat="1" ht="15" customHeight="1">
      <c r="A1018" s="226"/>
      <c r="B1018" s="179" t="s">
        <v>1055</v>
      </c>
      <c r="C1018" s="312">
        <f>C1017+2*SIN(RADIANS(M982))*(N975+C978)</f>
        <v>0</v>
      </c>
      <c r="D1018" s="337">
        <f>(C1018-(SIN(RADIANS(M982))*N975)-(COS(RADIANS(M982))*O975))*PI()/MEDIAN(U975:V979,P975:Q979)</f>
        <v>-4.7123889803846897</v>
      </c>
      <c r="E1018" s="337" t="e">
        <f>(C1018*PI()-N1018*(G1018+C978))/PI()</f>
        <v>#N/A</v>
      </c>
      <c r="F1018" s="337" t="e">
        <f>E1018-2*O975*COS(RADIANS(M982))</f>
        <v>#N/A</v>
      </c>
      <c r="G1018" s="339" t="e">
        <f>ROUND(VLOOKUP(M1018,R975:V979,4,FALSE),)</f>
        <v>#N/A</v>
      </c>
      <c r="H1018" s="339" t="e">
        <f>ROUND(VLOOKUP(O1018,M975:Q979,4,FALSE),)</f>
        <v>#N/A</v>
      </c>
      <c r="I1018" s="339" t="e">
        <f>ROUND(VLOOKUP(O1018,M975:Q979,5,FALSE),)</f>
        <v>#N/A</v>
      </c>
      <c r="J1018" s="339" t="e">
        <f>ROUND(VLOOKUP(Q1018,M975:Q979,4,FALSE),)</f>
        <v>#N/A</v>
      </c>
      <c r="K1018" s="339" t="e">
        <f>ROUND(VLOOKUP(Q1018,M975:Q979,5,FALSE),)</f>
        <v>#N/A</v>
      </c>
      <c r="L1018" s="636">
        <f t="shared" si="147"/>
        <v>-1.5707963267948966</v>
      </c>
      <c r="M1018" s="639">
        <f t="shared" si="151"/>
        <v>0</v>
      </c>
      <c r="N1018" s="637" t="e">
        <f>ROUND(HLOOKUP(M1018,N981:R982,2,FALSE),)</f>
        <v>#N/A</v>
      </c>
      <c r="O1018" s="639">
        <f t="shared" si="152"/>
        <v>0</v>
      </c>
      <c r="P1018" s="638" t="e">
        <f>PI()*(F1018*(J1018+C978)-E1018*(K1018+C978))/(((J1018+C978)*(I1018+C978))-((H1018+C978)*(K1018+C978)))</f>
        <v>#N/A</v>
      </c>
      <c r="Q1018" s="639">
        <f t="shared" si="153"/>
        <v>0</v>
      </c>
      <c r="R1018" s="638" t="e">
        <f>(E1018*PI()-P1018*(H1018+C978))/(J1018+C978)</f>
        <v>#N/A</v>
      </c>
      <c r="S1018" s="641">
        <f t="shared" si="154"/>
        <v>360</v>
      </c>
      <c r="T1018" s="247" t="e">
        <f t="shared" si="148"/>
        <v>#N/A</v>
      </c>
      <c r="U1018" s="206" t="e">
        <f t="shared" si="149"/>
        <v>#N/A</v>
      </c>
      <c r="V1018" s="206" t="e">
        <f t="shared" si="150"/>
        <v>#N/A</v>
      </c>
      <c r="W1018" s="196"/>
      <c r="X1018" s="152"/>
      <c r="Z1018" s="198"/>
      <c r="AA1018" s="198"/>
    </row>
    <row r="1019" spans="1:27" s="197" customFormat="1" ht="15" customHeight="1">
      <c r="A1019" s="226"/>
      <c r="B1019" s="179" t="s">
        <v>1056</v>
      </c>
      <c r="C1019" s="312">
        <f>C1018+2*SIN(RADIANS(M982))*(N975+C978)</f>
        <v>0</v>
      </c>
      <c r="D1019" s="337">
        <f>(C1019-(SIN(RADIANS(M982))*N975)-(COS(RADIANS(M982))*O975))*PI()/MEDIAN(U975:V979,P975:Q979)</f>
        <v>-4.7123889803846897</v>
      </c>
      <c r="E1019" s="337" t="e">
        <f>(C1019*PI()-N1019*(G1019+C978))/PI()</f>
        <v>#N/A</v>
      </c>
      <c r="F1019" s="337" t="e">
        <f>E1019-2*O975*COS(RADIANS(M982))</f>
        <v>#N/A</v>
      </c>
      <c r="G1019" s="339" t="e">
        <f>ROUND(VLOOKUP(M1019,R975:V979,4,FALSE),)</f>
        <v>#N/A</v>
      </c>
      <c r="H1019" s="339" t="e">
        <f>ROUND(VLOOKUP(O1019,M975:Q979,4,FALSE),)</f>
        <v>#N/A</v>
      </c>
      <c r="I1019" s="339" t="e">
        <f>ROUND(VLOOKUP(O1019,M975:Q979,5,FALSE),)</f>
        <v>#N/A</v>
      </c>
      <c r="J1019" s="339" t="e">
        <f>ROUND(VLOOKUP(Q1019,M975:Q979,4,FALSE),)</f>
        <v>#N/A</v>
      </c>
      <c r="K1019" s="339" t="e">
        <f>ROUND(VLOOKUP(Q1019,M975:Q979,5,FALSE),)</f>
        <v>#N/A</v>
      </c>
      <c r="L1019" s="636">
        <f t="shared" si="147"/>
        <v>-1.5707963267948966</v>
      </c>
      <c r="M1019" s="639">
        <f t="shared" si="151"/>
        <v>0</v>
      </c>
      <c r="N1019" s="637" t="e">
        <f>ROUND(HLOOKUP(M1019,N981:R982,2,FALSE),)</f>
        <v>#N/A</v>
      </c>
      <c r="O1019" s="639">
        <f t="shared" si="152"/>
        <v>0</v>
      </c>
      <c r="P1019" s="638" t="e">
        <f>PI()*(F1019*(J1019+C978)-E1019*(K1019+C978))/(((J1019+C978)*(I1019+C978))-((H1019+C978)*(K1019+C978)))</f>
        <v>#N/A</v>
      </c>
      <c r="Q1019" s="639">
        <f t="shared" si="153"/>
        <v>0</v>
      </c>
      <c r="R1019" s="638" t="e">
        <f>(E1019*PI()-P1019*(H1019+C978))/(J1019+C978)</f>
        <v>#N/A</v>
      </c>
      <c r="S1019" s="641">
        <f t="shared" si="154"/>
        <v>360</v>
      </c>
      <c r="T1019" s="247" t="e">
        <f t="shared" si="148"/>
        <v>#N/A</v>
      </c>
      <c r="U1019" s="206" t="e">
        <f t="shared" si="149"/>
        <v>#N/A</v>
      </c>
      <c r="V1019" s="206" t="e">
        <f t="shared" si="150"/>
        <v>#N/A</v>
      </c>
      <c r="W1019" s="196"/>
      <c r="X1019" s="152"/>
      <c r="Z1019" s="198"/>
      <c r="AA1019" s="198"/>
    </row>
    <row r="1020" spans="1:27" s="197" customFormat="1" ht="15" customHeight="1">
      <c r="A1020" s="226"/>
      <c r="B1020" s="179" t="s">
        <v>1057</v>
      </c>
      <c r="C1020" s="312">
        <f>C1019+2*SIN(RADIANS(M982))*(N975+C978)</f>
        <v>0</v>
      </c>
      <c r="D1020" s="337">
        <f>(C1020-(SIN(RADIANS(M982))*N975)-(COS(RADIANS(M982))*O975))*PI()/MEDIAN(U975:V979,P975:Q979)</f>
        <v>-4.7123889803846897</v>
      </c>
      <c r="E1020" s="337" t="e">
        <f>(C1020*PI()-N1020*(G1020+C978))/PI()</f>
        <v>#N/A</v>
      </c>
      <c r="F1020" s="337" t="e">
        <f>E1020-2*O975*COS(RADIANS(M982))</f>
        <v>#N/A</v>
      </c>
      <c r="G1020" s="339" t="e">
        <f>ROUND(VLOOKUP(M1020,R975:V979,4,FALSE),)</f>
        <v>#N/A</v>
      </c>
      <c r="H1020" s="339" t="e">
        <f>ROUND(VLOOKUP(O1020,M975:Q979,4,FALSE),)</f>
        <v>#N/A</v>
      </c>
      <c r="I1020" s="339" t="e">
        <f>ROUND(VLOOKUP(O1020,M975:Q979,5,FALSE),)</f>
        <v>#N/A</v>
      </c>
      <c r="J1020" s="339" t="e">
        <f>ROUND(VLOOKUP(Q1020,M975:Q979,4,FALSE),)</f>
        <v>#N/A</v>
      </c>
      <c r="K1020" s="339" t="e">
        <f>ROUND(VLOOKUP(Q1020,M975:Q979,5,FALSE),)</f>
        <v>#N/A</v>
      </c>
      <c r="L1020" s="636">
        <f t="shared" si="147"/>
        <v>-1.5707963267948966</v>
      </c>
      <c r="M1020" s="639">
        <f t="shared" si="151"/>
        <v>0</v>
      </c>
      <c r="N1020" s="637" t="e">
        <f>ROUND(HLOOKUP(M1020,N981:R982,2,FALSE),)</f>
        <v>#N/A</v>
      </c>
      <c r="O1020" s="639">
        <f t="shared" si="152"/>
        <v>0</v>
      </c>
      <c r="P1020" s="638" t="e">
        <f>PI()*(F1020*(J1020+C978)-E1020*(K1020+C978))/(((J1020+C978)*(I1020+C978))-((H1020+C978)*(K1020+C978)))</f>
        <v>#N/A</v>
      </c>
      <c r="Q1020" s="639">
        <f t="shared" si="153"/>
        <v>0</v>
      </c>
      <c r="R1020" s="638" t="e">
        <f>(E1020*PI()-P1020*(H1020+C978))/(J1020+C978)</f>
        <v>#N/A</v>
      </c>
      <c r="S1020" s="641">
        <f t="shared" si="154"/>
        <v>360</v>
      </c>
      <c r="T1020" s="247" t="e">
        <f t="shared" si="148"/>
        <v>#N/A</v>
      </c>
      <c r="U1020" s="206" t="e">
        <f t="shared" si="149"/>
        <v>#N/A</v>
      </c>
      <c r="V1020" s="206" t="e">
        <f t="shared" si="150"/>
        <v>#N/A</v>
      </c>
      <c r="W1020" s="196"/>
      <c r="X1020" s="152"/>
      <c r="Z1020" s="198"/>
      <c r="AA1020" s="198"/>
    </row>
    <row r="1021" spans="1:27" s="197" customFormat="1" ht="15" customHeight="1">
      <c r="A1021" s="226"/>
      <c r="B1021" s="179" t="s">
        <v>1058</v>
      </c>
      <c r="C1021" s="312">
        <f>C1020+2*SIN(RADIANS(M982))*(N975+C978)</f>
        <v>0</v>
      </c>
      <c r="D1021" s="337">
        <f>(C1021-(SIN(RADIANS(M982))*N975)-(COS(RADIANS(M982))*O975))*PI()/MEDIAN(U975:V979,P975:Q979)</f>
        <v>-4.7123889803846897</v>
      </c>
      <c r="E1021" s="337" t="e">
        <f>(C1021*PI()-N1021*(G1021+C978))/PI()</f>
        <v>#N/A</v>
      </c>
      <c r="F1021" s="337" t="e">
        <f>E1021-2*O975*COS(RADIANS(M982))</f>
        <v>#N/A</v>
      </c>
      <c r="G1021" s="339" t="e">
        <f>ROUND(VLOOKUP(M1021,R975:V979,4,FALSE),)</f>
        <v>#N/A</v>
      </c>
      <c r="H1021" s="339" t="e">
        <f>ROUND(VLOOKUP(O1021,M975:Q979,4,FALSE),)</f>
        <v>#N/A</v>
      </c>
      <c r="I1021" s="339" t="e">
        <f>ROUND(VLOOKUP(O1021,M975:Q979,5,FALSE),)</f>
        <v>#N/A</v>
      </c>
      <c r="J1021" s="339" t="e">
        <f>ROUND(VLOOKUP(Q1021,M975:Q979,4,FALSE),)</f>
        <v>#N/A</v>
      </c>
      <c r="K1021" s="339" t="e">
        <f>ROUND(VLOOKUP(Q1021,M975:Q979,5,FALSE),)</f>
        <v>#N/A</v>
      </c>
      <c r="L1021" s="636">
        <f t="shared" si="147"/>
        <v>-1.5707963267948966</v>
      </c>
      <c r="M1021" s="639">
        <f t="shared" si="151"/>
        <v>0</v>
      </c>
      <c r="N1021" s="637" t="e">
        <f>ROUND(HLOOKUP(M1021,N981:R982,2,FALSE),)</f>
        <v>#N/A</v>
      </c>
      <c r="O1021" s="639">
        <f t="shared" si="152"/>
        <v>0</v>
      </c>
      <c r="P1021" s="638" t="e">
        <f>PI()*(F1021*(J1021+C978)-E1021*(K1021+C978))/(((J1021+C978)*(I1021+C978))-((H1021+C978)*(K1021+C978)))</f>
        <v>#N/A</v>
      </c>
      <c r="Q1021" s="639">
        <f t="shared" si="153"/>
        <v>0</v>
      </c>
      <c r="R1021" s="638" t="e">
        <f>(E1021*PI()-P1021*(H1021+C978))/(J1021+C978)</f>
        <v>#N/A</v>
      </c>
      <c r="S1021" s="641">
        <f t="shared" si="154"/>
        <v>360</v>
      </c>
      <c r="T1021" s="247" t="e">
        <f t="shared" si="148"/>
        <v>#N/A</v>
      </c>
      <c r="U1021" s="206" t="e">
        <f t="shared" si="149"/>
        <v>#N/A</v>
      </c>
      <c r="V1021" s="206" t="e">
        <f t="shared" si="150"/>
        <v>#N/A</v>
      </c>
      <c r="W1021" s="196"/>
      <c r="X1021" s="152"/>
      <c r="Z1021" s="198"/>
      <c r="AA1021" s="198"/>
    </row>
    <row r="1022" spans="1:27" s="197" customFormat="1" ht="15" customHeight="1">
      <c r="A1022" s="226"/>
      <c r="B1022" s="179" t="s">
        <v>1059</v>
      </c>
      <c r="C1022" s="312">
        <f>C1021+2*SIN(RADIANS(M982))*(N975+C978)</f>
        <v>0</v>
      </c>
      <c r="D1022" s="337">
        <f>(C1022-(SIN(RADIANS(M982))*N975)-(COS(RADIANS(M982))*O975))*PI()/MEDIAN(U975:V979,P975:Q979)</f>
        <v>-4.7123889803846897</v>
      </c>
      <c r="E1022" s="337" t="e">
        <f>(C1022*PI()-N1022*(G1022+C978))/PI()</f>
        <v>#N/A</v>
      </c>
      <c r="F1022" s="337" t="e">
        <f>E1022-2*O975*COS(RADIANS(M982))</f>
        <v>#N/A</v>
      </c>
      <c r="G1022" s="339" t="e">
        <f>ROUND(VLOOKUP(M1022,R975:V979,4,FALSE),)</f>
        <v>#N/A</v>
      </c>
      <c r="H1022" s="339" t="e">
        <f>ROUND(VLOOKUP(O1022,M975:Q979,4,FALSE),)</f>
        <v>#N/A</v>
      </c>
      <c r="I1022" s="339" t="e">
        <f>ROUND(VLOOKUP(O1022,M975:Q979,5,FALSE),)</f>
        <v>#N/A</v>
      </c>
      <c r="J1022" s="339" t="e">
        <f>ROUND(VLOOKUP(Q1022,M975:Q979,4,FALSE),)</f>
        <v>#N/A</v>
      </c>
      <c r="K1022" s="339" t="e">
        <f>ROUND(VLOOKUP(Q1022,M975:Q979,5,FALSE),)</f>
        <v>#N/A</v>
      </c>
      <c r="L1022" s="636">
        <f t="shared" si="147"/>
        <v>-1.5707963267948966</v>
      </c>
      <c r="M1022" s="639">
        <f t="shared" si="151"/>
        <v>0</v>
      </c>
      <c r="N1022" s="637" t="e">
        <f>ROUND(HLOOKUP(M1022,N981:R982,2,FALSE),)</f>
        <v>#N/A</v>
      </c>
      <c r="O1022" s="639">
        <f t="shared" si="152"/>
        <v>0</v>
      </c>
      <c r="P1022" s="638" t="e">
        <f>PI()*(F1022*(J1022+C978)-E1022*(K1022+C978))/(((J1022+C978)*(I1022+C978))-((H1022+C978)*(K1022+C978)))</f>
        <v>#N/A</v>
      </c>
      <c r="Q1022" s="639">
        <f t="shared" si="153"/>
        <v>0</v>
      </c>
      <c r="R1022" s="638" t="e">
        <f>(E1022*PI()-P1022*(H1022+C978))/(J1022+C978)</f>
        <v>#N/A</v>
      </c>
      <c r="S1022" s="641">
        <f t="shared" si="154"/>
        <v>360</v>
      </c>
      <c r="T1022" s="247" t="e">
        <f t="shared" si="148"/>
        <v>#N/A</v>
      </c>
      <c r="U1022" s="206" t="e">
        <f t="shared" si="149"/>
        <v>#N/A</v>
      </c>
      <c r="V1022" s="206" t="e">
        <f t="shared" si="150"/>
        <v>#N/A</v>
      </c>
      <c r="W1022" s="196"/>
      <c r="X1022" s="152"/>
      <c r="Z1022" s="198"/>
      <c r="AA1022" s="198"/>
    </row>
    <row r="1023" spans="1:27" s="197" customFormat="1" ht="15" customHeight="1">
      <c r="A1023" s="226"/>
      <c r="B1023" s="179" t="s">
        <v>1060</v>
      </c>
      <c r="C1023" s="312">
        <f>C1022+2*SIN(RADIANS(M982))*(N975+C978)</f>
        <v>0</v>
      </c>
      <c r="D1023" s="337">
        <f>(C1023-(SIN(RADIANS(M982))*N975)-(COS(RADIANS(M982))*O975))*PI()/MEDIAN(U975:V979,P975:Q979)</f>
        <v>-4.7123889803846897</v>
      </c>
      <c r="E1023" s="337" t="e">
        <f>(C1023*PI()-N1023*(G1023+C978))/PI()</f>
        <v>#N/A</v>
      </c>
      <c r="F1023" s="337" t="e">
        <f>E1023-2*O975*COS(RADIANS(M982))</f>
        <v>#N/A</v>
      </c>
      <c r="G1023" s="339" t="e">
        <f>ROUND(VLOOKUP(M1023,R975:V979,4,FALSE),)</f>
        <v>#N/A</v>
      </c>
      <c r="H1023" s="339" t="e">
        <f>ROUND(VLOOKUP(O1023,M975:Q979,4,FALSE),)</f>
        <v>#N/A</v>
      </c>
      <c r="I1023" s="339" t="e">
        <f>ROUND(VLOOKUP(O1023,M975:Q979,5,FALSE),)</f>
        <v>#N/A</v>
      </c>
      <c r="J1023" s="339" t="e">
        <f>ROUND(VLOOKUP(Q1023,M975:Q979,4,FALSE),)</f>
        <v>#N/A</v>
      </c>
      <c r="K1023" s="339" t="e">
        <f>ROUND(VLOOKUP(Q1023,M975:Q979,5,FALSE),)</f>
        <v>#N/A</v>
      </c>
      <c r="L1023" s="636">
        <f t="shared" si="147"/>
        <v>-1.5707963267948966</v>
      </c>
      <c r="M1023" s="639">
        <f t="shared" si="151"/>
        <v>0</v>
      </c>
      <c r="N1023" s="637" t="e">
        <f>ROUND(HLOOKUP(M1023,N981:R982,2,FALSE),)</f>
        <v>#N/A</v>
      </c>
      <c r="O1023" s="639">
        <f t="shared" si="152"/>
        <v>0</v>
      </c>
      <c r="P1023" s="638" t="e">
        <f>PI()*(F1023*(J1023+C978)-E1023*(K1023+C978))/(((J1023+C978)*(I1023+C978))-((H1023+C978)*(K1023+C978)))</f>
        <v>#N/A</v>
      </c>
      <c r="Q1023" s="639">
        <f t="shared" si="153"/>
        <v>0</v>
      </c>
      <c r="R1023" s="638" t="e">
        <f>(E1023*PI()-P1023*(H1023+C978))/(J1023+C978)</f>
        <v>#N/A</v>
      </c>
      <c r="S1023" s="641">
        <f t="shared" si="154"/>
        <v>360</v>
      </c>
      <c r="T1023" s="247" t="e">
        <f t="shared" si="148"/>
        <v>#N/A</v>
      </c>
      <c r="U1023" s="206" t="e">
        <f t="shared" si="149"/>
        <v>#N/A</v>
      </c>
      <c r="V1023" s="206" t="e">
        <f t="shared" si="150"/>
        <v>#N/A</v>
      </c>
      <c r="W1023" s="196"/>
      <c r="X1023" s="152"/>
      <c r="Z1023" s="198"/>
      <c r="AA1023" s="198"/>
    </row>
    <row r="1024" spans="1:27" s="197" customFormat="1" ht="15" customHeight="1">
      <c r="A1024" s="226"/>
      <c r="B1024" s="179" t="s">
        <v>1061</v>
      </c>
      <c r="C1024" s="312">
        <f>C1023+2*SIN(RADIANS(M982))*(N975+C978)</f>
        <v>0</v>
      </c>
      <c r="D1024" s="337">
        <f>(C1024-(SIN(RADIANS(M982))*N975)-(COS(RADIANS(M982))*O975))*PI()/MEDIAN(U975:V979,P975:Q979)</f>
        <v>-4.7123889803846897</v>
      </c>
      <c r="E1024" s="337" t="e">
        <f>(C1024*PI()-N1024*(G1024+C978))/PI()</f>
        <v>#N/A</v>
      </c>
      <c r="F1024" s="337" t="e">
        <f>E1024-2*O975*COS(RADIANS(M982))</f>
        <v>#N/A</v>
      </c>
      <c r="G1024" s="339" t="e">
        <f>ROUND(VLOOKUP(M1024,R975:V979,4,FALSE),)</f>
        <v>#N/A</v>
      </c>
      <c r="H1024" s="339" t="e">
        <f>ROUND(VLOOKUP(O1024,M975:Q979,4,FALSE),)</f>
        <v>#N/A</v>
      </c>
      <c r="I1024" s="339" t="e">
        <f>ROUND(VLOOKUP(O1024,M975:Q979,5,FALSE),)</f>
        <v>#N/A</v>
      </c>
      <c r="J1024" s="339" t="e">
        <f>ROUND(VLOOKUP(Q1024,M975:Q979,4,FALSE),)</f>
        <v>#N/A</v>
      </c>
      <c r="K1024" s="339" t="e">
        <f>ROUND(VLOOKUP(Q1024,M975:Q979,5,FALSE),)</f>
        <v>#N/A</v>
      </c>
      <c r="L1024" s="636">
        <f t="shared" si="147"/>
        <v>-1.5707963267948966</v>
      </c>
      <c r="M1024" s="639">
        <f t="shared" si="151"/>
        <v>0</v>
      </c>
      <c r="N1024" s="637" t="e">
        <f>ROUND(HLOOKUP(M1024,N981:R982,2,FALSE),)</f>
        <v>#N/A</v>
      </c>
      <c r="O1024" s="639">
        <f t="shared" si="152"/>
        <v>0</v>
      </c>
      <c r="P1024" s="638" t="e">
        <f>PI()*(F1024*(J1024+C978)-E1024*(K1024+C978))/(((J1024+C978)*(I1024+C978))-((H1024+C978)*(K1024+C978)))</f>
        <v>#N/A</v>
      </c>
      <c r="Q1024" s="639">
        <f t="shared" si="153"/>
        <v>0</v>
      </c>
      <c r="R1024" s="638" t="e">
        <f>(E1024*PI()-P1024*(H1024+C978))/(J1024+C978)</f>
        <v>#N/A</v>
      </c>
      <c r="S1024" s="641">
        <f t="shared" si="154"/>
        <v>360</v>
      </c>
      <c r="T1024" s="247" t="e">
        <f t="shared" si="148"/>
        <v>#N/A</v>
      </c>
      <c r="U1024" s="206" t="e">
        <f t="shared" si="149"/>
        <v>#N/A</v>
      </c>
      <c r="V1024" s="206" t="e">
        <f t="shared" si="150"/>
        <v>#N/A</v>
      </c>
      <c r="W1024" s="196"/>
      <c r="X1024" s="152"/>
      <c r="Z1024" s="198"/>
      <c r="AA1024" s="198"/>
    </row>
    <row r="1025" spans="1:27" s="197" customFormat="1" ht="15" customHeight="1">
      <c r="A1025" s="226"/>
      <c r="B1025" s="179" t="s">
        <v>1062</v>
      </c>
      <c r="C1025" s="312">
        <f>C1024+2*SIN(RADIANS(M982))*(N975+C978)</f>
        <v>0</v>
      </c>
      <c r="D1025" s="337">
        <f>(C1025-(SIN(RADIANS(M982))*N975)-(COS(RADIANS(M982))*O975))*PI()/MEDIAN(U975:V979,P975:Q979)</f>
        <v>-4.7123889803846897</v>
      </c>
      <c r="E1025" s="337" t="e">
        <f>(C1025*PI()-N1025*(G1025+C978))/PI()</f>
        <v>#N/A</v>
      </c>
      <c r="F1025" s="337" t="e">
        <f>E1025-2*O975*COS(RADIANS(M982))</f>
        <v>#N/A</v>
      </c>
      <c r="G1025" s="339" t="e">
        <f>ROUND(VLOOKUP(M1025,R975:V979,4,FALSE),)</f>
        <v>#N/A</v>
      </c>
      <c r="H1025" s="339" t="e">
        <f>ROUND(VLOOKUP(O1025,M975:Q979,4,FALSE),)</f>
        <v>#N/A</v>
      </c>
      <c r="I1025" s="339" t="e">
        <f>ROUND(VLOOKUP(O1025,M975:Q979,5,FALSE),)</f>
        <v>#N/A</v>
      </c>
      <c r="J1025" s="339" t="e">
        <f>ROUND(VLOOKUP(Q1025,M975:Q979,4,FALSE),)</f>
        <v>#N/A</v>
      </c>
      <c r="K1025" s="339" t="e">
        <f>ROUND(VLOOKUP(Q1025,M975:Q979,5,FALSE),)</f>
        <v>#N/A</v>
      </c>
      <c r="L1025" s="636">
        <f t="shared" si="147"/>
        <v>-1.5707963267948966</v>
      </c>
      <c r="M1025" s="639">
        <f t="shared" si="151"/>
        <v>0</v>
      </c>
      <c r="N1025" s="637" t="e">
        <f>ROUND(HLOOKUP(M1025,N981:R982,2,FALSE),)</f>
        <v>#N/A</v>
      </c>
      <c r="O1025" s="639">
        <f t="shared" si="152"/>
        <v>0</v>
      </c>
      <c r="P1025" s="638" t="e">
        <f>PI()*(F1025*(J1025+C978)-E1025*(K1025+C978))/(((J1025+C978)*(I1025+C978))-((H1025+C978)*(K1025+C978)))</f>
        <v>#N/A</v>
      </c>
      <c r="Q1025" s="639">
        <f t="shared" si="153"/>
        <v>0</v>
      </c>
      <c r="R1025" s="638" t="e">
        <f>(E1025*PI()-P1025*(H1025+C978))/(J1025+C978)</f>
        <v>#N/A</v>
      </c>
      <c r="S1025" s="641">
        <f t="shared" si="154"/>
        <v>360</v>
      </c>
      <c r="T1025" s="247" t="e">
        <f t="shared" si="148"/>
        <v>#N/A</v>
      </c>
      <c r="U1025" s="206" t="e">
        <f t="shared" si="149"/>
        <v>#N/A</v>
      </c>
      <c r="V1025" s="206" t="e">
        <f t="shared" si="150"/>
        <v>#N/A</v>
      </c>
      <c r="W1025" s="196"/>
      <c r="X1025" s="152"/>
      <c r="Z1025" s="198"/>
      <c r="AA1025" s="198"/>
    </row>
    <row r="1026" spans="1:27" s="197" customFormat="1" ht="15" customHeight="1">
      <c r="A1026" s="226"/>
      <c r="B1026" s="179" t="s">
        <v>1063</v>
      </c>
      <c r="C1026" s="312">
        <f>C1025+2*SIN(RADIANS(M982))*(N975+C978)</f>
        <v>0</v>
      </c>
      <c r="D1026" s="337">
        <f>(C1026-(SIN(RADIANS(M982))*N975)-(COS(RADIANS(M982))*O975))*PI()/MEDIAN(U975:V979,P975:Q979)</f>
        <v>-4.7123889803846897</v>
      </c>
      <c r="E1026" s="337" t="e">
        <f>(C1026*PI()-N1026*(G1026+C978))/PI()</f>
        <v>#N/A</v>
      </c>
      <c r="F1026" s="337" t="e">
        <f>E1026-2*O975*COS(RADIANS(M982))</f>
        <v>#N/A</v>
      </c>
      <c r="G1026" s="339" t="e">
        <f>ROUND(VLOOKUP(M1026,R975:V979,4,FALSE),)</f>
        <v>#N/A</v>
      </c>
      <c r="H1026" s="339" t="e">
        <f>ROUND(VLOOKUP(O1026,M975:Q979,4,FALSE),)</f>
        <v>#N/A</v>
      </c>
      <c r="I1026" s="339" t="e">
        <f>ROUND(VLOOKUP(O1026,M975:Q979,5,FALSE),)</f>
        <v>#N/A</v>
      </c>
      <c r="J1026" s="339" t="e">
        <f>ROUND(VLOOKUP(Q1026,M975:Q979,4,FALSE),)</f>
        <v>#N/A</v>
      </c>
      <c r="K1026" s="339" t="e">
        <f>ROUND(VLOOKUP(Q1026,M975:Q979,5,FALSE),)</f>
        <v>#N/A</v>
      </c>
      <c r="L1026" s="636">
        <f t="shared" si="147"/>
        <v>-1.5707963267948966</v>
      </c>
      <c r="M1026" s="639">
        <f t="shared" si="151"/>
        <v>0</v>
      </c>
      <c r="N1026" s="637" t="e">
        <f>ROUND(HLOOKUP(M1026,N981:R982,2,FALSE),)</f>
        <v>#N/A</v>
      </c>
      <c r="O1026" s="639">
        <f t="shared" si="152"/>
        <v>0</v>
      </c>
      <c r="P1026" s="638" t="e">
        <f>PI()*(F1026*(J1026+C978)-E1026*(K1026+C978))/(((J1026+C978)*(I1026+C978))-((H1026+C978)*(K1026+C978)))</f>
        <v>#N/A</v>
      </c>
      <c r="Q1026" s="639">
        <f t="shared" si="153"/>
        <v>0</v>
      </c>
      <c r="R1026" s="638" t="e">
        <f>(E1026*PI()-P1026*(H1026+C978))/(J1026+C978)</f>
        <v>#N/A</v>
      </c>
      <c r="S1026" s="641">
        <f t="shared" si="154"/>
        <v>360</v>
      </c>
      <c r="T1026" s="247" t="e">
        <f t="shared" si="148"/>
        <v>#N/A</v>
      </c>
      <c r="U1026" s="206" t="e">
        <f t="shared" si="149"/>
        <v>#N/A</v>
      </c>
      <c r="V1026" s="206" t="e">
        <f t="shared" si="150"/>
        <v>#N/A</v>
      </c>
      <c r="W1026" s="196"/>
      <c r="X1026" s="152"/>
      <c r="Z1026" s="198"/>
      <c r="AA1026" s="198"/>
    </row>
    <row r="1027" spans="1:27" s="197" customFormat="1" ht="15" customHeight="1">
      <c r="A1027" s="226"/>
      <c r="B1027" s="179" t="s">
        <v>1064</v>
      </c>
      <c r="C1027" s="312">
        <f>C1026+2*SIN(RADIANS(M982))*(N975+C978)</f>
        <v>0</v>
      </c>
      <c r="D1027" s="337">
        <f>(C1027-(SIN(RADIANS(M982))*N975)-(COS(RADIANS(M982))*O975))*PI()/MEDIAN(U975:V979,P975:Q979)</f>
        <v>-4.7123889803846897</v>
      </c>
      <c r="E1027" s="337" t="e">
        <f>(C1027*PI()-N1027*(G1027+C978))/PI()</f>
        <v>#N/A</v>
      </c>
      <c r="F1027" s="337" t="e">
        <f>E1027-2*O975*COS(RADIANS(M982))</f>
        <v>#N/A</v>
      </c>
      <c r="G1027" s="339" t="e">
        <f>ROUND(VLOOKUP(M1027,R975:V979,4,FALSE),)</f>
        <v>#N/A</v>
      </c>
      <c r="H1027" s="339" t="e">
        <f>ROUND(VLOOKUP(O1027,M975:Q979,4,FALSE),)</f>
        <v>#N/A</v>
      </c>
      <c r="I1027" s="339" t="e">
        <f>ROUND(VLOOKUP(O1027,M975:Q979,5,FALSE),)</f>
        <v>#N/A</v>
      </c>
      <c r="J1027" s="339" t="e">
        <f>ROUND(VLOOKUP(Q1027,M975:Q979,4,FALSE),)</f>
        <v>#N/A</v>
      </c>
      <c r="K1027" s="339" t="e">
        <f>ROUND(VLOOKUP(Q1027,M975:Q979,5,FALSE),)</f>
        <v>#N/A</v>
      </c>
      <c r="L1027" s="636">
        <f t="shared" si="147"/>
        <v>-1.5707963267948966</v>
      </c>
      <c r="M1027" s="639">
        <f t="shared" si="151"/>
        <v>0</v>
      </c>
      <c r="N1027" s="637" t="e">
        <f>ROUND(HLOOKUP(M1027,N981:R982,2,FALSE),)</f>
        <v>#N/A</v>
      </c>
      <c r="O1027" s="639">
        <f t="shared" si="152"/>
        <v>0</v>
      </c>
      <c r="P1027" s="638" t="e">
        <f>PI()*(F1027*(J1027+C978)-E1027*(K1027+C978))/(((J1027+C978)*(I1027+C978))-((H1027+C978)*(K1027+C978)))</f>
        <v>#N/A</v>
      </c>
      <c r="Q1027" s="639">
        <f t="shared" si="153"/>
        <v>0</v>
      </c>
      <c r="R1027" s="638" t="e">
        <f>(E1027*PI()-P1027*(H1027+C978))/(J1027+C978)</f>
        <v>#N/A</v>
      </c>
      <c r="S1027" s="641">
        <f t="shared" si="154"/>
        <v>360</v>
      </c>
      <c r="T1027" s="247" t="e">
        <f t="shared" si="148"/>
        <v>#N/A</v>
      </c>
      <c r="U1027" s="206" t="e">
        <f t="shared" si="149"/>
        <v>#N/A</v>
      </c>
      <c r="V1027" s="206" t="e">
        <f t="shared" si="150"/>
        <v>#N/A</v>
      </c>
      <c r="W1027" s="196"/>
      <c r="X1027" s="152"/>
      <c r="Z1027" s="198"/>
      <c r="AA1027" s="198"/>
    </row>
    <row r="1028" spans="1:27" s="197" customFormat="1" ht="15" customHeight="1">
      <c r="A1028" s="226"/>
      <c r="B1028" s="179" t="s">
        <v>1065</v>
      </c>
      <c r="C1028" s="312">
        <f>C1027+2*SIN(RADIANS(M982))*(N975+C978)</f>
        <v>0</v>
      </c>
      <c r="D1028" s="337">
        <f>(C1028-(SIN(RADIANS(M982))*N975)-(COS(RADIANS(M982))*O975))*PI()/MEDIAN(U975:V979,P975:Q979)</f>
        <v>-4.7123889803846897</v>
      </c>
      <c r="E1028" s="337" t="e">
        <f>(C1028*PI()-N1028*(G1028+C978))/PI()</f>
        <v>#N/A</v>
      </c>
      <c r="F1028" s="337" t="e">
        <f>E1028-2*O975*COS(RADIANS(M982))</f>
        <v>#N/A</v>
      </c>
      <c r="G1028" s="339" t="e">
        <f>ROUND(VLOOKUP(M1028,R975:V979,4,FALSE),)</f>
        <v>#N/A</v>
      </c>
      <c r="H1028" s="339" t="e">
        <f>ROUND(VLOOKUP(O1028,M975:Q979,4,FALSE),)</f>
        <v>#N/A</v>
      </c>
      <c r="I1028" s="339" t="e">
        <f>ROUND(VLOOKUP(O1028,M975:Q979,5,FALSE),)</f>
        <v>#N/A</v>
      </c>
      <c r="J1028" s="339" t="e">
        <f>ROUND(VLOOKUP(Q1028,M975:Q979,4,FALSE),)</f>
        <v>#N/A</v>
      </c>
      <c r="K1028" s="339" t="e">
        <f>ROUND(VLOOKUP(Q1028,M975:Q979,5,FALSE),)</f>
        <v>#N/A</v>
      </c>
      <c r="L1028" s="636">
        <f t="shared" si="147"/>
        <v>-1.5707963267948966</v>
      </c>
      <c r="M1028" s="639">
        <f t="shared" si="151"/>
        <v>0</v>
      </c>
      <c r="N1028" s="637" t="e">
        <f>ROUND(HLOOKUP(M1028,N981:R982,2,FALSE),)</f>
        <v>#N/A</v>
      </c>
      <c r="O1028" s="639">
        <f t="shared" si="152"/>
        <v>0</v>
      </c>
      <c r="P1028" s="638" t="e">
        <f>PI()*(F1028*(J1028+C978)-E1028*(K1028+C978))/(((J1028+C978)*(I1028+C978))-((H1028+C978)*(K1028+C978)))</f>
        <v>#N/A</v>
      </c>
      <c r="Q1028" s="639">
        <f t="shared" si="153"/>
        <v>0</v>
      </c>
      <c r="R1028" s="638" t="e">
        <f>(E1028*PI()-P1028*(H1028+C978))/(J1028+C978)</f>
        <v>#N/A</v>
      </c>
      <c r="S1028" s="641">
        <f t="shared" si="154"/>
        <v>360</v>
      </c>
      <c r="T1028" s="247" t="e">
        <f t="shared" si="148"/>
        <v>#N/A</v>
      </c>
      <c r="U1028" s="206" t="e">
        <f t="shared" si="149"/>
        <v>#N/A</v>
      </c>
      <c r="V1028" s="206" t="e">
        <f t="shared" si="150"/>
        <v>#N/A</v>
      </c>
      <c r="W1028" s="196"/>
      <c r="X1028" s="152"/>
      <c r="Z1028" s="198"/>
      <c r="AA1028" s="198"/>
    </row>
    <row r="1029" spans="1:27" s="197" customFormat="1" ht="15" customHeight="1">
      <c r="A1029" s="226"/>
      <c r="B1029" s="179" t="s">
        <v>1066</v>
      </c>
      <c r="C1029" s="312">
        <f>C1028+2*SIN(RADIANS(M982))*(N975+C978)</f>
        <v>0</v>
      </c>
      <c r="D1029" s="337">
        <f>(C1029-(SIN(RADIANS(M982))*N975)-(COS(RADIANS(M982))*O975))*PI()/MEDIAN(U975:V979,P975:Q979)</f>
        <v>-4.7123889803846897</v>
      </c>
      <c r="E1029" s="337" t="e">
        <f>(C1029*PI()-N1029*(G1029+C978))/PI()</f>
        <v>#N/A</v>
      </c>
      <c r="F1029" s="337" t="e">
        <f>E1029-2*O975*COS(RADIANS(M982))</f>
        <v>#N/A</v>
      </c>
      <c r="G1029" s="339" t="e">
        <f>ROUND(VLOOKUP(M1029,R975:V979,4,FALSE),)</f>
        <v>#N/A</v>
      </c>
      <c r="H1029" s="339" t="e">
        <f>ROUND(VLOOKUP(O1029,M975:Q979,4,FALSE),)</f>
        <v>#N/A</v>
      </c>
      <c r="I1029" s="339" t="e">
        <f>ROUND(VLOOKUP(O1029,M975:Q979,5,FALSE),)</f>
        <v>#N/A</v>
      </c>
      <c r="J1029" s="339" t="e">
        <f>ROUND(VLOOKUP(Q1029,M975:Q979,4,FALSE),)</f>
        <v>#N/A</v>
      </c>
      <c r="K1029" s="339" t="e">
        <f>ROUND(VLOOKUP(Q1029,M975:Q979,5,FALSE),)</f>
        <v>#N/A</v>
      </c>
      <c r="L1029" s="636">
        <f t="shared" si="147"/>
        <v>-1.5707963267948966</v>
      </c>
      <c r="M1029" s="639">
        <f t="shared" si="151"/>
        <v>0</v>
      </c>
      <c r="N1029" s="637" t="e">
        <f>ROUND(HLOOKUP(M1029,N981:R982,2,FALSE),)</f>
        <v>#N/A</v>
      </c>
      <c r="O1029" s="639">
        <f t="shared" si="152"/>
        <v>0</v>
      </c>
      <c r="P1029" s="638" t="e">
        <f>PI()*(F1029*(J1029+C978)-E1029*(K1029+C978))/(((J1029+C978)*(I1029+C978))-((H1029+C978)*(K1029+C978)))</f>
        <v>#N/A</v>
      </c>
      <c r="Q1029" s="639">
        <f t="shared" si="153"/>
        <v>0</v>
      </c>
      <c r="R1029" s="638" t="e">
        <f>(E1029*PI()-P1029*(H1029+C978))/(J1029+C978)</f>
        <v>#N/A</v>
      </c>
      <c r="S1029" s="641">
        <f t="shared" si="154"/>
        <v>360</v>
      </c>
      <c r="T1029" s="247" t="e">
        <f t="shared" si="148"/>
        <v>#N/A</v>
      </c>
      <c r="U1029" s="206" t="e">
        <f t="shared" si="149"/>
        <v>#N/A</v>
      </c>
      <c r="V1029" s="206" t="e">
        <f t="shared" si="150"/>
        <v>#N/A</v>
      </c>
      <c r="W1029" s="196"/>
      <c r="X1029" s="152"/>
      <c r="Z1029" s="198"/>
      <c r="AA1029" s="198"/>
    </row>
    <row r="1030" spans="1:27" s="197" customFormat="1" ht="15" customHeight="1">
      <c r="A1030" s="226"/>
      <c r="B1030" s="179" t="s">
        <v>1067</v>
      </c>
      <c r="C1030" s="312">
        <f>C1029+2*SIN(RADIANS(M982))*(N975+C978)</f>
        <v>0</v>
      </c>
      <c r="D1030" s="337">
        <f>(C1030-(SIN(RADIANS(M982))*N975)-(COS(RADIANS(M982))*O975))*PI()/MEDIAN(U975:V979,P975:Q979)</f>
        <v>-4.7123889803846897</v>
      </c>
      <c r="E1030" s="337" t="e">
        <f>(C1030*PI()-N1030*(G1030+C978))/PI()</f>
        <v>#N/A</v>
      </c>
      <c r="F1030" s="337" t="e">
        <f>E1030-2*O975*COS(RADIANS(M982))</f>
        <v>#N/A</v>
      </c>
      <c r="G1030" s="339" t="e">
        <f>ROUND(VLOOKUP(M1030,R975:V979,4,FALSE),)</f>
        <v>#N/A</v>
      </c>
      <c r="H1030" s="339" t="e">
        <f>ROUND(VLOOKUP(O1030,M975:Q979,4,FALSE),)</f>
        <v>#N/A</v>
      </c>
      <c r="I1030" s="339" t="e">
        <f>ROUND(VLOOKUP(O1030,M975:Q979,5,FALSE),)</f>
        <v>#N/A</v>
      </c>
      <c r="J1030" s="339" t="e">
        <f>ROUND(VLOOKUP(Q1030,M975:Q979,4,FALSE),)</f>
        <v>#N/A</v>
      </c>
      <c r="K1030" s="339" t="e">
        <f>ROUND(VLOOKUP(Q1030,M975:Q979,5,FALSE),)</f>
        <v>#N/A</v>
      </c>
      <c r="L1030" s="636">
        <f t="shared" si="147"/>
        <v>-1.5707963267948966</v>
      </c>
      <c r="M1030" s="639">
        <f t="shared" si="151"/>
        <v>0</v>
      </c>
      <c r="N1030" s="637" t="e">
        <f>ROUND(HLOOKUP(M1030,N981:R982,2,FALSE),)</f>
        <v>#N/A</v>
      </c>
      <c r="O1030" s="639">
        <f t="shared" si="152"/>
        <v>0</v>
      </c>
      <c r="P1030" s="638" t="e">
        <f>PI()*(F1030*(J1030+C978)-E1030*(K1030+C978))/(((J1030+C978)*(I1030+C978))-((H1030+C978)*(K1030+C978)))</f>
        <v>#N/A</v>
      </c>
      <c r="Q1030" s="639">
        <f t="shared" si="153"/>
        <v>0</v>
      </c>
      <c r="R1030" s="638" t="e">
        <f>(E1030*PI()-P1030*(H1030+C978))/(J1030+C978)</f>
        <v>#N/A</v>
      </c>
      <c r="S1030" s="641">
        <f t="shared" si="154"/>
        <v>360</v>
      </c>
      <c r="T1030" s="247" t="e">
        <f t="shared" si="148"/>
        <v>#N/A</v>
      </c>
      <c r="U1030" s="206" t="e">
        <f t="shared" si="149"/>
        <v>#N/A</v>
      </c>
      <c r="V1030" s="206" t="e">
        <f t="shared" si="150"/>
        <v>#N/A</v>
      </c>
      <c r="W1030" s="196"/>
      <c r="X1030" s="152"/>
      <c r="Z1030" s="198"/>
      <c r="AA1030" s="198"/>
    </row>
    <row r="1031" spans="1:27" s="197" customFormat="1" ht="15" customHeight="1">
      <c r="A1031" s="226"/>
      <c r="B1031" s="179" t="s">
        <v>1068</v>
      </c>
      <c r="C1031" s="312">
        <f>C1030+2*SIN(RADIANS(M982))*(N975+C978)</f>
        <v>0</v>
      </c>
      <c r="D1031" s="337">
        <f>(C1031-(SIN(RADIANS(M982))*N975)-(COS(RADIANS(M982))*O975))*PI()/MEDIAN(U975:V979,P975:Q979)</f>
        <v>-4.7123889803846897</v>
      </c>
      <c r="E1031" s="337" t="e">
        <f>(C1031*PI()-N1031*(G1031+C978))/PI()</f>
        <v>#N/A</v>
      </c>
      <c r="F1031" s="337" t="e">
        <f>E1031-2*O975*COS(RADIANS(M982))</f>
        <v>#N/A</v>
      </c>
      <c r="G1031" s="339" t="e">
        <f>ROUND(VLOOKUP(M1031,R975:V979,4,FALSE),)</f>
        <v>#N/A</v>
      </c>
      <c r="H1031" s="339" t="e">
        <f>ROUND(VLOOKUP(O1031,M975:Q979,4,FALSE),)</f>
        <v>#N/A</v>
      </c>
      <c r="I1031" s="339" t="e">
        <f>ROUND(VLOOKUP(O1031,M975:Q979,5,FALSE),)</f>
        <v>#N/A</v>
      </c>
      <c r="J1031" s="339" t="e">
        <f>ROUND(VLOOKUP(Q1031,M975:Q979,4,FALSE),)</f>
        <v>#N/A</v>
      </c>
      <c r="K1031" s="339" t="e">
        <f>ROUND(VLOOKUP(Q1031,M975:Q979,5,FALSE),)</f>
        <v>#N/A</v>
      </c>
      <c r="L1031" s="636">
        <f t="shared" si="147"/>
        <v>-1.5707963267948966</v>
      </c>
      <c r="M1031" s="639">
        <f t="shared" si="151"/>
        <v>0</v>
      </c>
      <c r="N1031" s="637" t="e">
        <f>ROUND(HLOOKUP(M1031,N981:R982,2,FALSE),)</f>
        <v>#N/A</v>
      </c>
      <c r="O1031" s="639">
        <f t="shared" si="152"/>
        <v>0</v>
      </c>
      <c r="P1031" s="638" t="e">
        <f>PI()*(F1031*(J1031+C978)-E1031*(K1031+C978))/(((J1031+C978)*(I1031+C978))-((H1031+C978)*(K1031+C978)))</f>
        <v>#N/A</v>
      </c>
      <c r="Q1031" s="639">
        <f t="shared" si="153"/>
        <v>0</v>
      </c>
      <c r="R1031" s="638" t="e">
        <f>(E1031*PI()-P1031*(H1031+C978))/(J1031+C978)</f>
        <v>#N/A</v>
      </c>
      <c r="S1031" s="641">
        <f t="shared" si="154"/>
        <v>360</v>
      </c>
      <c r="T1031" s="247" t="e">
        <f t="shared" si="148"/>
        <v>#N/A</v>
      </c>
      <c r="U1031" s="206" t="e">
        <f t="shared" si="149"/>
        <v>#N/A</v>
      </c>
      <c r="V1031" s="206" t="e">
        <f t="shared" si="150"/>
        <v>#N/A</v>
      </c>
      <c r="W1031" s="196"/>
      <c r="X1031" s="152"/>
      <c r="Z1031" s="198"/>
      <c r="AA1031" s="198"/>
    </row>
    <row r="1032" spans="1:27" s="197" customFormat="1" ht="15" customHeight="1">
      <c r="A1032" s="226"/>
      <c r="B1032" s="179" t="s">
        <v>1069</v>
      </c>
      <c r="C1032" s="312">
        <f>C1031+2*SIN(RADIANS(M982))*(N975+C978)</f>
        <v>0</v>
      </c>
      <c r="D1032" s="337">
        <f>(C1032-(SIN(RADIANS(M982))*N975)-(COS(RADIANS(M982))*O975))*PI()/MEDIAN(U975:V979,P975:Q979)</f>
        <v>-4.7123889803846897</v>
      </c>
      <c r="E1032" s="337" t="e">
        <f>(C1032*PI()-N1032*(G1032+C978))/PI()</f>
        <v>#N/A</v>
      </c>
      <c r="F1032" s="337" t="e">
        <f>E1032-2*O975*COS(RADIANS(M982))</f>
        <v>#N/A</v>
      </c>
      <c r="G1032" s="339" t="e">
        <f>ROUND(VLOOKUP(M1032,R975:V979,4,FALSE),)</f>
        <v>#N/A</v>
      </c>
      <c r="H1032" s="339" t="e">
        <f>ROUND(VLOOKUP(O1032,M975:Q979,4,FALSE),)</f>
        <v>#N/A</v>
      </c>
      <c r="I1032" s="339" t="e">
        <f>ROUND(VLOOKUP(O1032,M975:Q979,5,FALSE),)</f>
        <v>#N/A</v>
      </c>
      <c r="J1032" s="339" t="e">
        <f>ROUND(VLOOKUP(Q1032,M975:Q979,4,FALSE),)</f>
        <v>#N/A</v>
      </c>
      <c r="K1032" s="339" t="e">
        <f>ROUND(VLOOKUP(Q1032,M975:Q979,5,FALSE),)</f>
        <v>#N/A</v>
      </c>
      <c r="L1032" s="636">
        <f t="shared" si="147"/>
        <v>-1.5707963267948966</v>
      </c>
      <c r="M1032" s="639">
        <f t="shared" si="151"/>
        <v>0</v>
      </c>
      <c r="N1032" s="637" t="e">
        <f>ROUND(HLOOKUP(M1032,N981:R982,2,FALSE),)</f>
        <v>#N/A</v>
      </c>
      <c r="O1032" s="639">
        <f t="shared" si="152"/>
        <v>0</v>
      </c>
      <c r="P1032" s="638" t="e">
        <f>PI()*(F1032*(J1032+C978)-E1032*(K1032+C978))/(((J1032+C978)*(I1032+C978))-((H1032+C978)*(K1032+C978)))</f>
        <v>#N/A</v>
      </c>
      <c r="Q1032" s="639">
        <f t="shared" si="153"/>
        <v>0</v>
      </c>
      <c r="R1032" s="638" t="e">
        <f>(E1032*PI()-P1032*(H1032+C978))/(J1032+C978)</f>
        <v>#N/A</v>
      </c>
      <c r="S1032" s="641">
        <f t="shared" si="154"/>
        <v>360</v>
      </c>
      <c r="T1032" s="247" t="e">
        <f t="shared" si="148"/>
        <v>#N/A</v>
      </c>
      <c r="U1032" s="206" t="e">
        <f t="shared" si="149"/>
        <v>#N/A</v>
      </c>
      <c r="V1032" s="206" t="e">
        <f t="shared" si="150"/>
        <v>#N/A</v>
      </c>
      <c r="W1032" s="196"/>
      <c r="X1032" s="152"/>
      <c r="Z1032" s="198"/>
      <c r="AA1032" s="198"/>
    </row>
    <row r="1033" spans="1:27" s="197" customFormat="1" ht="15" customHeight="1">
      <c r="A1033" s="226"/>
      <c r="B1033" s="179" t="s">
        <v>1070</v>
      </c>
      <c r="C1033" s="312">
        <f>C1032+2*SIN(RADIANS(M982))*(N975+C978)</f>
        <v>0</v>
      </c>
      <c r="D1033" s="337">
        <f>(C1033-(SIN(RADIANS(M982))*N975)-(COS(RADIANS(M982))*O975))*PI()/MEDIAN(U975:V979,P975:Q979)</f>
        <v>-4.7123889803846897</v>
      </c>
      <c r="E1033" s="337" t="e">
        <f>(C1033*PI()-N1033*(G1033+C978))/PI()</f>
        <v>#N/A</v>
      </c>
      <c r="F1033" s="337" t="e">
        <f>E1033-2*O975*COS(RADIANS(M982))</f>
        <v>#N/A</v>
      </c>
      <c r="G1033" s="339" t="e">
        <f>ROUND(VLOOKUP(M1033,R975:V979,4,FALSE),)</f>
        <v>#N/A</v>
      </c>
      <c r="H1033" s="339" t="e">
        <f>ROUND(VLOOKUP(O1033,M975:Q979,4,FALSE),)</f>
        <v>#N/A</v>
      </c>
      <c r="I1033" s="339" t="e">
        <f>ROUND(VLOOKUP(O1033,M975:Q979,5,FALSE),)</f>
        <v>#N/A</v>
      </c>
      <c r="J1033" s="339" t="e">
        <f>ROUND(VLOOKUP(Q1033,M975:Q979,4,FALSE),)</f>
        <v>#N/A</v>
      </c>
      <c r="K1033" s="339" t="e">
        <f>ROUND(VLOOKUP(Q1033,M975:Q979,5,FALSE),)</f>
        <v>#N/A</v>
      </c>
      <c r="L1033" s="636">
        <f t="shared" si="147"/>
        <v>-1.5707963267948966</v>
      </c>
      <c r="M1033" s="639">
        <f t="shared" si="151"/>
        <v>0</v>
      </c>
      <c r="N1033" s="637" t="e">
        <f>ROUND(HLOOKUP(M1033,N981:R982,2,FALSE),)</f>
        <v>#N/A</v>
      </c>
      <c r="O1033" s="639">
        <f t="shared" si="152"/>
        <v>0</v>
      </c>
      <c r="P1033" s="638" t="e">
        <f>PI()*(F1033*(J1033+C978)-E1033*(K1033+C978))/(((J1033+C978)*(I1033+C978))-((H1033+C978)*(K1033+C978)))</f>
        <v>#N/A</v>
      </c>
      <c r="Q1033" s="639">
        <f t="shared" si="153"/>
        <v>0</v>
      </c>
      <c r="R1033" s="638" t="e">
        <f>(E1033*PI()-P1033*(H1033+C978))/(J1033+C978)</f>
        <v>#N/A</v>
      </c>
      <c r="S1033" s="641">
        <f t="shared" si="154"/>
        <v>360</v>
      </c>
      <c r="T1033" s="247" t="e">
        <f t="shared" si="148"/>
        <v>#N/A</v>
      </c>
      <c r="U1033" s="206" t="e">
        <f t="shared" si="149"/>
        <v>#N/A</v>
      </c>
      <c r="V1033" s="206" t="e">
        <f t="shared" si="150"/>
        <v>#N/A</v>
      </c>
      <c r="W1033" s="196"/>
      <c r="X1033" s="152"/>
      <c r="Z1033" s="198"/>
      <c r="AA1033" s="198"/>
    </row>
    <row r="1034" spans="1:27" s="197" customFormat="1" ht="15" customHeight="1">
      <c r="A1034" s="226"/>
      <c r="B1034" s="179" t="s">
        <v>1071</v>
      </c>
      <c r="C1034" s="312">
        <f>C1033+2*SIN(RADIANS(M982))*(N975+C978)</f>
        <v>0</v>
      </c>
      <c r="D1034" s="337">
        <f>(C1034-(SIN(RADIANS(M982))*N975)-(COS(RADIANS(M982))*O975))*PI()/MEDIAN(U975:V979,P975:Q979)</f>
        <v>-4.7123889803846897</v>
      </c>
      <c r="E1034" s="337" t="e">
        <f>(C1034*PI()-N1034*(G1034+C978))/PI()</f>
        <v>#N/A</v>
      </c>
      <c r="F1034" s="337" t="e">
        <f>E1034-2*O975*COS(RADIANS(M982))</f>
        <v>#N/A</v>
      </c>
      <c r="G1034" s="339" t="e">
        <f>ROUND(VLOOKUP(M1034,R975:V979,4,FALSE),)</f>
        <v>#N/A</v>
      </c>
      <c r="H1034" s="339" t="e">
        <f>ROUND(VLOOKUP(O1034,M975:Q979,4,FALSE),)</f>
        <v>#N/A</v>
      </c>
      <c r="I1034" s="339" t="e">
        <f>ROUND(VLOOKUP(O1034,M975:Q979,5,FALSE),)</f>
        <v>#N/A</v>
      </c>
      <c r="J1034" s="339" t="e">
        <f>ROUND(VLOOKUP(Q1034,M975:Q979,4,FALSE),)</f>
        <v>#N/A</v>
      </c>
      <c r="K1034" s="339" t="e">
        <f>ROUND(VLOOKUP(Q1034,M975:Q979,5,FALSE),)</f>
        <v>#N/A</v>
      </c>
      <c r="L1034" s="636">
        <f t="shared" si="147"/>
        <v>-1.5707963267948966</v>
      </c>
      <c r="M1034" s="639">
        <f t="shared" si="151"/>
        <v>0</v>
      </c>
      <c r="N1034" s="637" t="e">
        <f>ROUND(HLOOKUP(M1034,N981:R982,2,FALSE),)</f>
        <v>#N/A</v>
      </c>
      <c r="O1034" s="639">
        <f t="shared" si="152"/>
        <v>0</v>
      </c>
      <c r="P1034" s="638" t="e">
        <f>PI()*(F1034*(J1034+C978)-E1034*(K1034+C978))/(((J1034+C978)*(I1034+C978))-((H1034+C978)*(K1034+C978)))</f>
        <v>#N/A</v>
      </c>
      <c r="Q1034" s="639">
        <f t="shared" si="153"/>
        <v>0</v>
      </c>
      <c r="R1034" s="638" t="e">
        <f>(E1034*PI()-P1034*(H1034+C978))/(J1034+C978)</f>
        <v>#N/A</v>
      </c>
      <c r="S1034" s="641">
        <f t="shared" si="154"/>
        <v>360</v>
      </c>
      <c r="T1034" s="247" t="e">
        <f t="shared" si="148"/>
        <v>#N/A</v>
      </c>
      <c r="U1034" s="206" t="e">
        <f t="shared" si="149"/>
        <v>#N/A</v>
      </c>
      <c r="V1034" s="206" t="e">
        <f t="shared" si="150"/>
        <v>#N/A</v>
      </c>
      <c r="W1034" s="196"/>
      <c r="X1034" s="152"/>
      <c r="Z1034" s="198"/>
      <c r="AA1034" s="198"/>
    </row>
    <row r="1035" spans="1:27" s="197" customFormat="1" ht="15" customHeight="1">
      <c r="A1035" s="226"/>
      <c r="B1035" s="179" t="s">
        <v>1072</v>
      </c>
      <c r="C1035" s="312">
        <f>C1034+2*SIN(RADIANS(M982))*(N975+C978)</f>
        <v>0</v>
      </c>
      <c r="D1035" s="337">
        <f>(C1035-(SIN(RADIANS(M982))*N975)-(COS(RADIANS(M982))*O975))*PI()/MEDIAN(U975:V979,P975:Q979)</f>
        <v>-4.7123889803846897</v>
      </c>
      <c r="E1035" s="337" t="e">
        <f>(C1035*PI()-N1035*(G1035+C978))/PI()</f>
        <v>#N/A</v>
      </c>
      <c r="F1035" s="337" t="e">
        <f>E1035-2*O975*COS(RADIANS(M982))</f>
        <v>#N/A</v>
      </c>
      <c r="G1035" s="339" t="e">
        <f>ROUND(VLOOKUP(M1035,R975:V979,4,FALSE),)</f>
        <v>#N/A</v>
      </c>
      <c r="H1035" s="339" t="e">
        <f>ROUND(VLOOKUP(O1035,M975:Q979,4,FALSE),)</f>
        <v>#N/A</v>
      </c>
      <c r="I1035" s="339" t="e">
        <f>ROUND(VLOOKUP(O1035,M975:Q979,5,FALSE),)</f>
        <v>#N/A</v>
      </c>
      <c r="J1035" s="339" t="e">
        <f>ROUND(VLOOKUP(Q1035,M975:Q979,4,FALSE),)</f>
        <v>#N/A</v>
      </c>
      <c r="K1035" s="339" t="e">
        <f>ROUND(VLOOKUP(Q1035,M975:Q979,5,FALSE),)</f>
        <v>#N/A</v>
      </c>
      <c r="L1035" s="636">
        <f t="shared" si="147"/>
        <v>-1.5707963267948966</v>
      </c>
      <c r="M1035" s="639">
        <f t="shared" si="151"/>
        <v>0</v>
      </c>
      <c r="N1035" s="637" t="e">
        <f>ROUND(HLOOKUP(M1035,N981:R982,2,FALSE),)</f>
        <v>#N/A</v>
      </c>
      <c r="O1035" s="639">
        <f t="shared" si="152"/>
        <v>0</v>
      </c>
      <c r="P1035" s="638" t="e">
        <f>PI()*(F1035*(J1035+C978)-E1035*(K1035+C978))/(((J1035+C978)*(I1035+C978))-((H1035+C978)*(K1035+C978)))</f>
        <v>#N/A</v>
      </c>
      <c r="Q1035" s="639">
        <f t="shared" si="153"/>
        <v>0</v>
      </c>
      <c r="R1035" s="638" t="e">
        <f>(E1035*PI()-P1035*(H1035+C978))/(J1035+C978)</f>
        <v>#N/A</v>
      </c>
      <c r="S1035" s="641">
        <f t="shared" si="154"/>
        <v>360</v>
      </c>
      <c r="T1035" s="247" t="e">
        <f t="shared" si="148"/>
        <v>#N/A</v>
      </c>
      <c r="U1035" s="206" t="e">
        <f t="shared" si="149"/>
        <v>#N/A</v>
      </c>
      <c r="V1035" s="206" t="e">
        <f t="shared" si="150"/>
        <v>#N/A</v>
      </c>
      <c r="W1035" s="196"/>
      <c r="X1035" s="152"/>
      <c r="Z1035" s="198"/>
      <c r="AA1035" s="198"/>
    </row>
    <row r="1036" spans="1:27" s="197" customFormat="1" ht="15" customHeight="1" thickBot="1">
      <c r="A1036" s="226"/>
      <c r="B1036" s="179" t="s">
        <v>1073</v>
      </c>
      <c r="C1036" s="312">
        <f>C1035+2*SIN(RADIANS(M982))*(N975+C978)</f>
        <v>0</v>
      </c>
      <c r="D1036" s="337">
        <f>(C1036-(SIN(RADIANS(M982))*N975)-(COS(RADIANS(M982))*O975))*PI()/MEDIAN(U975:V979,P975:Q979)</f>
        <v>-4.7123889803846897</v>
      </c>
      <c r="E1036" s="337" t="e">
        <f>(C1036*PI()-N1036*(G1036+C978))/PI()</f>
        <v>#N/A</v>
      </c>
      <c r="F1036" s="337" t="e">
        <f>E1036-2*O975*COS(RADIANS(M982))</f>
        <v>#N/A</v>
      </c>
      <c r="G1036" s="339" t="e">
        <f>ROUND(VLOOKUP(M1036,R975:V979,4,FALSE),)</f>
        <v>#N/A</v>
      </c>
      <c r="H1036" s="339" t="e">
        <f>ROUND(VLOOKUP(O1036,M975:Q979,4,FALSE),)</f>
        <v>#N/A</v>
      </c>
      <c r="I1036" s="339" t="e">
        <f>ROUND(VLOOKUP(O1036,M975:Q979,5,FALSE),)</f>
        <v>#N/A</v>
      </c>
      <c r="J1036" s="339" t="e">
        <f>ROUND(VLOOKUP(Q1036,M975:Q979,4,FALSE),)</f>
        <v>#N/A</v>
      </c>
      <c r="K1036" s="339" t="e">
        <f>ROUND(VLOOKUP(Q1036,M975:Q979,5,FALSE),)</f>
        <v>#N/A</v>
      </c>
      <c r="L1036" s="636">
        <f t="shared" si="147"/>
        <v>-1.5707963267948966</v>
      </c>
      <c r="M1036" s="301">
        <f t="shared" si="151"/>
        <v>0</v>
      </c>
      <c r="N1036" s="637" t="e">
        <f>ROUND(HLOOKUP(M1036,N981:R982,2,FALSE),)</f>
        <v>#N/A</v>
      </c>
      <c r="O1036" s="301">
        <f t="shared" si="152"/>
        <v>0</v>
      </c>
      <c r="P1036" s="638" t="e">
        <f>PI()*(F1036*(J1036+C978)-E1036*(K1036+C978))/(((J1036+C978)*(I1036+C978))-((H1036+C978)*(K1036+C978)))</f>
        <v>#N/A</v>
      </c>
      <c r="Q1036" s="301">
        <f t="shared" si="153"/>
        <v>0</v>
      </c>
      <c r="R1036" s="638" t="e">
        <f>(E1036*PI()-P1036*(H1036+C978))/(J1036+C978)</f>
        <v>#N/A</v>
      </c>
      <c r="S1036" s="642">
        <f t="shared" si="154"/>
        <v>360</v>
      </c>
      <c r="T1036" s="247" t="e">
        <f t="shared" si="148"/>
        <v>#N/A</v>
      </c>
      <c r="U1036" s="206" t="e">
        <f t="shared" si="149"/>
        <v>#N/A</v>
      </c>
      <c r="V1036" s="206" t="e">
        <f t="shared" si="150"/>
        <v>#N/A</v>
      </c>
      <c r="W1036" s="196"/>
      <c r="X1036" s="152"/>
      <c r="Z1036" s="198"/>
      <c r="AA1036" s="198"/>
    </row>
    <row r="1037" spans="1:27" s="197" customFormat="1" ht="15" customHeight="1">
      <c r="A1037" s="226"/>
      <c r="B1037" s="205"/>
      <c r="C1037" s="211"/>
      <c r="D1037" s="206"/>
      <c r="E1037" s="206"/>
      <c r="F1037" s="206"/>
      <c r="G1037" s="206"/>
      <c r="H1037" s="206"/>
      <c r="I1037" s="206"/>
      <c r="J1037" s="207"/>
      <c r="K1037" s="207"/>
      <c r="L1037" s="155"/>
      <c r="M1037" s="206"/>
      <c r="N1037" s="206"/>
      <c r="O1037" s="206"/>
      <c r="P1037" s="206"/>
      <c r="Q1037" s="206"/>
      <c r="R1037" s="206"/>
      <c r="S1037" s="206"/>
      <c r="T1037" s="206"/>
      <c r="U1037" s="206"/>
      <c r="V1037" s="208"/>
      <c r="W1037" s="196"/>
      <c r="X1037" s="152"/>
      <c r="Z1037" s="198"/>
      <c r="AA1037" s="198"/>
    </row>
    <row r="1038" spans="1:27" s="197" customFormat="1" ht="15" customHeight="1">
      <c r="A1038" s="226"/>
      <c r="B1038" s="205"/>
      <c r="C1038" s="211"/>
      <c r="D1038" s="206"/>
      <c r="E1038" s="206"/>
      <c r="F1038" s="206"/>
      <c r="G1038" s="206"/>
      <c r="H1038" s="206"/>
      <c r="I1038" s="206"/>
      <c r="J1038" s="207"/>
      <c r="K1038" s="207"/>
      <c r="L1038" s="155"/>
      <c r="M1038" s="206"/>
      <c r="N1038" s="206"/>
      <c r="O1038" s="206"/>
      <c r="P1038" s="206"/>
      <c r="Q1038" s="206"/>
      <c r="R1038" s="206"/>
      <c r="S1038" s="206"/>
      <c r="T1038" s="206"/>
      <c r="U1038" s="206"/>
      <c r="V1038" s="208"/>
      <c r="W1038" s="196"/>
      <c r="X1038" s="152"/>
      <c r="Z1038" s="198"/>
      <c r="AA1038" s="198"/>
    </row>
    <row r="1039" spans="1:27" s="197" customFormat="1" ht="15" customHeight="1" thickBot="1">
      <c r="A1039" s="226"/>
      <c r="B1039" s="291" t="s">
        <v>1010</v>
      </c>
      <c r="C1039" s="292"/>
      <c r="D1039" s="293"/>
      <c r="E1039" s="293"/>
      <c r="F1039" s="293"/>
      <c r="G1039" s="293"/>
      <c r="H1039" s="293"/>
      <c r="I1039" s="293"/>
      <c r="J1039" s="294"/>
      <c r="K1039" s="294"/>
      <c r="L1039" s="295"/>
      <c r="M1039" s="293"/>
      <c r="N1039" s="293"/>
      <c r="O1039" s="293"/>
      <c r="P1039" s="293"/>
      <c r="Q1039" s="293"/>
      <c r="R1039" s="293"/>
      <c r="S1039" s="296"/>
      <c r="T1039" s="293"/>
      <c r="U1039" s="293" t="s">
        <v>678</v>
      </c>
      <c r="V1039" s="297" t="s">
        <v>27</v>
      </c>
      <c r="W1039" s="298"/>
      <c r="X1039" s="299"/>
      <c r="Z1039" s="198"/>
      <c r="AA1039" s="198"/>
    </row>
    <row r="1040" spans="1:27" s="197" customFormat="1" ht="15" customHeight="1" thickBot="1">
      <c r="A1040" s="226"/>
      <c r="B1040" s="221"/>
      <c r="C1040" s="144">
        <f>SUMIF(Densidades!A:A,'Memória TOTAL'!X1040,Densidades!B:B)</f>
        <v>0</v>
      </c>
      <c r="D1040" s="145">
        <f>SUMIF(Densidades!A:A,'Memória TOTAL'!X1040,Densidades!C:C)</f>
        <v>0</v>
      </c>
      <c r="E1040" s="145" t="str">
        <f>IF(I1040=15,"FIRECLAY MORTAR",IF(I1040=16,"ALUMINA MORTAR",IF(I1040=17,"BASIC MORTAR",IF(I1040=18,"MORTAR","-"))))</f>
        <v>-</v>
      </c>
      <c r="F1040" s="145" t="str">
        <f>IF(I1040=15,"FIRECLAY MORTAR",IF(I1040=16,"ALUMINA MORTAR",IF(I1040=17,"BASIC MORTAR",IF(I1040=18,"MORTAR","-"))))</f>
        <v>-</v>
      </c>
      <c r="G1040" s="145" t="str">
        <f>IF(I1040=15,"FIRECLAY MORTAR",IF(I1040=16,"ALUMINA MORTAR",IF(I1040=17,"BASIC MORTAR",IF(I1040=18,"MORTAR","-"))))</f>
        <v>-</v>
      </c>
      <c r="H1040" s="145" t="str">
        <f>IF(I1040=15,"FIRECLAY MORTAR",IF(I1040=16,"ALUMINA MORTAR",IF(I1040=17,"BASIC MORTAR",IF(I1040=18,"MORTAR","-"))))</f>
        <v>-</v>
      </c>
      <c r="I1040" s="145">
        <f>SUMIF(Densidades!A:A,'Memória TOTAL'!X1040,Densidades!G:G)</f>
        <v>0</v>
      </c>
      <c r="J1040" s="147">
        <f>SUMIF(Formatos!A:A,'Memória TOTAL'!X1041,Formatos!G:G)</f>
        <v>0</v>
      </c>
      <c r="K1040" s="148">
        <f>SUMIF(Densidades!A:A,'Memória TOTAL'!X1040,Densidades!I:I)</f>
        <v>0</v>
      </c>
      <c r="L1040" s="199">
        <v>0</v>
      </c>
      <c r="M1040" s="200"/>
      <c r="N1040" s="200"/>
      <c r="O1040" s="200"/>
      <c r="P1040" s="200"/>
      <c r="Q1040" s="200"/>
      <c r="R1040" s="200"/>
      <c r="S1040" s="200"/>
      <c r="T1040" s="201"/>
      <c r="U1040" s="302"/>
      <c r="V1040" s="203" t="e">
        <f>(W933*J933*C1040+W937*J937*C1040+W941*J941*C1040+W945*J945*C1040+W949*J949*C1040+W953*J953*C1040+W957*J957*C1040+W961*J961*C1040+W965*J965*C1040+W969*J969*C1040)*U1040</f>
        <v>#N/A</v>
      </c>
      <c r="W1040" s="204" t="str">
        <f>IF(C1040=0,"",ROUNDUP(SUM(V1040:V1042)*(1+L1040)/D1040,0)*D1040)</f>
        <v/>
      </c>
      <c r="X1040" s="274"/>
      <c r="Z1040" s="198"/>
      <c r="AA1040" s="198"/>
    </row>
    <row r="1041" spans="1:27" s="197" customFormat="1" ht="15" customHeight="1">
      <c r="A1041" s="226"/>
      <c r="B1041" s="221"/>
      <c r="C1041" s="144"/>
      <c r="D1041" s="206"/>
      <c r="E1041" s="206"/>
      <c r="F1041" s="206"/>
      <c r="G1041" s="206"/>
      <c r="H1041" s="206"/>
      <c r="I1041" s="206"/>
      <c r="J1041" s="207"/>
      <c r="K1041" s="207"/>
      <c r="L1041" s="155"/>
      <c r="M1041" s="206"/>
      <c r="N1041" s="206"/>
      <c r="O1041" s="206"/>
      <c r="P1041" s="206"/>
      <c r="Q1041" s="206"/>
      <c r="R1041" s="206"/>
      <c r="S1041" s="206"/>
      <c r="T1041" s="206"/>
      <c r="U1041" s="206"/>
      <c r="V1041" s="208"/>
      <c r="W1041" s="196"/>
      <c r="X1041" s="152" t="str">
        <f>IF(AND(H1040="-",G1040="-",F1040="-"),E1040,IF(AND(H1040="-",G1040="-",E1040="-"),F1040,IF(AND(H1040="-",F1040="-",E1040="-"),G1040,H1040)))</f>
        <v>-</v>
      </c>
      <c r="Z1041" s="198"/>
      <c r="AA1041" s="198"/>
    </row>
    <row r="1042" spans="1:27" s="197" customFormat="1" ht="15" customHeight="1">
      <c r="A1042" s="226"/>
      <c r="B1042" s="224"/>
      <c r="C1042" s="144"/>
      <c r="D1042" s="206"/>
      <c r="E1042" s="206"/>
      <c r="F1042" s="206"/>
      <c r="G1042" s="206"/>
      <c r="H1042" s="206"/>
      <c r="I1042" s="206"/>
      <c r="J1042" s="207"/>
      <c r="K1042" s="207"/>
      <c r="L1042" s="155"/>
      <c r="M1042" s="206"/>
      <c r="N1042" s="206"/>
      <c r="O1042" s="206"/>
      <c r="P1042" s="206"/>
      <c r="Q1042" s="206"/>
      <c r="R1042" s="206"/>
      <c r="S1042" s="206"/>
      <c r="T1042" s="206"/>
      <c r="U1042" s="206"/>
      <c r="V1042" s="208"/>
      <c r="W1042" s="196"/>
      <c r="X1042" s="152" t="s">
        <v>2</v>
      </c>
      <c r="Z1042" s="198"/>
      <c r="AA1042" s="198"/>
    </row>
    <row r="1043" spans="1:27" ht="15" customHeight="1">
      <c r="A1043" s="226"/>
      <c r="B1043" s="142"/>
      <c r="C1043" s="180"/>
      <c r="D1043" s="181"/>
      <c r="E1043" s="181"/>
      <c r="F1043" s="181"/>
      <c r="G1043" s="181"/>
      <c r="H1043" s="181"/>
      <c r="I1043" s="181"/>
      <c r="J1043" s="182"/>
      <c r="K1043" s="182"/>
      <c r="L1043" s="183"/>
      <c r="M1043" s="181"/>
      <c r="N1043" s="181"/>
      <c r="O1043" s="181"/>
      <c r="P1043" s="181"/>
      <c r="Q1043" s="181"/>
      <c r="R1043" s="181"/>
      <c r="S1043" s="181"/>
      <c r="T1043" s="181"/>
      <c r="U1043" s="181"/>
      <c r="V1043" s="184"/>
      <c r="W1043" s="185"/>
      <c r="X1043" s="186"/>
    </row>
    <row r="1044" spans="1:27" s="197" customFormat="1" ht="15" customHeight="1" thickBot="1">
      <c r="A1044" s="226"/>
      <c r="B1044" s="291" t="s">
        <v>1011</v>
      </c>
      <c r="C1044" s="292"/>
      <c r="D1044" s="293"/>
      <c r="E1044" s="293"/>
      <c r="F1044" s="293"/>
      <c r="G1044" s="293"/>
      <c r="H1044" s="293"/>
      <c r="I1044" s="293"/>
      <c r="J1044" s="294"/>
      <c r="K1044" s="294"/>
      <c r="L1044" s="295"/>
      <c r="M1044" s="293"/>
      <c r="N1044" s="293"/>
      <c r="O1044" s="293"/>
      <c r="P1044" s="293"/>
      <c r="Q1044" s="293"/>
      <c r="R1044" s="293" t="s">
        <v>636</v>
      </c>
      <c r="S1044" s="296" t="s">
        <v>637</v>
      </c>
      <c r="T1044" s="293" t="s">
        <v>638</v>
      </c>
      <c r="U1044" s="293" t="s">
        <v>38</v>
      </c>
      <c r="V1044" s="297" t="s">
        <v>27</v>
      </c>
      <c r="W1044" s="298"/>
      <c r="X1044" s="299"/>
      <c r="Z1044" s="198"/>
      <c r="AA1044" s="198"/>
    </row>
    <row r="1045" spans="1:27" s="197" customFormat="1" ht="15" customHeight="1" thickBot="1">
      <c r="A1045" s="226"/>
      <c r="B1045" s="221"/>
      <c r="C1045" s="144">
        <f>SUMIF(Densidades!A:A,'Memória TOTAL'!X1045,Densidades!B:B)</f>
        <v>0</v>
      </c>
      <c r="D1045" s="145">
        <f>SUMIF(Densidades!A:A,'Memória TOTAL'!X1045,Densidades!C:C)</f>
        <v>0</v>
      </c>
      <c r="E1045" s="145" t="str">
        <f>IF(I1045=15,"FIRECLAY MORTAR",IF(I1045=16,"ALUMINA MORTAR",IF(I1045=17,"BASIC MORTAR",IF(I1045=18,"MORTAR","-"))))</f>
        <v>-</v>
      </c>
      <c r="F1045" s="145" t="str">
        <f>IF(I1045=15,"FIRECLAY MORTAR",IF(I1045=16,"ALUMINA MORTAR",IF(I1045=17,"BASIC MORTAR",IF(I1045=18,"MORTAR","-"))))</f>
        <v>-</v>
      </c>
      <c r="G1045" s="145" t="str">
        <f>IF(I1045=15,"FIRECLAY MORTAR",IF(I1045=16,"ALUMINA MORTAR",IF(I1045=17,"BASIC MORTAR",IF(I1045=18,"MORTAR","-"))))</f>
        <v>-</v>
      </c>
      <c r="H1045" s="145" t="str">
        <f>IF(I1045=15,"FIRECLAY MORTAR",IF(I1045=16,"ALUMINA MORTAR",IF(I1045=17,"BASIC MORTAR",IF(I1045=18,"MORTAR","-"))))</f>
        <v>-</v>
      </c>
      <c r="I1045" s="145">
        <f>SUMIF(Densidades!A:A,'Memória TOTAL'!X1045,Densidades!G:G)</f>
        <v>0</v>
      </c>
      <c r="J1045" s="147">
        <f>SUMIF(Formatos!A:A,'Memória TOTAL'!X1046,Formatos!G:G)</f>
        <v>0</v>
      </c>
      <c r="K1045" s="233">
        <f>SUMIF(Densidades!A:A,'Memória TOTAL'!X1045,Densidades!I:I)</f>
        <v>0</v>
      </c>
      <c r="L1045" s="199">
        <v>0</v>
      </c>
      <c r="M1045" s="200"/>
      <c r="N1045" s="200"/>
      <c r="O1045" s="200"/>
      <c r="P1045" s="200"/>
      <c r="Q1045" s="200"/>
      <c r="R1045" s="201">
        <f>((G933*H933)+(G933*E933)+(H933*E933))/1000000</f>
        <v>0</v>
      </c>
      <c r="S1045" s="270">
        <v>2</v>
      </c>
      <c r="T1045" s="201">
        <f>R1045*S1045</f>
        <v>0</v>
      </c>
      <c r="U1045" s="202" t="e">
        <f>SUM(W933:W971)</f>
        <v>#N/A</v>
      </c>
      <c r="V1045" s="203" t="e">
        <f>(T1045*C1045*(1+L1045))*U1045</f>
        <v>#N/A</v>
      </c>
      <c r="W1045" s="151" t="str">
        <f>IF(C1045=0,"",ROUNDUP(SUM(V1045:V1047)*(1+L1045)/D1045,0)*D1045)</f>
        <v/>
      </c>
      <c r="X1045" s="274"/>
      <c r="Z1045" s="198"/>
      <c r="AA1045" s="198"/>
    </row>
    <row r="1046" spans="1:27" s="197" customFormat="1" ht="15" customHeight="1">
      <c r="A1046" s="226"/>
      <c r="B1046" s="221"/>
      <c r="C1046" s="144"/>
      <c r="D1046" s="206"/>
      <c r="E1046" s="206"/>
      <c r="F1046" s="206"/>
      <c r="G1046" s="206"/>
      <c r="H1046" s="206"/>
      <c r="I1046" s="206"/>
      <c r="J1046" s="207"/>
      <c r="K1046" s="207"/>
      <c r="L1046" s="155"/>
      <c r="M1046" s="206"/>
      <c r="N1046" s="206"/>
      <c r="O1046" s="206"/>
      <c r="P1046" s="206"/>
      <c r="Q1046" s="206"/>
      <c r="R1046" s="206"/>
      <c r="S1046" s="206"/>
      <c r="T1046" s="206"/>
      <c r="U1046" s="206"/>
      <c r="V1046" s="208"/>
      <c r="W1046" s="196"/>
      <c r="X1046" s="152" t="str">
        <f>IF(AND(H1045="-",G1045="-",F1045="-"),E1045,IF(AND(H1045="-",G1045="-",E1045="-"),F1045,IF(AND(H1045="-",F1045="-",E1045="-"),G1045,H1045)))</f>
        <v>-</v>
      </c>
      <c r="Z1046" s="198"/>
      <c r="AA1046" s="198"/>
    </row>
    <row r="1047" spans="1:27" s="197" customFormat="1" ht="15" customHeight="1">
      <c r="A1047" s="226"/>
      <c r="B1047" s="224"/>
      <c r="C1047" s="144"/>
      <c r="D1047" s="206"/>
      <c r="E1047" s="206"/>
      <c r="F1047" s="206"/>
      <c r="G1047" s="206"/>
      <c r="H1047" s="206"/>
      <c r="I1047" s="206"/>
      <c r="J1047" s="207"/>
      <c r="K1047" s="207"/>
      <c r="L1047" s="155"/>
      <c r="M1047" s="206"/>
      <c r="N1047" s="206"/>
      <c r="O1047" s="206"/>
      <c r="P1047" s="206"/>
      <c r="Q1047" s="206"/>
      <c r="R1047" s="206"/>
      <c r="S1047" s="206"/>
      <c r="T1047" s="206"/>
      <c r="U1047" s="206"/>
      <c r="V1047" s="208"/>
      <c r="W1047" s="196"/>
      <c r="X1047" s="152" t="s">
        <v>2</v>
      </c>
      <c r="Z1047" s="198"/>
      <c r="AA1047" s="198"/>
    </row>
    <row r="1048" spans="1:27" s="197" customFormat="1" ht="15" customHeight="1">
      <c r="A1048" s="225"/>
      <c r="B1048" s="221"/>
      <c r="C1048" s="312"/>
      <c r="D1048" s="206"/>
      <c r="E1048" s="206"/>
      <c r="F1048" s="206"/>
      <c r="G1048" s="206"/>
      <c r="H1048" s="206"/>
      <c r="I1048" s="206"/>
      <c r="J1048" s="207"/>
      <c r="K1048" s="207"/>
      <c r="L1048" s="155"/>
      <c r="M1048" s="206"/>
      <c r="N1048" s="206"/>
      <c r="O1048" s="206"/>
      <c r="P1048" s="206"/>
      <c r="Q1048" s="206"/>
      <c r="R1048" s="206"/>
      <c r="S1048" s="206"/>
      <c r="T1048" s="206"/>
      <c r="U1048" s="206"/>
      <c r="V1048" s="208"/>
      <c r="W1048" s="196"/>
      <c r="X1048" s="152"/>
      <c r="Z1048" s="198"/>
      <c r="AA1048" s="198"/>
    </row>
    <row r="1049" spans="1:27" s="197" customFormat="1" ht="15" customHeight="1" thickBot="1">
      <c r="A1049" s="225"/>
      <c r="B1049" s="524"/>
      <c r="C1049" s="524"/>
      <c r="D1049" s="527"/>
      <c r="E1049" s="527"/>
      <c r="F1049" s="527"/>
      <c r="G1049" s="527"/>
      <c r="H1049" s="527"/>
      <c r="I1049" s="527"/>
      <c r="J1049" s="527"/>
      <c r="K1049" s="527"/>
      <c r="L1049" s="527"/>
      <c r="M1049" s="527"/>
      <c r="N1049" s="527"/>
      <c r="O1049" s="527"/>
      <c r="P1049" s="527"/>
      <c r="Q1049" s="527"/>
      <c r="R1049" s="527"/>
      <c r="S1049" s="527"/>
      <c r="T1049" s="527"/>
      <c r="U1049" s="527"/>
      <c r="V1049" s="527"/>
      <c r="W1049" s="527"/>
      <c r="X1049" s="528"/>
      <c r="Z1049" s="198"/>
      <c r="AA1049" s="198"/>
    </row>
    <row r="1050" spans="1:27" s="197" customFormat="1" ht="15" customHeight="1" thickBot="1">
      <c r="A1050" s="226"/>
      <c r="B1050" s="529" t="str">
        <f>IF(X1051="","TIJOLO / TRONCO DE CONE - 3 TIJOLOS",X1051)</f>
        <v>TIJOLO / TRONCO DE CONE - 3 TIJOLOS</v>
      </c>
      <c r="C1050" s="674" t="s">
        <v>101</v>
      </c>
      <c r="D1050" s="675" t="s">
        <v>102</v>
      </c>
      <c r="E1050" s="675" t="s">
        <v>42</v>
      </c>
      <c r="F1050" s="675" t="s">
        <v>42</v>
      </c>
      <c r="G1050" s="675" t="s">
        <v>43</v>
      </c>
      <c r="H1050" s="675" t="s">
        <v>44</v>
      </c>
      <c r="I1050" s="675" t="s">
        <v>47</v>
      </c>
      <c r="J1050" s="675" t="s">
        <v>103</v>
      </c>
      <c r="K1050" s="675" t="s">
        <v>37</v>
      </c>
      <c r="L1050" s="675" t="s">
        <v>39</v>
      </c>
      <c r="M1050" s="675"/>
      <c r="N1050" s="675" t="s">
        <v>2340</v>
      </c>
      <c r="O1050" s="675" t="s">
        <v>2349</v>
      </c>
      <c r="P1050" s="675" t="s">
        <v>46</v>
      </c>
      <c r="Q1050" s="675" t="s">
        <v>62</v>
      </c>
      <c r="R1050" s="675"/>
      <c r="S1050" s="675"/>
      <c r="T1050" s="675"/>
      <c r="U1050" s="675"/>
      <c r="V1050" s="701" t="s">
        <v>27</v>
      </c>
      <c r="W1050" s="532"/>
      <c r="X1050" s="533"/>
      <c r="Z1050" s="198"/>
      <c r="AA1050" s="198"/>
    </row>
    <row r="1051" spans="1:27" s="197" customFormat="1" ht="15" customHeight="1" thickBot="1">
      <c r="A1051" s="226"/>
      <c r="B1051" s="205"/>
      <c r="C1051" s="144">
        <f>SUMIF(Densidades!A:A,'Memória TOTAL'!X1051,Densidades!B:B)</f>
        <v>0</v>
      </c>
      <c r="D1051" s="145">
        <f>SUMIF(Densidades!A:A,'Memória TOTAL'!X1051,Densidades!C:C)</f>
        <v>0</v>
      </c>
      <c r="E1051" s="146">
        <f>SUMIF(Formatos!A:A,'Memória TOTAL'!X1052,Formatos!E:E)</f>
        <v>0</v>
      </c>
      <c r="F1051" s="146">
        <f>SUMIF(Formatos!A:A,'Memória TOTAL'!X1052,Formatos!F:F)</f>
        <v>0</v>
      </c>
      <c r="G1051" s="146">
        <f>SUMIF(Formatos!A:A,'Memória TOTAL'!X1052,Formatos!C:C)</f>
        <v>0</v>
      </c>
      <c r="H1051" s="146">
        <f>SUMIF(Formatos!A:A,'Memória TOTAL'!X1052,Formatos!D:D)</f>
        <v>0</v>
      </c>
      <c r="I1051" s="146">
        <f>SUMIF(Densidades!A:A,'Memória TOTAL'!X1051,Densidades!H:H)</f>
        <v>0</v>
      </c>
      <c r="J1051" s="147">
        <f>SUMIF(Formatos!A:A,'Memória TOTAL'!X1052,Formatos!G:G)</f>
        <v>4.1130000000000004</v>
      </c>
      <c r="K1051" s="233">
        <f>SUMIF(Densidades!A:A,'Memória TOTAL'!X1051,Densidades!I:I)</f>
        <v>0</v>
      </c>
      <c r="L1051" s="234">
        <v>0</v>
      </c>
      <c r="M1051" s="206"/>
      <c r="N1051" s="267"/>
      <c r="O1051" s="272"/>
      <c r="P1051" s="659"/>
      <c r="Q1051" s="272"/>
      <c r="R1051" s="206"/>
      <c r="S1051" s="206"/>
      <c r="T1051" s="243"/>
      <c r="U1051" s="246"/>
      <c r="V1051" s="702" t="str">
        <f>IF(SUM(S1065:S1115)=0,"-",SUM(S1065:S1115))</f>
        <v>-</v>
      </c>
      <c r="W1051" s="204" t="str">
        <f>IF(V1051="-","",ROUNDUP(SUM(V1051)*(1+L1051),0))</f>
        <v/>
      </c>
      <c r="X1051" s="274"/>
      <c r="Z1051" s="198"/>
      <c r="AA1051" s="198"/>
    </row>
    <row r="1052" spans="1:27" s="197" customFormat="1" ht="15" customHeight="1">
      <c r="A1052" s="226"/>
      <c r="B1052" s="205"/>
      <c r="C1052" s="211"/>
      <c r="D1052" s="206"/>
      <c r="E1052" s="206"/>
      <c r="F1052" s="206"/>
      <c r="G1052" s="206"/>
      <c r="H1052" s="206"/>
      <c r="I1052" s="206"/>
      <c r="J1052" s="207"/>
      <c r="K1052" s="207"/>
      <c r="L1052" s="155"/>
      <c r="M1052" s="206"/>
      <c r="N1052" s="206"/>
      <c r="O1052" s="206"/>
      <c r="P1052" s="206"/>
      <c r="Q1052" s="206"/>
      <c r="R1052" s="206"/>
      <c r="S1052" s="206"/>
      <c r="T1052" s="206"/>
      <c r="U1052" s="206"/>
      <c r="V1052" s="208"/>
      <c r="W1052" s="196"/>
      <c r="X1052" s="152" t="str">
        <f>IF(X1051="","",O1057)</f>
        <v/>
      </c>
      <c r="Z1052" s="198"/>
      <c r="AA1052" s="198"/>
    </row>
    <row r="1053" spans="1:27" s="197" customFormat="1" ht="15" customHeight="1">
      <c r="A1053" s="226"/>
      <c r="B1053" s="205"/>
      <c r="C1053" s="676"/>
      <c r="D1053" s="252"/>
      <c r="E1053" s="252"/>
      <c r="F1053" s="252"/>
      <c r="G1053" s="252"/>
      <c r="H1053" s="252"/>
      <c r="I1053" s="252"/>
      <c r="J1053" s="658"/>
      <c r="K1053" s="658"/>
      <c r="L1053" s="183"/>
      <c r="M1053" s="206"/>
      <c r="N1053" s="206"/>
      <c r="O1053" s="206"/>
      <c r="P1053" s="206"/>
      <c r="Q1053" s="206"/>
      <c r="R1053" s="206"/>
      <c r="S1053" s="206"/>
      <c r="T1053" s="206"/>
      <c r="U1053" s="206"/>
      <c r="V1053" s="208"/>
      <c r="W1053" s="196"/>
      <c r="X1053" s="152" t="s">
        <v>524</v>
      </c>
      <c r="Z1053" s="198"/>
      <c r="AA1053" s="198"/>
    </row>
    <row r="1054" spans="1:27" s="197" customFormat="1" ht="15" customHeight="1" thickBot="1">
      <c r="A1054" s="226"/>
      <c r="B1054" s="205"/>
      <c r="C1054" s="230" t="str">
        <f t="shared" ref="C1054:L1054" si="156">C1050</f>
        <v>Dens.</v>
      </c>
      <c r="D1054" s="677" t="str">
        <f t="shared" si="156"/>
        <v>Emb.</v>
      </c>
      <c r="E1054" s="677" t="str">
        <f t="shared" si="156"/>
        <v>Esp. Tij.</v>
      </c>
      <c r="F1054" s="677" t="str">
        <f t="shared" si="156"/>
        <v>Esp. Tij.</v>
      </c>
      <c r="G1054" s="677" t="str">
        <f t="shared" si="156"/>
        <v>Comp. Tij.</v>
      </c>
      <c r="H1054" s="677" t="str">
        <f t="shared" si="156"/>
        <v>Larg. Tij.</v>
      </c>
      <c r="I1054" s="677" t="str">
        <f t="shared" si="156"/>
        <v>Tipo Fator</v>
      </c>
      <c r="J1054" s="677" t="str">
        <f t="shared" si="156"/>
        <v>Vol.</v>
      </c>
      <c r="K1054" s="677" t="str">
        <f t="shared" si="156"/>
        <v>Class.</v>
      </c>
      <c r="L1054" s="677" t="str">
        <f t="shared" si="156"/>
        <v>Coefic. (%)</v>
      </c>
      <c r="M1054" s="206"/>
      <c r="N1054" s="206"/>
      <c r="O1054" s="206"/>
      <c r="P1054" s="206"/>
      <c r="Q1054" s="206"/>
      <c r="R1054" s="206"/>
      <c r="S1054" s="206"/>
      <c r="T1054" s="206"/>
      <c r="U1054" s="206"/>
      <c r="V1054" s="253"/>
      <c r="W1054" s="196"/>
      <c r="X1054" s="152"/>
      <c r="Z1054" s="198"/>
      <c r="AA1054" s="198"/>
    </row>
    <row r="1055" spans="1:27" s="197" customFormat="1" ht="15" customHeight="1" thickBot="1">
      <c r="A1055" s="226"/>
      <c r="B1055" s="205"/>
      <c r="C1055" s="144">
        <f>SUMIF(Densidades!A:A,'Memória TOTAL'!X1055,Densidades!B:B)</f>
        <v>0</v>
      </c>
      <c r="D1055" s="145">
        <f>SUMIF(Densidades!A:A,'Memória TOTAL'!X1055,Densidades!C:C)</f>
        <v>570</v>
      </c>
      <c r="E1055" s="146">
        <f>SUMIF(Formatos!A:A,'Memória TOTAL'!X1056,Formatos!E:E)</f>
        <v>0</v>
      </c>
      <c r="F1055" s="146">
        <f>SUMIF(Formatos!A:A,'Memória TOTAL'!X1056,Formatos!F:F)</f>
        <v>0</v>
      </c>
      <c r="G1055" s="146">
        <f>SUMIF(Formatos!A:A,'Memória TOTAL'!X1056,Formatos!C:C)</f>
        <v>0</v>
      </c>
      <c r="H1055" s="146">
        <f>SUMIF(Formatos!A:A,'Memória TOTAL'!X1056,Formatos!D:D)</f>
        <v>0</v>
      </c>
      <c r="I1055" s="146">
        <f>SUMIF(Densidades!A:A,'Memória TOTAL'!X1055,Densidades!H:H)</f>
        <v>0</v>
      </c>
      <c r="J1055" s="147">
        <f>SUMIF(Formatos!A:A,'Memória TOTAL'!X1056,Formatos!G:G)</f>
        <v>4.1130000000000004</v>
      </c>
      <c r="K1055" s="233">
        <f>SUMIF(Densidades!A:A,'Memória TOTAL'!X1055,Densidades!I:I)</f>
        <v>167</v>
      </c>
      <c r="L1055" s="234">
        <v>0</v>
      </c>
      <c r="M1055" s="206"/>
      <c r="N1055" s="206"/>
      <c r="O1055" s="800" t="s">
        <v>1015</v>
      </c>
      <c r="P1055" s="801"/>
      <c r="Q1055" s="801"/>
      <c r="R1055" s="801"/>
      <c r="S1055" s="802"/>
      <c r="T1055" s="243"/>
      <c r="U1055" s="246"/>
      <c r="V1055" s="702" t="str">
        <f>IFERROR(IF(SUM(T1065:T1115)=0,"-",SUM(T1065:T1115)),"-")</f>
        <v>-</v>
      </c>
      <c r="W1055" s="204" t="str">
        <f>IF(V1055="-","",ROUNDUP(SUM(V1055)*(1+L1055),0))</f>
        <v/>
      </c>
      <c r="X1055" s="152" t="str">
        <f>IF(X1051="","",X1051)</f>
        <v/>
      </c>
      <c r="Z1055" s="198"/>
      <c r="AA1055" s="198"/>
    </row>
    <row r="1056" spans="1:27" s="197" customFormat="1" ht="15" customHeight="1" thickBot="1">
      <c r="A1056" s="226"/>
      <c r="B1056" s="205"/>
      <c r="C1056" s="211"/>
      <c r="D1056" s="206"/>
      <c r="E1056" s="206"/>
      <c r="F1056" s="206"/>
      <c r="G1056" s="206"/>
      <c r="H1056" s="206"/>
      <c r="I1056" s="206"/>
      <c r="J1056" s="207"/>
      <c r="K1056" s="207"/>
      <c r="L1056" s="155"/>
      <c r="M1056" s="206"/>
      <c r="N1056" s="658"/>
      <c r="O1056" s="681" t="s">
        <v>2347</v>
      </c>
      <c r="P1056" s="682" t="s">
        <v>1075</v>
      </c>
      <c r="Q1056" s="682" t="s">
        <v>2346</v>
      </c>
      <c r="R1056" s="682" t="s">
        <v>7</v>
      </c>
      <c r="S1056" s="703" t="s">
        <v>15</v>
      </c>
      <c r="T1056" s="206"/>
      <c r="U1056" s="206"/>
      <c r="V1056" s="208"/>
      <c r="W1056" s="196"/>
      <c r="X1056" s="152" t="str">
        <f>IF(X1055="","",O1058)</f>
        <v/>
      </c>
      <c r="Z1056" s="198"/>
      <c r="AA1056" s="198"/>
    </row>
    <row r="1057" spans="1:27" s="197" customFormat="1" ht="15" customHeight="1">
      <c r="A1057" s="226"/>
      <c r="B1057" s="205"/>
      <c r="C1057" s="676"/>
      <c r="D1057" s="252"/>
      <c r="E1057" s="252"/>
      <c r="F1057" s="252"/>
      <c r="G1057" s="252"/>
      <c r="H1057" s="252"/>
      <c r="I1057" s="252"/>
      <c r="J1057" s="658"/>
      <c r="K1057" s="658"/>
      <c r="L1057" s="183"/>
      <c r="M1057" s="206"/>
      <c r="N1057" s="678" t="s">
        <v>2341</v>
      </c>
      <c r="O1057" s="705"/>
      <c r="P1057" s="334" t="str">
        <f>IF(O1057="","",IF(VLOOKUP(O1057,Formatos!A:F,2,FALSE)="S",IF(VLOOKUP(O1058,Formatos!A:F,2,FALSE)="W",VLOOKUP(O1058,Formatos!A:F,4,FALSE),VLOOKUP(O1058,Formatos!A:F,3,FALSE)),IF(VLOOKUP(O1057,Formatos!A:F,2,FALSE)="W",VLOOKUP(O1057,Formatos!A:F,4,FALSE),VLOOKUP(O1057,Formatos!A:F,3,FALSE))))</f>
        <v/>
      </c>
      <c r="Q1057" s="334" t="str">
        <f>IF(O1057="","",IF(VLOOKUP(O1057,Formatos!A:F,2,FALSE)="S",IF(VLOOKUP(O1058,Formatos!A:F,2,FALSE)="W",VLOOKUP(O1058,Formatos!A:F,3,FALSE),VLOOKUP(O1058,Formatos!A:F,4,FALSE)),IF(VLOOKUP(O1057,Formatos!A:F,2,FALSE)="W",VLOOKUP(O1057,Formatos!A:F,3,FALSE),VLOOKUP(O1057,Formatos!A:F,4,FALSE))))</f>
        <v/>
      </c>
      <c r="R1057" s="708" t="str">
        <f>IF(O1057="","",VLOOKUP(O1057,Formatos!A:F,5,FALSE)+P1051)</f>
        <v/>
      </c>
      <c r="S1057" s="709" t="str">
        <f>IF(O1057="","",VLOOKUP(O1057,Formatos!A:F,6,FALSE)+P1051)</f>
        <v/>
      </c>
      <c r="T1057" s="206"/>
      <c r="U1057" s="206"/>
      <c r="V1057" s="208"/>
      <c r="W1057" s="196"/>
      <c r="X1057" s="152" t="s">
        <v>524</v>
      </c>
      <c r="Z1057" s="198"/>
      <c r="AA1057" s="198"/>
    </row>
    <row r="1058" spans="1:27" s="197" customFormat="1" ht="15" customHeight="1" thickBot="1">
      <c r="A1058" s="226"/>
      <c r="B1058" s="205"/>
      <c r="C1058" s="230" t="str">
        <f t="shared" ref="C1058:L1058" si="157">C1054</f>
        <v>Dens.</v>
      </c>
      <c r="D1058" s="677" t="str">
        <f t="shared" si="157"/>
        <v>Emb.</v>
      </c>
      <c r="E1058" s="677" t="str">
        <f t="shared" si="157"/>
        <v>Esp. Tij.</v>
      </c>
      <c r="F1058" s="677" t="str">
        <f t="shared" si="157"/>
        <v>Esp. Tij.</v>
      </c>
      <c r="G1058" s="677" t="str">
        <f t="shared" si="157"/>
        <v>Comp. Tij.</v>
      </c>
      <c r="H1058" s="677" t="str">
        <f t="shared" si="157"/>
        <v>Larg. Tij.</v>
      </c>
      <c r="I1058" s="677" t="str">
        <f t="shared" si="157"/>
        <v>Tipo Fator</v>
      </c>
      <c r="J1058" s="677" t="str">
        <f t="shared" si="157"/>
        <v>Vol.</v>
      </c>
      <c r="K1058" s="677" t="str">
        <f t="shared" si="157"/>
        <v>Class.</v>
      </c>
      <c r="L1058" s="677" t="str">
        <f t="shared" si="157"/>
        <v>Coefic. (%)</v>
      </c>
      <c r="M1058" s="206"/>
      <c r="N1058" s="679" t="s">
        <v>2342</v>
      </c>
      <c r="O1058" s="706"/>
      <c r="P1058" s="334" t="str">
        <f>IF(O1058="","",IF(VLOOKUP(O1058,Formatos!A:F,2,FALSE)="S",IF(VLOOKUP(O1059,Formatos!A:F,2,FALSE)="W",VLOOKUP(O1059,Formatos!A:F,4,FALSE),VLOOKUP(O1059,Formatos!A:F,3,FALSE)),IF(VLOOKUP(O1058,Formatos!A:F,2,FALSE)="W",VLOOKUP(O1058,Formatos!A:F,4,FALSE),VLOOKUP(O1058,Formatos!A:F,3,FALSE))))</f>
        <v/>
      </c>
      <c r="Q1058" s="334" t="str">
        <f>IF(O1058="","",IF(VLOOKUP(O1058,Formatos!A:F,2,FALSE)="S",IF(VLOOKUP(O1059,Formatos!A:F,2,FALSE)="W",VLOOKUP(O1059,Formatos!A:F,3,FALSE),VLOOKUP(O1059,Formatos!A:F,4,FALSE)),IF(VLOOKUP(O1058,Formatos!A:F,2,FALSE)="W",VLOOKUP(O1058,Formatos!A:F,3,FALSE),VLOOKUP(O1058,Formatos!A:F,4,FALSE))))</f>
        <v/>
      </c>
      <c r="R1058" s="708" t="str">
        <f>IF(O1058="","",VLOOKUP(O1058,Formatos!A:F,5,FALSE)+P1051)</f>
        <v/>
      </c>
      <c r="S1058" s="709" t="str">
        <f>IF(O1058="","",VLOOKUP(O1058,Formatos!A:F,6,FALSE)+P1051)</f>
        <v/>
      </c>
      <c r="T1058" s="206"/>
      <c r="U1058" s="206"/>
      <c r="V1058" s="253"/>
      <c r="W1058" s="196"/>
      <c r="X1058" s="152"/>
      <c r="Z1058" s="198"/>
      <c r="AA1058" s="198"/>
    </row>
    <row r="1059" spans="1:27" s="197" customFormat="1" ht="15" customHeight="1" thickBot="1">
      <c r="A1059" s="226"/>
      <c r="B1059" s="205"/>
      <c r="C1059" s="144">
        <f>SUMIF(Densidades!A:A,'Memória TOTAL'!X1059,Densidades!B:B)</f>
        <v>0</v>
      </c>
      <c r="D1059" s="145">
        <f>SUMIF(Densidades!A:A,'Memória TOTAL'!X1059,Densidades!C:C)</f>
        <v>570</v>
      </c>
      <c r="E1059" s="146">
        <f>SUMIF(Formatos!A:A,'Memória TOTAL'!X1060,Formatos!E:E)</f>
        <v>0</v>
      </c>
      <c r="F1059" s="146">
        <f>SUMIF(Formatos!A:A,'Memória TOTAL'!X1060,Formatos!F:F)</f>
        <v>0</v>
      </c>
      <c r="G1059" s="146">
        <f>SUMIF(Formatos!A:A,'Memória TOTAL'!X1060,Formatos!C:C)</f>
        <v>0</v>
      </c>
      <c r="H1059" s="146">
        <f>SUMIF(Formatos!A:A,'Memória TOTAL'!X1060,Formatos!D:D)</f>
        <v>0</v>
      </c>
      <c r="I1059" s="146">
        <f>SUMIF(Densidades!A:A,'Memória TOTAL'!X1059,Densidades!H:H)</f>
        <v>0</v>
      </c>
      <c r="J1059" s="147">
        <f>SUMIF(Formatos!A:A,'Memória TOTAL'!X1060,Formatos!G:G)</f>
        <v>4.1130000000000004</v>
      </c>
      <c r="K1059" s="233">
        <f>SUMIF(Densidades!A:A,'Memória TOTAL'!X1059,Densidades!I:I)</f>
        <v>167</v>
      </c>
      <c r="L1059" s="234">
        <v>0</v>
      </c>
      <c r="M1059" s="206"/>
      <c r="N1059" s="680" t="s">
        <v>2343</v>
      </c>
      <c r="O1059" s="707"/>
      <c r="P1059" s="704" t="str">
        <f>IF(O1059="","",IF(VLOOKUP(O1059,Formatos!A:F,2,FALSE)="S",IF(VLOOKUP(#REF!,Formatos!A:F,2,FALSE)="W",VLOOKUP(#REF!,Formatos!A:F,4,FALSE),VLOOKUP(#REF!,Formatos!A:F,3,FALSE)),IF(VLOOKUP(O1059,Formatos!A:F,2,FALSE)="W",VLOOKUP(O1059,Formatos!A:F,4,FALSE),VLOOKUP(O1059,Formatos!A:F,3,FALSE))))</f>
        <v/>
      </c>
      <c r="Q1059" s="704" t="str">
        <f>IF(O1059="","",IF(VLOOKUP(O1059,Formatos!A:F,2,FALSE)="S",IF(VLOOKUP(#REF!,Formatos!A:F,2,FALSE)="W",VLOOKUP(#REF!,Formatos!A:F,3,FALSE),VLOOKUP(#REF!,Formatos!A:F,4,FALSE)),IF(VLOOKUP(O1059,Formatos!A:F,2,FALSE)="W",VLOOKUP(O1059,Formatos!A:F,3,FALSE),VLOOKUP(O1059,Formatos!A:F,4,FALSE))))</f>
        <v/>
      </c>
      <c r="R1059" s="710" t="str">
        <f>IF(O1059="","",VLOOKUP(O1059,Formatos!A:F,5,FALSE)+P1051)</f>
        <v/>
      </c>
      <c r="S1059" s="711" t="str">
        <f>IF(O1059="","",VLOOKUP(O1059,Formatos!A:F,6,FALSE)+P1051)</f>
        <v/>
      </c>
      <c r="T1059" s="243"/>
      <c r="U1059" s="246"/>
      <c r="V1059" s="702" t="str">
        <f>IFERROR(IF(SUM(U1065:U1115)=0,"-",SUM(U1065:U1115)),"-")</f>
        <v>-</v>
      </c>
      <c r="W1059" s="204" t="str">
        <f>IF(V1059="-","",ROUNDUP(SUM(V1059)*(1+L1059),0))</f>
        <v/>
      </c>
      <c r="X1059" s="152" t="str">
        <f>X1055</f>
        <v/>
      </c>
      <c r="Z1059" s="198"/>
      <c r="AA1059" s="198"/>
    </row>
    <row r="1060" spans="1:27" s="197" customFormat="1" ht="15" customHeight="1">
      <c r="A1060" s="226"/>
      <c r="B1060" s="205"/>
      <c r="C1060" s="211"/>
      <c r="D1060" s="206"/>
      <c r="E1060" s="206"/>
      <c r="F1060" s="206"/>
      <c r="G1060" s="206"/>
      <c r="H1060" s="206"/>
      <c r="I1060" s="206"/>
      <c r="J1060" s="207"/>
      <c r="K1060" s="207"/>
      <c r="L1060" s="155"/>
      <c r="M1060" s="206"/>
      <c r="N1060" s="206"/>
      <c r="O1060" s="206"/>
      <c r="P1060" s="206"/>
      <c r="Q1060" s="206"/>
      <c r="R1060" s="206"/>
      <c r="S1060" s="206"/>
      <c r="T1060" s="206"/>
      <c r="U1060" s="206"/>
      <c r="V1060" s="208"/>
      <c r="W1060" s="196"/>
      <c r="X1060" s="152" t="str">
        <f>IF(X1059="","",O1059)</f>
        <v/>
      </c>
      <c r="Z1060" s="198"/>
      <c r="AA1060" s="198"/>
    </row>
    <row r="1061" spans="1:27" s="197" customFormat="1" ht="15" customHeight="1">
      <c r="A1061" s="226"/>
      <c r="B1061" s="205"/>
      <c r="C1061" s="211"/>
      <c r="D1061" s="206"/>
      <c r="E1061" s="206"/>
      <c r="F1061" s="206"/>
      <c r="G1061" s="206"/>
      <c r="H1061" s="206"/>
      <c r="I1061" s="206"/>
      <c r="J1061" s="207"/>
      <c r="K1061" s="207"/>
      <c r="L1061" s="155"/>
      <c r="M1061" s="206"/>
      <c r="N1061" s="206"/>
      <c r="O1061" s="206"/>
      <c r="P1061" s="206"/>
      <c r="Q1061" s="206"/>
      <c r="R1061" s="206"/>
      <c r="S1061" s="206"/>
      <c r="T1061" s="206"/>
      <c r="U1061" s="206"/>
      <c r="V1061" s="208"/>
      <c r="W1061" s="196"/>
      <c r="X1061" s="152" t="s">
        <v>524</v>
      </c>
      <c r="Z1061" s="198"/>
      <c r="AA1061" s="198"/>
    </row>
    <row r="1062" spans="1:27" s="197" customFormat="1" ht="15" customHeight="1" thickBot="1">
      <c r="A1062" s="226"/>
      <c r="B1062" s="205"/>
      <c r="C1062" s="211"/>
      <c r="D1062" s="206"/>
      <c r="E1062" s="206"/>
      <c r="F1062" s="206"/>
      <c r="G1062" s="206"/>
      <c r="H1062" s="206"/>
      <c r="I1062" s="206"/>
      <c r="J1062" s="207"/>
      <c r="K1062" s="207"/>
      <c r="L1062" s="207"/>
      <c r="M1062" s="206"/>
      <c r="N1062" s="206"/>
      <c r="O1062" s="206"/>
      <c r="P1062" s="206"/>
      <c r="Q1062" s="206"/>
      <c r="R1062" s="206"/>
      <c r="S1062" s="252"/>
      <c r="T1062" s="252"/>
      <c r="U1062" s="252"/>
      <c r="V1062" s="208"/>
      <c r="W1062" s="196"/>
      <c r="X1062" s="152"/>
      <c r="Z1062" s="198"/>
      <c r="AA1062" s="198"/>
    </row>
    <row r="1063" spans="1:27" s="197" customFormat="1" ht="15" customHeight="1" thickBot="1">
      <c r="A1063" s="226"/>
      <c r="B1063" s="205"/>
      <c r="C1063" s="676"/>
      <c r="D1063" s="247"/>
      <c r="E1063" s="206"/>
      <c r="F1063" s="206"/>
      <c r="G1063" s="206"/>
      <c r="H1063" s="206"/>
      <c r="I1063" s="206"/>
      <c r="J1063" s="207"/>
      <c r="K1063" s="657"/>
      <c r="L1063" s="658"/>
      <c r="M1063" s="252"/>
      <c r="N1063" s="252"/>
      <c r="O1063" s="252"/>
      <c r="P1063" s="689" t="s">
        <v>2341</v>
      </c>
      <c r="Q1063" s="699" t="s">
        <v>2342</v>
      </c>
      <c r="R1063" s="700" t="s">
        <v>2343</v>
      </c>
      <c r="S1063" s="689" t="s">
        <v>2341</v>
      </c>
      <c r="T1063" s="699" t="s">
        <v>2342</v>
      </c>
      <c r="U1063" s="700" t="s">
        <v>2343</v>
      </c>
      <c r="V1063" s="347"/>
      <c r="W1063" s="196"/>
      <c r="X1063" s="152"/>
      <c r="Z1063" s="198"/>
      <c r="AA1063" s="198"/>
    </row>
    <row r="1064" spans="1:27" s="197" customFormat="1" ht="15" customHeight="1" thickBot="1">
      <c r="A1064" s="226"/>
      <c r="B1064" s="205"/>
      <c r="C1064" s="688" t="s">
        <v>2348</v>
      </c>
      <c r="D1064" s="247"/>
      <c r="E1064" s="206"/>
      <c r="F1064" s="206"/>
      <c r="G1064" s="206"/>
      <c r="H1064" s="206"/>
      <c r="I1064" s="206"/>
      <c r="J1064" s="207"/>
      <c r="K1064" s="657"/>
      <c r="L1064" s="689" t="s">
        <v>2340</v>
      </c>
      <c r="M1064" s="690" t="s">
        <v>2344</v>
      </c>
      <c r="N1064" s="691" t="s">
        <v>2345</v>
      </c>
      <c r="O1064" s="692" t="s">
        <v>1022</v>
      </c>
      <c r="P1064" s="693" t="str">
        <f>IF(O1057="","",O1057)</f>
        <v/>
      </c>
      <c r="Q1064" s="694" t="str">
        <f>IF(O1058="","",O1058)</f>
        <v/>
      </c>
      <c r="R1064" s="695" t="str">
        <f>IF(O1059="","",O1059)</f>
        <v/>
      </c>
      <c r="S1064" s="696" t="str">
        <f>IF(O1057="","",O1057)</f>
        <v/>
      </c>
      <c r="T1064" s="697" t="str">
        <f>IF(O1058="","",O1058)</f>
        <v/>
      </c>
      <c r="U1064" s="698" t="str">
        <f>IF(O1059="","",O1059)</f>
        <v/>
      </c>
      <c r="V1064" s="347"/>
      <c r="W1064" s="196"/>
      <c r="X1064" s="152"/>
      <c r="Z1064" s="198"/>
      <c r="AA1064" s="198"/>
    </row>
    <row r="1065" spans="1:27" s="197" customFormat="1" ht="15" customHeight="1">
      <c r="A1065" s="226"/>
      <c r="B1065" s="179"/>
      <c r="C1065" s="683" t="str">
        <f>IF(Q1051="","",1)</f>
        <v/>
      </c>
      <c r="D1065" s="247"/>
      <c r="E1065" s="206"/>
      <c r="F1065" s="206"/>
      <c r="G1065" s="206"/>
      <c r="H1065" s="206"/>
      <c r="I1065" s="206"/>
      <c r="J1065" s="207"/>
      <c r="K1065" s="657"/>
      <c r="L1065" s="662" t="str">
        <f>IF(C1065="","",N1051)</f>
        <v/>
      </c>
      <c r="M1065" s="722" t="str">
        <f>IF(C1065="","",L1065-Q1058*COS(O1051*PI()/180))</f>
        <v/>
      </c>
      <c r="N1065" s="723" t="str">
        <f>IF(C1065="","",L1065+P1058*SIN(O1051*PI()/180))</f>
        <v/>
      </c>
      <c r="O1065" s="669" t="str">
        <f>IF(C1065="","-",360)</f>
        <v>-</v>
      </c>
      <c r="P1065" s="717" t="str">
        <f>IF(C1065="","",(PI()*O1065/180*(R1059*M1065-N1065*S1059)-Q1065*(S1058*R1059-S1059*R1058))/S1057/(R1059-S1059))</f>
        <v/>
      </c>
      <c r="Q1065" s="718" t="str">
        <f>IF(C1065="","",O1065/180*PI()*(L1065-M1065)/(R1058-S1058))</f>
        <v/>
      </c>
      <c r="R1065" s="666" t="str">
        <f>IF(C1065="","",(O1065/180*PI()*N1065-Q1065*R1058-S1065*S1057)/R1059)</f>
        <v/>
      </c>
      <c r="S1065" s="665" t="str">
        <f>IF(C1065="","",ROUNDUP(P1065,0))</f>
        <v/>
      </c>
      <c r="T1065" s="712" t="str">
        <f>IF(C1065="","",ROUNDUP(Q1065,0))</f>
        <v/>
      </c>
      <c r="U1065" s="713" t="str">
        <f>IF(C1065="","",ROUNDUP(R1065,0))</f>
        <v/>
      </c>
      <c r="V1065" s="347"/>
      <c r="W1065" s="196"/>
      <c r="X1065" s="152"/>
      <c r="Z1065" s="198"/>
      <c r="AA1065" s="198"/>
    </row>
    <row r="1066" spans="1:27" s="197" customFormat="1" ht="15" customHeight="1">
      <c r="A1066" s="226"/>
      <c r="B1066" s="179"/>
      <c r="C1066" s="684" t="str">
        <f>IF(Q1051="","",IF(C1065="","",IF(C1065+1&lt;=Q1051,C1065+1,"")))</f>
        <v/>
      </c>
      <c r="D1066" s="247"/>
      <c r="E1066" s="206"/>
      <c r="F1066" s="206"/>
      <c r="G1066" s="206"/>
      <c r="H1066" s="206"/>
      <c r="I1066" s="206"/>
      <c r="J1066" s="207"/>
      <c r="K1066" s="657"/>
      <c r="L1066" s="663" t="str">
        <f>IF(C1066="","",N1065)</f>
        <v/>
      </c>
      <c r="M1066" s="667" t="str">
        <f>IF(C1066="","",L1066-Q1058*COS(O1051*PI()/180))</f>
        <v/>
      </c>
      <c r="N1066" s="668" t="str">
        <f>IF(C1066="","",L1066+P1058*SIN(O1051*PI()/180))</f>
        <v/>
      </c>
      <c r="O1066" s="660" t="str">
        <f>IF(C1066="","-",O1065)</f>
        <v>-</v>
      </c>
      <c r="P1066" s="670" t="str">
        <f>IF(C1066="","",(PI()*O1066/180*(R1059*M1066-N1066*S1059)-Q1066*(S1058*R1059-S1059*R1058))/S1057/(R1059-S1059))</f>
        <v/>
      </c>
      <c r="Q1066" s="671" t="str">
        <f>IF(C1066="","",O1066/180*PI()*(L1066-M1066)/(R1058-S1058))</f>
        <v/>
      </c>
      <c r="R1066" s="672" t="str">
        <f>IF(C1066="","",(O1066/180*PI()*N1066-Q1066*R1058-S1066*S1057)/R1059)</f>
        <v/>
      </c>
      <c r="S1066" s="673" t="str">
        <f t="shared" ref="S1066:S1114" si="158">IF(C1066="","",ROUNDUP(P1066,0))</f>
        <v/>
      </c>
      <c r="T1066" s="686" t="str">
        <f t="shared" ref="T1066:T1114" si="159">IF(C1066="","",ROUNDUP(Q1066,0))</f>
        <v/>
      </c>
      <c r="U1066" s="687" t="str">
        <f t="shared" ref="U1066:U1114" si="160">IF(C1066="","",ROUNDUP(R1066,0))</f>
        <v/>
      </c>
      <c r="V1066" s="347"/>
      <c r="W1066" s="196"/>
      <c r="X1066" s="152"/>
      <c r="Z1066" s="198"/>
      <c r="AA1066" s="198"/>
    </row>
    <row r="1067" spans="1:27" s="197" customFormat="1" ht="15" customHeight="1">
      <c r="A1067" s="226"/>
      <c r="B1067" s="179"/>
      <c r="C1067" s="684" t="str">
        <f>IF(Q1051="","",IF(C1066="","",IF(C1066+1&lt;=Q1051,C1066+1,"")))</f>
        <v/>
      </c>
      <c r="D1067" s="247"/>
      <c r="E1067" s="206"/>
      <c r="F1067" s="206"/>
      <c r="G1067" s="206"/>
      <c r="H1067" s="206"/>
      <c r="I1067" s="206"/>
      <c r="J1067" s="207"/>
      <c r="K1067" s="657"/>
      <c r="L1067" s="663" t="str">
        <f t="shared" ref="L1067:L1114" si="161">IF(C1067="","",N1066)</f>
        <v/>
      </c>
      <c r="M1067" s="667" t="str">
        <f>IF(C1067="","",L1067-Q1058*COS(O1051*PI()/180))</f>
        <v/>
      </c>
      <c r="N1067" s="668" t="str">
        <f>IF(C1067="","",L1067+P1058*SIN(O1051*PI()/180))</f>
        <v/>
      </c>
      <c r="O1067" s="660" t="str">
        <f t="shared" ref="O1067:O1114" si="162">O1066</f>
        <v>-</v>
      </c>
      <c r="P1067" s="670" t="str">
        <f>IF(C1067="","",(PI()*O1067/180*(R1059*M1067-N1067*S1059)-Q1067*(S1058*R1059-S1059*R1058))/S1057/(R1059-S1059))</f>
        <v/>
      </c>
      <c r="Q1067" s="671" t="str">
        <f>IF(C1067="","",O1067/180*PI()*(L1067-M1067)/(R1058-S1058))</f>
        <v/>
      </c>
      <c r="R1067" s="672" t="str">
        <f>IF(C1067="","",(O1067/180*PI()*N1067-Q1067*R1058-S1067*S1057)/R1059)</f>
        <v/>
      </c>
      <c r="S1067" s="673" t="str">
        <f t="shared" si="158"/>
        <v/>
      </c>
      <c r="T1067" s="686" t="str">
        <f t="shared" si="159"/>
        <v/>
      </c>
      <c r="U1067" s="687" t="str">
        <f t="shared" si="160"/>
        <v/>
      </c>
      <c r="V1067" s="347"/>
      <c r="W1067" s="196"/>
      <c r="X1067" s="152"/>
      <c r="Z1067" s="198"/>
      <c r="AA1067" s="198"/>
    </row>
    <row r="1068" spans="1:27" s="197" customFormat="1" ht="15" customHeight="1">
      <c r="A1068" s="226"/>
      <c r="B1068" s="179"/>
      <c r="C1068" s="684" t="str">
        <f>IF(Q1051="","",IF(C1067="","",IF(C1067+1&lt;=Q1051,C1067+1,"")))</f>
        <v/>
      </c>
      <c r="D1068" s="247"/>
      <c r="E1068" s="206"/>
      <c r="F1068" s="206"/>
      <c r="G1068" s="206"/>
      <c r="H1068" s="206"/>
      <c r="I1068" s="206"/>
      <c r="J1068" s="207"/>
      <c r="K1068" s="657"/>
      <c r="L1068" s="663" t="str">
        <f t="shared" si="161"/>
        <v/>
      </c>
      <c r="M1068" s="667" t="str">
        <f>IF(C1068="","",L1068-Q1058*COS(O1051*PI()/180))</f>
        <v/>
      </c>
      <c r="N1068" s="668" t="str">
        <f>IF(C1068="","",L1068+P1058*SIN(O1051*PI()/180))</f>
        <v/>
      </c>
      <c r="O1068" s="660" t="str">
        <f t="shared" si="162"/>
        <v>-</v>
      </c>
      <c r="P1068" s="670" t="str">
        <f>IF(C1068="","",(PI()*O1068/180*(R1059*M1068-N1068*S1059)-Q1068*(S1058*R1059-S1059*R1058))/S1057/(R1059-S1059))</f>
        <v/>
      </c>
      <c r="Q1068" s="671" t="str">
        <f>IF(C1068="","",O1068/180*PI()*(L1068-M1068)/(R1058-S1058))</f>
        <v/>
      </c>
      <c r="R1068" s="672" t="str">
        <f>IF(C1068="","",(O1068/180*PI()*N1068-Q1068*R1058-S1068*S1057)/R1059)</f>
        <v/>
      </c>
      <c r="S1068" s="673" t="str">
        <f t="shared" si="158"/>
        <v/>
      </c>
      <c r="T1068" s="686" t="str">
        <f t="shared" si="159"/>
        <v/>
      </c>
      <c r="U1068" s="687" t="str">
        <f t="shared" si="160"/>
        <v/>
      </c>
      <c r="V1068" s="347"/>
      <c r="W1068" s="196"/>
      <c r="X1068" s="152"/>
      <c r="Z1068" s="198"/>
      <c r="AA1068" s="198"/>
    </row>
    <row r="1069" spans="1:27" s="197" customFormat="1" ht="15" customHeight="1">
      <c r="A1069" s="226"/>
      <c r="B1069" s="179"/>
      <c r="C1069" s="684" t="str">
        <f>IF(Q1051="","",IF(C1068="","",IF(C1068+1&lt;=Q1051,C1068+1,"")))</f>
        <v/>
      </c>
      <c r="D1069" s="247"/>
      <c r="E1069" s="206"/>
      <c r="F1069" s="206"/>
      <c r="G1069" s="206"/>
      <c r="H1069" s="206"/>
      <c r="I1069" s="206"/>
      <c r="J1069" s="207"/>
      <c r="K1069" s="657"/>
      <c r="L1069" s="663" t="str">
        <f t="shared" si="161"/>
        <v/>
      </c>
      <c r="M1069" s="667" t="str">
        <f>IF(C1069="","",L1069-Q1058*COS(O1051*PI()/180))</f>
        <v/>
      </c>
      <c r="N1069" s="668" t="str">
        <f>IF(C1069="","",L1069+P1058*SIN(O1051*PI()/180))</f>
        <v/>
      </c>
      <c r="O1069" s="660" t="str">
        <f t="shared" si="162"/>
        <v>-</v>
      </c>
      <c r="P1069" s="670" t="str">
        <f>IF(C1069="","",(PI()*O1069/180*(R1059*M1069-N1069*S1059)-Q1069*(S1058*R1059-S1059*R1058))/S1057/(R1059-S1059))</f>
        <v/>
      </c>
      <c r="Q1069" s="671" t="str">
        <f>IF(C1069="","",O1069/180*PI()*(L1069-M1069)/(R1058-S1058))</f>
        <v/>
      </c>
      <c r="R1069" s="672" t="str">
        <f>IF(C1069="","",(O1069/180*PI()*N1069-Q1069*R1058-S1069*S1057)/R1059)</f>
        <v/>
      </c>
      <c r="S1069" s="673" t="str">
        <f t="shared" si="158"/>
        <v/>
      </c>
      <c r="T1069" s="686" t="str">
        <f t="shared" si="159"/>
        <v/>
      </c>
      <c r="U1069" s="687" t="str">
        <f t="shared" si="160"/>
        <v/>
      </c>
      <c r="V1069" s="347"/>
      <c r="W1069" s="196"/>
      <c r="X1069" s="152"/>
      <c r="Z1069" s="198"/>
      <c r="AA1069" s="198"/>
    </row>
    <row r="1070" spans="1:27" s="197" customFormat="1" ht="15" customHeight="1">
      <c r="A1070" s="226"/>
      <c r="B1070" s="179"/>
      <c r="C1070" s="684" t="str">
        <f>IF(Q1051="","",IF(C1069="","",IF(C1069+1&lt;=Q1051,C1069+1,"")))</f>
        <v/>
      </c>
      <c r="D1070" s="247"/>
      <c r="E1070" s="206"/>
      <c r="F1070" s="206"/>
      <c r="G1070" s="206"/>
      <c r="H1070" s="206"/>
      <c r="I1070" s="206"/>
      <c r="J1070" s="207"/>
      <c r="K1070" s="657"/>
      <c r="L1070" s="663" t="str">
        <f t="shared" si="161"/>
        <v/>
      </c>
      <c r="M1070" s="667" t="str">
        <f>IF(C1070="","",L1070-Q1058*COS(O1051*PI()/180))</f>
        <v/>
      </c>
      <c r="N1070" s="668" t="str">
        <f>IF(C1070="","",L1070+P1058*SIN(O1051*PI()/180))</f>
        <v/>
      </c>
      <c r="O1070" s="660" t="str">
        <f t="shared" si="162"/>
        <v>-</v>
      </c>
      <c r="P1070" s="670" t="str">
        <f>IF(C1070="","",(PI()*O1070/180*(R1059*M1070-N1070*S1059)-Q1070*(S1058*R1059-S1059*R1058))/S1057/(R1059-S1059))</f>
        <v/>
      </c>
      <c r="Q1070" s="671" t="str">
        <f>IF(C1070="","",O1070/180*PI()*(L1070-M1070)/(R1058-S1058))</f>
        <v/>
      </c>
      <c r="R1070" s="672" t="str">
        <f>IF(C1070="","",(O1070/180*PI()*N1070-Q1070*R1058-S1070*S1057)/R1059)</f>
        <v/>
      </c>
      <c r="S1070" s="673" t="str">
        <f t="shared" si="158"/>
        <v/>
      </c>
      <c r="T1070" s="686" t="str">
        <f t="shared" si="159"/>
        <v/>
      </c>
      <c r="U1070" s="687" t="str">
        <f t="shared" si="160"/>
        <v/>
      </c>
      <c r="V1070" s="347"/>
      <c r="W1070" s="196"/>
      <c r="X1070" s="152"/>
      <c r="Z1070" s="198"/>
      <c r="AA1070" s="198"/>
    </row>
    <row r="1071" spans="1:27" s="197" customFormat="1" ht="15" customHeight="1">
      <c r="A1071" s="226"/>
      <c r="B1071" s="179"/>
      <c r="C1071" s="684" t="str">
        <f>IF(Q1051="","",IF(C1070="","",IF(C1070+1&lt;=Q1051,C1070+1,"")))</f>
        <v/>
      </c>
      <c r="D1071" s="247"/>
      <c r="E1071" s="206"/>
      <c r="F1071" s="206"/>
      <c r="G1071" s="206"/>
      <c r="H1071" s="206"/>
      <c r="I1071" s="206"/>
      <c r="J1071" s="207"/>
      <c r="K1071" s="657"/>
      <c r="L1071" s="663" t="str">
        <f t="shared" si="161"/>
        <v/>
      </c>
      <c r="M1071" s="667" t="str">
        <f>IF(C1071="","",L1071-Q1058*COS(O1051*PI()/180))</f>
        <v/>
      </c>
      <c r="N1071" s="668" t="str">
        <f>IF(C1071="","",L1071+P1058*SIN(O1051*PI()/180))</f>
        <v/>
      </c>
      <c r="O1071" s="660" t="str">
        <f t="shared" si="162"/>
        <v>-</v>
      </c>
      <c r="P1071" s="670" t="str">
        <f>IF(C1071="","",(PI()*O1071/180*(R1059*M1071-N1071*S1059)-Q1071*(S1058*R1059-S1059*R1058))/S1057/(R1059-S1059))</f>
        <v/>
      </c>
      <c r="Q1071" s="671" t="str">
        <f>IF(C1071="","",O1071/180*PI()*(L1071-M1071)/(R1058-S1058))</f>
        <v/>
      </c>
      <c r="R1071" s="672" t="str">
        <f>IF(C1071="","",(O1071/180*PI()*N1071-Q1071*R1058-S1071*S1057)/R1059)</f>
        <v/>
      </c>
      <c r="S1071" s="673" t="str">
        <f t="shared" si="158"/>
        <v/>
      </c>
      <c r="T1071" s="686" t="str">
        <f t="shared" si="159"/>
        <v/>
      </c>
      <c r="U1071" s="687" t="str">
        <f t="shared" si="160"/>
        <v/>
      </c>
      <c r="V1071" s="347"/>
      <c r="W1071" s="196"/>
      <c r="X1071" s="152"/>
      <c r="Z1071" s="198"/>
      <c r="AA1071" s="198"/>
    </row>
    <row r="1072" spans="1:27" s="197" customFormat="1" ht="15" customHeight="1">
      <c r="A1072" s="226"/>
      <c r="B1072" s="179"/>
      <c r="C1072" s="684" t="str">
        <f>IF(Q1051="","",IF(C1071="","",IF(C1071+1&lt;=Q1051,C1071+1,"")))</f>
        <v/>
      </c>
      <c r="D1072" s="247"/>
      <c r="E1072" s="206"/>
      <c r="F1072" s="206"/>
      <c r="G1072" s="206"/>
      <c r="H1072" s="206"/>
      <c r="I1072" s="206"/>
      <c r="J1072" s="207"/>
      <c r="K1072" s="657"/>
      <c r="L1072" s="663" t="str">
        <f t="shared" si="161"/>
        <v/>
      </c>
      <c r="M1072" s="667" t="str">
        <f>IF(C1072="","",L1072-Q1058*COS(O1051*PI()/180))</f>
        <v/>
      </c>
      <c r="N1072" s="668" t="str">
        <f>IF(C1072="","",L1072+P1058*SIN(O1051*PI()/180))</f>
        <v/>
      </c>
      <c r="O1072" s="660" t="str">
        <f t="shared" si="162"/>
        <v>-</v>
      </c>
      <c r="P1072" s="670" t="str">
        <f>IF(C1072="","",(PI()*O1072/180*(R1059*M1072-N1072*S1059)-Q1072*(S1058*R1059-S1059*R1058))/S1057/(R1059-S1059))</f>
        <v/>
      </c>
      <c r="Q1072" s="671" t="str">
        <f>IF(C1072="","",O1072/180*PI()*(L1072-M1072)/(R1058-S1058))</f>
        <v/>
      </c>
      <c r="R1072" s="672" t="str">
        <f>IF(C1072="","",(O1072/180*PI()*N1072-Q1072*R1058-S1072*S1057)/R1059)</f>
        <v/>
      </c>
      <c r="S1072" s="673" t="str">
        <f t="shared" si="158"/>
        <v/>
      </c>
      <c r="T1072" s="686" t="str">
        <f t="shared" si="159"/>
        <v/>
      </c>
      <c r="U1072" s="687" t="str">
        <f t="shared" si="160"/>
        <v/>
      </c>
      <c r="V1072" s="347"/>
      <c r="W1072" s="196"/>
      <c r="X1072" s="152"/>
      <c r="Z1072" s="198"/>
      <c r="AA1072" s="198"/>
    </row>
    <row r="1073" spans="1:27" s="197" customFormat="1" ht="15" customHeight="1">
      <c r="A1073" s="226"/>
      <c r="B1073" s="179"/>
      <c r="C1073" s="684" t="str">
        <f>IF(Q1051="","",IF(C1072="","",IF(C1072+1&lt;=Q1051,C1072+1,"")))</f>
        <v/>
      </c>
      <c r="D1073" s="247"/>
      <c r="E1073" s="206"/>
      <c r="F1073" s="206"/>
      <c r="G1073" s="206"/>
      <c r="H1073" s="206"/>
      <c r="I1073" s="206"/>
      <c r="J1073" s="207"/>
      <c r="K1073" s="657"/>
      <c r="L1073" s="663" t="str">
        <f t="shared" si="161"/>
        <v/>
      </c>
      <c r="M1073" s="667" t="str">
        <f>IF(C1073="","",L1073-Q1058*COS(O1051*PI()/180))</f>
        <v/>
      </c>
      <c r="N1073" s="668" t="str">
        <f>IF(C1073="","",L1073+P1058*SIN(O1051*PI()/180))</f>
        <v/>
      </c>
      <c r="O1073" s="660" t="str">
        <f t="shared" si="162"/>
        <v>-</v>
      </c>
      <c r="P1073" s="670" t="str">
        <f>IF(C1073="","",(PI()*O1073/180*(R1059*M1073-N1073*S1059)-Q1073*(S1058*R1059-S1059*R1058))/S1057/(R1059-S1059))</f>
        <v/>
      </c>
      <c r="Q1073" s="671" t="str">
        <f>IF(C1073="","",O1073/180*PI()*(L1073-M1073)/(R1058-S1058))</f>
        <v/>
      </c>
      <c r="R1073" s="672" t="str">
        <f>IF(C1073="","",(O1073/180*PI()*N1073-Q1073*R1058-S1073*S1057)/R1059)</f>
        <v/>
      </c>
      <c r="S1073" s="673" t="str">
        <f t="shared" si="158"/>
        <v/>
      </c>
      <c r="T1073" s="686" t="str">
        <f t="shared" si="159"/>
        <v/>
      </c>
      <c r="U1073" s="687" t="str">
        <f t="shared" si="160"/>
        <v/>
      </c>
      <c r="V1073" s="347"/>
      <c r="W1073" s="196"/>
      <c r="X1073" s="152"/>
      <c r="Z1073" s="198"/>
      <c r="AA1073" s="198"/>
    </row>
    <row r="1074" spans="1:27" s="197" customFormat="1" ht="15" customHeight="1">
      <c r="A1074" s="226"/>
      <c r="B1074" s="179"/>
      <c r="C1074" s="684" t="str">
        <f>IF(Q1051="","",IF(C1073="","",IF(C1073+1&lt;=Q1051,C1073+1,"")))</f>
        <v/>
      </c>
      <c r="D1074" s="247"/>
      <c r="E1074" s="206"/>
      <c r="F1074" s="206"/>
      <c r="G1074" s="206"/>
      <c r="H1074" s="206"/>
      <c r="I1074" s="206"/>
      <c r="J1074" s="207"/>
      <c r="K1074" s="657"/>
      <c r="L1074" s="663" t="str">
        <f t="shared" si="161"/>
        <v/>
      </c>
      <c r="M1074" s="667" t="str">
        <f>IF(C1074="","",L1074-Q1058*COS(O1051*PI()/180))</f>
        <v/>
      </c>
      <c r="N1074" s="668" t="str">
        <f>IF(C1074="","",L1074+P1058*SIN(O1051*PI()/180))</f>
        <v/>
      </c>
      <c r="O1074" s="660" t="str">
        <f t="shared" si="162"/>
        <v>-</v>
      </c>
      <c r="P1074" s="670" t="str">
        <f>IF(C1074="","",(PI()*O1074/180*(R1059*M1074-N1074*S1059)-Q1074*(S1058*R1059-S1059*R1058))/S1057/(R1059-S1059))</f>
        <v/>
      </c>
      <c r="Q1074" s="671" t="str">
        <f>IF(C1074="","",O1074/180*PI()*(L1074-M1074)/(R1058-S1058))</f>
        <v/>
      </c>
      <c r="R1074" s="672" t="str">
        <f>IF(C1074="","",(O1074/180*PI()*N1074-Q1074*R1058-S1074*S1057)/R1059)</f>
        <v/>
      </c>
      <c r="S1074" s="673" t="str">
        <f t="shared" si="158"/>
        <v/>
      </c>
      <c r="T1074" s="686" t="str">
        <f t="shared" si="159"/>
        <v/>
      </c>
      <c r="U1074" s="687" t="str">
        <f t="shared" si="160"/>
        <v/>
      </c>
      <c r="V1074" s="347"/>
      <c r="W1074" s="196"/>
      <c r="X1074" s="152"/>
      <c r="Z1074" s="198"/>
      <c r="AA1074" s="198"/>
    </row>
    <row r="1075" spans="1:27" s="197" customFormat="1" ht="15" customHeight="1">
      <c r="A1075" s="226"/>
      <c r="B1075" s="179"/>
      <c r="C1075" s="684" t="str">
        <f>IF(Q1051="","",IF(C1074="","",IF(C1074+1&lt;=Q1051,C1074+1,"")))</f>
        <v/>
      </c>
      <c r="D1075" s="247"/>
      <c r="E1075" s="206"/>
      <c r="F1075" s="206"/>
      <c r="G1075" s="206"/>
      <c r="H1075" s="206"/>
      <c r="I1075" s="206"/>
      <c r="J1075" s="207"/>
      <c r="K1075" s="657"/>
      <c r="L1075" s="663" t="str">
        <f t="shared" si="161"/>
        <v/>
      </c>
      <c r="M1075" s="667" t="str">
        <f>IF(C1075="","",L1075-Q1058*COS(O1051*PI()/180))</f>
        <v/>
      </c>
      <c r="N1075" s="668" t="str">
        <f>IF(C1075="","",L1075+P1058*SIN(O1051*PI()/180))</f>
        <v/>
      </c>
      <c r="O1075" s="660" t="str">
        <f t="shared" si="162"/>
        <v>-</v>
      </c>
      <c r="P1075" s="670" t="str">
        <f>IF(C1075="","",(PI()*O1075/180*(R1059*M1075-N1075*S1059)-Q1075*(S1058*R1059-S1059*R1058))/S1057/(R1059-S1059))</f>
        <v/>
      </c>
      <c r="Q1075" s="671" t="str">
        <f>IF(C1075="","",O1075/180*PI()*(L1075-M1075)/(R1058-S1058))</f>
        <v/>
      </c>
      <c r="R1075" s="672" t="str">
        <f>IF(C1075="","",(O1075/180*PI()*N1075-Q1075*R1058-S1075*S1057)/R1059)</f>
        <v/>
      </c>
      <c r="S1075" s="673" t="str">
        <f t="shared" si="158"/>
        <v/>
      </c>
      <c r="T1075" s="686" t="str">
        <f t="shared" si="159"/>
        <v/>
      </c>
      <c r="U1075" s="687" t="str">
        <f t="shared" si="160"/>
        <v/>
      </c>
      <c r="V1075" s="347"/>
      <c r="W1075" s="196"/>
      <c r="X1075" s="152"/>
      <c r="Z1075" s="198"/>
      <c r="AA1075" s="198"/>
    </row>
    <row r="1076" spans="1:27" s="197" customFormat="1" ht="15" customHeight="1">
      <c r="A1076" s="226"/>
      <c r="B1076" s="179"/>
      <c r="C1076" s="684" t="str">
        <f>IF(Q1051="","",IF(C1075="","",IF(C1075+1&lt;=Q1051,C1075+1,"")))</f>
        <v/>
      </c>
      <c r="D1076" s="247"/>
      <c r="E1076" s="206"/>
      <c r="F1076" s="206"/>
      <c r="G1076" s="206"/>
      <c r="H1076" s="206"/>
      <c r="I1076" s="206"/>
      <c r="J1076" s="207"/>
      <c r="K1076" s="657"/>
      <c r="L1076" s="663" t="str">
        <f t="shared" si="161"/>
        <v/>
      </c>
      <c r="M1076" s="667" t="str">
        <f>IF(C1076="","",L1076-Q1058*COS(O1051*PI()/180))</f>
        <v/>
      </c>
      <c r="N1076" s="668" t="str">
        <f>IF(C1076="","",L1076+P1058*SIN(O1051*PI()/180))</f>
        <v/>
      </c>
      <c r="O1076" s="660" t="str">
        <f t="shared" si="162"/>
        <v>-</v>
      </c>
      <c r="P1076" s="670" t="str">
        <f>IF(C1076="","",(PI()*O1076/180*(R1059*M1076-N1076*S1059)-Q1076*(S1058*R1059-S1059*R1058))/S1057/(R1059-S1059))</f>
        <v/>
      </c>
      <c r="Q1076" s="671" t="str">
        <f>IF(C1076="","",O1076/180*PI()*(L1076-M1076)/(R1058-S1058))</f>
        <v/>
      </c>
      <c r="R1076" s="672" t="str">
        <f>IF(C1076="","",(O1076/180*PI()*N1076-Q1076*R1058-S1076*S1057)/R1059)</f>
        <v/>
      </c>
      <c r="S1076" s="673" t="str">
        <f t="shared" si="158"/>
        <v/>
      </c>
      <c r="T1076" s="686" t="str">
        <f t="shared" si="159"/>
        <v/>
      </c>
      <c r="U1076" s="687" t="str">
        <f t="shared" si="160"/>
        <v/>
      </c>
      <c r="V1076" s="347"/>
      <c r="W1076" s="196"/>
      <c r="X1076" s="152"/>
      <c r="Z1076" s="198"/>
      <c r="AA1076" s="198"/>
    </row>
    <row r="1077" spans="1:27" s="197" customFormat="1" ht="15" customHeight="1">
      <c r="A1077" s="226"/>
      <c r="B1077" s="179"/>
      <c r="C1077" s="684" t="str">
        <f>IF(Q1051="","",IF(C1076="","",IF(C1076+1&lt;=Q1051,C1076+1,"")))</f>
        <v/>
      </c>
      <c r="D1077" s="247"/>
      <c r="E1077" s="206"/>
      <c r="F1077" s="206"/>
      <c r="G1077" s="206"/>
      <c r="H1077" s="206"/>
      <c r="I1077" s="206"/>
      <c r="J1077" s="207"/>
      <c r="K1077" s="657"/>
      <c r="L1077" s="663" t="str">
        <f t="shared" si="161"/>
        <v/>
      </c>
      <c r="M1077" s="667" t="str">
        <f>IF(C1077="","",L1077-Q1058*COS(O1051*PI()/180))</f>
        <v/>
      </c>
      <c r="N1077" s="668" t="str">
        <f>IF(C1077="","",L1077+P1058*SIN(O1051*PI()/180))</f>
        <v/>
      </c>
      <c r="O1077" s="660" t="str">
        <f t="shared" si="162"/>
        <v>-</v>
      </c>
      <c r="P1077" s="670" t="str">
        <f>IF(C1077="","",(PI()*O1077/180*(R1059*M1077-N1077*S1059)-Q1077*(S1058*R1059-S1059*R1058))/S1057/(R1059-S1059))</f>
        <v/>
      </c>
      <c r="Q1077" s="671" t="str">
        <f>IF(C1077="","",O1077/180*PI()*(L1077-M1077)/(R1058-S1058))</f>
        <v/>
      </c>
      <c r="R1077" s="672" t="str">
        <f>IF(C1077="","",(O1077/180*PI()*N1077-Q1077*R1058-S1077*S1057)/R1059)</f>
        <v/>
      </c>
      <c r="S1077" s="673" t="str">
        <f t="shared" si="158"/>
        <v/>
      </c>
      <c r="T1077" s="686" t="str">
        <f t="shared" si="159"/>
        <v/>
      </c>
      <c r="U1077" s="687" t="str">
        <f t="shared" si="160"/>
        <v/>
      </c>
      <c r="V1077" s="347"/>
      <c r="W1077" s="196"/>
      <c r="X1077" s="152"/>
      <c r="Z1077" s="198"/>
      <c r="AA1077" s="198"/>
    </row>
    <row r="1078" spans="1:27" s="197" customFormat="1" ht="15" customHeight="1">
      <c r="A1078" s="226"/>
      <c r="B1078" s="179"/>
      <c r="C1078" s="684" t="str">
        <f>IF(Q1051="","",IF(C1077="","",IF(C1077+1&lt;=Q1051,C1077+1,"")))</f>
        <v/>
      </c>
      <c r="D1078" s="247"/>
      <c r="E1078" s="206"/>
      <c r="F1078" s="206"/>
      <c r="G1078" s="206"/>
      <c r="H1078" s="206"/>
      <c r="I1078" s="206"/>
      <c r="J1078" s="207"/>
      <c r="K1078" s="657"/>
      <c r="L1078" s="663" t="str">
        <f t="shared" si="161"/>
        <v/>
      </c>
      <c r="M1078" s="667" t="str">
        <f>IF(C1078="","",L1078-Q1058*COS(O1051*PI()/180))</f>
        <v/>
      </c>
      <c r="N1078" s="668" t="str">
        <f>IF(C1078="","",L1078+P1058*SIN(O1051*PI()/180))</f>
        <v/>
      </c>
      <c r="O1078" s="660" t="str">
        <f t="shared" si="162"/>
        <v>-</v>
      </c>
      <c r="P1078" s="670" t="str">
        <f>IF(C1078="","",(PI()*O1078/180*(R1059*M1078-N1078*S1059)-Q1078*(S1058*R1059-S1059*R1058))/S1057/(R1059-S1059))</f>
        <v/>
      </c>
      <c r="Q1078" s="671" t="str">
        <f>IF(C1078="","",O1078/180*PI()*(L1078-M1078)/(R1058-S1058))</f>
        <v/>
      </c>
      <c r="R1078" s="672" t="str">
        <f>IF(C1078="","",(O1078/180*PI()*N1078-Q1078*R1058-S1078*S1057)/R1059)</f>
        <v/>
      </c>
      <c r="S1078" s="673" t="str">
        <f t="shared" si="158"/>
        <v/>
      </c>
      <c r="T1078" s="686" t="str">
        <f t="shared" si="159"/>
        <v/>
      </c>
      <c r="U1078" s="687" t="str">
        <f t="shared" si="160"/>
        <v/>
      </c>
      <c r="V1078" s="347"/>
      <c r="W1078" s="196"/>
      <c r="X1078" s="152"/>
      <c r="Z1078" s="198"/>
      <c r="AA1078" s="198"/>
    </row>
    <row r="1079" spans="1:27" s="197" customFormat="1" ht="15" customHeight="1">
      <c r="A1079" s="226"/>
      <c r="B1079" s="179"/>
      <c r="C1079" s="684" t="str">
        <f>IF(Q1051="","",IF(C1078="","",IF(C1078+1&lt;=Q1051,C1078+1,"")))</f>
        <v/>
      </c>
      <c r="D1079" s="247"/>
      <c r="E1079" s="206"/>
      <c r="F1079" s="206"/>
      <c r="G1079" s="206"/>
      <c r="H1079" s="206"/>
      <c r="I1079" s="206"/>
      <c r="J1079" s="207"/>
      <c r="K1079" s="657"/>
      <c r="L1079" s="663" t="str">
        <f t="shared" si="161"/>
        <v/>
      </c>
      <c r="M1079" s="667" t="str">
        <f>IF(C1079="","",L1079-Q1058*COS(O1051*PI()/180))</f>
        <v/>
      </c>
      <c r="N1079" s="668" t="str">
        <f>IF(C1079="","",L1079+P1058*SIN(O1051*PI()/180))</f>
        <v/>
      </c>
      <c r="O1079" s="660" t="str">
        <f t="shared" si="162"/>
        <v>-</v>
      </c>
      <c r="P1079" s="670" t="str">
        <f>IF(C1079="","",(PI()*O1079/180*(R1059*M1079-N1079*S1059)-Q1079*(S1058*R1059-S1059*R1058))/S1057/(R1059-S1059))</f>
        <v/>
      </c>
      <c r="Q1079" s="671" t="str">
        <f>IF(C1079="","",O1079/180*PI()*(L1079-M1079)/(R1058-S1058))</f>
        <v/>
      </c>
      <c r="R1079" s="672" t="str">
        <f>IF(C1079="","",(O1079/180*PI()*N1079-Q1079*R1058-S1079*S1057)/R1059)</f>
        <v/>
      </c>
      <c r="S1079" s="673" t="str">
        <f t="shared" si="158"/>
        <v/>
      </c>
      <c r="T1079" s="686" t="str">
        <f t="shared" si="159"/>
        <v/>
      </c>
      <c r="U1079" s="687" t="str">
        <f t="shared" si="160"/>
        <v/>
      </c>
      <c r="V1079" s="347"/>
      <c r="W1079" s="196"/>
      <c r="X1079" s="152"/>
      <c r="Z1079" s="198"/>
      <c r="AA1079" s="198"/>
    </row>
    <row r="1080" spans="1:27" s="197" customFormat="1" ht="15" customHeight="1">
      <c r="A1080" s="226"/>
      <c r="B1080" s="179"/>
      <c r="C1080" s="684" t="str">
        <f>IF(Q1051="","",IF(C1079="","",IF(C1079+1&lt;=Q1051,C1079+1,"")))</f>
        <v/>
      </c>
      <c r="D1080" s="247"/>
      <c r="E1080" s="206"/>
      <c r="F1080" s="206"/>
      <c r="G1080" s="206"/>
      <c r="H1080" s="206"/>
      <c r="I1080" s="206"/>
      <c r="J1080" s="207"/>
      <c r="K1080" s="657"/>
      <c r="L1080" s="663" t="str">
        <f t="shared" si="161"/>
        <v/>
      </c>
      <c r="M1080" s="667" t="str">
        <f>IF(C1080="","",L1080-Q1058*COS(O1051*PI()/180))</f>
        <v/>
      </c>
      <c r="N1080" s="668" t="str">
        <f>IF(C1080="","",L1080+P1058*SIN(O1051*PI()/180))</f>
        <v/>
      </c>
      <c r="O1080" s="660" t="str">
        <f t="shared" si="162"/>
        <v>-</v>
      </c>
      <c r="P1080" s="670" t="str">
        <f>IF(C1080="","",(PI()*O1080/180*(R1059*M1080-N1080*S1059)-Q1080*(S1058*R1059-S1059*R1058))/S1057/(R1059-S1059))</f>
        <v/>
      </c>
      <c r="Q1080" s="671" t="str">
        <f>IF(C1080="","",O1080/180*PI()*(L1080-M1080)/(R1058-S1058))</f>
        <v/>
      </c>
      <c r="R1080" s="672" t="str">
        <f>IF(C1080="","",(O1080/180*PI()*N1080-Q1080*R1058-S1080*S1057)/R1059)</f>
        <v/>
      </c>
      <c r="S1080" s="673" t="str">
        <f t="shared" si="158"/>
        <v/>
      </c>
      <c r="T1080" s="686" t="str">
        <f t="shared" si="159"/>
        <v/>
      </c>
      <c r="U1080" s="687" t="str">
        <f t="shared" si="160"/>
        <v/>
      </c>
      <c r="V1080" s="347"/>
      <c r="W1080" s="196"/>
      <c r="X1080" s="152"/>
      <c r="Z1080" s="198"/>
      <c r="AA1080" s="198"/>
    </row>
    <row r="1081" spans="1:27" s="197" customFormat="1" ht="15" customHeight="1">
      <c r="A1081" s="226"/>
      <c r="B1081" s="179"/>
      <c r="C1081" s="684" t="str">
        <f>IF(Q1051="","",IF(C1080="","",IF(C1080+1&lt;=Q1051,C1080+1,"")))</f>
        <v/>
      </c>
      <c r="D1081" s="247"/>
      <c r="E1081" s="206"/>
      <c r="F1081" s="206"/>
      <c r="G1081" s="206"/>
      <c r="H1081" s="206"/>
      <c r="I1081" s="206"/>
      <c r="J1081" s="207"/>
      <c r="K1081" s="657"/>
      <c r="L1081" s="663" t="str">
        <f t="shared" si="161"/>
        <v/>
      </c>
      <c r="M1081" s="667" t="str">
        <f>IF(C1081="","",L1081-Q1058*COS(O1051*PI()/180))</f>
        <v/>
      </c>
      <c r="N1081" s="668" t="str">
        <f>IF(C1081="","",L1081+P1058*SIN(O1051*PI()/180))</f>
        <v/>
      </c>
      <c r="O1081" s="660" t="str">
        <f t="shared" si="162"/>
        <v>-</v>
      </c>
      <c r="P1081" s="670" t="str">
        <f>IF(C1081="","",(PI()*O1081/180*(R1059*M1081-N1081*S1059)-Q1081*(S1058*R1059-S1059*R1058))/S1057/(R1059-S1059))</f>
        <v/>
      </c>
      <c r="Q1081" s="671" t="str">
        <f>IF(C1081="","",O1081/180*PI()*(L1081-M1081)/(R1058-S1058))</f>
        <v/>
      </c>
      <c r="R1081" s="672" t="str">
        <f>IF(C1081="","",(O1081/180*PI()*N1081-Q1081*R1058-S1081*S1057)/R1059)</f>
        <v/>
      </c>
      <c r="S1081" s="673" t="str">
        <f t="shared" si="158"/>
        <v/>
      </c>
      <c r="T1081" s="686" t="str">
        <f t="shared" si="159"/>
        <v/>
      </c>
      <c r="U1081" s="687" t="str">
        <f t="shared" si="160"/>
        <v/>
      </c>
      <c r="V1081" s="347"/>
      <c r="W1081" s="196"/>
      <c r="X1081" s="152"/>
      <c r="Z1081" s="198"/>
      <c r="AA1081" s="198"/>
    </row>
    <row r="1082" spans="1:27" s="197" customFormat="1" ht="15" customHeight="1">
      <c r="A1082" s="226"/>
      <c r="B1082" s="179"/>
      <c r="C1082" s="684" t="str">
        <f>IF(Q1051="","",IF(C1081="","",IF(C1081+1&lt;=Q1051,C1081+1,"")))</f>
        <v/>
      </c>
      <c r="D1082" s="247"/>
      <c r="E1082" s="206"/>
      <c r="F1082" s="206"/>
      <c r="G1082" s="206"/>
      <c r="H1082" s="206"/>
      <c r="I1082" s="206"/>
      <c r="J1082" s="207"/>
      <c r="K1082" s="657"/>
      <c r="L1082" s="663" t="str">
        <f t="shared" si="161"/>
        <v/>
      </c>
      <c r="M1082" s="667" t="str">
        <f>IF(C1082="","",L1082-Q1058*COS(O1051*PI()/180))</f>
        <v/>
      </c>
      <c r="N1082" s="668" t="str">
        <f>IF(C1082="","",L1082+P1058*SIN(O1051*PI()/180))</f>
        <v/>
      </c>
      <c r="O1082" s="660" t="str">
        <f t="shared" si="162"/>
        <v>-</v>
      </c>
      <c r="P1082" s="670" t="str">
        <f>IF(C1082="","",(PI()*O1082/180*(R1059*M1082-N1082*S1059)-Q1082*(S1058*R1059-S1059*R1058))/S1057/(R1059-S1059))</f>
        <v/>
      </c>
      <c r="Q1082" s="671" t="str">
        <f>IF(C1082="","",O1082/180*PI()*(L1082-M1082)/(R1058-S1058))</f>
        <v/>
      </c>
      <c r="R1082" s="672" t="str">
        <f>IF(C1082="","",(O1082/180*PI()*N1082-Q1082*R1058-S1082*S1057)/R1059)</f>
        <v/>
      </c>
      <c r="S1082" s="673" t="str">
        <f t="shared" si="158"/>
        <v/>
      </c>
      <c r="T1082" s="686" t="str">
        <f t="shared" si="159"/>
        <v/>
      </c>
      <c r="U1082" s="687" t="str">
        <f t="shared" si="160"/>
        <v/>
      </c>
      <c r="V1082" s="347"/>
      <c r="W1082" s="196"/>
      <c r="X1082" s="152"/>
      <c r="Z1082" s="198"/>
      <c r="AA1082" s="198"/>
    </row>
    <row r="1083" spans="1:27" s="197" customFormat="1" ht="15" customHeight="1">
      <c r="A1083" s="226"/>
      <c r="B1083" s="179"/>
      <c r="C1083" s="684" t="str">
        <f>IF(Q1051="","",IF(C1082="","",IF(C1082+1&lt;=Q1051,C1082+1,"")))</f>
        <v/>
      </c>
      <c r="D1083" s="247"/>
      <c r="E1083" s="206"/>
      <c r="F1083" s="206"/>
      <c r="G1083" s="206"/>
      <c r="H1083" s="206"/>
      <c r="I1083" s="206"/>
      <c r="J1083" s="207"/>
      <c r="K1083" s="657"/>
      <c r="L1083" s="663" t="str">
        <f t="shared" si="161"/>
        <v/>
      </c>
      <c r="M1083" s="667" t="str">
        <f>IF(C1083="","",L1083-Q1058*COS(O1051*PI()/180))</f>
        <v/>
      </c>
      <c r="N1083" s="668" t="str">
        <f>IF(C1083="","",L1083+P1058*SIN(O1051*PI()/180))</f>
        <v/>
      </c>
      <c r="O1083" s="660" t="str">
        <f t="shared" si="162"/>
        <v>-</v>
      </c>
      <c r="P1083" s="670" t="str">
        <f>IF(C1083="","",(PI()*O1083/180*(R1059*M1083-N1083*S1059)-Q1083*(S1058*R1059-S1059*R1058))/S1057/(R1059-S1059))</f>
        <v/>
      </c>
      <c r="Q1083" s="671" t="str">
        <f>IF(C1083="","",O1083/180*PI()*(L1083-M1083)/(R1058-S1058))</f>
        <v/>
      </c>
      <c r="R1083" s="672" t="str">
        <f>IF(C1083="","",(O1083/180*PI()*N1083-Q1083*R1058-S1083*S1057)/R1059)</f>
        <v/>
      </c>
      <c r="S1083" s="673" t="str">
        <f t="shared" si="158"/>
        <v/>
      </c>
      <c r="T1083" s="686" t="str">
        <f t="shared" si="159"/>
        <v/>
      </c>
      <c r="U1083" s="687" t="str">
        <f t="shared" si="160"/>
        <v/>
      </c>
      <c r="V1083" s="347"/>
      <c r="W1083" s="196"/>
      <c r="X1083" s="152"/>
      <c r="Z1083" s="198"/>
      <c r="AA1083" s="198"/>
    </row>
    <row r="1084" spans="1:27" s="197" customFormat="1" ht="15" customHeight="1">
      <c r="A1084" s="226"/>
      <c r="B1084" s="179"/>
      <c r="C1084" s="684" t="str">
        <f>IF(Q1051="","",IF(C1083="","",IF(C1083+1&lt;=Q1051,C1083+1,"")))</f>
        <v/>
      </c>
      <c r="D1084" s="247"/>
      <c r="E1084" s="206"/>
      <c r="F1084" s="206"/>
      <c r="G1084" s="206"/>
      <c r="H1084" s="206"/>
      <c r="I1084" s="206"/>
      <c r="J1084" s="207"/>
      <c r="K1084" s="657"/>
      <c r="L1084" s="663" t="str">
        <f t="shared" si="161"/>
        <v/>
      </c>
      <c r="M1084" s="667" t="str">
        <f>IF(C1084="","",L1084-Q1058*COS(O1051*PI()/180))</f>
        <v/>
      </c>
      <c r="N1084" s="668" t="str">
        <f>IF(C1084="","",L1084+P1058*SIN(O1051*PI()/180))</f>
        <v/>
      </c>
      <c r="O1084" s="660" t="str">
        <f t="shared" si="162"/>
        <v>-</v>
      </c>
      <c r="P1084" s="670" t="str">
        <f>IF(C1084="","",(PI()*O1084/180*(R1059*M1084-N1084*S1059)-Q1084*(S1058*R1059-S1059*R1058))/S1057/(R1059-S1059))</f>
        <v/>
      </c>
      <c r="Q1084" s="671" t="str">
        <f>IF(C1084="","",O1084/180*PI()*(L1084-M1084)/(R1058-S1058))</f>
        <v/>
      </c>
      <c r="R1084" s="672" t="str">
        <f>IF(C1084="","",(O1084/180*PI()*N1084-Q1084*R1058-S1084*S1057)/R1059)</f>
        <v/>
      </c>
      <c r="S1084" s="673" t="str">
        <f t="shared" si="158"/>
        <v/>
      </c>
      <c r="T1084" s="686" t="str">
        <f t="shared" si="159"/>
        <v/>
      </c>
      <c r="U1084" s="687" t="str">
        <f t="shared" si="160"/>
        <v/>
      </c>
      <c r="V1084" s="347"/>
      <c r="W1084" s="196"/>
      <c r="X1084" s="152"/>
      <c r="Z1084" s="198"/>
      <c r="AA1084" s="198"/>
    </row>
    <row r="1085" spans="1:27" s="197" customFormat="1" ht="15" customHeight="1">
      <c r="A1085" s="226"/>
      <c r="B1085" s="179"/>
      <c r="C1085" s="684" t="str">
        <f>IF(Q1051="","",IF(C1084="","",IF(C1084+1&lt;=Q1051,C1084+1,"")))</f>
        <v/>
      </c>
      <c r="D1085" s="247"/>
      <c r="E1085" s="206"/>
      <c r="F1085" s="206"/>
      <c r="G1085" s="206"/>
      <c r="H1085" s="206"/>
      <c r="I1085" s="206"/>
      <c r="J1085" s="207"/>
      <c r="K1085" s="657"/>
      <c r="L1085" s="663" t="str">
        <f t="shared" si="161"/>
        <v/>
      </c>
      <c r="M1085" s="667" t="str">
        <f>IF(C1085="","",L1085-Q1058*COS(O1051*PI()/180))</f>
        <v/>
      </c>
      <c r="N1085" s="668" t="str">
        <f>IF(C1085="","",L1085+P1058*SIN(O1051*PI()/180))</f>
        <v/>
      </c>
      <c r="O1085" s="660" t="str">
        <f t="shared" si="162"/>
        <v>-</v>
      </c>
      <c r="P1085" s="670" t="str">
        <f>IF(C1085="","",(PI()*O1085/180*(R1059*M1085-N1085*S1059)-Q1085*(S1058*R1059-S1059*R1058))/S1057/(R1059-S1059))</f>
        <v/>
      </c>
      <c r="Q1085" s="671" t="str">
        <f>IF(C1085="","",O1085/180*PI()*(L1085-M1085)/(R1058-S1058))</f>
        <v/>
      </c>
      <c r="R1085" s="672" t="str">
        <f>IF(C1085="","",(O1085/180*PI()*N1085-Q1085*R1058-S1085*S1057)/R1059)</f>
        <v/>
      </c>
      <c r="S1085" s="673" t="str">
        <f t="shared" si="158"/>
        <v/>
      </c>
      <c r="T1085" s="686" t="str">
        <f t="shared" si="159"/>
        <v/>
      </c>
      <c r="U1085" s="687" t="str">
        <f t="shared" si="160"/>
        <v/>
      </c>
      <c r="V1085" s="347"/>
      <c r="W1085" s="196"/>
      <c r="X1085" s="152"/>
      <c r="Z1085" s="198"/>
      <c r="AA1085" s="198"/>
    </row>
    <row r="1086" spans="1:27" s="197" customFormat="1" ht="15" customHeight="1">
      <c r="A1086" s="226"/>
      <c r="B1086" s="179"/>
      <c r="C1086" s="684" t="str">
        <f>IF(Q1051="","",IF(C1085="","",IF(C1085+1&lt;=Q1051,C1085+1,"")))</f>
        <v/>
      </c>
      <c r="D1086" s="247"/>
      <c r="E1086" s="206"/>
      <c r="F1086" s="206"/>
      <c r="G1086" s="206"/>
      <c r="H1086" s="206"/>
      <c r="I1086" s="206"/>
      <c r="J1086" s="207"/>
      <c r="K1086" s="657"/>
      <c r="L1086" s="663" t="str">
        <f t="shared" si="161"/>
        <v/>
      </c>
      <c r="M1086" s="667" t="str">
        <f>IF(C1086="","",L1086-Q1058*COS(O1051*PI()/180))</f>
        <v/>
      </c>
      <c r="N1086" s="668" t="str">
        <f>IF(C1086="","",L1086+P1058*SIN(O1051*PI()/180))</f>
        <v/>
      </c>
      <c r="O1086" s="660" t="str">
        <f t="shared" si="162"/>
        <v>-</v>
      </c>
      <c r="P1086" s="670" t="str">
        <f>IF(C1086="","",(PI()*O1086/180*(R1059*M1086-N1086*S1059)-Q1086*(S1058*R1059-S1059*R1058))/S1057/(R1059-S1059))</f>
        <v/>
      </c>
      <c r="Q1086" s="671" t="str">
        <f>IF(C1086="","",O1086/180*PI()*(L1086-M1086)/(R1058-S1058))</f>
        <v/>
      </c>
      <c r="R1086" s="672" t="str">
        <f>IF(C1086="","",(O1086/180*PI()*N1086-Q1086*R1058-S1086*S1057)/R1059)</f>
        <v/>
      </c>
      <c r="S1086" s="673" t="str">
        <f t="shared" si="158"/>
        <v/>
      </c>
      <c r="T1086" s="686" t="str">
        <f t="shared" si="159"/>
        <v/>
      </c>
      <c r="U1086" s="687" t="str">
        <f t="shared" si="160"/>
        <v/>
      </c>
      <c r="V1086" s="347"/>
      <c r="W1086" s="196"/>
      <c r="X1086" s="152"/>
      <c r="Z1086" s="198"/>
      <c r="AA1086" s="198"/>
    </row>
    <row r="1087" spans="1:27" s="197" customFormat="1" ht="15" customHeight="1">
      <c r="A1087" s="226"/>
      <c r="B1087" s="179"/>
      <c r="C1087" s="684" t="str">
        <f>IF(Q1051="","",IF(C1086="","",IF(C1086+1&lt;=Q1051,C1086+1,"")))</f>
        <v/>
      </c>
      <c r="D1087" s="247"/>
      <c r="E1087" s="206"/>
      <c r="F1087" s="206"/>
      <c r="G1087" s="206"/>
      <c r="H1087" s="206"/>
      <c r="I1087" s="206"/>
      <c r="J1087" s="207"/>
      <c r="K1087" s="657"/>
      <c r="L1087" s="663" t="str">
        <f t="shared" si="161"/>
        <v/>
      </c>
      <c r="M1087" s="667" t="str">
        <f>IF(C1087="","",L1087-Q1058*COS(O1051*PI()/180))</f>
        <v/>
      </c>
      <c r="N1087" s="668" t="str">
        <f>IF(C1087="","",L1087+P1058*SIN(O1051*PI()/180))</f>
        <v/>
      </c>
      <c r="O1087" s="660" t="str">
        <f t="shared" si="162"/>
        <v>-</v>
      </c>
      <c r="P1087" s="670" t="str">
        <f>IF(C1087="","",(PI()*O1087/180*(R1059*M1087-N1087*S1059)-Q1087*(S1058*R1059-S1059*R1058))/S1057/(R1059-S1059))</f>
        <v/>
      </c>
      <c r="Q1087" s="671" t="str">
        <f>IF(C1087="","",O1087/180*PI()*(L1087-M1087)/(R1058-S1058))</f>
        <v/>
      </c>
      <c r="R1087" s="672" t="str">
        <f>IF(C1087="","",(O1087/180*PI()*N1087-Q1087*R1058-S1087*S1057)/R1059)</f>
        <v/>
      </c>
      <c r="S1087" s="673" t="str">
        <f t="shared" si="158"/>
        <v/>
      </c>
      <c r="T1087" s="686" t="str">
        <f t="shared" si="159"/>
        <v/>
      </c>
      <c r="U1087" s="687" t="str">
        <f t="shared" si="160"/>
        <v/>
      </c>
      <c r="V1087" s="347"/>
      <c r="W1087" s="196"/>
      <c r="X1087" s="152"/>
      <c r="Z1087" s="198"/>
      <c r="AA1087" s="198"/>
    </row>
    <row r="1088" spans="1:27" s="197" customFormat="1" ht="15" customHeight="1">
      <c r="A1088" s="226"/>
      <c r="B1088" s="179"/>
      <c r="C1088" s="684" t="str">
        <f>IF(Q1051="","",IF(C1087="","",IF(C1087+1&lt;=Q1051,C1087+1,"")))</f>
        <v/>
      </c>
      <c r="D1088" s="247"/>
      <c r="E1088" s="206"/>
      <c r="F1088" s="206"/>
      <c r="G1088" s="206"/>
      <c r="H1088" s="206"/>
      <c r="I1088" s="206"/>
      <c r="J1088" s="207"/>
      <c r="K1088" s="657"/>
      <c r="L1088" s="663" t="str">
        <f t="shared" si="161"/>
        <v/>
      </c>
      <c r="M1088" s="667" t="str">
        <f>IF(C1088="","",L1088-Q1058*COS(O1051*PI()/180))</f>
        <v/>
      </c>
      <c r="N1088" s="668" t="str">
        <f>IF(C1088="","",L1088+P1058*SIN(O1051*PI()/180))</f>
        <v/>
      </c>
      <c r="O1088" s="660" t="str">
        <f t="shared" si="162"/>
        <v>-</v>
      </c>
      <c r="P1088" s="670" t="str">
        <f>IF(C1088="","",(PI()*O1088/180*(R1059*M1088-N1088*S1059)-Q1088*(S1058*R1059-S1059*R1058))/S1057/(R1059-S1059))</f>
        <v/>
      </c>
      <c r="Q1088" s="671" t="str">
        <f>IF(C1088="","",O1088/180*PI()*(L1088-M1088)/(R1058-S1058))</f>
        <v/>
      </c>
      <c r="R1088" s="672" t="str">
        <f>IF(C1088="","",(O1088/180*PI()*N1088-Q1088*R1058-S1088*S1057)/R1059)</f>
        <v/>
      </c>
      <c r="S1088" s="673" t="str">
        <f t="shared" si="158"/>
        <v/>
      </c>
      <c r="T1088" s="686" t="str">
        <f t="shared" si="159"/>
        <v/>
      </c>
      <c r="U1088" s="687" t="str">
        <f t="shared" si="160"/>
        <v/>
      </c>
      <c r="V1088" s="347"/>
      <c r="W1088" s="196"/>
      <c r="X1088" s="152"/>
      <c r="Z1088" s="198"/>
      <c r="AA1088" s="198"/>
    </row>
    <row r="1089" spans="1:27" s="197" customFormat="1" ht="15" customHeight="1">
      <c r="A1089" s="226"/>
      <c r="B1089" s="179"/>
      <c r="C1089" s="684" t="str">
        <f>IF(Q1051="","",IF(C1088="","",IF(C1088+1&lt;=Q1051,C1088+1,"")))</f>
        <v/>
      </c>
      <c r="D1089" s="247"/>
      <c r="E1089" s="206"/>
      <c r="F1089" s="206"/>
      <c r="G1089" s="206"/>
      <c r="H1089" s="206"/>
      <c r="I1089" s="206"/>
      <c r="J1089" s="207"/>
      <c r="K1089" s="657"/>
      <c r="L1089" s="663" t="str">
        <f t="shared" si="161"/>
        <v/>
      </c>
      <c r="M1089" s="667" t="str">
        <f>IF(C1089="","",L1089-Q1058*COS(O1051*PI()/180))</f>
        <v/>
      </c>
      <c r="N1089" s="668" t="str">
        <f>IF(C1089="","",L1089+P1058*SIN(O1051*PI()/180))</f>
        <v/>
      </c>
      <c r="O1089" s="660" t="str">
        <f t="shared" si="162"/>
        <v>-</v>
      </c>
      <c r="P1089" s="670" t="str">
        <f>IF(C1089="","",(PI()*O1089/180*(R1059*M1089-N1089*S1059)-Q1089*(S1058*R1059-S1059*R1058))/S1057/(R1059-S1059))</f>
        <v/>
      </c>
      <c r="Q1089" s="671" t="str">
        <f>IF(C1089="","",O1089/180*PI()*(L1089-M1089)/(R1058-S1058))</f>
        <v/>
      </c>
      <c r="R1089" s="672" t="str">
        <f>IF(C1089="","",(O1089/180*PI()*N1089-Q1089*R1058-S1089*S1057)/R1059)</f>
        <v/>
      </c>
      <c r="S1089" s="673" t="str">
        <f t="shared" si="158"/>
        <v/>
      </c>
      <c r="T1089" s="686" t="str">
        <f t="shared" si="159"/>
        <v/>
      </c>
      <c r="U1089" s="687" t="str">
        <f t="shared" si="160"/>
        <v/>
      </c>
      <c r="V1089" s="347"/>
      <c r="W1089" s="196"/>
      <c r="X1089" s="152"/>
      <c r="Z1089" s="198"/>
      <c r="AA1089" s="198"/>
    </row>
    <row r="1090" spans="1:27" s="197" customFormat="1" ht="15" customHeight="1">
      <c r="A1090" s="226"/>
      <c r="B1090" s="179"/>
      <c r="C1090" s="684" t="str">
        <f>IF(Q1051="","",IF(C1089="","",IF(C1089+1&lt;=Q1051,C1089+1,"")))</f>
        <v/>
      </c>
      <c r="D1090" s="247"/>
      <c r="E1090" s="206"/>
      <c r="F1090" s="206"/>
      <c r="G1090" s="206"/>
      <c r="H1090" s="206"/>
      <c r="I1090" s="206"/>
      <c r="J1090" s="207"/>
      <c r="K1090" s="657"/>
      <c r="L1090" s="663" t="str">
        <f t="shared" si="161"/>
        <v/>
      </c>
      <c r="M1090" s="667" t="str">
        <f>IF(C1090="","",L1090-Q1058*COS(O1051*PI()/180))</f>
        <v/>
      </c>
      <c r="N1090" s="668" t="str">
        <f>IF(C1090="","",L1090+P1058*SIN(O1051*PI()/180))</f>
        <v/>
      </c>
      <c r="O1090" s="660" t="str">
        <f t="shared" si="162"/>
        <v>-</v>
      </c>
      <c r="P1090" s="670" t="str">
        <f>IF(C1090="","",(PI()*O1090/180*(R1059*M1090-N1090*S1059)-Q1090*(S1058*R1059-S1059*R1058))/S1057/(R1059-S1059))</f>
        <v/>
      </c>
      <c r="Q1090" s="671" t="str">
        <f>IF(C1090="","",O1090/180*PI()*(L1090-M1090)/(R1058-S1058))</f>
        <v/>
      </c>
      <c r="R1090" s="672" t="str">
        <f>IF(C1090="","",(O1090/180*PI()*N1090-Q1090*R1058-S1090*S1057)/R1059)</f>
        <v/>
      </c>
      <c r="S1090" s="673" t="str">
        <f t="shared" si="158"/>
        <v/>
      </c>
      <c r="T1090" s="686" t="str">
        <f t="shared" si="159"/>
        <v/>
      </c>
      <c r="U1090" s="687" t="str">
        <f t="shared" si="160"/>
        <v/>
      </c>
      <c r="V1090" s="347"/>
      <c r="W1090" s="196"/>
      <c r="X1090" s="152"/>
      <c r="Z1090" s="198"/>
      <c r="AA1090" s="198"/>
    </row>
    <row r="1091" spans="1:27" s="197" customFormat="1" ht="15" customHeight="1">
      <c r="A1091" s="226"/>
      <c r="B1091" s="179"/>
      <c r="C1091" s="684" t="str">
        <f>IF(Q1051="","",IF(C1090="","",IF(C1090+1&lt;=Q1051,C1090+1,"")))</f>
        <v/>
      </c>
      <c r="D1091" s="247"/>
      <c r="E1091" s="206"/>
      <c r="F1091" s="206"/>
      <c r="G1091" s="206"/>
      <c r="H1091" s="206"/>
      <c r="I1091" s="206"/>
      <c r="J1091" s="207"/>
      <c r="K1091" s="657"/>
      <c r="L1091" s="663" t="str">
        <f t="shared" si="161"/>
        <v/>
      </c>
      <c r="M1091" s="667" t="str">
        <f>IF(C1091="","",L1091-Q1058*COS(O1051*PI()/180))</f>
        <v/>
      </c>
      <c r="N1091" s="668" t="str">
        <f>IF(C1091="","",L1091+P1058*SIN(O1051*PI()/180))</f>
        <v/>
      </c>
      <c r="O1091" s="660" t="str">
        <f t="shared" si="162"/>
        <v>-</v>
      </c>
      <c r="P1091" s="670" t="str">
        <f>IF(C1091="","",(PI()*O1091/180*(R1059*M1091-N1091*S1059)-Q1091*(S1058*R1059-S1059*R1058))/S1057/(R1059-S1059))</f>
        <v/>
      </c>
      <c r="Q1091" s="671" t="str">
        <f>IF(C1091="","",O1091/180*PI()*(L1091-M1091)/(R1058-S1058))</f>
        <v/>
      </c>
      <c r="R1091" s="672" t="str">
        <f>IF(C1091="","",(O1091/180*PI()*N1091-Q1091*R1058-S1091*S1057)/R1059)</f>
        <v/>
      </c>
      <c r="S1091" s="673" t="str">
        <f t="shared" si="158"/>
        <v/>
      </c>
      <c r="T1091" s="686" t="str">
        <f t="shared" si="159"/>
        <v/>
      </c>
      <c r="U1091" s="687" t="str">
        <f t="shared" si="160"/>
        <v/>
      </c>
      <c r="V1091" s="347"/>
      <c r="W1091" s="196"/>
      <c r="X1091" s="152"/>
      <c r="Z1091" s="198"/>
      <c r="AA1091" s="198"/>
    </row>
    <row r="1092" spans="1:27" s="197" customFormat="1" ht="15" customHeight="1">
      <c r="A1092" s="226"/>
      <c r="B1092" s="179"/>
      <c r="C1092" s="684" t="str">
        <f>IF(Q1051="","",IF(C1091="","",IF(C1091+1&lt;=Q1051,C1091+1,"")))</f>
        <v/>
      </c>
      <c r="D1092" s="247"/>
      <c r="E1092" s="206"/>
      <c r="F1092" s="206"/>
      <c r="G1092" s="206"/>
      <c r="H1092" s="206"/>
      <c r="I1092" s="206"/>
      <c r="J1092" s="207"/>
      <c r="K1092" s="657"/>
      <c r="L1092" s="663" t="str">
        <f t="shared" si="161"/>
        <v/>
      </c>
      <c r="M1092" s="667" t="str">
        <f>IF(C1092="","",L1092-Q1058*COS(O1051*PI()/180))</f>
        <v/>
      </c>
      <c r="N1092" s="668" t="str">
        <f>IF(C1092="","",L1092+P1058*SIN(O1051*PI()/180))</f>
        <v/>
      </c>
      <c r="O1092" s="660" t="str">
        <f t="shared" si="162"/>
        <v>-</v>
      </c>
      <c r="P1092" s="670" t="str">
        <f>IF(C1092="","",(PI()*O1092/180*(R1059*M1092-N1092*S1059)-Q1092*(S1058*R1059-S1059*R1058))/S1057/(R1059-S1059))</f>
        <v/>
      </c>
      <c r="Q1092" s="671" t="str">
        <f>IF(C1092="","",O1092/180*PI()*(L1092-M1092)/(R1058-S1058))</f>
        <v/>
      </c>
      <c r="R1092" s="672" t="str">
        <f>IF(C1092="","",(O1092/180*PI()*N1092-Q1092*R1058-S1092*S1057)/R1059)</f>
        <v/>
      </c>
      <c r="S1092" s="673" t="str">
        <f t="shared" si="158"/>
        <v/>
      </c>
      <c r="T1092" s="686" t="str">
        <f t="shared" si="159"/>
        <v/>
      </c>
      <c r="U1092" s="687" t="str">
        <f t="shared" si="160"/>
        <v/>
      </c>
      <c r="V1092" s="347"/>
      <c r="W1092" s="196"/>
      <c r="X1092" s="152"/>
      <c r="Z1092" s="198"/>
      <c r="AA1092" s="198"/>
    </row>
    <row r="1093" spans="1:27" s="197" customFormat="1" ht="15" customHeight="1">
      <c r="A1093" s="226"/>
      <c r="B1093" s="179"/>
      <c r="C1093" s="684" t="str">
        <f>IF(Q1051="","",IF(C1092="","",IF(C1092+1&lt;=Q1051,C1092+1,"")))</f>
        <v/>
      </c>
      <c r="D1093" s="247"/>
      <c r="E1093" s="206"/>
      <c r="F1093" s="206"/>
      <c r="G1093" s="206"/>
      <c r="H1093" s="206"/>
      <c r="I1093" s="206"/>
      <c r="J1093" s="207"/>
      <c r="K1093" s="657"/>
      <c r="L1093" s="663" t="str">
        <f t="shared" si="161"/>
        <v/>
      </c>
      <c r="M1093" s="667" t="str">
        <f>IF(C1093="","",L1093-Q1058*COS(O1051*PI()/180))</f>
        <v/>
      </c>
      <c r="N1093" s="668" t="str">
        <f>IF(C1093="","",L1093+P1058*SIN(O1051*PI()/180))</f>
        <v/>
      </c>
      <c r="O1093" s="660" t="str">
        <f t="shared" si="162"/>
        <v>-</v>
      </c>
      <c r="P1093" s="670" t="str">
        <f>IF(C1093="","",(PI()*O1093/180*(R1059*M1093-N1093*S1059)-Q1093*(S1058*R1059-S1059*R1058))/S1057/(R1059-S1059))</f>
        <v/>
      </c>
      <c r="Q1093" s="671" t="str">
        <f>IF(C1093="","",O1093/180*PI()*(L1093-M1093)/(R1058-S1058))</f>
        <v/>
      </c>
      <c r="R1093" s="672" t="str">
        <f>IF(C1093="","",(O1093/180*PI()*N1093-Q1093*R1058-S1093*S1057)/R1059)</f>
        <v/>
      </c>
      <c r="S1093" s="673" t="str">
        <f t="shared" si="158"/>
        <v/>
      </c>
      <c r="T1093" s="686" t="str">
        <f t="shared" si="159"/>
        <v/>
      </c>
      <c r="U1093" s="687" t="str">
        <f t="shared" si="160"/>
        <v/>
      </c>
      <c r="V1093" s="347"/>
      <c r="W1093" s="196"/>
      <c r="X1093" s="152"/>
      <c r="Z1093" s="198"/>
      <c r="AA1093" s="198"/>
    </row>
    <row r="1094" spans="1:27" s="197" customFormat="1" ht="15" customHeight="1">
      <c r="A1094" s="226"/>
      <c r="B1094" s="179"/>
      <c r="C1094" s="684" t="str">
        <f>IF(Q1051="","",IF(C1093="","",IF(C1093+1&lt;=Q1051,C1093+1,"")))</f>
        <v/>
      </c>
      <c r="D1094" s="247"/>
      <c r="E1094" s="206"/>
      <c r="F1094" s="206"/>
      <c r="G1094" s="206"/>
      <c r="H1094" s="206"/>
      <c r="I1094" s="206"/>
      <c r="J1094" s="207"/>
      <c r="K1094" s="657"/>
      <c r="L1094" s="663" t="str">
        <f t="shared" si="161"/>
        <v/>
      </c>
      <c r="M1094" s="667" t="str">
        <f>IF(C1094="","",L1094-Q1058*COS(O1051*PI()/180))</f>
        <v/>
      </c>
      <c r="N1094" s="668" t="str">
        <f>IF(C1094="","",L1094+P1058*SIN(O1051*PI()/180))</f>
        <v/>
      </c>
      <c r="O1094" s="660" t="str">
        <f t="shared" si="162"/>
        <v>-</v>
      </c>
      <c r="P1094" s="670" t="str">
        <f>IF(C1094="","",(PI()*O1094/180*(R1059*M1094-N1094*S1059)-Q1094*(S1058*R1059-S1059*R1058))/S1057/(R1059-S1059))</f>
        <v/>
      </c>
      <c r="Q1094" s="671" t="str">
        <f>IF(C1094="","",O1094/180*PI()*(L1094-M1094)/(R1058-S1058))</f>
        <v/>
      </c>
      <c r="R1094" s="672" t="str">
        <f>IF(C1094="","",(O1094/180*PI()*N1094-Q1094*R1058-S1094*S1057)/R1059)</f>
        <v/>
      </c>
      <c r="S1094" s="673" t="str">
        <f t="shared" si="158"/>
        <v/>
      </c>
      <c r="T1094" s="686" t="str">
        <f t="shared" si="159"/>
        <v/>
      </c>
      <c r="U1094" s="687" t="str">
        <f t="shared" si="160"/>
        <v/>
      </c>
      <c r="V1094" s="347"/>
      <c r="W1094" s="196"/>
      <c r="X1094" s="152"/>
      <c r="Z1094" s="198"/>
      <c r="AA1094" s="198"/>
    </row>
    <row r="1095" spans="1:27" s="197" customFormat="1" ht="15" customHeight="1">
      <c r="A1095" s="226"/>
      <c r="B1095" s="179"/>
      <c r="C1095" s="684" t="str">
        <f>IF(Q1051="","",IF(C1094="","",IF(C1094+1&lt;=Q1051,C1094+1,"")))</f>
        <v/>
      </c>
      <c r="D1095" s="247"/>
      <c r="E1095" s="206"/>
      <c r="F1095" s="206"/>
      <c r="G1095" s="206"/>
      <c r="H1095" s="206"/>
      <c r="I1095" s="206"/>
      <c r="J1095" s="207"/>
      <c r="K1095" s="657"/>
      <c r="L1095" s="663" t="str">
        <f t="shared" si="161"/>
        <v/>
      </c>
      <c r="M1095" s="667" t="str">
        <f>IF(C1095="","",L1095-Q1058*COS(O1051*PI()/180))</f>
        <v/>
      </c>
      <c r="N1095" s="668" t="str">
        <f>IF(C1095="","",L1095+P1058*SIN(O1051*PI()/180))</f>
        <v/>
      </c>
      <c r="O1095" s="660" t="str">
        <f t="shared" si="162"/>
        <v>-</v>
      </c>
      <c r="P1095" s="670" t="str">
        <f>IF(C1095="","",(PI()*O1095/180*(R1059*M1095-N1095*S1059)-Q1095*(S1058*R1059-S1059*R1058))/S1057/(R1059-S1059))</f>
        <v/>
      </c>
      <c r="Q1095" s="671" t="str">
        <f>IF(C1095="","",O1095/180*PI()*(L1095-M1095)/(R1058-S1058))</f>
        <v/>
      </c>
      <c r="R1095" s="672" t="str">
        <f>IF(C1095="","",(O1095/180*PI()*N1095-Q1095*R1058-S1095*S1057)/R1059)</f>
        <v/>
      </c>
      <c r="S1095" s="673" t="str">
        <f t="shared" si="158"/>
        <v/>
      </c>
      <c r="T1095" s="686" t="str">
        <f t="shared" si="159"/>
        <v/>
      </c>
      <c r="U1095" s="687" t="str">
        <f t="shared" si="160"/>
        <v/>
      </c>
      <c r="V1095" s="347"/>
      <c r="W1095" s="196"/>
      <c r="X1095" s="152"/>
      <c r="Z1095" s="198"/>
      <c r="AA1095" s="198"/>
    </row>
    <row r="1096" spans="1:27" s="197" customFormat="1" ht="15" customHeight="1">
      <c r="A1096" s="226"/>
      <c r="B1096" s="179"/>
      <c r="C1096" s="684" t="str">
        <f>IF(Q1051="","",IF(C1095="","",IF(C1095+1&lt;=Q1051,C1095+1,"")))</f>
        <v/>
      </c>
      <c r="D1096" s="247"/>
      <c r="E1096" s="206"/>
      <c r="F1096" s="206"/>
      <c r="G1096" s="206"/>
      <c r="H1096" s="206"/>
      <c r="I1096" s="206"/>
      <c r="J1096" s="207"/>
      <c r="K1096" s="657"/>
      <c r="L1096" s="663" t="str">
        <f t="shared" si="161"/>
        <v/>
      </c>
      <c r="M1096" s="667" t="str">
        <f>IF(C1096="","",L1096-Q1058*COS(O1051*PI()/180))</f>
        <v/>
      </c>
      <c r="N1096" s="668" t="str">
        <f>IF(C1096="","",L1096+P1058*SIN(O1051*PI()/180))</f>
        <v/>
      </c>
      <c r="O1096" s="660" t="str">
        <f t="shared" si="162"/>
        <v>-</v>
      </c>
      <c r="P1096" s="670" t="str">
        <f>IF(C1096="","",(PI()*O1096/180*(R1059*M1096-N1096*S1059)-Q1096*(S1058*R1059-S1059*R1058))/S1057/(R1059-S1059))</f>
        <v/>
      </c>
      <c r="Q1096" s="671" t="str">
        <f>IF(C1096="","",O1096/180*PI()*(L1096-M1096)/(R1058-S1058))</f>
        <v/>
      </c>
      <c r="R1096" s="672" t="str">
        <f>IF(C1096="","",(O1096/180*PI()*N1096-Q1096*R1058-S1096*S1057)/R1059)</f>
        <v/>
      </c>
      <c r="S1096" s="673" t="str">
        <f t="shared" si="158"/>
        <v/>
      </c>
      <c r="T1096" s="686" t="str">
        <f t="shared" si="159"/>
        <v/>
      </c>
      <c r="U1096" s="687" t="str">
        <f t="shared" si="160"/>
        <v/>
      </c>
      <c r="V1096" s="347"/>
      <c r="W1096" s="196"/>
      <c r="X1096" s="152"/>
      <c r="Z1096" s="198"/>
      <c r="AA1096" s="198"/>
    </row>
    <row r="1097" spans="1:27" s="197" customFormat="1" ht="15" customHeight="1">
      <c r="A1097" s="226"/>
      <c r="B1097" s="179"/>
      <c r="C1097" s="684" t="str">
        <f>IF(Q1051="","",IF(C1096="","",IF(C1096+1&lt;=Q1051,C1096+1,"")))</f>
        <v/>
      </c>
      <c r="D1097" s="247"/>
      <c r="E1097" s="206"/>
      <c r="F1097" s="206"/>
      <c r="G1097" s="206"/>
      <c r="H1097" s="206"/>
      <c r="I1097" s="206"/>
      <c r="J1097" s="207"/>
      <c r="K1097" s="657"/>
      <c r="L1097" s="663" t="str">
        <f t="shared" si="161"/>
        <v/>
      </c>
      <c r="M1097" s="667" t="str">
        <f>IF(C1097="","",L1097-Q1058*COS(O1051*PI()/180))</f>
        <v/>
      </c>
      <c r="N1097" s="668" t="str">
        <f>IF(C1097="","",L1097+P1058*SIN(O1051*PI()/180))</f>
        <v/>
      </c>
      <c r="O1097" s="660" t="str">
        <f t="shared" si="162"/>
        <v>-</v>
      </c>
      <c r="P1097" s="670" t="str">
        <f>IF(C1097="","",(PI()*O1097/180*(R1059*M1097-N1097*S1059)-Q1097*(S1058*R1059-S1059*R1058))/S1057/(R1059-S1059))</f>
        <v/>
      </c>
      <c r="Q1097" s="671" t="str">
        <f>IF(C1097="","",O1097/180*PI()*(L1097-M1097)/(R1058-S1058))</f>
        <v/>
      </c>
      <c r="R1097" s="672" t="str">
        <f>IF(C1097="","",(O1097/180*PI()*N1097-Q1097*R1058-S1097*S1057)/R1059)</f>
        <v/>
      </c>
      <c r="S1097" s="673" t="str">
        <f t="shared" si="158"/>
        <v/>
      </c>
      <c r="T1097" s="686" t="str">
        <f t="shared" si="159"/>
        <v/>
      </c>
      <c r="U1097" s="687" t="str">
        <f t="shared" si="160"/>
        <v/>
      </c>
      <c r="V1097" s="347"/>
      <c r="W1097" s="196"/>
      <c r="X1097" s="152"/>
      <c r="Z1097" s="198"/>
      <c r="AA1097" s="198"/>
    </row>
    <row r="1098" spans="1:27" s="197" customFormat="1" ht="15" customHeight="1">
      <c r="A1098" s="226"/>
      <c r="B1098" s="179"/>
      <c r="C1098" s="684" t="str">
        <f>IF(Q1051="","",IF(C1097="","",IF(C1097+1&lt;=Q1051,C1097+1,"")))</f>
        <v/>
      </c>
      <c r="D1098" s="247"/>
      <c r="E1098" s="206"/>
      <c r="F1098" s="206"/>
      <c r="G1098" s="206"/>
      <c r="H1098" s="206"/>
      <c r="I1098" s="206"/>
      <c r="J1098" s="207"/>
      <c r="K1098" s="657"/>
      <c r="L1098" s="663" t="str">
        <f t="shared" si="161"/>
        <v/>
      </c>
      <c r="M1098" s="667" t="str">
        <f>IF(C1098="","",L1098-Q1058*COS(O1051*PI()/180))</f>
        <v/>
      </c>
      <c r="N1098" s="668" t="str">
        <f>IF(C1098="","",L1098+P1058*SIN(O1051*PI()/180))</f>
        <v/>
      </c>
      <c r="O1098" s="660" t="str">
        <f t="shared" si="162"/>
        <v>-</v>
      </c>
      <c r="P1098" s="670" t="str">
        <f>IF(C1098="","",(PI()*O1098/180*(R1059*M1098-N1098*S1059)-Q1098*(S1058*R1059-S1059*R1058))/S1057/(R1059-S1059))</f>
        <v/>
      </c>
      <c r="Q1098" s="671" t="str">
        <f>IF(C1098="","",O1098/180*PI()*(L1098-M1098)/(R1058-S1058))</f>
        <v/>
      </c>
      <c r="R1098" s="672" t="str">
        <f>IF(C1098="","",(O1098/180*PI()*N1098-Q1098*R1058-S1098*S1057)/R1059)</f>
        <v/>
      </c>
      <c r="S1098" s="673" t="str">
        <f t="shared" si="158"/>
        <v/>
      </c>
      <c r="T1098" s="686" t="str">
        <f t="shared" si="159"/>
        <v/>
      </c>
      <c r="U1098" s="687" t="str">
        <f t="shared" si="160"/>
        <v/>
      </c>
      <c r="V1098" s="347"/>
      <c r="W1098" s="196"/>
      <c r="X1098" s="152"/>
      <c r="Z1098" s="198"/>
      <c r="AA1098" s="198"/>
    </row>
    <row r="1099" spans="1:27" s="197" customFormat="1" ht="15" customHeight="1">
      <c r="A1099" s="226"/>
      <c r="B1099" s="179"/>
      <c r="C1099" s="684" t="str">
        <f>IF(Q1051="","",IF(C1098="","",IF(C1098+1&lt;=Q1051,C1098+1,"")))</f>
        <v/>
      </c>
      <c r="D1099" s="247"/>
      <c r="E1099" s="206"/>
      <c r="F1099" s="206"/>
      <c r="G1099" s="206"/>
      <c r="H1099" s="206"/>
      <c r="I1099" s="206"/>
      <c r="J1099" s="207"/>
      <c r="K1099" s="657"/>
      <c r="L1099" s="663" t="str">
        <f t="shared" si="161"/>
        <v/>
      </c>
      <c r="M1099" s="667" t="str">
        <f>IF(C1099="","",L1099-Q1058*COS(O1051*PI()/180))</f>
        <v/>
      </c>
      <c r="N1099" s="668" t="str">
        <f>IF(C1099="","",L1099+P1058*SIN(O1051*PI()/180))</f>
        <v/>
      </c>
      <c r="O1099" s="660" t="str">
        <f t="shared" si="162"/>
        <v>-</v>
      </c>
      <c r="P1099" s="670" t="str">
        <f>IF(C1099="","",(PI()*O1099/180*(R1059*M1099-N1099*S1059)-Q1099*(S1058*R1059-S1059*R1058))/S1057/(R1059-S1059))</f>
        <v/>
      </c>
      <c r="Q1099" s="671" t="str">
        <f>IF(C1099="","",O1099/180*PI()*(L1099-M1099)/(R1058-S1058))</f>
        <v/>
      </c>
      <c r="R1099" s="672" t="str">
        <f>IF(C1099="","",(O1099/180*PI()*N1099-Q1099*R1058-S1099*S1057)/R1059)</f>
        <v/>
      </c>
      <c r="S1099" s="673" t="str">
        <f t="shared" si="158"/>
        <v/>
      </c>
      <c r="T1099" s="686" t="str">
        <f t="shared" si="159"/>
        <v/>
      </c>
      <c r="U1099" s="687" t="str">
        <f t="shared" si="160"/>
        <v/>
      </c>
      <c r="V1099" s="347"/>
      <c r="W1099" s="196"/>
      <c r="X1099" s="152"/>
      <c r="Z1099" s="198"/>
      <c r="AA1099" s="198"/>
    </row>
    <row r="1100" spans="1:27" s="197" customFormat="1" ht="15" customHeight="1">
      <c r="A1100" s="226"/>
      <c r="B1100" s="179"/>
      <c r="C1100" s="684" t="str">
        <f>IF(Q1051="","",IF(C1099="","",IF(C1099+1&lt;=Q1051,C1099+1,"")))</f>
        <v/>
      </c>
      <c r="D1100" s="247"/>
      <c r="E1100" s="206"/>
      <c r="F1100" s="206"/>
      <c r="G1100" s="206"/>
      <c r="H1100" s="206"/>
      <c r="I1100" s="206"/>
      <c r="J1100" s="207"/>
      <c r="K1100" s="657"/>
      <c r="L1100" s="663" t="str">
        <f t="shared" si="161"/>
        <v/>
      </c>
      <c r="M1100" s="667" t="str">
        <f>IF(C1100="","",L1100-Q1058*COS(O1051*PI()/180))</f>
        <v/>
      </c>
      <c r="N1100" s="668" t="str">
        <f>IF(C1100="","",L1100+P1058*SIN(O1051*PI()/180))</f>
        <v/>
      </c>
      <c r="O1100" s="660" t="str">
        <f t="shared" si="162"/>
        <v>-</v>
      </c>
      <c r="P1100" s="670" t="str">
        <f>IF(C1100="","",(PI()*O1100/180*(R1059*M1100-N1100*S1059)-Q1100*(S1058*R1059-S1059*R1058))/S1057/(R1059-S1059))</f>
        <v/>
      </c>
      <c r="Q1100" s="671" t="str">
        <f>IF(C1100="","",O1100/180*PI()*(L1100-M1100)/(R1058-S1058))</f>
        <v/>
      </c>
      <c r="R1100" s="672" t="str">
        <f>IF(C1100="","",(O1100/180*PI()*N1100-Q1100*R1058-S1100*S1057)/R1059)</f>
        <v/>
      </c>
      <c r="S1100" s="673" t="str">
        <f t="shared" si="158"/>
        <v/>
      </c>
      <c r="T1100" s="686" t="str">
        <f t="shared" si="159"/>
        <v/>
      </c>
      <c r="U1100" s="687" t="str">
        <f t="shared" si="160"/>
        <v/>
      </c>
      <c r="V1100" s="347"/>
      <c r="W1100" s="196"/>
      <c r="X1100" s="152"/>
      <c r="Z1100" s="198"/>
      <c r="AA1100" s="198"/>
    </row>
    <row r="1101" spans="1:27" s="197" customFormat="1" ht="15" customHeight="1">
      <c r="A1101" s="226"/>
      <c r="B1101" s="179"/>
      <c r="C1101" s="684" t="str">
        <f>IF(Q1051="","",IF(C1100="","",IF(C1100+1&lt;=Q1051,C1100+1,"")))</f>
        <v/>
      </c>
      <c r="D1101" s="247"/>
      <c r="E1101" s="206"/>
      <c r="F1101" s="206"/>
      <c r="G1101" s="206"/>
      <c r="H1101" s="206"/>
      <c r="I1101" s="206"/>
      <c r="J1101" s="207"/>
      <c r="K1101" s="657"/>
      <c r="L1101" s="663" t="str">
        <f t="shared" si="161"/>
        <v/>
      </c>
      <c r="M1101" s="667" t="str">
        <f>IF(C1101="","",L1101-Q1058*COS(O1051*PI()/180))</f>
        <v/>
      </c>
      <c r="N1101" s="668" t="str">
        <f>IF(C1101="","",L1101+P1058*SIN(O1051*PI()/180))</f>
        <v/>
      </c>
      <c r="O1101" s="660" t="str">
        <f t="shared" si="162"/>
        <v>-</v>
      </c>
      <c r="P1101" s="670" t="str">
        <f>IF(C1101="","",(PI()*O1101/180*(R1059*M1101-N1101*S1059)-Q1101*(S1058*R1059-S1059*R1058))/S1057/(R1059-S1059))</f>
        <v/>
      </c>
      <c r="Q1101" s="671" t="str">
        <f>IF(C1101="","",O1101/180*PI()*(L1101-M1101)/(R1058-S1058))</f>
        <v/>
      </c>
      <c r="R1101" s="672" t="str">
        <f>IF(C1101="","",(O1101/180*PI()*N1101-Q1101*R1058-S1101*S1057)/R1059)</f>
        <v/>
      </c>
      <c r="S1101" s="673" t="str">
        <f t="shared" si="158"/>
        <v/>
      </c>
      <c r="T1101" s="686" t="str">
        <f t="shared" si="159"/>
        <v/>
      </c>
      <c r="U1101" s="687" t="str">
        <f t="shared" si="160"/>
        <v/>
      </c>
      <c r="V1101" s="347"/>
      <c r="W1101" s="196"/>
      <c r="X1101" s="152"/>
      <c r="Z1101" s="198"/>
      <c r="AA1101" s="198"/>
    </row>
    <row r="1102" spans="1:27" s="197" customFormat="1" ht="15" customHeight="1">
      <c r="A1102" s="226"/>
      <c r="B1102" s="179"/>
      <c r="C1102" s="684" t="str">
        <f>IF(Q1051="","",IF(C1101="","",IF(C1101+1&lt;=Q1051,C1101+1,"")))</f>
        <v/>
      </c>
      <c r="D1102" s="247"/>
      <c r="E1102" s="206"/>
      <c r="F1102" s="206"/>
      <c r="G1102" s="206"/>
      <c r="H1102" s="206"/>
      <c r="I1102" s="206"/>
      <c r="J1102" s="207"/>
      <c r="K1102" s="657"/>
      <c r="L1102" s="663" t="str">
        <f t="shared" si="161"/>
        <v/>
      </c>
      <c r="M1102" s="667" t="str">
        <f>IF(C1102="","",L1102-Q1058*COS(O1051*PI()/180))</f>
        <v/>
      </c>
      <c r="N1102" s="668" t="str">
        <f>IF(C1102="","",L1102+P1058*SIN(O1051*PI()/180))</f>
        <v/>
      </c>
      <c r="O1102" s="660" t="str">
        <f t="shared" si="162"/>
        <v>-</v>
      </c>
      <c r="P1102" s="670" t="str">
        <f>IF(C1102="","",(PI()*O1102/180*(R1059*M1102-N1102*S1059)-Q1102*(S1058*R1059-S1059*R1058))/S1057/(R1059-S1059))</f>
        <v/>
      </c>
      <c r="Q1102" s="671" t="str">
        <f>IF(C1102="","",O1102/180*PI()*(L1102-M1102)/(R1058-S1058))</f>
        <v/>
      </c>
      <c r="R1102" s="672" t="str">
        <f>IF(C1102="","",(O1102/180*PI()*N1102-Q1102*R1058-S1102*S1057)/R1059)</f>
        <v/>
      </c>
      <c r="S1102" s="673" t="str">
        <f t="shared" si="158"/>
        <v/>
      </c>
      <c r="T1102" s="686" t="str">
        <f t="shared" si="159"/>
        <v/>
      </c>
      <c r="U1102" s="687" t="str">
        <f t="shared" si="160"/>
        <v/>
      </c>
      <c r="V1102" s="347"/>
      <c r="W1102" s="196"/>
      <c r="X1102" s="152"/>
      <c r="Z1102" s="198"/>
      <c r="AA1102" s="198"/>
    </row>
    <row r="1103" spans="1:27" s="197" customFormat="1" ht="15" customHeight="1">
      <c r="A1103" s="226"/>
      <c r="B1103" s="179"/>
      <c r="C1103" s="684" t="str">
        <f>IF(Q1051="","",IF(C1102="","",IF(C1102+1&lt;=Q1051,C1102+1,"")))</f>
        <v/>
      </c>
      <c r="D1103" s="247"/>
      <c r="E1103" s="206"/>
      <c r="F1103" s="206"/>
      <c r="G1103" s="206"/>
      <c r="H1103" s="206"/>
      <c r="I1103" s="206"/>
      <c r="J1103" s="207"/>
      <c r="K1103" s="657"/>
      <c r="L1103" s="663" t="str">
        <f t="shared" si="161"/>
        <v/>
      </c>
      <c r="M1103" s="667" t="str">
        <f>IF(C1103="","",L1103-Q1058*COS(O1051*PI()/180))</f>
        <v/>
      </c>
      <c r="N1103" s="668" t="str">
        <f>IF(C1103="","",L1103+P1058*SIN(O1051*PI()/180))</f>
        <v/>
      </c>
      <c r="O1103" s="660" t="str">
        <f t="shared" si="162"/>
        <v>-</v>
      </c>
      <c r="P1103" s="670" t="str">
        <f>IF(C1103="","",(PI()*O1103/180*(R1059*M1103-N1103*S1059)-Q1103*(S1058*R1059-S1059*R1058))/S1057/(R1059-S1059))</f>
        <v/>
      </c>
      <c r="Q1103" s="671" t="str">
        <f>IF(C1103="","",O1103/180*PI()*(L1103-M1103)/(R1058-S1058))</f>
        <v/>
      </c>
      <c r="R1103" s="672" t="str">
        <f>IF(C1103="","",(O1103/180*PI()*N1103-Q1103*R1058-S1103*S1057)/R1059)</f>
        <v/>
      </c>
      <c r="S1103" s="673" t="str">
        <f t="shared" si="158"/>
        <v/>
      </c>
      <c r="T1103" s="686" t="str">
        <f t="shared" si="159"/>
        <v/>
      </c>
      <c r="U1103" s="687" t="str">
        <f t="shared" si="160"/>
        <v/>
      </c>
      <c r="V1103" s="347"/>
      <c r="W1103" s="196"/>
      <c r="X1103" s="152"/>
      <c r="Z1103" s="198"/>
      <c r="AA1103" s="198"/>
    </row>
    <row r="1104" spans="1:27" s="197" customFormat="1" ht="15" customHeight="1">
      <c r="A1104" s="226"/>
      <c r="B1104" s="179"/>
      <c r="C1104" s="684" t="str">
        <f>IF(Q1051="","",IF(C1103="","",IF(C1103+1&lt;=Q1051,C1103+1,"")))</f>
        <v/>
      </c>
      <c r="D1104" s="247"/>
      <c r="E1104" s="206"/>
      <c r="F1104" s="206"/>
      <c r="G1104" s="206"/>
      <c r="H1104" s="206"/>
      <c r="I1104" s="206"/>
      <c r="J1104" s="207"/>
      <c r="K1104" s="657"/>
      <c r="L1104" s="663" t="str">
        <f t="shared" si="161"/>
        <v/>
      </c>
      <c r="M1104" s="667" t="str">
        <f>IF(C1104="","",L1104-Q1058*COS(O1051*PI()/180))</f>
        <v/>
      </c>
      <c r="N1104" s="668" t="str">
        <f>IF(C1104="","",L1104+P1058*SIN(O1051*PI()/180))</f>
        <v/>
      </c>
      <c r="O1104" s="660" t="str">
        <f t="shared" si="162"/>
        <v>-</v>
      </c>
      <c r="P1104" s="670" t="str">
        <f>IF(C1104="","",(PI()*O1104/180*(R1059*M1104-N1104*S1059)-Q1104*(S1058*R1059-S1059*R1058))/S1057/(R1059-S1059))</f>
        <v/>
      </c>
      <c r="Q1104" s="671" t="str">
        <f>IF(C1104="","",O1104/180*PI()*(L1104-M1104)/(R1058-S1058))</f>
        <v/>
      </c>
      <c r="R1104" s="672" t="str">
        <f>IF(C1104="","",(O1104/180*PI()*N1104-Q1104*R1058-S1104*S1057)/R1059)</f>
        <v/>
      </c>
      <c r="S1104" s="673" t="str">
        <f t="shared" si="158"/>
        <v/>
      </c>
      <c r="T1104" s="686" t="str">
        <f t="shared" si="159"/>
        <v/>
      </c>
      <c r="U1104" s="687" t="str">
        <f t="shared" si="160"/>
        <v/>
      </c>
      <c r="V1104" s="347"/>
      <c r="W1104" s="196"/>
      <c r="X1104" s="152"/>
      <c r="Z1104" s="198"/>
      <c r="AA1104" s="198"/>
    </row>
    <row r="1105" spans="1:27" s="197" customFormat="1" ht="15" customHeight="1">
      <c r="A1105" s="226"/>
      <c r="B1105" s="179"/>
      <c r="C1105" s="684" t="str">
        <f>IF(Q1051="","",IF(C1104="","",IF(C1104+1&lt;=Q1051,C1104+1,"")))</f>
        <v/>
      </c>
      <c r="D1105" s="247"/>
      <c r="E1105" s="206"/>
      <c r="F1105" s="206"/>
      <c r="G1105" s="206"/>
      <c r="H1105" s="206"/>
      <c r="I1105" s="206"/>
      <c r="J1105" s="207"/>
      <c r="K1105" s="657"/>
      <c r="L1105" s="663" t="str">
        <f t="shared" si="161"/>
        <v/>
      </c>
      <c r="M1105" s="667" t="str">
        <f>IF(C1105="","",L1105-Q1058*COS(O1051*PI()/180))</f>
        <v/>
      </c>
      <c r="N1105" s="668" t="str">
        <f>IF(C1105="","",L1105+P1058*SIN(O1051*PI()/180))</f>
        <v/>
      </c>
      <c r="O1105" s="660" t="str">
        <f t="shared" si="162"/>
        <v>-</v>
      </c>
      <c r="P1105" s="670" t="str">
        <f>IF(C1105="","",(PI()*O1105/180*(R1059*M1105-N1105*S1059)-Q1105*(S1058*R1059-S1059*R1058))/S1057/(R1059-S1059))</f>
        <v/>
      </c>
      <c r="Q1105" s="671" t="str">
        <f>IF(C1105="","",O1105/180*PI()*(L1105-M1105)/(R1058-S1058))</f>
        <v/>
      </c>
      <c r="R1105" s="672" t="str">
        <f>IF(C1105="","",(O1105/180*PI()*N1105-Q1105*R1058-S1105*S1057)/R1059)</f>
        <v/>
      </c>
      <c r="S1105" s="673" t="str">
        <f t="shared" si="158"/>
        <v/>
      </c>
      <c r="T1105" s="686" t="str">
        <f t="shared" si="159"/>
        <v/>
      </c>
      <c r="U1105" s="687" t="str">
        <f t="shared" si="160"/>
        <v/>
      </c>
      <c r="V1105" s="347"/>
      <c r="W1105" s="196"/>
      <c r="X1105" s="152"/>
      <c r="Z1105" s="198"/>
      <c r="AA1105" s="198"/>
    </row>
    <row r="1106" spans="1:27" s="197" customFormat="1" ht="15" customHeight="1">
      <c r="A1106" s="226"/>
      <c r="B1106" s="179"/>
      <c r="C1106" s="684" t="str">
        <f>IF(Q1051="","",IF(C1105="","",IF(C1105+1&lt;=Q1051,C1105+1,"")))</f>
        <v/>
      </c>
      <c r="D1106" s="247"/>
      <c r="E1106" s="206"/>
      <c r="F1106" s="206"/>
      <c r="G1106" s="206"/>
      <c r="H1106" s="206"/>
      <c r="I1106" s="206"/>
      <c r="J1106" s="207"/>
      <c r="K1106" s="657"/>
      <c r="L1106" s="663" t="str">
        <f t="shared" si="161"/>
        <v/>
      </c>
      <c r="M1106" s="667" t="str">
        <f>IF(C1106="","",L1106-Q1058*COS(O1051*PI()/180))</f>
        <v/>
      </c>
      <c r="N1106" s="668" t="str">
        <f>IF(C1106="","",L1106+P1058*SIN(O1051*PI()/180))</f>
        <v/>
      </c>
      <c r="O1106" s="660" t="str">
        <f t="shared" si="162"/>
        <v>-</v>
      </c>
      <c r="P1106" s="670" t="str">
        <f>IF(C1106="","",(PI()*O1106/180*(R1059*M1106-N1106*S1059)-Q1106*(S1058*R1059-S1059*R1058))/S1057/(R1059-S1059))</f>
        <v/>
      </c>
      <c r="Q1106" s="671" t="str">
        <f>IF(C1106="","",O1106/180*PI()*(L1106-M1106)/(R1058-S1058))</f>
        <v/>
      </c>
      <c r="R1106" s="672" t="str">
        <f>IF(C1106="","",(O1106/180*PI()*N1106-Q1106*R1058-S1106*S1057)/R1059)</f>
        <v/>
      </c>
      <c r="S1106" s="673" t="str">
        <f t="shared" si="158"/>
        <v/>
      </c>
      <c r="T1106" s="686" t="str">
        <f t="shared" si="159"/>
        <v/>
      </c>
      <c r="U1106" s="687" t="str">
        <f t="shared" si="160"/>
        <v/>
      </c>
      <c r="V1106" s="347"/>
      <c r="W1106" s="196"/>
      <c r="X1106" s="152"/>
      <c r="Z1106" s="198"/>
      <c r="AA1106" s="198"/>
    </row>
    <row r="1107" spans="1:27" s="197" customFormat="1" ht="15" customHeight="1">
      <c r="A1107" s="226"/>
      <c r="B1107" s="179"/>
      <c r="C1107" s="684" t="str">
        <f>IF(Q1051="","",IF(C1106="","",IF(C1106+1&lt;=Q1051,C1106+1,"")))</f>
        <v/>
      </c>
      <c r="D1107" s="247"/>
      <c r="E1107" s="206"/>
      <c r="F1107" s="206"/>
      <c r="G1107" s="206"/>
      <c r="H1107" s="206"/>
      <c r="I1107" s="206"/>
      <c r="J1107" s="207"/>
      <c r="K1107" s="657"/>
      <c r="L1107" s="663" t="str">
        <f t="shared" si="161"/>
        <v/>
      </c>
      <c r="M1107" s="667" t="str">
        <f>IF(C1107="","",L1107-Q1058*COS(O1051*PI()/180))</f>
        <v/>
      </c>
      <c r="N1107" s="668" t="str">
        <f>IF(C1107="","",L1107+P1058*SIN(O1051*PI()/180))</f>
        <v/>
      </c>
      <c r="O1107" s="660" t="str">
        <f t="shared" si="162"/>
        <v>-</v>
      </c>
      <c r="P1107" s="670" t="str">
        <f>IF(C1107="","",(PI()*O1107/180*(R1059*M1107-N1107*S1059)-Q1107*(S1058*R1059-S1059*R1058))/S1057/(R1059-S1059))</f>
        <v/>
      </c>
      <c r="Q1107" s="671" t="str">
        <f>IF(C1107="","",O1107/180*PI()*(L1107-M1107)/(R1058-S1058))</f>
        <v/>
      </c>
      <c r="R1107" s="672" t="str">
        <f>IF(C1107="","",(O1107/180*PI()*N1107-Q1107*R1058-S1107*S1057)/R1059)</f>
        <v/>
      </c>
      <c r="S1107" s="673" t="str">
        <f t="shared" si="158"/>
        <v/>
      </c>
      <c r="T1107" s="686" t="str">
        <f t="shared" si="159"/>
        <v/>
      </c>
      <c r="U1107" s="687" t="str">
        <f t="shared" si="160"/>
        <v/>
      </c>
      <c r="V1107" s="347"/>
      <c r="W1107" s="196"/>
      <c r="X1107" s="152"/>
      <c r="Z1107" s="198"/>
      <c r="AA1107" s="198"/>
    </row>
    <row r="1108" spans="1:27" s="197" customFormat="1" ht="15" customHeight="1">
      <c r="A1108" s="226"/>
      <c r="B1108" s="179"/>
      <c r="C1108" s="684" t="str">
        <f>IF(Q1051="","",IF(C1107="","",IF(C1107+1&lt;=Q1051,C1107+1,"")))</f>
        <v/>
      </c>
      <c r="D1108" s="247"/>
      <c r="E1108" s="206"/>
      <c r="F1108" s="206"/>
      <c r="G1108" s="206"/>
      <c r="H1108" s="206"/>
      <c r="I1108" s="206"/>
      <c r="J1108" s="207"/>
      <c r="K1108" s="657"/>
      <c r="L1108" s="663" t="str">
        <f t="shared" si="161"/>
        <v/>
      </c>
      <c r="M1108" s="667" t="str">
        <f>IF(C1108="","",L1108-Q1058*COS(O1051*PI()/180))</f>
        <v/>
      </c>
      <c r="N1108" s="668" t="str">
        <f>IF(C1108="","",L1108+P1058*SIN(O1051*PI()/180))</f>
        <v/>
      </c>
      <c r="O1108" s="660" t="str">
        <f t="shared" si="162"/>
        <v>-</v>
      </c>
      <c r="P1108" s="670" t="str">
        <f>IF(C1108="","",(PI()*O1108/180*(R1059*M1108-N1108*S1059)-Q1108*(S1058*R1059-S1059*R1058))/S1057/(R1059-S1059))</f>
        <v/>
      </c>
      <c r="Q1108" s="671" t="str">
        <f>IF(C1108="","",O1108/180*PI()*(L1108-M1108)/(R1058-S1058))</f>
        <v/>
      </c>
      <c r="R1108" s="672" t="str">
        <f>IF(C1108="","",(O1108/180*PI()*N1108-Q1108*R1058-S1108*S1057)/R1059)</f>
        <v/>
      </c>
      <c r="S1108" s="673" t="str">
        <f t="shared" si="158"/>
        <v/>
      </c>
      <c r="T1108" s="686" t="str">
        <f t="shared" si="159"/>
        <v/>
      </c>
      <c r="U1108" s="687" t="str">
        <f t="shared" si="160"/>
        <v/>
      </c>
      <c r="V1108" s="347"/>
      <c r="W1108" s="196"/>
      <c r="X1108" s="152"/>
      <c r="Z1108" s="198"/>
      <c r="AA1108" s="198"/>
    </row>
    <row r="1109" spans="1:27" s="197" customFormat="1" ht="15" customHeight="1">
      <c r="A1109" s="226"/>
      <c r="B1109" s="179"/>
      <c r="C1109" s="684" t="str">
        <f>IF(Q1051="","",IF(C1108="","",IF(C1108+1&lt;=Q1051,C1108+1,"")))</f>
        <v/>
      </c>
      <c r="D1109" s="247"/>
      <c r="E1109" s="206"/>
      <c r="F1109" s="206"/>
      <c r="G1109" s="206"/>
      <c r="H1109" s="206"/>
      <c r="I1109" s="206"/>
      <c r="J1109" s="207"/>
      <c r="K1109" s="657"/>
      <c r="L1109" s="663" t="str">
        <f t="shared" si="161"/>
        <v/>
      </c>
      <c r="M1109" s="667" t="str">
        <f>IF(C1109="","",L1109-Q1058*COS(O1051*PI()/180))</f>
        <v/>
      </c>
      <c r="N1109" s="668" t="str">
        <f>IF(C1109="","",L1109+P1058*SIN(O1051*PI()/180))</f>
        <v/>
      </c>
      <c r="O1109" s="660" t="str">
        <f t="shared" si="162"/>
        <v>-</v>
      </c>
      <c r="P1109" s="670" t="str">
        <f>IF(C1109="","",(PI()*O1109/180*(R1059*M1109-N1109*S1059)-Q1109*(S1058*R1059-S1059*R1058))/S1057/(R1059-S1059))</f>
        <v/>
      </c>
      <c r="Q1109" s="671" t="str">
        <f>IF(C1109="","",O1109/180*PI()*(L1109-M1109)/(R1058-S1058))</f>
        <v/>
      </c>
      <c r="R1109" s="672" t="str">
        <f>IF(C1109="","",(O1109/180*PI()*N1109-Q1109*R1058-S1109*S1057)/R1059)</f>
        <v/>
      </c>
      <c r="S1109" s="673" t="str">
        <f t="shared" si="158"/>
        <v/>
      </c>
      <c r="T1109" s="686" t="str">
        <f t="shared" si="159"/>
        <v/>
      </c>
      <c r="U1109" s="687" t="str">
        <f t="shared" si="160"/>
        <v/>
      </c>
      <c r="V1109" s="347"/>
      <c r="W1109" s="196"/>
      <c r="X1109" s="152"/>
      <c r="Z1109" s="198"/>
      <c r="AA1109" s="198"/>
    </row>
    <row r="1110" spans="1:27" s="197" customFormat="1" ht="15" customHeight="1">
      <c r="A1110" s="226"/>
      <c r="B1110" s="179"/>
      <c r="C1110" s="684" t="str">
        <f>IF(Q1051="","",IF(C1109="","",IF(C1109+1&lt;=Q1051,C1109+1,"")))</f>
        <v/>
      </c>
      <c r="D1110" s="247"/>
      <c r="E1110" s="206"/>
      <c r="F1110" s="206"/>
      <c r="G1110" s="206"/>
      <c r="H1110" s="206"/>
      <c r="I1110" s="206"/>
      <c r="J1110" s="207"/>
      <c r="K1110" s="657"/>
      <c r="L1110" s="663" t="str">
        <f t="shared" si="161"/>
        <v/>
      </c>
      <c r="M1110" s="667" t="str">
        <f>IF(C1110="","",L1110-Q1058*COS(O1051*PI()/180))</f>
        <v/>
      </c>
      <c r="N1110" s="668" t="str">
        <f>IF(C1110="","",L1110+P1058*SIN(O1051*PI()/180))</f>
        <v/>
      </c>
      <c r="O1110" s="660" t="str">
        <f t="shared" si="162"/>
        <v>-</v>
      </c>
      <c r="P1110" s="670" t="str">
        <f>IF(C1110="","",(PI()*O1110/180*(R1059*M1110-N1110*S1059)-Q1110*(S1058*R1059-S1059*R1058))/S1057/(R1059-S1059))</f>
        <v/>
      </c>
      <c r="Q1110" s="671" t="str">
        <f>IF(C1110="","",O1110/180*PI()*(L1110-M1110)/(R1058-S1058))</f>
        <v/>
      </c>
      <c r="R1110" s="672" t="str">
        <f>IF(C1110="","",(O1110/180*PI()*N1110-Q1110*R1058-S1110*S1057)/R1059)</f>
        <v/>
      </c>
      <c r="S1110" s="673" t="str">
        <f t="shared" si="158"/>
        <v/>
      </c>
      <c r="T1110" s="686" t="str">
        <f t="shared" si="159"/>
        <v/>
      </c>
      <c r="U1110" s="687" t="str">
        <f t="shared" si="160"/>
        <v/>
      </c>
      <c r="V1110" s="347"/>
      <c r="W1110" s="196"/>
      <c r="X1110" s="152"/>
      <c r="Z1110" s="198"/>
      <c r="AA1110" s="198"/>
    </row>
    <row r="1111" spans="1:27" s="197" customFormat="1" ht="15" customHeight="1">
      <c r="A1111" s="226"/>
      <c r="B1111" s="179"/>
      <c r="C1111" s="684" t="str">
        <f>IF(Q1051="","",IF(C1110="","",IF(C1110+1&lt;=Q1051,C1110+1,"")))</f>
        <v/>
      </c>
      <c r="D1111" s="247"/>
      <c r="E1111" s="206"/>
      <c r="F1111" s="206"/>
      <c r="G1111" s="206"/>
      <c r="H1111" s="206"/>
      <c r="I1111" s="206"/>
      <c r="J1111" s="207"/>
      <c r="K1111" s="657"/>
      <c r="L1111" s="663" t="str">
        <f t="shared" si="161"/>
        <v/>
      </c>
      <c r="M1111" s="667" t="str">
        <f>IF(C1111="","",L1111-Q1058*COS(O1051*PI()/180))</f>
        <v/>
      </c>
      <c r="N1111" s="668" t="str">
        <f>IF(C1111="","",L1111+P1058*SIN(O1051*PI()/180))</f>
        <v/>
      </c>
      <c r="O1111" s="660" t="str">
        <f t="shared" si="162"/>
        <v>-</v>
      </c>
      <c r="P1111" s="670" t="str">
        <f>IF(C1111="","",(PI()*O1111/180*(R1059*M1111-N1111*S1059)-Q1111*(S1058*R1059-S1059*R1058))/S1057/(R1059-S1059))</f>
        <v/>
      </c>
      <c r="Q1111" s="671" t="str">
        <f>IF(C1111="","",O1111/180*PI()*(L1111-M1111)/(R1058-S1058))</f>
        <v/>
      </c>
      <c r="R1111" s="672" t="str">
        <f>IF(C1111="","",(O1111/180*PI()*N1111-Q1111*R1058-S1111*S1057)/R1059)</f>
        <v/>
      </c>
      <c r="S1111" s="673" t="str">
        <f t="shared" si="158"/>
        <v/>
      </c>
      <c r="T1111" s="686" t="str">
        <f t="shared" si="159"/>
        <v/>
      </c>
      <c r="U1111" s="687" t="str">
        <f t="shared" si="160"/>
        <v/>
      </c>
      <c r="V1111" s="347"/>
      <c r="W1111" s="196"/>
      <c r="X1111" s="152"/>
      <c r="Z1111" s="198"/>
      <c r="AA1111" s="198"/>
    </row>
    <row r="1112" spans="1:27" s="197" customFormat="1" ht="15" customHeight="1">
      <c r="A1112" s="226"/>
      <c r="B1112" s="179"/>
      <c r="C1112" s="684" t="str">
        <f>IF(Q1051="","",IF(C1111="","",IF(C1111+1&lt;=Q1051,C1111+1,"")))</f>
        <v/>
      </c>
      <c r="D1112" s="247"/>
      <c r="E1112" s="206"/>
      <c r="F1112" s="206"/>
      <c r="G1112" s="206"/>
      <c r="H1112" s="206"/>
      <c r="I1112" s="206"/>
      <c r="J1112" s="207"/>
      <c r="K1112" s="657"/>
      <c r="L1112" s="663" t="str">
        <f t="shared" si="161"/>
        <v/>
      </c>
      <c r="M1112" s="667" t="str">
        <f>IF(C1112="","",L1112-Q1058*COS(O1051*PI()/180))</f>
        <v/>
      </c>
      <c r="N1112" s="668" t="str">
        <f>IF(C1112="","",L1112+P1058*SIN(O1051*PI()/180))</f>
        <v/>
      </c>
      <c r="O1112" s="660" t="str">
        <f t="shared" si="162"/>
        <v>-</v>
      </c>
      <c r="P1112" s="670" t="str">
        <f>IF(C1112="","",(PI()*O1112/180*(R1059*M1112-N1112*S1059)-Q1112*(S1058*R1059-S1059*R1058))/S1057/(R1059-S1059))</f>
        <v/>
      </c>
      <c r="Q1112" s="671" t="str">
        <f>IF(C1112="","",O1112/180*PI()*(L1112-M1112)/(R1058-S1058))</f>
        <v/>
      </c>
      <c r="R1112" s="672" t="str">
        <f>IF(C1112="","",(O1112/180*PI()*N1112-Q1112*R1058-S1112*S1057)/R1059)</f>
        <v/>
      </c>
      <c r="S1112" s="673" t="str">
        <f t="shared" si="158"/>
        <v/>
      </c>
      <c r="T1112" s="686" t="str">
        <f t="shared" si="159"/>
        <v/>
      </c>
      <c r="U1112" s="687" t="str">
        <f t="shared" si="160"/>
        <v/>
      </c>
      <c r="V1112" s="347"/>
      <c r="W1112" s="196"/>
      <c r="X1112" s="152"/>
      <c r="Z1112" s="198"/>
      <c r="AA1112" s="198"/>
    </row>
    <row r="1113" spans="1:27" s="197" customFormat="1" ht="15" customHeight="1">
      <c r="A1113" s="226"/>
      <c r="B1113" s="179"/>
      <c r="C1113" s="684" t="str">
        <f>IF(Q1051="","",IF(C1112="","",IF(C1112+1&lt;=Q1051,C1112+1,"")))</f>
        <v/>
      </c>
      <c r="D1113" s="247"/>
      <c r="E1113" s="206"/>
      <c r="F1113" s="206"/>
      <c r="G1113" s="206"/>
      <c r="H1113" s="206"/>
      <c r="I1113" s="206"/>
      <c r="J1113" s="207"/>
      <c r="K1113" s="657"/>
      <c r="L1113" s="663" t="str">
        <f t="shared" si="161"/>
        <v/>
      </c>
      <c r="M1113" s="667" t="str">
        <f>IF(C1113="","",L1113-Q1058*COS(O1051*PI()/180))</f>
        <v/>
      </c>
      <c r="N1113" s="668" t="str">
        <f>IF(C1113="","",L1113+P1058*SIN(O1051*PI()/180))</f>
        <v/>
      </c>
      <c r="O1113" s="660" t="str">
        <f t="shared" si="162"/>
        <v>-</v>
      </c>
      <c r="P1113" s="670" t="str">
        <f>IF(C1113="","",(PI()*O1113/180*(R1059*M1113-N1113*S1059)-Q1113*(S1058*R1059-S1059*R1058))/S1057/(R1059-S1059))</f>
        <v/>
      </c>
      <c r="Q1113" s="671" t="str">
        <f>IF(C1113="","",O1113/180*PI()*(L1113-M1113)/(R1058-S1058))</f>
        <v/>
      </c>
      <c r="R1113" s="672" t="str">
        <f>IF(C1113="","",(O1113/180*PI()*N1113-Q1113*R1058-S1113*S1057)/R1059)</f>
        <v/>
      </c>
      <c r="S1113" s="673" t="str">
        <f t="shared" si="158"/>
        <v/>
      </c>
      <c r="T1113" s="686" t="str">
        <f t="shared" si="159"/>
        <v/>
      </c>
      <c r="U1113" s="687" t="str">
        <f t="shared" si="160"/>
        <v/>
      </c>
      <c r="V1113" s="347"/>
      <c r="W1113" s="196"/>
      <c r="X1113" s="152"/>
      <c r="Z1113" s="198"/>
      <c r="AA1113" s="198"/>
    </row>
    <row r="1114" spans="1:27" s="197" customFormat="1" ht="15" customHeight="1" thickBot="1">
      <c r="A1114" s="226"/>
      <c r="B1114" s="179"/>
      <c r="C1114" s="685" t="str">
        <f>IF(Q1051="","",IF(C1113="","",IF(C1113+1&lt;=Q1051,C1113+1,"")))</f>
        <v/>
      </c>
      <c r="D1114" s="247"/>
      <c r="E1114" s="206"/>
      <c r="F1114" s="206"/>
      <c r="G1114" s="206"/>
      <c r="H1114" s="206"/>
      <c r="I1114" s="206"/>
      <c r="J1114" s="207"/>
      <c r="K1114" s="657"/>
      <c r="L1114" s="664" t="str">
        <f t="shared" si="161"/>
        <v/>
      </c>
      <c r="M1114" s="724" t="str">
        <f>IF(C1114="","",L1114-Q1058*COS(O1051*PI()/180))</f>
        <v/>
      </c>
      <c r="N1114" s="725" t="str">
        <f>IF(C1114="","",L1114+P1058*SIN(O1051*PI()/180))</f>
        <v/>
      </c>
      <c r="O1114" s="661" t="str">
        <f t="shared" si="162"/>
        <v>-</v>
      </c>
      <c r="P1114" s="719" t="str">
        <f>IF(C1114="","",(PI()*O1114/180*(R1059*M1114-N1114*S1059)-Q1114*(S1058*R1059-S1059*R1058))/S1057/(R1059-S1059))</f>
        <v/>
      </c>
      <c r="Q1114" s="720" t="str">
        <f>IF(C1114="","",O1114/180*PI()*(L1114-M1114)/(R1058-S1058))</f>
        <v/>
      </c>
      <c r="R1114" s="721" t="str">
        <f>IF(C1114="","",(O1114/180*PI()*N1114-Q1114*R1058-S1114*S1057)/R1059)</f>
        <v/>
      </c>
      <c r="S1114" s="714" t="str">
        <f t="shared" si="158"/>
        <v/>
      </c>
      <c r="T1114" s="715" t="str">
        <f t="shared" si="159"/>
        <v/>
      </c>
      <c r="U1114" s="716" t="str">
        <f t="shared" si="160"/>
        <v/>
      </c>
      <c r="V1114" s="347"/>
      <c r="W1114" s="196"/>
      <c r="X1114" s="152"/>
      <c r="Z1114" s="198"/>
      <c r="AA1114" s="198"/>
    </row>
    <row r="1115" spans="1:27" s="197" customFormat="1" ht="15" customHeight="1">
      <c r="A1115" s="226"/>
      <c r="B1115" s="205"/>
      <c r="C1115" s="211"/>
      <c r="D1115" s="206"/>
      <c r="E1115" s="206"/>
      <c r="F1115" s="206"/>
      <c r="G1115" s="206"/>
      <c r="H1115" s="206"/>
      <c r="I1115" s="206"/>
      <c r="J1115" s="207"/>
      <c r="K1115" s="207"/>
      <c r="L1115" s="155"/>
      <c r="M1115" s="206"/>
      <c r="N1115" s="206"/>
      <c r="O1115" s="206"/>
      <c r="P1115" s="206"/>
      <c r="Q1115" s="206"/>
      <c r="R1115" s="206"/>
      <c r="S1115" s="206"/>
      <c r="T1115" s="206"/>
      <c r="U1115" s="206"/>
      <c r="V1115" s="208"/>
      <c r="W1115" s="196"/>
      <c r="X1115" s="152"/>
      <c r="Z1115" s="198"/>
      <c r="AA1115" s="198"/>
    </row>
    <row r="1116" spans="1:27" s="197" customFormat="1" ht="15" customHeight="1">
      <c r="A1116" s="226"/>
      <c r="B1116" s="205"/>
      <c r="C1116" s="211"/>
      <c r="D1116" s="206"/>
      <c r="E1116" s="206"/>
      <c r="F1116" s="206"/>
      <c r="G1116" s="206"/>
      <c r="H1116" s="206"/>
      <c r="I1116" s="206"/>
      <c r="J1116" s="207"/>
      <c r="K1116" s="207"/>
      <c r="L1116" s="155"/>
      <c r="M1116" s="206"/>
      <c r="N1116" s="206"/>
      <c r="O1116" s="206"/>
      <c r="P1116" s="206"/>
      <c r="Q1116" s="206"/>
      <c r="R1116" s="206"/>
      <c r="S1116" s="206"/>
      <c r="T1116" s="206"/>
      <c r="U1116" s="206"/>
      <c r="V1116" s="208"/>
      <c r="W1116" s="196"/>
      <c r="X1116" s="152"/>
      <c r="Z1116" s="198"/>
      <c r="AA1116" s="198"/>
    </row>
    <row r="1117" spans="1:27" s="197" customFormat="1" ht="15" customHeight="1" thickBot="1">
      <c r="A1117" s="226"/>
      <c r="B1117" s="291" t="s">
        <v>1010</v>
      </c>
      <c r="C1117" s="292"/>
      <c r="D1117" s="293"/>
      <c r="E1117" s="293"/>
      <c r="F1117" s="293"/>
      <c r="G1117" s="293"/>
      <c r="H1117" s="293"/>
      <c r="I1117" s="293"/>
      <c r="J1117" s="294"/>
      <c r="K1117" s="294"/>
      <c r="L1117" s="295"/>
      <c r="M1117" s="293"/>
      <c r="N1117" s="293"/>
      <c r="O1117" s="293"/>
      <c r="P1117" s="293"/>
      <c r="Q1117" s="293"/>
      <c r="R1117" s="293"/>
      <c r="S1117" s="296"/>
      <c r="T1117" s="293"/>
      <c r="U1117" s="293" t="s">
        <v>678</v>
      </c>
      <c r="V1117" s="297" t="s">
        <v>27</v>
      </c>
      <c r="W1117" s="298"/>
      <c r="X1117" s="299"/>
      <c r="Z1117" s="198"/>
      <c r="AA1117" s="198"/>
    </row>
    <row r="1118" spans="1:27" s="197" customFormat="1" ht="15" customHeight="1" thickBot="1">
      <c r="A1118" s="226"/>
      <c r="B1118" s="221"/>
      <c r="C1118" s="144">
        <f>SUMIF(Densidades!A:A,'Memória TOTAL'!X1118,Densidades!B:B)</f>
        <v>0</v>
      </c>
      <c r="D1118" s="145">
        <f>SUMIF(Densidades!A:A,'Memória TOTAL'!X1118,Densidades!C:C)</f>
        <v>0</v>
      </c>
      <c r="E1118" s="145" t="str">
        <f>IF(I1118=15,"FIRECLAY MORTAR",IF(I1118=16,"ALUMINA MORTAR",IF(I1118=17,"BASIC MORTAR",IF(I1118=18,"MORTAR","-"))))</f>
        <v>-</v>
      </c>
      <c r="F1118" s="145" t="str">
        <f>IF(I1118=15,"FIRECLAY MORTAR",IF(I1118=16,"ALUMINA MORTAR",IF(I1118=17,"BASIC MORTAR",IF(I1118=18,"MORTAR","-"))))</f>
        <v>-</v>
      </c>
      <c r="G1118" s="145" t="str">
        <f>IF(I1118=15,"FIRECLAY MORTAR",IF(I1118=16,"ALUMINA MORTAR",IF(I1118=17,"BASIC MORTAR",IF(I1118=18,"MORTAR","-"))))</f>
        <v>-</v>
      </c>
      <c r="H1118" s="145" t="str">
        <f>IF(I1118=15,"FIRECLAY MORTAR",IF(I1118=16,"ALUMINA MORTAR",IF(I1118=17,"BASIC MORTAR",IF(I1118=18,"MORTAR","-"))))</f>
        <v>-</v>
      </c>
      <c r="I1118" s="145">
        <f>SUMIF(Densidades!A:A,'Memória TOTAL'!X1118,Densidades!G:G)</f>
        <v>0</v>
      </c>
      <c r="J1118" s="147">
        <f>SUMIF(Formatos!A:A,'Memória TOTAL'!X1119,Formatos!G:G)</f>
        <v>0</v>
      </c>
      <c r="K1118" s="148">
        <f>SUMIF(Densidades!A:A,'Memória TOTAL'!X1118,Densidades!I:I)</f>
        <v>0</v>
      </c>
      <c r="L1118" s="199">
        <v>0</v>
      </c>
      <c r="M1118" s="200"/>
      <c r="N1118" s="200"/>
      <c r="O1118" s="200"/>
      <c r="P1118" s="200"/>
      <c r="Q1118" s="200"/>
      <c r="R1118" s="200"/>
      <c r="S1118" s="200"/>
      <c r="T1118" s="201"/>
      <c r="U1118" s="302"/>
      <c r="V1118" s="203" t="e">
        <f>(W1051*J1051*C1118+W1055*J1055*C1118+W1059*J1059*C1118)*U1118</f>
        <v>#VALUE!</v>
      </c>
      <c r="W1118" s="204" t="str">
        <f>IF(C1118=0,"",ROUNDUP(SUM(V1118:V1120)*(1+L1118)/D1118,0)*D1118)</f>
        <v/>
      </c>
      <c r="X1118" s="274"/>
      <c r="Z1118" s="198"/>
      <c r="AA1118" s="198"/>
    </row>
    <row r="1119" spans="1:27" s="197" customFormat="1" ht="15" customHeight="1">
      <c r="A1119" s="226"/>
      <c r="B1119" s="221"/>
      <c r="C1119" s="144"/>
      <c r="D1119" s="206"/>
      <c r="E1119" s="206"/>
      <c r="F1119" s="206"/>
      <c r="G1119" s="206"/>
      <c r="H1119" s="206"/>
      <c r="I1119" s="206"/>
      <c r="J1119" s="207"/>
      <c r="K1119" s="207"/>
      <c r="L1119" s="155"/>
      <c r="M1119" s="206"/>
      <c r="N1119" s="206"/>
      <c r="O1119" s="206"/>
      <c r="P1119" s="206"/>
      <c r="Q1119" s="206"/>
      <c r="R1119" s="206"/>
      <c r="S1119" s="206"/>
      <c r="T1119" s="206"/>
      <c r="U1119" s="206"/>
      <c r="V1119" s="208"/>
      <c r="W1119" s="196"/>
      <c r="X1119" s="152" t="str">
        <f>IF(AND(H1118="-",G1118="-",F1118="-"),E1118,IF(AND(H1118="-",G1118="-",E1118="-"),F1118,IF(AND(H1118="-",F1118="-",E1118="-"),G1118,H1118)))</f>
        <v>-</v>
      </c>
      <c r="Z1119" s="198"/>
      <c r="AA1119" s="198"/>
    </row>
    <row r="1120" spans="1:27" s="197" customFormat="1" ht="15" customHeight="1">
      <c r="A1120" s="226"/>
      <c r="B1120" s="224"/>
      <c r="C1120" s="144"/>
      <c r="D1120" s="206"/>
      <c r="E1120" s="206"/>
      <c r="F1120" s="206"/>
      <c r="G1120" s="206"/>
      <c r="H1120" s="206"/>
      <c r="I1120" s="206"/>
      <c r="J1120" s="207"/>
      <c r="K1120" s="207"/>
      <c r="L1120" s="155"/>
      <c r="M1120" s="206"/>
      <c r="N1120" s="206"/>
      <c r="O1120" s="206"/>
      <c r="P1120" s="206"/>
      <c r="Q1120" s="206"/>
      <c r="R1120" s="206"/>
      <c r="S1120" s="206"/>
      <c r="T1120" s="206"/>
      <c r="U1120" s="206"/>
      <c r="V1120" s="208"/>
      <c r="W1120" s="196"/>
      <c r="X1120" s="152" t="s">
        <v>2</v>
      </c>
      <c r="Z1120" s="198"/>
      <c r="AA1120" s="198"/>
    </row>
    <row r="1121" spans="1:27" ht="15" customHeight="1">
      <c r="A1121" s="226"/>
      <c r="B1121" s="142"/>
      <c r="C1121" s="180"/>
      <c r="D1121" s="181"/>
      <c r="E1121" s="181"/>
      <c r="F1121" s="181"/>
      <c r="G1121" s="181"/>
      <c r="H1121" s="181"/>
      <c r="I1121" s="181"/>
      <c r="J1121" s="182"/>
      <c r="K1121" s="182"/>
      <c r="L1121" s="183"/>
      <c r="M1121" s="181"/>
      <c r="N1121" s="181"/>
      <c r="O1121" s="181"/>
      <c r="P1121" s="181"/>
      <c r="Q1121" s="181"/>
      <c r="R1121" s="181"/>
      <c r="S1121" s="181"/>
      <c r="T1121" s="181"/>
      <c r="U1121" s="181"/>
      <c r="V1121" s="184"/>
      <c r="W1121" s="185"/>
      <c r="X1121" s="186"/>
    </row>
    <row r="1122" spans="1:27" s="197" customFormat="1" ht="15" customHeight="1" thickBot="1">
      <c r="A1122" s="226"/>
      <c r="B1122" s="291" t="s">
        <v>1011</v>
      </c>
      <c r="C1122" s="292"/>
      <c r="D1122" s="293"/>
      <c r="E1122" s="293"/>
      <c r="F1122" s="293"/>
      <c r="G1122" s="293"/>
      <c r="H1122" s="293"/>
      <c r="I1122" s="293"/>
      <c r="J1122" s="294"/>
      <c r="K1122" s="294"/>
      <c r="L1122" s="295"/>
      <c r="M1122" s="293"/>
      <c r="N1122" s="293"/>
      <c r="O1122" s="293"/>
      <c r="P1122" s="293"/>
      <c r="Q1122" s="293"/>
      <c r="R1122" s="293" t="s">
        <v>636</v>
      </c>
      <c r="S1122" s="296" t="s">
        <v>637</v>
      </c>
      <c r="T1122" s="293" t="s">
        <v>638</v>
      </c>
      <c r="U1122" s="293" t="s">
        <v>38</v>
      </c>
      <c r="V1122" s="297" t="s">
        <v>27</v>
      </c>
      <c r="W1122" s="298"/>
      <c r="X1122" s="299"/>
      <c r="Z1122" s="198"/>
      <c r="AA1122" s="198"/>
    </row>
    <row r="1123" spans="1:27" s="197" customFormat="1" ht="15" customHeight="1" thickBot="1">
      <c r="A1123" s="226"/>
      <c r="B1123" s="221"/>
      <c r="C1123" s="144">
        <f>SUMIF(Densidades!A:A,'Memória TOTAL'!X1123,Densidades!B:B)</f>
        <v>0</v>
      </c>
      <c r="D1123" s="145">
        <f>SUMIF(Densidades!A:A,'Memória TOTAL'!X1123,Densidades!C:C)</f>
        <v>0</v>
      </c>
      <c r="E1123" s="145" t="str">
        <f>IF(I1123=15,"FIRECLAY MORTAR",IF(I1123=16,"ALUMINA MORTAR",IF(I1123=17,"BASIC MORTAR",IF(I1123=18,"MORTAR","-"))))</f>
        <v>-</v>
      </c>
      <c r="F1123" s="145" t="str">
        <f>IF(I1123=15,"FIRECLAY MORTAR",IF(I1123=16,"ALUMINA MORTAR",IF(I1123=17,"BASIC MORTAR",IF(I1123=18,"MORTAR","-"))))</f>
        <v>-</v>
      </c>
      <c r="G1123" s="145" t="str">
        <f>IF(I1123=15,"FIRECLAY MORTAR",IF(I1123=16,"ALUMINA MORTAR",IF(I1123=17,"BASIC MORTAR",IF(I1123=18,"MORTAR","-"))))</f>
        <v>-</v>
      </c>
      <c r="H1123" s="145" t="str">
        <f>IF(I1123=15,"FIRECLAY MORTAR",IF(I1123=16,"ALUMINA MORTAR",IF(I1123=17,"BASIC MORTAR",IF(I1123=18,"MORTAR","-"))))</f>
        <v>-</v>
      </c>
      <c r="I1123" s="145">
        <f>SUMIF(Densidades!A:A,'Memória TOTAL'!X1123,Densidades!G:G)</f>
        <v>0</v>
      </c>
      <c r="J1123" s="147">
        <f>SUMIF(Formatos!A:A,'Memória TOTAL'!X1124,Formatos!G:G)</f>
        <v>0</v>
      </c>
      <c r="K1123" s="233">
        <f>SUMIF(Densidades!A:A,'Memória TOTAL'!X1123,Densidades!I:I)</f>
        <v>0</v>
      </c>
      <c r="L1123" s="199">
        <v>0</v>
      </c>
      <c r="M1123" s="200"/>
      <c r="N1123" s="200"/>
      <c r="O1123" s="200"/>
      <c r="P1123" s="200"/>
      <c r="Q1123" s="200"/>
      <c r="R1123" s="201">
        <f>((G1051*H1051)+(G1051*E1051)+(H1051*E1051))/1000000</f>
        <v>0</v>
      </c>
      <c r="S1123" s="270">
        <v>2</v>
      </c>
      <c r="T1123" s="201">
        <f>R1123*S1123</f>
        <v>0</v>
      </c>
      <c r="U1123" s="202">
        <f>SUM(W1051:W1061)</f>
        <v>0</v>
      </c>
      <c r="V1123" s="203">
        <f>(T1123*C1123*(1+L1123))*U1123</f>
        <v>0</v>
      </c>
      <c r="W1123" s="151" t="str">
        <f>IF(C1123=0,"",ROUNDUP(SUM(V1123:V1125)*(1+L1123)/D1123,0)*D1123)</f>
        <v/>
      </c>
      <c r="X1123" s="274"/>
      <c r="Z1123" s="198"/>
      <c r="AA1123" s="198"/>
    </row>
    <row r="1124" spans="1:27" s="197" customFormat="1" ht="15" customHeight="1">
      <c r="A1124" s="226"/>
      <c r="B1124" s="221"/>
      <c r="C1124" s="144"/>
      <c r="D1124" s="206"/>
      <c r="E1124" s="206"/>
      <c r="F1124" s="206"/>
      <c r="G1124" s="206"/>
      <c r="H1124" s="206"/>
      <c r="I1124" s="206"/>
      <c r="J1124" s="207"/>
      <c r="K1124" s="207"/>
      <c r="L1124" s="155"/>
      <c r="M1124" s="206"/>
      <c r="N1124" s="206"/>
      <c r="O1124" s="206"/>
      <c r="P1124" s="206"/>
      <c r="Q1124" s="206"/>
      <c r="R1124" s="206"/>
      <c r="S1124" s="206"/>
      <c r="T1124" s="206"/>
      <c r="U1124" s="206"/>
      <c r="V1124" s="208"/>
      <c r="W1124" s="196"/>
      <c r="X1124" s="152" t="str">
        <f>IF(AND(H1123="-",G1123="-",F1123="-"),E1123,IF(AND(H1123="-",G1123="-",E1123="-"),F1123,IF(AND(H1123="-",F1123="-",E1123="-"),G1123,H1123)))</f>
        <v>-</v>
      </c>
      <c r="Z1124" s="198"/>
      <c r="AA1124" s="198"/>
    </row>
    <row r="1125" spans="1:27" s="197" customFormat="1" ht="15" customHeight="1">
      <c r="A1125" s="226"/>
      <c r="B1125" s="224"/>
      <c r="C1125" s="144"/>
      <c r="D1125" s="206"/>
      <c r="E1125" s="206"/>
      <c r="F1125" s="206"/>
      <c r="G1125" s="206"/>
      <c r="H1125" s="206"/>
      <c r="I1125" s="206"/>
      <c r="J1125" s="207"/>
      <c r="K1125" s="207"/>
      <c r="L1125" s="155"/>
      <c r="M1125" s="206"/>
      <c r="N1125" s="206"/>
      <c r="O1125" s="206"/>
      <c r="P1125" s="206"/>
      <c r="Q1125" s="206"/>
      <c r="R1125" s="206"/>
      <c r="S1125" s="206"/>
      <c r="T1125" s="206"/>
      <c r="U1125" s="206"/>
      <c r="V1125" s="208"/>
      <c r="W1125" s="196"/>
      <c r="X1125" s="152" t="s">
        <v>2</v>
      </c>
      <c r="Z1125" s="198"/>
      <c r="AA1125" s="198"/>
    </row>
    <row r="1126" spans="1:27" s="197" customFormat="1" ht="15" customHeight="1">
      <c r="A1126" s="225"/>
      <c r="B1126" s="221"/>
      <c r="C1126" s="312"/>
      <c r="D1126" s="206"/>
      <c r="E1126" s="206"/>
      <c r="F1126" s="206"/>
      <c r="G1126" s="206"/>
      <c r="H1126" s="206"/>
      <c r="I1126" s="206"/>
      <c r="J1126" s="207"/>
      <c r="K1126" s="207"/>
      <c r="L1126" s="155"/>
      <c r="M1126" s="206"/>
      <c r="N1126" s="206"/>
      <c r="O1126" s="206"/>
      <c r="P1126" s="206"/>
      <c r="Q1126" s="206"/>
      <c r="R1126" s="206"/>
      <c r="S1126" s="206"/>
      <c r="T1126" s="206"/>
      <c r="U1126" s="206"/>
      <c r="V1126" s="208"/>
      <c r="W1126" s="196"/>
      <c r="X1126" s="152"/>
      <c r="Z1126" s="198"/>
      <c r="AA1126" s="198"/>
    </row>
    <row r="1127" spans="1:27" s="197" customFormat="1" ht="15" customHeight="1" thickBot="1">
      <c r="A1127" s="225"/>
      <c r="B1127" s="524"/>
      <c r="C1127" s="525"/>
      <c r="D1127" s="511"/>
      <c r="E1127" s="512"/>
      <c r="F1127" s="512"/>
      <c r="G1127" s="512"/>
      <c r="H1127" s="512"/>
      <c r="I1127" s="513"/>
      <c r="J1127" s="513"/>
      <c r="K1127" s="513"/>
      <c r="L1127" s="527"/>
      <c r="M1127" s="527"/>
      <c r="N1127" s="527"/>
      <c r="O1127" s="527"/>
      <c r="P1127" s="527"/>
      <c r="Q1127" s="527"/>
      <c r="R1127" s="527"/>
      <c r="S1127" s="527"/>
      <c r="T1127" s="527"/>
      <c r="U1127" s="527"/>
      <c r="V1127" s="527"/>
      <c r="W1127" s="527"/>
      <c r="X1127" s="528"/>
      <c r="Z1127" s="198"/>
      <c r="AA1127" s="198"/>
    </row>
    <row r="1128" spans="1:27" ht="15" customHeight="1" thickBot="1">
      <c r="A1128" s="226"/>
      <c r="B1128" s="284" t="str">
        <f>IF(X1129="","TIJOLO COMPOSIÇÃO PERÍMETRO (1 PEÇA)",X1129)</f>
        <v>TIJOLO COMPOSIÇÃO PERÍMETRO (1 PEÇA)</v>
      </c>
      <c r="C1128" s="285" t="s">
        <v>101</v>
      </c>
      <c r="D1128" s="286" t="s">
        <v>102</v>
      </c>
      <c r="E1128" s="286" t="s">
        <v>42</v>
      </c>
      <c r="F1128" s="286" t="s">
        <v>42</v>
      </c>
      <c r="G1128" s="286" t="s">
        <v>43</v>
      </c>
      <c r="H1128" s="286" t="s">
        <v>44</v>
      </c>
      <c r="I1128" s="286" t="s">
        <v>47</v>
      </c>
      <c r="J1128" s="286" t="s">
        <v>103</v>
      </c>
      <c r="K1128" s="286" t="s">
        <v>37</v>
      </c>
      <c r="L1128" s="286" t="s">
        <v>39</v>
      </c>
      <c r="M1128" s="286" t="s">
        <v>45</v>
      </c>
      <c r="N1128" s="286" t="s">
        <v>46</v>
      </c>
      <c r="O1128" s="286" t="s">
        <v>672</v>
      </c>
      <c r="P1128" s="286" t="s">
        <v>51</v>
      </c>
      <c r="Q1128" s="286" t="s">
        <v>52</v>
      </c>
      <c r="R1128" s="286"/>
      <c r="S1128" s="286"/>
      <c r="T1128" s="286" t="s">
        <v>673</v>
      </c>
      <c r="U1128" s="286" t="s">
        <v>677</v>
      </c>
      <c r="V1128" s="287" t="s">
        <v>27</v>
      </c>
      <c r="W1128" s="288"/>
      <c r="X1128" s="289"/>
    </row>
    <row r="1129" spans="1:27" ht="15" customHeight="1" thickBot="1">
      <c r="A1129" s="255"/>
      <c r="B1129" s="257" t="s">
        <v>674</v>
      </c>
      <c r="C1129" s="256">
        <f>SUMIF(Densidades!A:A,'Memória TOTAL'!X1129,Densidades!B:B)</f>
        <v>0</v>
      </c>
      <c r="D1129" s="145">
        <f>SUMIF(Densidades!A:A,'Memória TOTAL'!X1129,Densidades!C:C)</f>
        <v>0</v>
      </c>
      <c r="E1129" s="146">
        <f>IF(AND(E1135=1,E1136=2),SUMIF(Formatos!A:A,'Memória TOTAL'!X1130,Formatos!D:D),SUMIF(Formatos!A:A,'Memória TOTAL'!X1130,Formatos!E:E))</f>
        <v>0</v>
      </c>
      <c r="F1129" s="146">
        <f>IF(AND(E1135=1,E1136=2),SUMIF(Formatos!A:A,'Memória TOTAL'!X1130,Formatos!R:R),SUMIF(Formatos!A:A,'Memória TOTAL'!X1130,Formatos!F:F))</f>
        <v>0</v>
      </c>
      <c r="G1129" s="146">
        <f>SUMIF(Formatos!A:A,'Memória TOTAL'!X1130,Formatos!C:C)</f>
        <v>0</v>
      </c>
      <c r="H1129" s="146">
        <f>SUMIF(Formatos!A:A,'Memória TOTAL'!X1130,Formatos!D:D)</f>
        <v>0</v>
      </c>
      <c r="I1129" s="146">
        <f>SUMIF(Densidades!A:A,'Memória TOTAL'!X1129,Densidades!H:H)</f>
        <v>0</v>
      </c>
      <c r="J1129" s="147">
        <f>SUMIF(Formatos!A:A,'Memória TOTAL'!X1130,Formatos!G:G)</f>
        <v>4.1130000000000004</v>
      </c>
      <c r="K1129" s="148">
        <f>SUMIF(Densidades!A:A,'Memória TOTAL'!X1129,Densidades!I:I)</f>
        <v>0</v>
      </c>
      <c r="L1129" s="264">
        <v>0</v>
      </c>
      <c r="M1129" s="267"/>
      <c r="N1129" s="267"/>
      <c r="O1129" s="268"/>
      <c r="P1129" s="266">
        <f>O1129*2</f>
        <v>0</v>
      </c>
      <c r="Q1129" s="150">
        <f>P1129-(2*M1129)</f>
        <v>0</v>
      </c>
      <c r="R1129" s="150"/>
      <c r="S1129" s="271"/>
      <c r="T1129" s="272">
        <f>IF(AND(B1131=0,B1133=0),,IF(AND(B1133=0,B1131&lt;&gt;0),1,IF(OR(B1133-B1131&gt;=0,B1133=0),(B1133-B1131)+1,"ERRO")))</f>
        <v>0</v>
      </c>
      <c r="U1129" s="268"/>
      <c r="V1129" s="267" t="str">
        <f>IF(M1129="","",IF(OR(M1129=E1129,M1129=G1129,M1129=H1129),ROUND(P1139,0),"ESP. ERRADA"))</f>
        <v/>
      </c>
      <c r="W1129" s="273" t="str">
        <f>IFERROR(IF(C1129=0,"",ROUNDUP(SUM(V1129)*(1+L1129),0))*T1129*U1129,"")</f>
        <v/>
      </c>
      <c r="X1129" s="274"/>
    </row>
    <row r="1130" spans="1:27" s="197" customFormat="1" ht="15" customHeight="1" thickBot="1">
      <c r="A1130" s="275"/>
      <c r="B1130" s="260" t="s">
        <v>112</v>
      </c>
      <c r="C1130" s="247"/>
      <c r="D1130" s="206"/>
      <c r="E1130" s="206"/>
      <c r="F1130" s="206"/>
      <c r="G1130" s="206"/>
      <c r="H1130" s="206"/>
      <c r="I1130" s="206"/>
      <c r="J1130" s="207"/>
      <c r="K1130" s="207"/>
      <c r="L1130" s="155"/>
      <c r="M1130" s="206"/>
      <c r="N1130" s="206"/>
      <c r="O1130" s="206"/>
      <c r="P1130" s="206"/>
      <c r="Q1130" s="206"/>
      <c r="R1130" s="206"/>
      <c r="S1130" s="206"/>
      <c r="T1130" s="206"/>
      <c r="U1130" s="206"/>
      <c r="V1130" s="208"/>
      <c r="W1130" s="196"/>
      <c r="X1130" s="152" t="str">
        <f>IF(B1135="","",B1135)</f>
        <v/>
      </c>
      <c r="Z1130" s="198"/>
      <c r="AA1130" s="198"/>
    </row>
    <row r="1131" spans="1:27" s="197" customFormat="1" ht="15" customHeight="1" thickBot="1">
      <c r="A1131" s="275"/>
      <c r="B1131" s="276"/>
      <c r="C1131" s="247"/>
      <c r="D1131" s="206"/>
      <c r="E1131" s="206"/>
      <c r="F1131" s="206"/>
      <c r="G1131" s="206"/>
      <c r="H1131" s="206"/>
      <c r="I1131" s="206"/>
      <c r="J1131" s="207"/>
      <c r="K1131" s="207"/>
      <c r="L1131" s="155"/>
      <c r="M1131" s="206"/>
      <c r="N1131" s="206"/>
      <c r="O1131" s="206"/>
      <c r="P1131" s="206"/>
      <c r="Q1131" s="206"/>
      <c r="R1131" s="206"/>
      <c r="S1131" s="206"/>
      <c r="T1131" s="206"/>
      <c r="U1131" s="206"/>
      <c r="V1131" s="208"/>
      <c r="W1131" s="196"/>
      <c r="X1131" s="152" t="s">
        <v>524</v>
      </c>
      <c r="Z1131" s="198"/>
      <c r="AA1131" s="198"/>
    </row>
    <row r="1132" spans="1:27" s="197" customFormat="1" ht="15" customHeight="1" thickBot="1">
      <c r="A1132" s="275"/>
      <c r="B1132" s="260" t="s">
        <v>22</v>
      </c>
      <c r="C1132" s="247" t="str">
        <f t="shared" ref="C1132:L1132" si="163">C1128</f>
        <v>Dens.</v>
      </c>
      <c r="D1132" s="206" t="str">
        <f t="shared" si="163"/>
        <v>Emb.</v>
      </c>
      <c r="E1132" s="249" t="str">
        <f t="shared" si="163"/>
        <v>Esp. Tij.</v>
      </c>
      <c r="F1132" s="249" t="str">
        <f t="shared" si="163"/>
        <v>Esp. Tij.</v>
      </c>
      <c r="G1132" s="249" t="str">
        <f t="shared" si="163"/>
        <v>Comp. Tij.</v>
      </c>
      <c r="H1132" s="249" t="str">
        <f t="shared" si="163"/>
        <v>Larg. Tij.</v>
      </c>
      <c r="I1132" s="249" t="str">
        <f t="shared" si="163"/>
        <v>Tipo Fator</v>
      </c>
      <c r="J1132" s="249" t="str">
        <f t="shared" si="163"/>
        <v>Vol.</v>
      </c>
      <c r="K1132" s="249" t="str">
        <f t="shared" si="163"/>
        <v>Class.</v>
      </c>
      <c r="L1132" s="206" t="str">
        <f t="shared" si="163"/>
        <v>Coefic. (%)</v>
      </c>
      <c r="M1132" s="206"/>
      <c r="N1132" s="206"/>
      <c r="O1132" s="206"/>
      <c r="P1132" s="206"/>
      <c r="Q1132" s="206"/>
      <c r="R1132" s="206"/>
      <c r="S1132" s="206"/>
      <c r="T1132" s="206"/>
      <c r="U1132" s="206"/>
      <c r="V1132" s="208"/>
      <c r="W1132" s="196"/>
      <c r="X1132" s="152"/>
      <c r="Z1132" s="198"/>
      <c r="AA1132" s="198"/>
    </row>
    <row r="1133" spans="1:27" s="197" customFormat="1" ht="15" customHeight="1" thickBot="1">
      <c r="A1133" s="275"/>
      <c r="B1133" s="276"/>
      <c r="C1133" s="256">
        <f>SUMIF(Densidades!A:A,'Memória TOTAL'!X1133,Densidades!B:B)</f>
        <v>0</v>
      </c>
      <c r="D1133" s="145">
        <f>SUMIF(Densidades!A:A,'Memória TOTAL'!X1133,Densidades!C:C)</f>
        <v>0</v>
      </c>
      <c r="E1133" s="146">
        <f>SUMIF(Formatos!A:A,'Memória TOTAL'!X1134,Formatos!E:E)</f>
        <v>0</v>
      </c>
      <c r="F1133" s="146">
        <f>SUMIF(Formatos!A:A,'Memória TOTAL'!X1134,Formatos!F:F)</f>
        <v>0</v>
      </c>
      <c r="G1133" s="146">
        <f>SUMIF(Formatos!A:A,'Memória TOTAL'!X1134,Formatos!C:C)</f>
        <v>0</v>
      </c>
      <c r="H1133" s="146">
        <f>SUMIF(Formatos!A:A,'Memória TOTAL'!X1134,Formatos!D:D)</f>
        <v>0</v>
      </c>
      <c r="I1133" s="146">
        <f>SUMIF(Densidades!A:A,'Memória TOTAL'!X1133,Densidades!H:H)</f>
        <v>0</v>
      </c>
      <c r="J1133" s="147">
        <f>SUMIF(Formatos!A:A,'Memória TOTAL'!X1134,Formatos!G:G)</f>
        <v>0</v>
      </c>
      <c r="K1133" s="233">
        <f>SUMIF(Densidades!A:A,'Memória TOTAL'!X1133,Densidades!I:I)</f>
        <v>0</v>
      </c>
      <c r="L1133" s="234">
        <v>0</v>
      </c>
      <c r="M1133" s="206"/>
      <c r="N1133" s="206"/>
      <c r="O1133" s="206"/>
      <c r="P1133" s="206"/>
      <c r="Q1133" s="206"/>
      <c r="R1133" s="206"/>
      <c r="S1133" s="206"/>
      <c r="T1133" s="243"/>
      <c r="U1133" s="246"/>
      <c r="V1133" s="208"/>
      <c r="W1133" s="196"/>
      <c r="X1133" s="152"/>
      <c r="Z1133" s="198"/>
      <c r="AA1133" s="198"/>
    </row>
    <row r="1134" spans="1:27" s="197" customFormat="1" ht="15" customHeight="1" thickBot="1">
      <c r="A1134" s="275"/>
      <c r="B1134" s="258" t="s">
        <v>675</v>
      </c>
      <c r="C1134" s="247"/>
      <c r="D1134" s="206"/>
      <c r="E1134" s="206"/>
      <c r="F1134" s="206"/>
      <c r="G1134" s="206"/>
      <c r="H1134" s="206"/>
      <c r="I1134" s="206"/>
      <c r="J1134" s="207"/>
      <c r="K1134" s="207"/>
      <c r="L1134" s="155"/>
      <c r="M1134" s="206"/>
      <c r="N1134" s="206"/>
      <c r="O1134" s="206"/>
      <c r="P1134" s="206"/>
      <c r="Q1134" s="206"/>
      <c r="R1134" s="206"/>
      <c r="S1134" s="206"/>
      <c r="T1134" s="206"/>
      <c r="U1134" s="206"/>
      <c r="V1134" s="208"/>
      <c r="W1134" s="196"/>
      <c r="X1134" s="152"/>
      <c r="Z1134" s="198"/>
      <c r="AA1134" s="198"/>
    </row>
    <row r="1135" spans="1:27" s="197" customFormat="1" ht="15" customHeight="1">
      <c r="A1135" s="275"/>
      <c r="B1135" s="300"/>
      <c r="C1135" s="254" t="s">
        <v>54</v>
      </c>
      <c r="D1135" s="250"/>
      <c r="E1135" s="206">
        <f>SUMIF(Formatos!A:A,'Memória TOTAL'!X1130,Formatos!S:S)</f>
        <v>2</v>
      </c>
      <c r="F1135" s="249"/>
      <c r="G1135" s="249"/>
      <c r="H1135" s="159" t="s">
        <v>54</v>
      </c>
      <c r="I1135" s="159" t="s">
        <v>55</v>
      </c>
      <c r="J1135" s="207"/>
      <c r="K1135" s="207"/>
      <c r="L1135" s="155"/>
      <c r="M1135" s="206"/>
      <c r="N1135" s="206" t="s">
        <v>22</v>
      </c>
      <c r="O1135" s="160" t="s">
        <v>48</v>
      </c>
      <c r="P1135" s="160" t="s">
        <v>49</v>
      </c>
      <c r="Q1135" s="161" t="s">
        <v>50</v>
      </c>
      <c r="R1135" s="160" t="s">
        <v>54</v>
      </c>
      <c r="S1135" s="160" t="s">
        <v>55</v>
      </c>
      <c r="T1135" s="206"/>
      <c r="U1135" s="206"/>
      <c r="V1135" s="208"/>
      <c r="W1135" s="196"/>
      <c r="X1135" s="152"/>
      <c r="Z1135" s="198"/>
      <c r="AA1135" s="198"/>
    </row>
    <row r="1136" spans="1:27" s="197" customFormat="1" ht="15" customHeight="1" thickBot="1">
      <c r="A1136" s="275"/>
      <c r="B1136" s="301"/>
      <c r="C1136" s="254" t="s">
        <v>55</v>
      </c>
      <c r="D1136" s="250"/>
      <c r="E1136" s="206">
        <f>SUMIF(Formatos!A:A,'Memória TOTAL'!X1134,Formatos!S:S)</f>
        <v>0</v>
      </c>
      <c r="F1136" s="206"/>
      <c r="G1136" s="206"/>
      <c r="H1136" s="251" t="e">
        <f>P1129*PI()/(E1129+N1129)</f>
        <v>#DIV/0!</v>
      </c>
      <c r="I1136" s="251" t="e">
        <f>((P1129*PI())-(H1136*(N1136+N1129)))/(P1136+N1129)</f>
        <v>#DIV/0!</v>
      </c>
      <c r="J1136" s="207"/>
      <c r="K1136" s="207"/>
      <c r="L1136" s="155"/>
      <c r="M1136" s="206"/>
      <c r="N1136" s="206">
        <f>E1129</f>
        <v>0</v>
      </c>
      <c r="O1136" s="162">
        <f>F1129</f>
        <v>0</v>
      </c>
      <c r="P1136" s="162">
        <f>E1133</f>
        <v>0</v>
      </c>
      <c r="Q1136" s="168">
        <f>F1133</f>
        <v>0</v>
      </c>
      <c r="R1136" s="162" t="e">
        <f>IF(ROUND(H1136+0.4,0)&gt;=0,ROUND(H1136+0.4,0),"ERRO")</f>
        <v>#DIV/0!</v>
      </c>
      <c r="S1136" s="162" t="e">
        <f>IF(ROUND(I1136+0.4,0)&gt;=0,ROUND(I1136+0.4,0),"ERRO")</f>
        <v>#DIV/0!</v>
      </c>
      <c r="T1136" s="206"/>
      <c r="U1136" s="206"/>
      <c r="V1136" s="208"/>
      <c r="W1136" s="242"/>
      <c r="X1136" s="152"/>
      <c r="Z1136" s="198"/>
      <c r="AA1136" s="198"/>
    </row>
    <row r="1137" spans="1:27" s="166" customFormat="1" ht="15" customHeight="1" thickBot="1">
      <c r="A1137" s="259"/>
      <c r="B1137" s="258" t="s">
        <v>676</v>
      </c>
      <c r="C1137" s="247"/>
      <c r="D1137" s="206"/>
      <c r="E1137" s="206"/>
      <c r="F1137" s="206"/>
      <c r="G1137" s="206"/>
      <c r="H1137" s="206"/>
      <c r="I1137" s="206"/>
      <c r="J1137" s="207"/>
      <c r="K1137" s="207"/>
      <c r="L1137" s="206"/>
      <c r="M1137" s="206"/>
      <c r="N1137" s="206"/>
      <c r="O1137" s="206"/>
      <c r="P1137" s="206"/>
      <c r="Q1137" s="206"/>
      <c r="R1137" s="206"/>
      <c r="S1137" s="206"/>
      <c r="T1137" s="794" t="s">
        <v>2203</v>
      </c>
      <c r="U1137" s="795"/>
      <c r="V1137" s="163"/>
      <c r="W1137" s="164"/>
      <c r="X1137" s="165"/>
      <c r="Z1137" s="167"/>
      <c r="AA1137" s="167"/>
    </row>
    <row r="1138" spans="1:27" s="166" customFormat="1" ht="15" customHeight="1" thickBot="1">
      <c r="A1138" s="259"/>
      <c r="B1138" s="261"/>
      <c r="C1138" s="247"/>
      <c r="D1138" s="206"/>
      <c r="E1138" s="206"/>
      <c r="F1138" s="206"/>
      <c r="G1138" s="206"/>
      <c r="H1138" s="206"/>
      <c r="I1138" s="206"/>
      <c r="J1138" s="207"/>
      <c r="K1138" s="207"/>
      <c r="L1138" s="206"/>
      <c r="M1138" s="206"/>
      <c r="N1138" s="206"/>
      <c r="O1138" s="252" t="s">
        <v>53</v>
      </c>
      <c r="P1138" s="206" t="s">
        <v>54</v>
      </c>
      <c r="Q1138" s="206"/>
      <c r="R1138" s="206"/>
      <c r="S1138" s="206"/>
      <c r="T1138" s="311" t="s">
        <v>989</v>
      </c>
      <c r="U1138" s="206" t="s">
        <v>988</v>
      </c>
      <c r="V1138" s="163"/>
      <c r="W1138" s="164"/>
      <c r="X1138" s="165"/>
      <c r="Z1138" s="167"/>
      <c r="AA1138" s="167"/>
    </row>
    <row r="1139" spans="1:27" s="166" customFormat="1" ht="15" customHeight="1" thickBot="1">
      <c r="A1139" s="259"/>
      <c r="B1139" s="262" t="str">
        <f>IF(AND(B1133&lt;&gt;B1131,B1133&lt;&gt;0),"FIADAS "&amp;B1131&amp;" a "&amp;B1133,"FIADA "&amp;B1131)</f>
        <v xml:space="preserve">FIADA </v>
      </c>
      <c r="C1139" s="279"/>
      <c r="D1139" s="212"/>
      <c r="E1139" s="212"/>
      <c r="F1139" s="212"/>
      <c r="G1139" s="212"/>
      <c r="H1139" s="212"/>
      <c r="I1139" s="212"/>
      <c r="J1139" s="245"/>
      <c r="K1139" s="245"/>
      <c r="L1139" s="173"/>
      <c r="M1139" s="212"/>
      <c r="N1139" s="175"/>
      <c r="O1139" s="270">
        <v>360</v>
      </c>
      <c r="P1139" s="269" t="e">
        <f>ROUND(R1136/360*O1139,2)</f>
        <v>#DIV/0!</v>
      </c>
      <c r="Q1139" s="263"/>
      <c r="R1139" s="174"/>
      <c r="S1139" s="174"/>
      <c r="T1139" s="341" t="e">
        <f>((E1129+N1129)*H1136)-P1129*PI()</f>
        <v>#DIV/0!</v>
      </c>
      <c r="U1139" s="341" t="e">
        <f>((F1129+N1129)*H1136)-Q1129*PI()</f>
        <v>#DIV/0!</v>
      </c>
      <c r="V1139" s="175"/>
      <c r="W1139" s="176"/>
      <c r="X1139" s="177"/>
      <c r="Z1139" s="167"/>
      <c r="AA1139" s="167"/>
    </row>
    <row r="1140" spans="1:27" s="197" customFormat="1" ht="15" customHeight="1">
      <c r="A1140" s="226"/>
      <c r="B1140" s="221"/>
      <c r="C1140" s="312"/>
      <c r="D1140" s="206"/>
      <c r="E1140" s="146"/>
      <c r="F1140" s="146"/>
      <c r="G1140" s="146"/>
      <c r="H1140" s="146"/>
      <c r="I1140" s="243"/>
      <c r="J1140" s="243"/>
      <c r="K1140" s="243"/>
      <c r="L1140" s="206"/>
      <c r="M1140" s="206"/>
      <c r="N1140" s="206"/>
      <c r="O1140" s="155"/>
      <c r="P1140" s="206"/>
      <c r="Q1140" s="206"/>
      <c r="R1140" s="206"/>
      <c r="S1140" s="206"/>
      <c r="T1140" s="206"/>
      <c r="U1140" s="206"/>
      <c r="V1140" s="208"/>
      <c r="W1140" s="196"/>
      <c r="X1140" s="152"/>
      <c r="Z1140" s="198"/>
      <c r="AA1140" s="198"/>
    </row>
    <row r="1141" spans="1:27" s="197" customFormat="1" ht="15" customHeight="1">
      <c r="A1141" s="226"/>
      <c r="B1141" s="221"/>
      <c r="C1141" s="312"/>
      <c r="D1141" s="206"/>
      <c r="E1141" s="146"/>
      <c r="F1141" s="146"/>
      <c r="G1141" s="146"/>
      <c r="H1141" s="146"/>
      <c r="I1141" s="243"/>
      <c r="J1141" s="243"/>
      <c r="K1141" s="243"/>
      <c r="L1141" s="206"/>
      <c r="M1141" s="206"/>
      <c r="N1141" s="206"/>
      <c r="O1141" s="155"/>
      <c r="P1141" s="206"/>
      <c r="Q1141" s="206"/>
      <c r="R1141" s="206"/>
      <c r="S1141" s="206"/>
      <c r="T1141" s="206"/>
      <c r="U1141" s="206"/>
      <c r="V1141" s="208"/>
      <c r="W1141" s="196"/>
      <c r="X1141" s="152"/>
      <c r="Z1141" s="198"/>
      <c r="AA1141" s="198"/>
    </row>
    <row r="1142" spans="1:27" s="197" customFormat="1" ht="15" customHeight="1" thickBot="1">
      <c r="A1142" s="226"/>
      <c r="B1142" s="291" t="s">
        <v>1010</v>
      </c>
      <c r="C1142" s="292"/>
      <c r="D1142" s="293"/>
      <c r="E1142" s="293"/>
      <c r="F1142" s="293"/>
      <c r="G1142" s="293"/>
      <c r="H1142" s="293"/>
      <c r="I1142" s="293"/>
      <c r="J1142" s="294"/>
      <c r="K1142" s="294"/>
      <c r="L1142" s="295"/>
      <c r="M1142" s="293"/>
      <c r="N1142" s="293"/>
      <c r="O1142" s="293"/>
      <c r="P1142" s="293"/>
      <c r="Q1142" s="293"/>
      <c r="R1142" s="293"/>
      <c r="S1142" s="296"/>
      <c r="T1142" s="293"/>
      <c r="U1142" s="293" t="s">
        <v>678</v>
      </c>
      <c r="V1142" s="297" t="s">
        <v>27</v>
      </c>
      <c r="W1142" s="298"/>
      <c r="X1142" s="299"/>
      <c r="Z1142" s="198"/>
      <c r="AA1142" s="198"/>
    </row>
    <row r="1143" spans="1:27" s="197" customFormat="1" ht="15" customHeight="1" thickBot="1">
      <c r="A1143" s="226"/>
      <c r="B1143" s="221"/>
      <c r="C1143" s="144">
        <f>SUMIF(Densidades!A:A,'Memória TOTAL'!X1143,Densidades!B:B)</f>
        <v>0</v>
      </c>
      <c r="D1143" s="145">
        <f>SUMIF(Densidades!A:A,'Memória TOTAL'!X1143,Densidades!C:C)</f>
        <v>0</v>
      </c>
      <c r="E1143" s="145" t="str">
        <f>IF(I1143=15,"FIRECLAY MORTAR",IF(I1143=16,"ALUMINA MORTAR",IF(I1143=17,"BASIC MORTAR",IF(I1143=18,"MORTAR","-"))))</f>
        <v>-</v>
      </c>
      <c r="F1143" s="145" t="str">
        <f>IF(I1143=15,"FIRECLAY MORTAR",IF(I1143=16,"ALUMINA MORTAR",IF(I1143=17,"BASIC MORTAR",IF(I1143=18,"MORTAR","-"))))</f>
        <v>-</v>
      </c>
      <c r="G1143" s="145" t="str">
        <f>IF(I1143=15,"FIRECLAY MORTAR",IF(I1143=16,"ALUMINA MORTAR",IF(I1143=17,"BASIC MORTAR",IF(I1143=18,"MORTAR","-"))))</f>
        <v>-</v>
      </c>
      <c r="H1143" s="145" t="str">
        <f>IF(I1143=15,"FIRECLAY MORTAR",IF(I1143=16,"ALUMINA MORTAR",IF(I1143=17,"BASIC MORTAR",IF(I1143=18,"MORTAR","-"))))</f>
        <v>-</v>
      </c>
      <c r="I1143" s="145">
        <f>SUMIF(Densidades!A:A,'Memória TOTAL'!X1143,Densidades!G:G)</f>
        <v>0</v>
      </c>
      <c r="J1143" s="147">
        <f>SUMIF(Formatos!A:A,'Memória TOTAL'!X1144,Formatos!G:G)</f>
        <v>0</v>
      </c>
      <c r="K1143" s="148">
        <f>SUMIF(Densidades!A:A,'Memória TOTAL'!X1143,Densidades!I:I)</f>
        <v>0</v>
      </c>
      <c r="L1143" s="199">
        <v>0</v>
      </c>
      <c r="M1143" s="200"/>
      <c r="N1143" s="200"/>
      <c r="O1143" s="200"/>
      <c r="P1143" s="200"/>
      <c r="Q1143" s="200"/>
      <c r="R1143" s="200"/>
      <c r="S1143" s="200"/>
      <c r="T1143" s="201"/>
      <c r="U1143" s="302">
        <v>0.06</v>
      </c>
      <c r="V1143" s="203" t="e">
        <f>(W1129*J1129*C1143+W1133*J1133*C1143)*U1143</f>
        <v>#VALUE!</v>
      </c>
      <c r="W1143" s="204" t="str">
        <f>IF(C1143=0,"",ROUNDUP(SUM(V1143:V1144)*(1+L1143)/D1143,0)*D1143)</f>
        <v/>
      </c>
      <c r="X1143" s="274"/>
      <c r="Z1143" s="198"/>
      <c r="AA1143" s="198"/>
    </row>
    <row r="1144" spans="1:27" s="197" customFormat="1" ht="15" customHeight="1">
      <c r="A1144" s="226"/>
      <c r="B1144" s="221"/>
      <c r="C1144" s="144"/>
      <c r="D1144" s="206"/>
      <c r="E1144" s="206"/>
      <c r="F1144" s="206"/>
      <c r="G1144" s="206"/>
      <c r="H1144" s="206"/>
      <c r="I1144" s="206"/>
      <c r="J1144" s="207"/>
      <c r="K1144" s="207"/>
      <c r="L1144" s="155"/>
      <c r="M1144" s="206"/>
      <c r="N1144" s="206"/>
      <c r="O1144" s="206"/>
      <c r="P1144" s="206"/>
      <c r="Q1144" s="206"/>
      <c r="R1144" s="206"/>
      <c r="S1144" s="206"/>
      <c r="T1144" s="206"/>
      <c r="U1144" s="206"/>
      <c r="V1144" s="208"/>
      <c r="W1144" s="196"/>
      <c r="X1144" s="152" t="str">
        <f>IF(AND(H1143="-",G1143="-",F1143="-"),E1143,IF(AND(H1143="-",G1143="-",E1143="-"),F1143,IF(AND(H1143="-",F1143="-",E1143="-"),G1143,H1143)))</f>
        <v>-</v>
      </c>
      <c r="Z1144" s="198"/>
      <c r="AA1144" s="198"/>
    </row>
    <row r="1145" spans="1:27" s="197" customFormat="1" ht="15" customHeight="1">
      <c r="A1145" s="226"/>
      <c r="B1145" s="224"/>
      <c r="C1145" s="144"/>
      <c r="D1145" s="206"/>
      <c r="E1145" s="206"/>
      <c r="F1145" s="206"/>
      <c r="G1145" s="206"/>
      <c r="H1145" s="206"/>
      <c r="I1145" s="206"/>
      <c r="J1145" s="207"/>
      <c r="K1145" s="207"/>
      <c r="L1145" s="155"/>
      <c r="M1145" s="206"/>
      <c r="N1145" s="206"/>
      <c r="O1145" s="206"/>
      <c r="P1145" s="206"/>
      <c r="Q1145" s="206"/>
      <c r="R1145" s="206"/>
      <c r="S1145" s="206"/>
      <c r="T1145" s="206"/>
      <c r="U1145" s="206"/>
      <c r="V1145" s="208"/>
      <c r="W1145" s="196"/>
      <c r="X1145" s="152" t="s">
        <v>2</v>
      </c>
      <c r="Z1145" s="198"/>
      <c r="AA1145" s="198"/>
    </row>
    <row r="1146" spans="1:27" ht="15" customHeight="1">
      <c r="A1146" s="226"/>
      <c r="B1146" s="142"/>
      <c r="C1146" s="180"/>
      <c r="D1146" s="181"/>
      <c r="E1146" s="181"/>
      <c r="F1146" s="181"/>
      <c r="G1146" s="181"/>
      <c r="H1146" s="181"/>
      <c r="I1146" s="181"/>
      <c r="J1146" s="182"/>
      <c r="K1146" s="182"/>
      <c r="L1146" s="183"/>
      <c r="M1146" s="181"/>
      <c r="N1146" s="181"/>
      <c r="O1146" s="181"/>
      <c r="P1146" s="181"/>
      <c r="Q1146" s="181"/>
      <c r="R1146" s="181"/>
      <c r="S1146" s="181"/>
      <c r="T1146" s="181"/>
      <c r="U1146" s="181"/>
      <c r="V1146" s="184"/>
      <c r="W1146" s="185"/>
      <c r="X1146" s="186"/>
    </row>
    <row r="1147" spans="1:27" s="197" customFormat="1" ht="15" customHeight="1" thickBot="1">
      <c r="A1147" s="226"/>
      <c r="B1147" s="291" t="s">
        <v>1011</v>
      </c>
      <c r="C1147" s="292"/>
      <c r="D1147" s="293"/>
      <c r="E1147" s="293"/>
      <c r="F1147" s="293"/>
      <c r="G1147" s="293"/>
      <c r="H1147" s="293"/>
      <c r="I1147" s="293"/>
      <c r="J1147" s="294"/>
      <c r="K1147" s="294"/>
      <c r="L1147" s="295"/>
      <c r="M1147" s="293"/>
      <c r="N1147" s="293"/>
      <c r="O1147" s="293"/>
      <c r="P1147" s="293"/>
      <c r="Q1147" s="293"/>
      <c r="R1147" s="293" t="s">
        <v>636</v>
      </c>
      <c r="S1147" s="296" t="s">
        <v>637</v>
      </c>
      <c r="T1147" s="293" t="s">
        <v>638</v>
      </c>
      <c r="U1147" s="293" t="s">
        <v>38</v>
      </c>
      <c r="V1147" s="297" t="s">
        <v>27</v>
      </c>
      <c r="W1147" s="298"/>
      <c r="X1147" s="299"/>
      <c r="Z1147" s="198"/>
      <c r="AA1147" s="198"/>
    </row>
    <row r="1148" spans="1:27" s="197" customFormat="1" ht="15" customHeight="1" thickBot="1">
      <c r="A1148" s="226"/>
      <c r="B1148" s="221"/>
      <c r="C1148" s="144">
        <f>SUMIF(Densidades!A:A,'Memória TOTAL'!X1148,Densidades!B:B)</f>
        <v>0</v>
      </c>
      <c r="D1148" s="145">
        <f>SUMIF(Densidades!A:A,'Memória TOTAL'!X1148,Densidades!C:C)</f>
        <v>0</v>
      </c>
      <c r="E1148" s="145" t="str">
        <f>IF(I1148=15,"FIRECLAY MORTAR",IF(I1148=16,"ALUMINA MORTAR",IF(I1148=17,"BASIC MORTAR",IF(I1148=18,"MORTAR","-"))))</f>
        <v>-</v>
      </c>
      <c r="F1148" s="145" t="str">
        <f>IF(I1148=15,"FIRECLAY MORTAR",IF(I1148=16,"ALUMINA MORTAR",IF(I1148=17,"BASIC MORTAR",IF(I1148=18,"MORTAR","-"))))</f>
        <v>-</v>
      </c>
      <c r="G1148" s="145" t="str">
        <f>IF(I1148=15,"FIRECLAY MORTAR",IF(I1148=16,"ALUMINA MORTAR",IF(I1148=17,"BASIC MORTAR",IF(I1148=18,"MORTAR","-"))))</f>
        <v>-</v>
      </c>
      <c r="H1148" s="145" t="str">
        <f>IF(I1148=15,"FIRECLAY MORTAR",IF(I1148=16,"ALUMINA MORTAR",IF(I1148=17,"BASIC MORTAR",IF(I1148=18,"MORTAR","-"))))</f>
        <v>-</v>
      </c>
      <c r="I1148" s="145">
        <f>SUMIF(Densidades!A:A,'Memória TOTAL'!X1148,Densidades!G:G)</f>
        <v>0</v>
      </c>
      <c r="J1148" s="147">
        <f>SUMIF(Formatos!A:A,'Memória TOTAL'!X1149,Formatos!G:G)</f>
        <v>0</v>
      </c>
      <c r="K1148" s="233">
        <f>SUMIF(Densidades!A:A,'Memória TOTAL'!X1148,Densidades!I:I)</f>
        <v>0</v>
      </c>
      <c r="L1148" s="199">
        <v>0</v>
      </c>
      <c r="M1148" s="200"/>
      <c r="N1148" s="200"/>
      <c r="O1148" s="200"/>
      <c r="P1148" s="200"/>
      <c r="Q1148" s="200"/>
      <c r="R1148" s="201">
        <f>((G1129*H1129)+(G1129*E1129)+(H1129*E1129))/1000000</f>
        <v>0</v>
      </c>
      <c r="S1148" s="270">
        <v>2</v>
      </c>
      <c r="T1148" s="201">
        <f>R1148*S1148</f>
        <v>0</v>
      </c>
      <c r="U1148" s="202">
        <f>SUM(W1129:W1134)</f>
        <v>0</v>
      </c>
      <c r="V1148" s="203">
        <f>(T1148*C1148*(1+L1148))*U1148</f>
        <v>0</v>
      </c>
      <c r="W1148" s="151" t="str">
        <f>IF(C1148=0,"",ROUNDUP(SUM(V1148:V1149)*(1+L1148)/D1148,0)*D1148)</f>
        <v/>
      </c>
      <c r="X1148" s="274"/>
      <c r="Z1148" s="198"/>
      <c r="AA1148" s="198"/>
    </row>
    <row r="1149" spans="1:27" s="197" customFormat="1" ht="15" customHeight="1">
      <c r="A1149" s="226"/>
      <c r="B1149" s="221"/>
      <c r="C1149" s="144"/>
      <c r="D1149" s="206"/>
      <c r="E1149" s="206"/>
      <c r="F1149" s="206"/>
      <c r="G1149" s="206"/>
      <c r="H1149" s="206"/>
      <c r="I1149" s="206"/>
      <c r="J1149" s="207"/>
      <c r="K1149" s="207"/>
      <c r="L1149" s="155"/>
      <c r="M1149" s="206"/>
      <c r="N1149" s="206"/>
      <c r="O1149" s="206"/>
      <c r="P1149" s="206"/>
      <c r="Q1149" s="206"/>
      <c r="R1149" s="206"/>
      <c r="S1149" s="206"/>
      <c r="T1149" s="206"/>
      <c r="U1149" s="206"/>
      <c r="V1149" s="208"/>
      <c r="W1149" s="196"/>
      <c r="X1149" s="152" t="str">
        <f>IF(AND(H1148="-",G1148="-",F1148="-"),E1148,IF(AND(H1148="-",G1148="-",E1148="-"),F1148,IF(AND(H1148="-",F1148="-",E1148="-"),G1148,H1148)))</f>
        <v>-</v>
      </c>
      <c r="Z1149" s="198"/>
      <c r="AA1149" s="198"/>
    </row>
    <row r="1150" spans="1:27" s="197" customFormat="1" ht="15" customHeight="1">
      <c r="A1150" s="226"/>
      <c r="B1150" s="224"/>
      <c r="C1150" s="144"/>
      <c r="D1150" s="206"/>
      <c r="E1150" s="206"/>
      <c r="F1150" s="206"/>
      <c r="G1150" s="206"/>
      <c r="H1150" s="206"/>
      <c r="I1150" s="206"/>
      <c r="J1150" s="207"/>
      <c r="K1150" s="207"/>
      <c r="L1150" s="155"/>
      <c r="M1150" s="206"/>
      <c r="N1150" s="206"/>
      <c r="O1150" s="206"/>
      <c r="P1150" s="206"/>
      <c r="Q1150" s="206"/>
      <c r="R1150" s="206"/>
      <c r="S1150" s="206"/>
      <c r="T1150" s="206"/>
      <c r="U1150" s="206"/>
      <c r="V1150" s="208"/>
      <c r="W1150" s="196"/>
      <c r="X1150" s="152" t="s">
        <v>2</v>
      </c>
      <c r="Z1150" s="198"/>
      <c r="AA1150" s="198"/>
    </row>
    <row r="1151" spans="1:27" s="197" customFormat="1" ht="15" customHeight="1">
      <c r="A1151" s="226"/>
      <c r="B1151" s="224"/>
      <c r="C1151" s="144"/>
      <c r="D1151" s="206"/>
      <c r="E1151" s="206"/>
      <c r="F1151" s="206"/>
      <c r="G1151" s="206"/>
      <c r="H1151" s="206"/>
      <c r="I1151" s="206"/>
      <c r="J1151" s="207"/>
      <c r="K1151" s="207"/>
      <c r="L1151" s="155"/>
      <c r="M1151" s="206"/>
      <c r="N1151" s="206"/>
      <c r="O1151" s="206"/>
      <c r="P1151" s="206"/>
      <c r="Q1151" s="206"/>
      <c r="R1151" s="206"/>
      <c r="S1151" s="206"/>
      <c r="T1151" s="206"/>
      <c r="U1151" s="206"/>
      <c r="V1151" s="208"/>
      <c r="W1151" s="196"/>
      <c r="X1151" s="152"/>
      <c r="Z1151" s="198"/>
      <c r="AA1151" s="198"/>
    </row>
    <row r="1152" spans="1:27" s="197" customFormat="1" ht="15" customHeight="1" thickBot="1">
      <c r="A1152" s="226"/>
      <c r="B1152" s="524"/>
      <c r="C1152" s="524"/>
      <c r="D1152" s="527"/>
      <c r="E1152" s="527"/>
      <c r="F1152" s="527"/>
      <c r="G1152" s="527"/>
      <c r="H1152" s="527"/>
      <c r="I1152" s="527"/>
      <c r="J1152" s="527"/>
      <c r="K1152" s="527"/>
      <c r="L1152" s="527"/>
      <c r="M1152" s="527"/>
      <c r="N1152" s="527"/>
      <c r="O1152" s="527"/>
      <c r="P1152" s="527"/>
      <c r="Q1152" s="527"/>
      <c r="R1152" s="527"/>
      <c r="S1152" s="527"/>
      <c r="T1152" s="527"/>
      <c r="U1152" s="527"/>
      <c r="V1152" s="527"/>
      <c r="W1152" s="527"/>
      <c r="X1152" s="528"/>
      <c r="Z1152" s="198"/>
      <c r="AA1152" s="198"/>
    </row>
    <row r="1153" spans="1:27" ht="15" customHeight="1" thickBot="1">
      <c r="A1153" s="290"/>
      <c r="B1153" s="507" t="str">
        <f>IF(X1154="","COMPOSIÇÃO CONE 1 TIJOLO",X1154)</f>
        <v>COMPOSIÇÃO CONE 1 TIJOLO</v>
      </c>
      <c r="C1153" s="314" t="s">
        <v>101</v>
      </c>
      <c r="D1153" s="286" t="s">
        <v>102</v>
      </c>
      <c r="E1153" s="286" t="s">
        <v>42</v>
      </c>
      <c r="F1153" s="286" t="s">
        <v>42</v>
      </c>
      <c r="G1153" s="286" t="s">
        <v>43</v>
      </c>
      <c r="H1153" s="286" t="s">
        <v>44</v>
      </c>
      <c r="I1153" s="286" t="s">
        <v>47</v>
      </c>
      <c r="J1153" s="286" t="s">
        <v>103</v>
      </c>
      <c r="K1153" s="286" t="s">
        <v>37</v>
      </c>
      <c r="L1153" s="286" t="s">
        <v>39</v>
      </c>
      <c r="M1153" s="286" t="s">
        <v>45</v>
      </c>
      <c r="N1153" s="286" t="s">
        <v>46</v>
      </c>
      <c r="O1153" s="310" t="s">
        <v>106</v>
      </c>
      <c r="P1153" s="286" t="s">
        <v>52</v>
      </c>
      <c r="Q1153" s="310" t="s">
        <v>53</v>
      </c>
      <c r="R1153" s="286"/>
      <c r="S1153" s="286"/>
      <c r="T1153" s="286"/>
      <c r="U1153" s="286" t="s">
        <v>677</v>
      </c>
      <c r="V1153" s="287" t="s">
        <v>27</v>
      </c>
      <c r="W1153" s="288"/>
      <c r="X1153" s="289"/>
    </row>
    <row r="1154" spans="1:27" ht="15" customHeight="1" thickBot="1">
      <c r="A1154" s="226"/>
      <c r="B1154" s="790" t="s">
        <v>1882</v>
      </c>
      <c r="C1154" s="256">
        <f>SUMIF(Densidades!A:A,'Memória TOTAL'!X1154,Densidades!B:B)</f>
        <v>0</v>
      </c>
      <c r="D1154" s="145">
        <f>SUMIF(Densidades!A:A,'Memória TOTAL'!X1154,Densidades!C:C)</f>
        <v>0</v>
      </c>
      <c r="E1154" s="146">
        <f>IF(AND(E1160=1,E1161=2),SUMIF(Formatos!A:A,'Memória TOTAL'!X1155,Formatos!D:D),SUMIF(Formatos!A:A,'Memória TOTAL'!X1155,Formatos!E:E))</f>
        <v>0</v>
      </c>
      <c r="F1154" s="146">
        <f>IF(AND(E1160=1,E1161=2),SUMIF(Formatos!A:A,'Memória TOTAL'!X1155,Formatos!R:R),SUMIF(Formatos!A:A,'Memória TOTAL'!X1155,Formatos!F:F))</f>
        <v>0</v>
      </c>
      <c r="G1154" s="146">
        <f>SUMIF(Formatos!A:A,'Memória TOTAL'!X1155,Formatos!C:C)</f>
        <v>0</v>
      </c>
      <c r="H1154" s="146">
        <f>SUMIF(Formatos!A:A,'Memória TOTAL'!X1155,Formatos!D:D)</f>
        <v>0</v>
      </c>
      <c r="I1154" s="146">
        <f>SUMIF(Densidades!A:A,'Memória TOTAL'!X1154,Densidades!H:H)</f>
        <v>0</v>
      </c>
      <c r="J1154" s="147">
        <f>SUMIF(Formatos!A:A,'Memória TOTAL'!X1155,Formatos!G:G)</f>
        <v>4.1130000000000004</v>
      </c>
      <c r="K1154" s="148">
        <f>SUMIF(Densidades!A:A,'Memória TOTAL'!X1154,Densidades!I:I)</f>
        <v>0</v>
      </c>
      <c r="L1154" s="264">
        <v>0</v>
      </c>
      <c r="M1154" s="267"/>
      <c r="N1154" s="268"/>
      <c r="O1154" s="268"/>
      <c r="P1154" s="266">
        <f>O1154-M1154*2</f>
        <v>0</v>
      </c>
      <c r="Q1154" s="268"/>
      <c r="R1154" s="150"/>
      <c r="S1154" s="271"/>
      <c r="T1154" s="271"/>
      <c r="U1154" s="268"/>
      <c r="V1154" s="267" t="str">
        <f>IF(M1154="","",IF(OR(M1154=E1154,M1154=G1154,M1154=H1154),ROUND(SUM(P1165:P1215),0),"ESP. ERRADA"))</f>
        <v/>
      </c>
      <c r="W1154" s="273" t="e">
        <f>IF(C1154=0,"",ROUNDUP(SUM(V1154)*(1+L1154),0))*U1154</f>
        <v>#VALUE!</v>
      </c>
      <c r="X1154" s="274"/>
    </row>
    <row r="1155" spans="1:27" s="197" customFormat="1" ht="15" customHeight="1" thickBot="1">
      <c r="A1155" s="226"/>
      <c r="B1155" s="791"/>
      <c r="C1155" s="247"/>
      <c r="D1155" s="206"/>
      <c r="E1155" s="206"/>
      <c r="F1155" s="206"/>
      <c r="G1155" s="206"/>
      <c r="H1155" s="206"/>
      <c r="I1155" s="206"/>
      <c r="J1155" s="207"/>
      <c r="K1155" s="207"/>
      <c r="L1155" s="155"/>
      <c r="M1155" s="206"/>
      <c r="N1155" s="206"/>
      <c r="O1155" s="206"/>
      <c r="P1155" s="206"/>
      <c r="Q1155" s="206"/>
      <c r="R1155" s="206"/>
      <c r="S1155" s="206"/>
      <c r="T1155" s="206"/>
      <c r="U1155" s="206"/>
      <c r="V1155" s="208"/>
      <c r="W1155" s="196"/>
      <c r="X1155" s="152" t="str">
        <f>IF(B1160="","",B1160)</f>
        <v/>
      </c>
      <c r="Z1155" s="198"/>
      <c r="AA1155" s="198"/>
    </row>
    <row r="1156" spans="1:27" s="197" customFormat="1" ht="15" customHeight="1">
      <c r="A1156" s="226"/>
      <c r="B1156" s="315"/>
      <c r="C1156" s="247"/>
      <c r="D1156" s="206"/>
      <c r="E1156" s="206"/>
      <c r="F1156" s="206"/>
      <c r="G1156" s="206"/>
      <c r="H1156" s="206"/>
      <c r="I1156" s="206"/>
      <c r="J1156" s="207"/>
      <c r="K1156" s="207"/>
      <c r="L1156" s="155"/>
      <c r="M1156" s="206"/>
      <c r="N1156" s="206"/>
      <c r="O1156" s="206"/>
      <c r="P1156" s="206"/>
      <c r="Q1156" s="206"/>
      <c r="R1156" s="206"/>
      <c r="S1156" s="206"/>
      <c r="T1156" s="206"/>
      <c r="U1156" s="206"/>
      <c r="V1156" s="208"/>
      <c r="W1156" s="196"/>
      <c r="X1156" s="152" t="s">
        <v>524</v>
      </c>
      <c r="Z1156" s="198"/>
      <c r="AA1156" s="198"/>
    </row>
    <row r="1157" spans="1:27" s="197" customFormat="1" ht="15" customHeight="1">
      <c r="A1157" s="226"/>
      <c r="B1157" s="315"/>
      <c r="C1157" s="313" t="str">
        <f t="shared" ref="C1157:L1157" si="164">C1153</f>
        <v>Dens.</v>
      </c>
      <c r="D1157" s="193" t="str">
        <f t="shared" si="164"/>
        <v>Emb.</v>
      </c>
      <c r="E1157" s="193" t="str">
        <f t="shared" si="164"/>
        <v>Esp. Tij.</v>
      </c>
      <c r="F1157" s="193" t="str">
        <f t="shared" si="164"/>
        <v>Esp. Tij.</v>
      </c>
      <c r="G1157" s="193" t="str">
        <f t="shared" si="164"/>
        <v>Comp. Tij.</v>
      </c>
      <c r="H1157" s="193" t="str">
        <f t="shared" si="164"/>
        <v>Larg. Tij.</v>
      </c>
      <c r="I1157" s="193" t="str">
        <f t="shared" si="164"/>
        <v>Tipo Fator</v>
      </c>
      <c r="J1157" s="193" t="str">
        <f t="shared" si="164"/>
        <v>Vol.</v>
      </c>
      <c r="K1157" s="193" t="str">
        <f t="shared" si="164"/>
        <v>Class.</v>
      </c>
      <c r="L1157" s="193" t="str">
        <f t="shared" si="164"/>
        <v>Coefic. (%)</v>
      </c>
      <c r="M1157" s="206"/>
      <c r="N1157" s="206"/>
      <c r="O1157" s="206"/>
      <c r="P1157" s="206"/>
      <c r="Q1157" s="206"/>
      <c r="R1157" s="206"/>
      <c r="S1157" s="206"/>
      <c r="T1157" s="206"/>
      <c r="U1157" s="206"/>
      <c r="V1157" s="163"/>
      <c r="W1157" s="196"/>
      <c r="X1157" s="152"/>
      <c r="Z1157" s="198"/>
      <c r="AA1157" s="198"/>
    </row>
    <row r="1158" spans="1:27" s="197" customFormat="1" ht="15" customHeight="1" thickBot="1">
      <c r="A1158" s="226"/>
      <c r="B1158" s="316"/>
      <c r="C1158" s="256">
        <f>SUMIF(Densidades!A:A,'Memória TOTAL'!X1158,Densidades!B:B)</f>
        <v>0</v>
      </c>
      <c r="D1158" s="145">
        <f>SUMIF(Densidades!A:A,'Memória TOTAL'!X1158,Densidades!C:C)</f>
        <v>0</v>
      </c>
      <c r="E1158" s="146">
        <f>SUMIF(Formatos!A:A,'Memória TOTAL'!X1159,Formatos!E:E)</f>
        <v>0</v>
      </c>
      <c r="F1158" s="146">
        <f>SUMIF(Formatos!A:A,'Memória TOTAL'!X1159,Formatos!F:F)</f>
        <v>0</v>
      </c>
      <c r="G1158" s="146">
        <f>SUMIF(Formatos!A:A,'Memória TOTAL'!X1159,Formatos!C:C)</f>
        <v>0</v>
      </c>
      <c r="H1158" s="146">
        <f>SUMIF(Formatos!A:A,'Memória TOTAL'!X1159,Formatos!D:D)</f>
        <v>0</v>
      </c>
      <c r="I1158" s="146">
        <f>SUMIF(Densidades!A:A,'Memória TOTAL'!X1158,Densidades!H:H)</f>
        <v>0</v>
      </c>
      <c r="J1158" s="147">
        <f>SUMIF(Formatos!A:A,'Memória TOTAL'!X1159,Formatos!G:G)</f>
        <v>0</v>
      </c>
      <c r="K1158" s="233">
        <f>SUMIF(Densidades!A:A,'Memória TOTAL'!X1158,Densidades!I:I)</f>
        <v>0</v>
      </c>
      <c r="L1158" s="234">
        <v>0</v>
      </c>
      <c r="M1158" s="206"/>
      <c r="N1158" s="206"/>
      <c r="O1158" s="206"/>
      <c r="P1158" s="206"/>
      <c r="Q1158" s="206"/>
      <c r="R1158" s="206"/>
      <c r="S1158" s="206"/>
      <c r="T1158" s="243"/>
      <c r="U1158" s="246"/>
      <c r="V1158" s="163"/>
      <c r="W1158" s="196"/>
      <c r="X1158" s="152"/>
      <c r="Z1158" s="198"/>
      <c r="AA1158" s="198"/>
    </row>
    <row r="1159" spans="1:27" s="197" customFormat="1" ht="15" customHeight="1" thickBot="1">
      <c r="A1159" s="275"/>
      <c r="B1159" s="258" t="s">
        <v>675</v>
      </c>
      <c r="C1159" s="247"/>
      <c r="D1159" s="206"/>
      <c r="E1159" s="206"/>
      <c r="F1159" s="206"/>
      <c r="G1159" s="206"/>
      <c r="H1159" s="206"/>
      <c r="I1159" s="206"/>
      <c r="J1159" s="207"/>
      <c r="K1159" s="207"/>
      <c r="L1159" s="155"/>
      <c r="M1159" s="206"/>
      <c r="N1159" s="206"/>
      <c r="O1159" s="206"/>
      <c r="P1159" s="206"/>
      <c r="Q1159" s="206"/>
      <c r="R1159" s="206"/>
      <c r="S1159" s="206"/>
      <c r="T1159" s="206"/>
      <c r="U1159" s="206"/>
      <c r="V1159" s="163"/>
      <c r="W1159" s="196"/>
      <c r="X1159" s="152"/>
      <c r="Z1159" s="198"/>
      <c r="AA1159" s="198"/>
    </row>
    <row r="1160" spans="1:27" s="197" customFormat="1" ht="15" customHeight="1" thickBot="1">
      <c r="A1160" s="275"/>
      <c r="B1160" s="274"/>
      <c r="C1160" s="254" t="s">
        <v>54</v>
      </c>
      <c r="D1160" s="250"/>
      <c r="E1160" s="206">
        <f>SUMIF(Formatos!A:A,'Memória TOTAL'!X1155,Formatos!S:S)</f>
        <v>2</v>
      </c>
      <c r="F1160" s="206"/>
      <c r="G1160" s="206"/>
      <c r="H1160" s="251"/>
      <c r="I1160" s="251"/>
      <c r="J1160" s="207"/>
      <c r="K1160" s="207"/>
      <c r="L1160" s="155"/>
      <c r="M1160" s="206"/>
      <c r="N1160" s="206"/>
      <c r="O1160" s="160"/>
      <c r="P1160" s="160"/>
      <c r="Q1160" s="161"/>
      <c r="R1160" s="160"/>
      <c r="S1160" s="160"/>
      <c r="T1160" s="206"/>
      <c r="U1160" s="206"/>
      <c r="V1160" s="163"/>
      <c r="W1160" s="196"/>
      <c r="X1160" s="152"/>
      <c r="Z1160" s="198"/>
      <c r="AA1160" s="198"/>
    </row>
    <row r="1161" spans="1:27" s="197" customFormat="1" ht="15" customHeight="1" thickBot="1">
      <c r="A1161" s="275"/>
      <c r="B1161" s="316"/>
      <c r="C1161" s="254" t="s">
        <v>55</v>
      </c>
      <c r="D1161" s="250"/>
      <c r="E1161" s="206">
        <f>SUMIF(Formatos!A:A,'Memória TOTAL'!X1159,Formatos!S:S)</f>
        <v>0</v>
      </c>
      <c r="F1161" s="206"/>
      <c r="G1161" s="206"/>
      <c r="H1161" s="251"/>
      <c r="I1161" s="251"/>
      <c r="J1161" s="207"/>
      <c r="K1161" s="207"/>
      <c r="L1161" s="155"/>
      <c r="M1161" s="206"/>
      <c r="N1161" s="206"/>
      <c r="O1161" s="162"/>
      <c r="P1161" s="162"/>
      <c r="Q1161" s="168"/>
      <c r="R1161" s="162"/>
      <c r="S1161" s="162"/>
      <c r="T1161" s="206"/>
      <c r="U1161" s="206"/>
      <c r="V1161" s="163"/>
      <c r="W1161" s="242"/>
      <c r="X1161" s="152"/>
      <c r="Z1161" s="198"/>
      <c r="AA1161" s="198"/>
    </row>
    <row r="1162" spans="1:27" s="166" customFormat="1" ht="15" customHeight="1" thickBot="1">
      <c r="A1162" s="259"/>
      <c r="B1162" s="258" t="s">
        <v>676</v>
      </c>
      <c r="C1162" s="247"/>
      <c r="D1162" s="206"/>
      <c r="E1162" s="206"/>
      <c r="F1162" s="206"/>
      <c r="G1162" s="206"/>
      <c r="H1162" s="206"/>
      <c r="I1162" s="206"/>
      <c r="J1162" s="207"/>
      <c r="K1162" s="207"/>
      <c r="L1162" s="206"/>
      <c r="M1162" s="206"/>
      <c r="N1162" s="206"/>
      <c r="O1162" s="206"/>
      <c r="P1162" s="206"/>
      <c r="Q1162" s="206"/>
      <c r="R1162" s="206"/>
      <c r="S1162" s="206"/>
      <c r="T1162" s="162"/>
      <c r="U1162" s="162"/>
      <c r="V1162" s="163"/>
      <c r="W1162" s="164"/>
      <c r="X1162" s="165"/>
      <c r="Z1162" s="167"/>
      <c r="AA1162" s="167"/>
    </row>
    <row r="1163" spans="1:27" s="166" customFormat="1" ht="15" customHeight="1" thickBot="1">
      <c r="A1163" s="259"/>
      <c r="B1163" s="792"/>
      <c r="C1163" s="247"/>
      <c r="D1163" s="206"/>
      <c r="E1163" s="206"/>
      <c r="F1163" s="206"/>
      <c r="G1163" s="206"/>
      <c r="H1163" s="206"/>
      <c r="I1163" s="206"/>
      <c r="J1163" s="207"/>
      <c r="K1163" s="207"/>
      <c r="L1163" s="206"/>
      <c r="M1163" s="206"/>
      <c r="N1163" s="206"/>
      <c r="O1163" s="206"/>
      <c r="P1163" s="206"/>
      <c r="Q1163" s="206"/>
      <c r="R1163" s="206"/>
      <c r="S1163" s="794" t="s">
        <v>2203</v>
      </c>
      <c r="T1163" s="795"/>
      <c r="U1163" s="162"/>
      <c r="V1163" s="163"/>
      <c r="W1163" s="164"/>
      <c r="X1163" s="165"/>
      <c r="Z1163" s="167"/>
      <c r="AA1163" s="167"/>
    </row>
    <row r="1164" spans="1:27" s="197" customFormat="1" ht="15" customHeight="1" thickBot="1">
      <c r="A1164" s="226"/>
      <c r="B1164" s="793"/>
      <c r="C1164" s="311" t="s">
        <v>989</v>
      </c>
      <c r="D1164" s="207" t="s">
        <v>2206</v>
      </c>
      <c r="E1164" s="206" t="s">
        <v>22</v>
      </c>
      <c r="F1164" s="206" t="s">
        <v>48</v>
      </c>
      <c r="G1164" s="206" t="s">
        <v>985</v>
      </c>
      <c r="H1164" s="206" t="s">
        <v>45</v>
      </c>
      <c r="I1164" s="207" t="s">
        <v>46</v>
      </c>
      <c r="J1164" s="207"/>
      <c r="K1164" s="206" t="s">
        <v>54</v>
      </c>
      <c r="L1164" s="207"/>
      <c r="M1164" s="207"/>
      <c r="N1164" s="206"/>
      <c r="O1164" s="627" t="s">
        <v>53</v>
      </c>
      <c r="P1164" s="206" t="s">
        <v>54</v>
      </c>
      <c r="Q1164" s="206"/>
      <c r="R1164" s="206"/>
      <c r="S1164" s="311" t="s">
        <v>989</v>
      </c>
      <c r="T1164" s="206" t="s">
        <v>988</v>
      </c>
      <c r="U1164" s="206"/>
      <c r="V1164" s="208"/>
      <c r="W1164" s="196"/>
      <c r="X1164" s="152"/>
      <c r="Z1164" s="198"/>
      <c r="AA1164" s="198"/>
    </row>
    <row r="1165" spans="1:27" s="197" customFormat="1" ht="15" customHeight="1">
      <c r="A1165" s="226"/>
      <c r="B1165" s="224" t="s">
        <v>392</v>
      </c>
      <c r="C1165" s="311">
        <f>O1154</f>
        <v>0</v>
      </c>
      <c r="D1165" s="646">
        <f>Q1154</f>
        <v>0</v>
      </c>
      <c r="E1165" s="645">
        <f>E1154</f>
        <v>0</v>
      </c>
      <c r="F1165" s="645">
        <f>F1154</f>
        <v>0</v>
      </c>
      <c r="G1165" s="645">
        <f>IF(M1154=G1154,H1154,IF(M1154=H1154,G1154,"Espessura Errada"))</f>
        <v>0</v>
      </c>
      <c r="H1165" s="645">
        <f>M1154</f>
        <v>0</v>
      </c>
      <c r="I1165" s="646">
        <f>N1154</f>
        <v>0</v>
      </c>
      <c r="J1165" s="207"/>
      <c r="K1165" s="243" t="e">
        <f t="shared" ref="K1165:K1214" si="165">C1165*PI()/(E1165+I1165)</f>
        <v>#DIV/0!</v>
      </c>
      <c r="L1165" s="207"/>
      <c r="M1165" s="207"/>
      <c r="N1165" s="206"/>
      <c r="O1165" s="630">
        <v>360</v>
      </c>
      <c r="P1165" s="206" t="e">
        <f>ROUND(K1165/360*O1165,0)</f>
        <v>#DIV/0!</v>
      </c>
      <c r="Q1165" s="206"/>
      <c r="R1165" s="206"/>
      <c r="S1165" s="341" t="e">
        <f t="shared" ref="S1165:S1214" si="166">((E1165+I1165)*K1165)-C1165*PI()</f>
        <v>#DIV/0!</v>
      </c>
      <c r="T1165" s="341" t="e">
        <f t="shared" ref="T1165:T1214" si="167">(((F1165+I1165)*K1165)-(C1165-(H1165*2))*PI())/K1165</f>
        <v>#DIV/0!</v>
      </c>
      <c r="U1165" s="206"/>
      <c r="V1165" s="208"/>
      <c r="W1165" s="196"/>
      <c r="X1165" s="152"/>
      <c r="Z1165" s="198"/>
      <c r="AA1165" s="198"/>
    </row>
    <row r="1166" spans="1:27" s="197" customFormat="1" ht="15" customHeight="1">
      <c r="A1166" s="226"/>
      <c r="B1166" s="224" t="s">
        <v>984</v>
      </c>
      <c r="C1166" s="312">
        <f t="shared" ref="C1166:C1214" si="168">C1165+2*SIN(RADIANS(D1166))*(G1166+I1166)</f>
        <v>0</v>
      </c>
      <c r="D1166" s="646">
        <f t="shared" ref="D1166:I1181" si="169">D1165</f>
        <v>0</v>
      </c>
      <c r="E1166" s="645">
        <f t="shared" si="169"/>
        <v>0</v>
      </c>
      <c r="F1166" s="645">
        <f t="shared" si="169"/>
        <v>0</v>
      </c>
      <c r="G1166" s="645">
        <f t="shared" si="169"/>
        <v>0</v>
      </c>
      <c r="H1166" s="645">
        <f t="shared" si="169"/>
        <v>0</v>
      </c>
      <c r="I1166" s="646">
        <f t="shared" si="169"/>
        <v>0</v>
      </c>
      <c r="J1166" s="207"/>
      <c r="K1166" s="243" t="e">
        <f t="shared" si="165"/>
        <v>#DIV/0!</v>
      </c>
      <c r="L1166" s="207"/>
      <c r="M1166" s="207"/>
      <c r="N1166" s="206"/>
      <c r="O1166" s="631">
        <f>O1165</f>
        <v>360</v>
      </c>
      <c r="P1166" s="206" t="e">
        <f t="shared" ref="P1166:P1214" si="170">ROUND(K1166/360*O1166,0)</f>
        <v>#DIV/0!</v>
      </c>
      <c r="Q1166" s="206"/>
      <c r="R1166" s="206"/>
      <c r="S1166" s="341" t="e">
        <f t="shared" si="166"/>
        <v>#DIV/0!</v>
      </c>
      <c r="T1166" s="341" t="e">
        <f t="shared" si="167"/>
        <v>#DIV/0!</v>
      </c>
      <c r="U1166" s="206"/>
      <c r="V1166" s="208"/>
      <c r="W1166" s="196"/>
      <c r="X1166" s="152"/>
      <c r="Z1166" s="198"/>
      <c r="AA1166" s="198"/>
    </row>
    <row r="1167" spans="1:27" s="197" customFormat="1" ht="15" customHeight="1">
      <c r="A1167" s="226"/>
      <c r="B1167" s="224" t="s">
        <v>393</v>
      </c>
      <c r="C1167" s="312">
        <f t="shared" si="168"/>
        <v>0</v>
      </c>
      <c r="D1167" s="646">
        <f t="shared" si="169"/>
        <v>0</v>
      </c>
      <c r="E1167" s="645">
        <f t="shared" si="169"/>
        <v>0</v>
      </c>
      <c r="F1167" s="645">
        <f t="shared" si="169"/>
        <v>0</v>
      </c>
      <c r="G1167" s="645">
        <f t="shared" si="169"/>
        <v>0</v>
      </c>
      <c r="H1167" s="645">
        <f t="shared" si="169"/>
        <v>0</v>
      </c>
      <c r="I1167" s="646">
        <f t="shared" si="169"/>
        <v>0</v>
      </c>
      <c r="J1167" s="207"/>
      <c r="K1167" s="243" t="e">
        <f t="shared" si="165"/>
        <v>#DIV/0!</v>
      </c>
      <c r="L1167" s="207"/>
      <c r="M1167" s="207"/>
      <c r="N1167" s="206"/>
      <c r="O1167" s="631">
        <f t="shared" ref="O1167:O1214" si="171">O1166</f>
        <v>360</v>
      </c>
      <c r="P1167" s="206" t="e">
        <f t="shared" si="170"/>
        <v>#DIV/0!</v>
      </c>
      <c r="Q1167" s="206"/>
      <c r="R1167" s="206"/>
      <c r="S1167" s="341" t="e">
        <f t="shared" si="166"/>
        <v>#DIV/0!</v>
      </c>
      <c r="T1167" s="341" t="e">
        <f t="shared" si="167"/>
        <v>#DIV/0!</v>
      </c>
      <c r="U1167" s="206"/>
      <c r="V1167" s="208"/>
      <c r="W1167" s="196"/>
      <c r="X1167" s="152"/>
      <c r="Z1167" s="198"/>
      <c r="AA1167" s="198"/>
    </row>
    <row r="1168" spans="1:27" s="197" customFormat="1" ht="15" customHeight="1">
      <c r="A1168" s="226"/>
      <c r="B1168" s="224" t="s">
        <v>394</v>
      </c>
      <c r="C1168" s="312">
        <f t="shared" si="168"/>
        <v>0</v>
      </c>
      <c r="D1168" s="646">
        <f t="shared" si="169"/>
        <v>0</v>
      </c>
      <c r="E1168" s="645">
        <f t="shared" si="169"/>
        <v>0</v>
      </c>
      <c r="F1168" s="645">
        <f t="shared" si="169"/>
        <v>0</v>
      </c>
      <c r="G1168" s="645">
        <f t="shared" si="169"/>
        <v>0</v>
      </c>
      <c r="H1168" s="645">
        <f t="shared" si="169"/>
        <v>0</v>
      </c>
      <c r="I1168" s="646">
        <f t="shared" si="169"/>
        <v>0</v>
      </c>
      <c r="J1168" s="207"/>
      <c r="K1168" s="243" t="e">
        <f t="shared" si="165"/>
        <v>#DIV/0!</v>
      </c>
      <c r="L1168" s="207"/>
      <c r="M1168" s="207"/>
      <c r="N1168" s="206"/>
      <c r="O1168" s="631">
        <f t="shared" si="171"/>
        <v>360</v>
      </c>
      <c r="P1168" s="206" t="e">
        <f t="shared" si="170"/>
        <v>#DIV/0!</v>
      </c>
      <c r="Q1168" s="206"/>
      <c r="R1168" s="206"/>
      <c r="S1168" s="341" t="e">
        <f t="shared" si="166"/>
        <v>#DIV/0!</v>
      </c>
      <c r="T1168" s="341" t="e">
        <f t="shared" si="167"/>
        <v>#DIV/0!</v>
      </c>
      <c r="U1168" s="206"/>
      <c r="V1168" s="208"/>
      <c r="W1168" s="196"/>
      <c r="X1168" s="152"/>
      <c r="Z1168" s="198"/>
      <c r="AA1168" s="198"/>
    </row>
    <row r="1169" spans="1:27" s="197" customFormat="1" ht="15" customHeight="1">
      <c r="A1169" s="226"/>
      <c r="B1169" s="224" t="s">
        <v>395</v>
      </c>
      <c r="C1169" s="312">
        <f t="shared" si="168"/>
        <v>0</v>
      </c>
      <c r="D1169" s="646">
        <f t="shared" si="169"/>
        <v>0</v>
      </c>
      <c r="E1169" s="645">
        <f t="shared" si="169"/>
        <v>0</v>
      </c>
      <c r="F1169" s="645">
        <f t="shared" si="169"/>
        <v>0</v>
      </c>
      <c r="G1169" s="645">
        <f t="shared" si="169"/>
        <v>0</v>
      </c>
      <c r="H1169" s="645">
        <f t="shared" si="169"/>
        <v>0</v>
      </c>
      <c r="I1169" s="646">
        <f t="shared" si="169"/>
        <v>0</v>
      </c>
      <c r="J1169" s="207"/>
      <c r="K1169" s="243" t="e">
        <f t="shared" si="165"/>
        <v>#DIV/0!</v>
      </c>
      <c r="L1169" s="207"/>
      <c r="M1169" s="207"/>
      <c r="N1169" s="206"/>
      <c r="O1169" s="631">
        <f t="shared" si="171"/>
        <v>360</v>
      </c>
      <c r="P1169" s="206" t="e">
        <f t="shared" si="170"/>
        <v>#DIV/0!</v>
      </c>
      <c r="Q1169" s="206"/>
      <c r="R1169" s="206"/>
      <c r="S1169" s="341" t="e">
        <f t="shared" si="166"/>
        <v>#DIV/0!</v>
      </c>
      <c r="T1169" s="341" t="e">
        <f t="shared" si="167"/>
        <v>#DIV/0!</v>
      </c>
      <c r="U1169" s="206"/>
      <c r="V1169" s="208"/>
      <c r="W1169" s="196"/>
      <c r="X1169" s="152"/>
      <c r="Z1169" s="198"/>
      <c r="AA1169" s="198"/>
    </row>
    <row r="1170" spans="1:27" s="197" customFormat="1" ht="15" customHeight="1">
      <c r="A1170" s="226"/>
      <c r="B1170" s="224" t="s">
        <v>396</v>
      </c>
      <c r="C1170" s="312">
        <f t="shared" si="168"/>
        <v>0</v>
      </c>
      <c r="D1170" s="646">
        <f t="shared" si="169"/>
        <v>0</v>
      </c>
      <c r="E1170" s="645">
        <f t="shared" si="169"/>
        <v>0</v>
      </c>
      <c r="F1170" s="645">
        <f t="shared" si="169"/>
        <v>0</v>
      </c>
      <c r="G1170" s="645">
        <f t="shared" si="169"/>
        <v>0</v>
      </c>
      <c r="H1170" s="645">
        <f t="shared" si="169"/>
        <v>0</v>
      </c>
      <c r="I1170" s="646">
        <f t="shared" si="169"/>
        <v>0</v>
      </c>
      <c r="J1170" s="207"/>
      <c r="K1170" s="243" t="e">
        <f t="shared" si="165"/>
        <v>#DIV/0!</v>
      </c>
      <c r="L1170" s="207"/>
      <c r="M1170" s="207"/>
      <c r="N1170" s="206"/>
      <c r="O1170" s="631">
        <f t="shared" si="171"/>
        <v>360</v>
      </c>
      <c r="P1170" s="206" t="e">
        <f t="shared" si="170"/>
        <v>#DIV/0!</v>
      </c>
      <c r="Q1170" s="206"/>
      <c r="R1170" s="206"/>
      <c r="S1170" s="341" t="e">
        <f t="shared" si="166"/>
        <v>#DIV/0!</v>
      </c>
      <c r="T1170" s="341" t="e">
        <f t="shared" si="167"/>
        <v>#DIV/0!</v>
      </c>
      <c r="U1170" s="206"/>
      <c r="V1170" s="208"/>
      <c r="W1170" s="196"/>
      <c r="X1170" s="152"/>
      <c r="Z1170" s="198"/>
      <c r="AA1170" s="198"/>
    </row>
    <row r="1171" spans="1:27" s="197" customFormat="1" ht="15" customHeight="1">
      <c r="A1171" s="226"/>
      <c r="B1171" s="224" t="s">
        <v>397</v>
      </c>
      <c r="C1171" s="312">
        <f t="shared" si="168"/>
        <v>0</v>
      </c>
      <c r="D1171" s="646">
        <f t="shared" si="169"/>
        <v>0</v>
      </c>
      <c r="E1171" s="645">
        <f t="shared" si="169"/>
        <v>0</v>
      </c>
      <c r="F1171" s="645">
        <f t="shared" si="169"/>
        <v>0</v>
      </c>
      <c r="G1171" s="645">
        <f t="shared" si="169"/>
        <v>0</v>
      </c>
      <c r="H1171" s="645">
        <f t="shared" si="169"/>
        <v>0</v>
      </c>
      <c r="I1171" s="646">
        <f t="shared" si="169"/>
        <v>0</v>
      </c>
      <c r="J1171" s="207"/>
      <c r="K1171" s="243" t="e">
        <f t="shared" si="165"/>
        <v>#DIV/0!</v>
      </c>
      <c r="L1171" s="207"/>
      <c r="M1171" s="207"/>
      <c r="N1171" s="206"/>
      <c r="O1171" s="631">
        <f t="shared" si="171"/>
        <v>360</v>
      </c>
      <c r="P1171" s="206" t="e">
        <f t="shared" si="170"/>
        <v>#DIV/0!</v>
      </c>
      <c r="Q1171" s="206"/>
      <c r="R1171" s="206"/>
      <c r="S1171" s="341" t="e">
        <f t="shared" si="166"/>
        <v>#DIV/0!</v>
      </c>
      <c r="T1171" s="341" t="e">
        <f t="shared" si="167"/>
        <v>#DIV/0!</v>
      </c>
      <c r="U1171" s="206"/>
      <c r="V1171" s="208"/>
      <c r="W1171" s="196"/>
      <c r="X1171" s="152"/>
      <c r="Z1171" s="198"/>
      <c r="AA1171" s="198"/>
    </row>
    <row r="1172" spans="1:27" s="197" customFormat="1" ht="15" customHeight="1">
      <c r="A1172" s="226"/>
      <c r="B1172" s="224" t="s">
        <v>398</v>
      </c>
      <c r="C1172" s="312">
        <f t="shared" si="168"/>
        <v>0</v>
      </c>
      <c r="D1172" s="646">
        <f t="shared" si="169"/>
        <v>0</v>
      </c>
      <c r="E1172" s="645">
        <f t="shared" si="169"/>
        <v>0</v>
      </c>
      <c r="F1172" s="645">
        <f t="shared" si="169"/>
        <v>0</v>
      </c>
      <c r="G1172" s="645">
        <f t="shared" si="169"/>
        <v>0</v>
      </c>
      <c r="H1172" s="645">
        <f t="shared" si="169"/>
        <v>0</v>
      </c>
      <c r="I1172" s="646">
        <f t="shared" si="169"/>
        <v>0</v>
      </c>
      <c r="J1172" s="207"/>
      <c r="K1172" s="243" t="e">
        <f t="shared" si="165"/>
        <v>#DIV/0!</v>
      </c>
      <c r="L1172" s="243"/>
      <c r="M1172" s="243"/>
      <c r="N1172" s="206"/>
      <c r="O1172" s="631">
        <f t="shared" si="171"/>
        <v>360</v>
      </c>
      <c r="P1172" s="206" t="e">
        <f t="shared" si="170"/>
        <v>#DIV/0!</v>
      </c>
      <c r="Q1172" s="206"/>
      <c r="R1172" s="206"/>
      <c r="S1172" s="341" t="e">
        <f t="shared" si="166"/>
        <v>#DIV/0!</v>
      </c>
      <c r="T1172" s="341" t="e">
        <f t="shared" si="167"/>
        <v>#DIV/0!</v>
      </c>
      <c r="U1172" s="206"/>
      <c r="V1172" s="208"/>
      <c r="W1172" s="196"/>
      <c r="X1172" s="152"/>
      <c r="Z1172" s="198"/>
      <c r="AA1172" s="198"/>
    </row>
    <row r="1173" spans="1:27" s="197" customFormat="1" ht="15" customHeight="1">
      <c r="A1173" s="226"/>
      <c r="B1173" s="224" t="s">
        <v>399</v>
      </c>
      <c r="C1173" s="312">
        <f t="shared" si="168"/>
        <v>0</v>
      </c>
      <c r="D1173" s="646">
        <f t="shared" si="169"/>
        <v>0</v>
      </c>
      <c r="E1173" s="645">
        <f t="shared" si="169"/>
        <v>0</v>
      </c>
      <c r="F1173" s="645">
        <f t="shared" si="169"/>
        <v>0</v>
      </c>
      <c r="G1173" s="645">
        <f t="shared" si="169"/>
        <v>0</v>
      </c>
      <c r="H1173" s="645">
        <f t="shared" si="169"/>
        <v>0</v>
      </c>
      <c r="I1173" s="646">
        <f t="shared" si="169"/>
        <v>0</v>
      </c>
      <c r="J1173" s="207"/>
      <c r="K1173" s="243" t="e">
        <f t="shared" si="165"/>
        <v>#DIV/0!</v>
      </c>
      <c r="L1173" s="243"/>
      <c r="M1173" s="243"/>
      <c r="N1173" s="206"/>
      <c r="O1173" s="631">
        <f t="shared" si="171"/>
        <v>360</v>
      </c>
      <c r="P1173" s="206" t="e">
        <f t="shared" si="170"/>
        <v>#DIV/0!</v>
      </c>
      <c r="Q1173" s="206"/>
      <c r="R1173" s="206"/>
      <c r="S1173" s="341" t="e">
        <f t="shared" si="166"/>
        <v>#DIV/0!</v>
      </c>
      <c r="T1173" s="341" t="e">
        <f t="shared" si="167"/>
        <v>#DIV/0!</v>
      </c>
      <c r="U1173" s="206"/>
      <c r="V1173" s="208"/>
      <c r="W1173" s="196"/>
      <c r="X1173" s="152"/>
      <c r="Z1173" s="198"/>
      <c r="AA1173" s="198"/>
    </row>
    <row r="1174" spans="1:27" s="197" customFormat="1" ht="15" customHeight="1">
      <c r="A1174" s="226"/>
      <c r="B1174" s="224" t="s">
        <v>400</v>
      </c>
      <c r="C1174" s="312">
        <f t="shared" si="168"/>
        <v>0</v>
      </c>
      <c r="D1174" s="646">
        <f t="shared" si="169"/>
        <v>0</v>
      </c>
      <c r="E1174" s="645">
        <f t="shared" si="169"/>
        <v>0</v>
      </c>
      <c r="F1174" s="645">
        <f t="shared" si="169"/>
        <v>0</v>
      </c>
      <c r="G1174" s="645">
        <f t="shared" si="169"/>
        <v>0</v>
      </c>
      <c r="H1174" s="645">
        <f t="shared" si="169"/>
        <v>0</v>
      </c>
      <c r="I1174" s="646">
        <f t="shared" si="169"/>
        <v>0</v>
      </c>
      <c r="J1174" s="207"/>
      <c r="K1174" s="243" t="e">
        <f t="shared" si="165"/>
        <v>#DIV/0!</v>
      </c>
      <c r="L1174" s="243"/>
      <c r="M1174" s="243"/>
      <c r="N1174" s="206"/>
      <c r="O1174" s="631">
        <f t="shared" si="171"/>
        <v>360</v>
      </c>
      <c r="P1174" s="206" t="e">
        <f t="shared" si="170"/>
        <v>#DIV/0!</v>
      </c>
      <c r="Q1174" s="206"/>
      <c r="R1174" s="206"/>
      <c r="S1174" s="341" t="e">
        <f t="shared" si="166"/>
        <v>#DIV/0!</v>
      </c>
      <c r="T1174" s="341" t="e">
        <f t="shared" si="167"/>
        <v>#DIV/0!</v>
      </c>
      <c r="U1174" s="206"/>
      <c r="V1174" s="208"/>
      <c r="W1174" s="196"/>
      <c r="X1174" s="152"/>
      <c r="Z1174" s="198"/>
      <c r="AA1174" s="198"/>
    </row>
    <row r="1175" spans="1:27" s="197" customFormat="1" ht="15" customHeight="1">
      <c r="A1175" s="226"/>
      <c r="B1175" s="224" t="s">
        <v>401</v>
      </c>
      <c r="C1175" s="312">
        <f t="shared" si="168"/>
        <v>0</v>
      </c>
      <c r="D1175" s="646">
        <f t="shared" si="169"/>
        <v>0</v>
      </c>
      <c r="E1175" s="645">
        <f t="shared" si="169"/>
        <v>0</v>
      </c>
      <c r="F1175" s="645">
        <f t="shared" si="169"/>
        <v>0</v>
      </c>
      <c r="G1175" s="645">
        <f t="shared" si="169"/>
        <v>0</v>
      </c>
      <c r="H1175" s="645">
        <f t="shared" si="169"/>
        <v>0</v>
      </c>
      <c r="I1175" s="646">
        <f t="shared" si="169"/>
        <v>0</v>
      </c>
      <c r="J1175" s="207"/>
      <c r="K1175" s="243" t="e">
        <f t="shared" si="165"/>
        <v>#DIV/0!</v>
      </c>
      <c r="L1175" s="243"/>
      <c r="M1175" s="243"/>
      <c r="N1175" s="206"/>
      <c r="O1175" s="631">
        <f t="shared" si="171"/>
        <v>360</v>
      </c>
      <c r="P1175" s="206" t="e">
        <f t="shared" si="170"/>
        <v>#DIV/0!</v>
      </c>
      <c r="Q1175" s="206"/>
      <c r="R1175" s="206"/>
      <c r="S1175" s="341" t="e">
        <f t="shared" si="166"/>
        <v>#DIV/0!</v>
      </c>
      <c r="T1175" s="341" t="e">
        <f t="shared" si="167"/>
        <v>#DIV/0!</v>
      </c>
      <c r="U1175" s="206"/>
      <c r="V1175" s="208"/>
      <c r="W1175" s="196"/>
      <c r="X1175" s="152"/>
      <c r="Z1175" s="198"/>
      <c r="AA1175" s="198"/>
    </row>
    <row r="1176" spans="1:27" s="197" customFormat="1" ht="15" customHeight="1">
      <c r="A1176" s="226"/>
      <c r="B1176" s="224" t="s">
        <v>402</v>
      </c>
      <c r="C1176" s="312">
        <f t="shared" si="168"/>
        <v>0</v>
      </c>
      <c r="D1176" s="646">
        <f t="shared" si="169"/>
        <v>0</v>
      </c>
      <c r="E1176" s="645">
        <f t="shared" si="169"/>
        <v>0</v>
      </c>
      <c r="F1176" s="645">
        <f t="shared" si="169"/>
        <v>0</v>
      </c>
      <c r="G1176" s="645">
        <f t="shared" si="169"/>
        <v>0</v>
      </c>
      <c r="H1176" s="645">
        <f t="shared" si="169"/>
        <v>0</v>
      </c>
      <c r="I1176" s="646">
        <f t="shared" si="169"/>
        <v>0</v>
      </c>
      <c r="J1176" s="207"/>
      <c r="K1176" s="243" t="e">
        <f t="shared" si="165"/>
        <v>#DIV/0!</v>
      </c>
      <c r="L1176" s="243"/>
      <c r="M1176" s="243"/>
      <c r="N1176" s="206"/>
      <c r="O1176" s="631">
        <f t="shared" si="171"/>
        <v>360</v>
      </c>
      <c r="P1176" s="206" t="e">
        <f t="shared" si="170"/>
        <v>#DIV/0!</v>
      </c>
      <c r="Q1176" s="206"/>
      <c r="R1176" s="206"/>
      <c r="S1176" s="341" t="e">
        <f t="shared" si="166"/>
        <v>#DIV/0!</v>
      </c>
      <c r="T1176" s="341" t="e">
        <f t="shared" si="167"/>
        <v>#DIV/0!</v>
      </c>
      <c r="U1176" s="206"/>
      <c r="V1176" s="208"/>
      <c r="W1176" s="196"/>
      <c r="X1176" s="152"/>
      <c r="Z1176" s="198"/>
      <c r="AA1176" s="198"/>
    </row>
    <row r="1177" spans="1:27" s="197" customFormat="1" ht="15" customHeight="1">
      <c r="A1177" s="226"/>
      <c r="B1177" s="224" t="s">
        <v>403</v>
      </c>
      <c r="C1177" s="312">
        <f t="shared" si="168"/>
        <v>0</v>
      </c>
      <c r="D1177" s="646">
        <f t="shared" si="169"/>
        <v>0</v>
      </c>
      <c r="E1177" s="645">
        <f t="shared" si="169"/>
        <v>0</v>
      </c>
      <c r="F1177" s="645">
        <f t="shared" si="169"/>
        <v>0</v>
      </c>
      <c r="G1177" s="645">
        <f t="shared" si="169"/>
        <v>0</v>
      </c>
      <c r="H1177" s="645">
        <f t="shared" si="169"/>
        <v>0</v>
      </c>
      <c r="I1177" s="646">
        <f t="shared" si="169"/>
        <v>0</v>
      </c>
      <c r="J1177" s="207"/>
      <c r="K1177" s="243" t="e">
        <f t="shared" si="165"/>
        <v>#DIV/0!</v>
      </c>
      <c r="L1177" s="243"/>
      <c r="M1177" s="243"/>
      <c r="N1177" s="206"/>
      <c r="O1177" s="631">
        <f t="shared" si="171"/>
        <v>360</v>
      </c>
      <c r="P1177" s="206" t="e">
        <f t="shared" si="170"/>
        <v>#DIV/0!</v>
      </c>
      <c r="Q1177" s="206"/>
      <c r="R1177" s="206"/>
      <c r="S1177" s="341" t="e">
        <f t="shared" si="166"/>
        <v>#DIV/0!</v>
      </c>
      <c r="T1177" s="341" t="e">
        <f t="shared" si="167"/>
        <v>#DIV/0!</v>
      </c>
      <c r="U1177" s="206"/>
      <c r="V1177" s="208"/>
      <c r="W1177" s="196"/>
      <c r="X1177" s="152"/>
      <c r="Z1177" s="198"/>
      <c r="AA1177" s="198"/>
    </row>
    <row r="1178" spans="1:27" s="197" customFormat="1" ht="15" customHeight="1">
      <c r="A1178" s="226"/>
      <c r="B1178" s="224" t="s">
        <v>404</v>
      </c>
      <c r="C1178" s="312">
        <f t="shared" si="168"/>
        <v>0</v>
      </c>
      <c r="D1178" s="646">
        <f t="shared" si="169"/>
        <v>0</v>
      </c>
      <c r="E1178" s="645">
        <f t="shared" si="169"/>
        <v>0</v>
      </c>
      <c r="F1178" s="645">
        <f t="shared" si="169"/>
        <v>0</v>
      </c>
      <c r="G1178" s="645">
        <f t="shared" si="169"/>
        <v>0</v>
      </c>
      <c r="H1178" s="645">
        <f t="shared" si="169"/>
        <v>0</v>
      </c>
      <c r="I1178" s="646">
        <f t="shared" si="169"/>
        <v>0</v>
      </c>
      <c r="J1178" s="207"/>
      <c r="K1178" s="243" t="e">
        <f t="shared" si="165"/>
        <v>#DIV/0!</v>
      </c>
      <c r="L1178" s="243"/>
      <c r="M1178" s="243"/>
      <c r="N1178" s="206"/>
      <c r="O1178" s="631">
        <f t="shared" si="171"/>
        <v>360</v>
      </c>
      <c r="P1178" s="206" t="e">
        <f t="shared" si="170"/>
        <v>#DIV/0!</v>
      </c>
      <c r="Q1178" s="206"/>
      <c r="R1178" s="206"/>
      <c r="S1178" s="341" t="e">
        <f t="shared" si="166"/>
        <v>#DIV/0!</v>
      </c>
      <c r="T1178" s="341" t="e">
        <f t="shared" si="167"/>
        <v>#DIV/0!</v>
      </c>
      <c r="U1178" s="206"/>
      <c r="V1178" s="208"/>
      <c r="W1178" s="196"/>
      <c r="X1178" s="152"/>
      <c r="Z1178" s="198"/>
      <c r="AA1178" s="198"/>
    </row>
    <row r="1179" spans="1:27" s="197" customFormat="1" ht="15" customHeight="1">
      <c r="A1179" s="226"/>
      <c r="B1179" s="224" t="s">
        <v>405</v>
      </c>
      <c r="C1179" s="312">
        <f t="shared" si="168"/>
        <v>0</v>
      </c>
      <c r="D1179" s="646">
        <f t="shared" si="169"/>
        <v>0</v>
      </c>
      <c r="E1179" s="645">
        <f t="shared" si="169"/>
        <v>0</v>
      </c>
      <c r="F1179" s="645">
        <f t="shared" si="169"/>
        <v>0</v>
      </c>
      <c r="G1179" s="645">
        <f t="shared" si="169"/>
        <v>0</v>
      </c>
      <c r="H1179" s="645">
        <f t="shared" si="169"/>
        <v>0</v>
      </c>
      <c r="I1179" s="646">
        <f t="shared" si="169"/>
        <v>0</v>
      </c>
      <c r="J1179" s="207"/>
      <c r="K1179" s="243" t="e">
        <f t="shared" si="165"/>
        <v>#DIV/0!</v>
      </c>
      <c r="L1179" s="243"/>
      <c r="M1179" s="243"/>
      <c r="N1179" s="206"/>
      <c r="O1179" s="631">
        <f t="shared" si="171"/>
        <v>360</v>
      </c>
      <c r="P1179" s="206" t="e">
        <f t="shared" si="170"/>
        <v>#DIV/0!</v>
      </c>
      <c r="Q1179" s="206"/>
      <c r="R1179" s="206"/>
      <c r="S1179" s="341" t="e">
        <f t="shared" si="166"/>
        <v>#DIV/0!</v>
      </c>
      <c r="T1179" s="341" t="e">
        <f t="shared" si="167"/>
        <v>#DIV/0!</v>
      </c>
      <c r="U1179" s="206"/>
      <c r="V1179" s="208"/>
      <c r="W1179" s="196"/>
      <c r="X1179" s="152"/>
      <c r="Z1179" s="198"/>
      <c r="AA1179" s="198"/>
    </row>
    <row r="1180" spans="1:27" s="197" customFormat="1" ht="15" customHeight="1">
      <c r="A1180" s="226"/>
      <c r="B1180" s="224" t="s">
        <v>406</v>
      </c>
      <c r="C1180" s="312">
        <f t="shared" si="168"/>
        <v>0</v>
      </c>
      <c r="D1180" s="646">
        <f t="shared" si="169"/>
        <v>0</v>
      </c>
      <c r="E1180" s="645">
        <f t="shared" si="169"/>
        <v>0</v>
      </c>
      <c r="F1180" s="645">
        <f t="shared" si="169"/>
        <v>0</v>
      </c>
      <c r="G1180" s="645">
        <f t="shared" si="169"/>
        <v>0</v>
      </c>
      <c r="H1180" s="645">
        <f t="shared" si="169"/>
        <v>0</v>
      </c>
      <c r="I1180" s="646">
        <f t="shared" si="169"/>
        <v>0</v>
      </c>
      <c r="J1180" s="207"/>
      <c r="K1180" s="243" t="e">
        <f t="shared" si="165"/>
        <v>#DIV/0!</v>
      </c>
      <c r="L1180" s="243"/>
      <c r="M1180" s="243"/>
      <c r="N1180" s="206"/>
      <c r="O1180" s="631">
        <f t="shared" si="171"/>
        <v>360</v>
      </c>
      <c r="P1180" s="206" t="e">
        <f t="shared" si="170"/>
        <v>#DIV/0!</v>
      </c>
      <c r="Q1180" s="206"/>
      <c r="R1180" s="206"/>
      <c r="S1180" s="341" t="e">
        <f t="shared" si="166"/>
        <v>#DIV/0!</v>
      </c>
      <c r="T1180" s="341" t="e">
        <f t="shared" si="167"/>
        <v>#DIV/0!</v>
      </c>
      <c r="U1180" s="206"/>
      <c r="V1180" s="208"/>
      <c r="W1180" s="196"/>
      <c r="X1180" s="152"/>
      <c r="Z1180" s="198"/>
      <c r="AA1180" s="198"/>
    </row>
    <row r="1181" spans="1:27" s="197" customFormat="1" ht="15" customHeight="1">
      <c r="A1181" s="226"/>
      <c r="B1181" s="224" t="s">
        <v>407</v>
      </c>
      <c r="C1181" s="312">
        <f t="shared" si="168"/>
        <v>0</v>
      </c>
      <c r="D1181" s="646">
        <f t="shared" si="169"/>
        <v>0</v>
      </c>
      <c r="E1181" s="645">
        <f t="shared" si="169"/>
        <v>0</v>
      </c>
      <c r="F1181" s="645">
        <f t="shared" si="169"/>
        <v>0</v>
      </c>
      <c r="G1181" s="645">
        <f t="shared" si="169"/>
        <v>0</v>
      </c>
      <c r="H1181" s="645">
        <f t="shared" si="169"/>
        <v>0</v>
      </c>
      <c r="I1181" s="646">
        <f t="shared" si="169"/>
        <v>0</v>
      </c>
      <c r="J1181" s="207"/>
      <c r="K1181" s="243" t="e">
        <f t="shared" si="165"/>
        <v>#DIV/0!</v>
      </c>
      <c r="L1181" s="243"/>
      <c r="M1181" s="243"/>
      <c r="N1181" s="206"/>
      <c r="O1181" s="631">
        <f t="shared" si="171"/>
        <v>360</v>
      </c>
      <c r="P1181" s="206" t="e">
        <f t="shared" si="170"/>
        <v>#DIV/0!</v>
      </c>
      <c r="Q1181" s="206"/>
      <c r="R1181" s="206"/>
      <c r="S1181" s="341" t="e">
        <f t="shared" si="166"/>
        <v>#DIV/0!</v>
      </c>
      <c r="T1181" s="341" t="e">
        <f t="shared" si="167"/>
        <v>#DIV/0!</v>
      </c>
      <c r="U1181" s="206"/>
      <c r="V1181" s="208"/>
      <c r="W1181" s="196"/>
      <c r="X1181" s="152"/>
      <c r="Z1181" s="198"/>
      <c r="AA1181" s="198"/>
    </row>
    <row r="1182" spans="1:27" s="197" customFormat="1" ht="15" customHeight="1">
      <c r="A1182" s="226"/>
      <c r="B1182" s="224" t="s">
        <v>408</v>
      </c>
      <c r="C1182" s="312">
        <f t="shared" si="168"/>
        <v>0</v>
      </c>
      <c r="D1182" s="646">
        <f t="shared" ref="D1182:I1197" si="172">D1181</f>
        <v>0</v>
      </c>
      <c r="E1182" s="645">
        <f t="shared" si="172"/>
        <v>0</v>
      </c>
      <c r="F1182" s="645">
        <f t="shared" si="172"/>
        <v>0</v>
      </c>
      <c r="G1182" s="645">
        <f t="shared" si="172"/>
        <v>0</v>
      </c>
      <c r="H1182" s="645">
        <f t="shared" si="172"/>
        <v>0</v>
      </c>
      <c r="I1182" s="646">
        <f t="shared" si="172"/>
        <v>0</v>
      </c>
      <c r="J1182" s="207"/>
      <c r="K1182" s="243" t="e">
        <f t="shared" si="165"/>
        <v>#DIV/0!</v>
      </c>
      <c r="L1182" s="243"/>
      <c r="M1182" s="243"/>
      <c r="N1182" s="206"/>
      <c r="O1182" s="631">
        <f t="shared" si="171"/>
        <v>360</v>
      </c>
      <c r="P1182" s="206" t="e">
        <f t="shared" si="170"/>
        <v>#DIV/0!</v>
      </c>
      <c r="Q1182" s="206"/>
      <c r="R1182" s="206"/>
      <c r="S1182" s="341" t="e">
        <f t="shared" si="166"/>
        <v>#DIV/0!</v>
      </c>
      <c r="T1182" s="341" t="e">
        <f t="shared" si="167"/>
        <v>#DIV/0!</v>
      </c>
      <c r="U1182" s="206"/>
      <c r="V1182" s="208"/>
      <c r="W1182" s="196"/>
      <c r="X1182" s="152"/>
      <c r="Z1182" s="198"/>
      <c r="AA1182" s="198"/>
    </row>
    <row r="1183" spans="1:27" s="197" customFormat="1" ht="15" customHeight="1">
      <c r="A1183" s="226"/>
      <c r="B1183" s="224" t="s">
        <v>409</v>
      </c>
      <c r="C1183" s="312">
        <f t="shared" si="168"/>
        <v>0</v>
      </c>
      <c r="D1183" s="646">
        <f t="shared" si="172"/>
        <v>0</v>
      </c>
      <c r="E1183" s="645">
        <f t="shared" si="172"/>
        <v>0</v>
      </c>
      <c r="F1183" s="645">
        <f t="shared" si="172"/>
        <v>0</v>
      </c>
      <c r="G1183" s="645">
        <f t="shared" si="172"/>
        <v>0</v>
      </c>
      <c r="H1183" s="645">
        <f t="shared" si="172"/>
        <v>0</v>
      </c>
      <c r="I1183" s="646">
        <f t="shared" si="172"/>
        <v>0</v>
      </c>
      <c r="J1183" s="207"/>
      <c r="K1183" s="243" t="e">
        <f t="shared" si="165"/>
        <v>#DIV/0!</v>
      </c>
      <c r="L1183" s="243"/>
      <c r="M1183" s="243"/>
      <c r="N1183" s="206"/>
      <c r="O1183" s="631">
        <f t="shared" si="171"/>
        <v>360</v>
      </c>
      <c r="P1183" s="206" t="e">
        <f t="shared" si="170"/>
        <v>#DIV/0!</v>
      </c>
      <c r="Q1183" s="206"/>
      <c r="R1183" s="206"/>
      <c r="S1183" s="341" t="e">
        <f t="shared" si="166"/>
        <v>#DIV/0!</v>
      </c>
      <c r="T1183" s="341" t="e">
        <f t="shared" si="167"/>
        <v>#DIV/0!</v>
      </c>
      <c r="U1183" s="206"/>
      <c r="V1183" s="208"/>
      <c r="W1183" s="196"/>
      <c r="X1183" s="152"/>
      <c r="Z1183" s="198"/>
      <c r="AA1183" s="198"/>
    </row>
    <row r="1184" spans="1:27" s="197" customFormat="1" ht="15" customHeight="1">
      <c r="A1184" s="226"/>
      <c r="B1184" s="224" t="s">
        <v>410</v>
      </c>
      <c r="C1184" s="312">
        <f t="shared" si="168"/>
        <v>0</v>
      </c>
      <c r="D1184" s="646">
        <f t="shared" si="172"/>
        <v>0</v>
      </c>
      <c r="E1184" s="645">
        <f t="shared" si="172"/>
        <v>0</v>
      </c>
      <c r="F1184" s="645">
        <f t="shared" si="172"/>
        <v>0</v>
      </c>
      <c r="G1184" s="645">
        <f t="shared" si="172"/>
        <v>0</v>
      </c>
      <c r="H1184" s="645">
        <f t="shared" si="172"/>
        <v>0</v>
      </c>
      <c r="I1184" s="646">
        <f t="shared" si="172"/>
        <v>0</v>
      </c>
      <c r="J1184" s="207"/>
      <c r="K1184" s="243" t="e">
        <f t="shared" si="165"/>
        <v>#DIV/0!</v>
      </c>
      <c r="L1184" s="243"/>
      <c r="M1184" s="243"/>
      <c r="N1184" s="206"/>
      <c r="O1184" s="631">
        <f t="shared" si="171"/>
        <v>360</v>
      </c>
      <c r="P1184" s="206" t="e">
        <f t="shared" si="170"/>
        <v>#DIV/0!</v>
      </c>
      <c r="Q1184" s="206"/>
      <c r="R1184" s="206"/>
      <c r="S1184" s="341" t="e">
        <f t="shared" si="166"/>
        <v>#DIV/0!</v>
      </c>
      <c r="T1184" s="341" t="e">
        <f t="shared" si="167"/>
        <v>#DIV/0!</v>
      </c>
      <c r="U1184" s="206"/>
      <c r="V1184" s="208"/>
      <c r="W1184" s="196"/>
      <c r="X1184" s="152"/>
      <c r="Z1184" s="198"/>
      <c r="AA1184" s="198"/>
    </row>
    <row r="1185" spans="1:27" s="197" customFormat="1" ht="15" customHeight="1">
      <c r="A1185" s="226"/>
      <c r="B1185" s="224" t="s">
        <v>411</v>
      </c>
      <c r="C1185" s="312">
        <f t="shared" si="168"/>
        <v>0</v>
      </c>
      <c r="D1185" s="646">
        <f t="shared" si="172"/>
        <v>0</v>
      </c>
      <c r="E1185" s="645">
        <f t="shared" si="172"/>
        <v>0</v>
      </c>
      <c r="F1185" s="645">
        <f t="shared" si="172"/>
        <v>0</v>
      </c>
      <c r="G1185" s="645">
        <f t="shared" si="172"/>
        <v>0</v>
      </c>
      <c r="H1185" s="645">
        <f t="shared" si="172"/>
        <v>0</v>
      </c>
      <c r="I1185" s="646">
        <f t="shared" si="172"/>
        <v>0</v>
      </c>
      <c r="J1185" s="207"/>
      <c r="K1185" s="243" t="e">
        <f t="shared" si="165"/>
        <v>#DIV/0!</v>
      </c>
      <c r="L1185" s="243"/>
      <c r="M1185" s="243"/>
      <c r="N1185" s="206"/>
      <c r="O1185" s="631">
        <f t="shared" si="171"/>
        <v>360</v>
      </c>
      <c r="P1185" s="206" t="e">
        <f t="shared" si="170"/>
        <v>#DIV/0!</v>
      </c>
      <c r="Q1185" s="206"/>
      <c r="R1185" s="206"/>
      <c r="S1185" s="341" t="e">
        <f t="shared" si="166"/>
        <v>#DIV/0!</v>
      </c>
      <c r="T1185" s="341" t="e">
        <f t="shared" si="167"/>
        <v>#DIV/0!</v>
      </c>
      <c r="U1185" s="206"/>
      <c r="V1185" s="208"/>
      <c r="W1185" s="196"/>
      <c r="X1185" s="152"/>
      <c r="Z1185" s="198"/>
      <c r="AA1185" s="198"/>
    </row>
    <row r="1186" spans="1:27" s="197" customFormat="1" ht="15" customHeight="1">
      <c r="A1186" s="226"/>
      <c r="B1186" s="224" t="s">
        <v>412</v>
      </c>
      <c r="C1186" s="312">
        <f t="shared" si="168"/>
        <v>0</v>
      </c>
      <c r="D1186" s="646">
        <f t="shared" si="172"/>
        <v>0</v>
      </c>
      <c r="E1186" s="645">
        <f t="shared" si="172"/>
        <v>0</v>
      </c>
      <c r="F1186" s="645">
        <f t="shared" si="172"/>
        <v>0</v>
      </c>
      <c r="G1186" s="645">
        <f t="shared" si="172"/>
        <v>0</v>
      </c>
      <c r="H1186" s="645">
        <f t="shared" si="172"/>
        <v>0</v>
      </c>
      <c r="I1186" s="646">
        <f t="shared" si="172"/>
        <v>0</v>
      </c>
      <c r="J1186" s="207"/>
      <c r="K1186" s="243" t="e">
        <f t="shared" si="165"/>
        <v>#DIV/0!</v>
      </c>
      <c r="L1186" s="243"/>
      <c r="M1186" s="243"/>
      <c r="N1186" s="206"/>
      <c r="O1186" s="631">
        <f t="shared" si="171"/>
        <v>360</v>
      </c>
      <c r="P1186" s="206" t="e">
        <f t="shared" si="170"/>
        <v>#DIV/0!</v>
      </c>
      <c r="Q1186" s="206"/>
      <c r="R1186" s="206"/>
      <c r="S1186" s="341" t="e">
        <f t="shared" si="166"/>
        <v>#DIV/0!</v>
      </c>
      <c r="T1186" s="341" t="e">
        <f t="shared" si="167"/>
        <v>#DIV/0!</v>
      </c>
      <c r="U1186" s="206"/>
      <c r="V1186" s="208"/>
      <c r="W1186" s="196"/>
      <c r="X1186" s="152"/>
      <c r="Z1186" s="198"/>
      <c r="AA1186" s="198"/>
    </row>
    <row r="1187" spans="1:27" s="197" customFormat="1" ht="15" customHeight="1">
      <c r="A1187" s="226"/>
      <c r="B1187" s="224" t="s">
        <v>413</v>
      </c>
      <c r="C1187" s="312">
        <f t="shared" si="168"/>
        <v>0</v>
      </c>
      <c r="D1187" s="646">
        <f t="shared" si="172"/>
        <v>0</v>
      </c>
      <c r="E1187" s="645">
        <f t="shared" si="172"/>
        <v>0</v>
      </c>
      <c r="F1187" s="645">
        <f t="shared" si="172"/>
        <v>0</v>
      </c>
      <c r="G1187" s="645">
        <f t="shared" si="172"/>
        <v>0</v>
      </c>
      <c r="H1187" s="645">
        <f t="shared" si="172"/>
        <v>0</v>
      </c>
      <c r="I1187" s="646">
        <f t="shared" si="172"/>
        <v>0</v>
      </c>
      <c r="J1187" s="207"/>
      <c r="K1187" s="243" t="e">
        <f t="shared" si="165"/>
        <v>#DIV/0!</v>
      </c>
      <c r="L1187" s="243"/>
      <c r="M1187" s="243"/>
      <c r="N1187" s="206"/>
      <c r="O1187" s="631">
        <f t="shared" si="171"/>
        <v>360</v>
      </c>
      <c r="P1187" s="206" t="e">
        <f t="shared" si="170"/>
        <v>#DIV/0!</v>
      </c>
      <c r="Q1187" s="206"/>
      <c r="R1187" s="206"/>
      <c r="S1187" s="341" t="e">
        <f t="shared" si="166"/>
        <v>#DIV/0!</v>
      </c>
      <c r="T1187" s="341" t="e">
        <f t="shared" si="167"/>
        <v>#DIV/0!</v>
      </c>
      <c r="U1187" s="206"/>
      <c r="V1187" s="208"/>
      <c r="W1187" s="196"/>
      <c r="X1187" s="152"/>
      <c r="Z1187" s="198"/>
      <c r="AA1187" s="198"/>
    </row>
    <row r="1188" spans="1:27" s="197" customFormat="1" ht="15" customHeight="1">
      <c r="A1188" s="226"/>
      <c r="B1188" s="224" t="s">
        <v>414</v>
      </c>
      <c r="C1188" s="312">
        <f t="shared" si="168"/>
        <v>0</v>
      </c>
      <c r="D1188" s="646">
        <f t="shared" si="172"/>
        <v>0</v>
      </c>
      <c r="E1188" s="645">
        <f t="shared" si="172"/>
        <v>0</v>
      </c>
      <c r="F1188" s="645">
        <f t="shared" si="172"/>
        <v>0</v>
      </c>
      <c r="G1188" s="645">
        <f t="shared" si="172"/>
        <v>0</v>
      </c>
      <c r="H1188" s="645">
        <f t="shared" si="172"/>
        <v>0</v>
      </c>
      <c r="I1188" s="646">
        <f t="shared" si="172"/>
        <v>0</v>
      </c>
      <c r="J1188" s="207"/>
      <c r="K1188" s="243" t="e">
        <f t="shared" si="165"/>
        <v>#DIV/0!</v>
      </c>
      <c r="L1188" s="243"/>
      <c r="M1188" s="243"/>
      <c r="N1188" s="206"/>
      <c r="O1188" s="631">
        <f t="shared" si="171"/>
        <v>360</v>
      </c>
      <c r="P1188" s="206" t="e">
        <f t="shared" si="170"/>
        <v>#DIV/0!</v>
      </c>
      <c r="Q1188" s="206"/>
      <c r="R1188" s="206"/>
      <c r="S1188" s="341" t="e">
        <f t="shared" si="166"/>
        <v>#DIV/0!</v>
      </c>
      <c r="T1188" s="341" t="e">
        <f t="shared" si="167"/>
        <v>#DIV/0!</v>
      </c>
      <c r="U1188" s="206"/>
      <c r="V1188" s="208"/>
      <c r="W1188" s="196"/>
      <c r="X1188" s="152"/>
      <c r="Z1188" s="198"/>
      <c r="AA1188" s="198"/>
    </row>
    <row r="1189" spans="1:27" s="197" customFormat="1" ht="15" customHeight="1">
      <c r="A1189" s="226"/>
      <c r="B1189" s="224" t="s">
        <v>415</v>
      </c>
      <c r="C1189" s="312">
        <f t="shared" si="168"/>
        <v>0</v>
      </c>
      <c r="D1189" s="646">
        <f t="shared" si="172"/>
        <v>0</v>
      </c>
      <c r="E1189" s="645">
        <f t="shared" si="172"/>
        <v>0</v>
      </c>
      <c r="F1189" s="645">
        <f t="shared" si="172"/>
        <v>0</v>
      </c>
      <c r="G1189" s="645">
        <f t="shared" si="172"/>
        <v>0</v>
      </c>
      <c r="H1189" s="645">
        <f t="shared" si="172"/>
        <v>0</v>
      </c>
      <c r="I1189" s="646">
        <f t="shared" si="172"/>
        <v>0</v>
      </c>
      <c r="J1189" s="207"/>
      <c r="K1189" s="243" t="e">
        <f t="shared" si="165"/>
        <v>#DIV/0!</v>
      </c>
      <c r="L1189" s="243"/>
      <c r="M1189" s="243"/>
      <c r="N1189" s="206"/>
      <c r="O1189" s="631">
        <f t="shared" si="171"/>
        <v>360</v>
      </c>
      <c r="P1189" s="206" t="e">
        <f t="shared" si="170"/>
        <v>#DIV/0!</v>
      </c>
      <c r="Q1189" s="206"/>
      <c r="R1189" s="206"/>
      <c r="S1189" s="341" t="e">
        <f t="shared" si="166"/>
        <v>#DIV/0!</v>
      </c>
      <c r="T1189" s="341" t="e">
        <f t="shared" si="167"/>
        <v>#DIV/0!</v>
      </c>
      <c r="U1189" s="206"/>
      <c r="V1189" s="208"/>
      <c r="W1189" s="196"/>
      <c r="X1189" s="152"/>
      <c r="Z1189" s="198"/>
      <c r="AA1189" s="198"/>
    </row>
    <row r="1190" spans="1:27" s="197" customFormat="1" ht="15" customHeight="1">
      <c r="A1190" s="226"/>
      <c r="B1190" s="224" t="s">
        <v>416</v>
      </c>
      <c r="C1190" s="312">
        <f t="shared" si="168"/>
        <v>0</v>
      </c>
      <c r="D1190" s="646">
        <f t="shared" si="172"/>
        <v>0</v>
      </c>
      <c r="E1190" s="645">
        <f t="shared" si="172"/>
        <v>0</v>
      </c>
      <c r="F1190" s="645">
        <f t="shared" si="172"/>
        <v>0</v>
      </c>
      <c r="G1190" s="645">
        <f t="shared" si="172"/>
        <v>0</v>
      </c>
      <c r="H1190" s="645">
        <f t="shared" si="172"/>
        <v>0</v>
      </c>
      <c r="I1190" s="646">
        <f t="shared" si="172"/>
        <v>0</v>
      </c>
      <c r="J1190" s="207"/>
      <c r="K1190" s="243" t="e">
        <f t="shared" si="165"/>
        <v>#DIV/0!</v>
      </c>
      <c r="L1190" s="243"/>
      <c r="M1190" s="243"/>
      <c r="N1190" s="206"/>
      <c r="O1190" s="631">
        <f t="shared" si="171"/>
        <v>360</v>
      </c>
      <c r="P1190" s="206" t="e">
        <f t="shared" si="170"/>
        <v>#DIV/0!</v>
      </c>
      <c r="Q1190" s="206"/>
      <c r="R1190" s="206"/>
      <c r="S1190" s="341" t="e">
        <f t="shared" si="166"/>
        <v>#DIV/0!</v>
      </c>
      <c r="T1190" s="341" t="e">
        <f t="shared" si="167"/>
        <v>#DIV/0!</v>
      </c>
      <c r="U1190" s="206"/>
      <c r="V1190" s="208"/>
      <c r="W1190" s="196"/>
      <c r="X1190" s="152"/>
      <c r="Z1190" s="198"/>
      <c r="AA1190" s="198"/>
    </row>
    <row r="1191" spans="1:27" s="197" customFormat="1" ht="15" customHeight="1">
      <c r="A1191" s="226"/>
      <c r="B1191" s="224" t="s">
        <v>417</v>
      </c>
      <c r="C1191" s="312">
        <f t="shared" si="168"/>
        <v>0</v>
      </c>
      <c r="D1191" s="646">
        <f t="shared" si="172"/>
        <v>0</v>
      </c>
      <c r="E1191" s="645">
        <f t="shared" si="172"/>
        <v>0</v>
      </c>
      <c r="F1191" s="645">
        <f t="shared" si="172"/>
        <v>0</v>
      </c>
      <c r="G1191" s="645">
        <f t="shared" si="172"/>
        <v>0</v>
      </c>
      <c r="H1191" s="645">
        <f t="shared" si="172"/>
        <v>0</v>
      </c>
      <c r="I1191" s="646">
        <f t="shared" si="172"/>
        <v>0</v>
      </c>
      <c r="J1191" s="207"/>
      <c r="K1191" s="243" t="e">
        <f t="shared" si="165"/>
        <v>#DIV/0!</v>
      </c>
      <c r="L1191" s="243"/>
      <c r="M1191" s="243"/>
      <c r="N1191" s="206"/>
      <c r="O1191" s="631">
        <f t="shared" si="171"/>
        <v>360</v>
      </c>
      <c r="P1191" s="206" t="e">
        <f t="shared" si="170"/>
        <v>#DIV/0!</v>
      </c>
      <c r="Q1191" s="206"/>
      <c r="R1191" s="206"/>
      <c r="S1191" s="341" t="e">
        <f t="shared" si="166"/>
        <v>#DIV/0!</v>
      </c>
      <c r="T1191" s="341" t="e">
        <f t="shared" si="167"/>
        <v>#DIV/0!</v>
      </c>
      <c r="U1191" s="206"/>
      <c r="V1191" s="208"/>
      <c r="W1191" s="196"/>
      <c r="X1191" s="152"/>
      <c r="Z1191" s="198"/>
      <c r="AA1191" s="198"/>
    </row>
    <row r="1192" spans="1:27" s="197" customFormat="1" ht="15" customHeight="1">
      <c r="A1192" s="226"/>
      <c r="B1192" s="224" t="s">
        <v>418</v>
      </c>
      <c r="C1192" s="312">
        <f t="shared" si="168"/>
        <v>0</v>
      </c>
      <c r="D1192" s="646">
        <f t="shared" si="172"/>
        <v>0</v>
      </c>
      <c r="E1192" s="645">
        <f t="shared" si="172"/>
        <v>0</v>
      </c>
      <c r="F1192" s="645">
        <f t="shared" si="172"/>
        <v>0</v>
      </c>
      <c r="G1192" s="645">
        <f t="shared" si="172"/>
        <v>0</v>
      </c>
      <c r="H1192" s="645">
        <f t="shared" si="172"/>
        <v>0</v>
      </c>
      <c r="I1192" s="646">
        <f t="shared" si="172"/>
        <v>0</v>
      </c>
      <c r="J1192" s="207"/>
      <c r="K1192" s="243" t="e">
        <f t="shared" si="165"/>
        <v>#DIV/0!</v>
      </c>
      <c r="L1192" s="243"/>
      <c r="M1192" s="243"/>
      <c r="N1192" s="206"/>
      <c r="O1192" s="631">
        <f t="shared" si="171"/>
        <v>360</v>
      </c>
      <c r="P1192" s="206" t="e">
        <f t="shared" si="170"/>
        <v>#DIV/0!</v>
      </c>
      <c r="Q1192" s="206"/>
      <c r="R1192" s="206"/>
      <c r="S1192" s="341" t="e">
        <f t="shared" si="166"/>
        <v>#DIV/0!</v>
      </c>
      <c r="T1192" s="341" t="e">
        <f t="shared" si="167"/>
        <v>#DIV/0!</v>
      </c>
      <c r="U1192" s="206"/>
      <c r="V1192" s="208"/>
      <c r="W1192" s="196"/>
      <c r="X1192" s="152"/>
      <c r="Z1192" s="198"/>
      <c r="AA1192" s="198"/>
    </row>
    <row r="1193" spans="1:27" s="197" customFormat="1" ht="15" customHeight="1">
      <c r="A1193" s="226"/>
      <c r="B1193" s="224" t="s">
        <v>419</v>
      </c>
      <c r="C1193" s="312">
        <f t="shared" si="168"/>
        <v>0</v>
      </c>
      <c r="D1193" s="646">
        <f t="shared" si="172"/>
        <v>0</v>
      </c>
      <c r="E1193" s="645">
        <f t="shared" si="172"/>
        <v>0</v>
      </c>
      <c r="F1193" s="645">
        <f t="shared" si="172"/>
        <v>0</v>
      </c>
      <c r="G1193" s="645">
        <f t="shared" si="172"/>
        <v>0</v>
      </c>
      <c r="H1193" s="645">
        <f t="shared" si="172"/>
        <v>0</v>
      </c>
      <c r="I1193" s="646">
        <f t="shared" si="172"/>
        <v>0</v>
      </c>
      <c r="J1193" s="207"/>
      <c r="K1193" s="243" t="e">
        <f t="shared" si="165"/>
        <v>#DIV/0!</v>
      </c>
      <c r="L1193" s="243"/>
      <c r="M1193" s="243"/>
      <c r="N1193" s="206"/>
      <c r="O1193" s="631">
        <f t="shared" si="171"/>
        <v>360</v>
      </c>
      <c r="P1193" s="206" t="e">
        <f t="shared" si="170"/>
        <v>#DIV/0!</v>
      </c>
      <c r="Q1193" s="206"/>
      <c r="R1193" s="206"/>
      <c r="S1193" s="341" t="e">
        <f t="shared" si="166"/>
        <v>#DIV/0!</v>
      </c>
      <c r="T1193" s="341" t="e">
        <f t="shared" si="167"/>
        <v>#DIV/0!</v>
      </c>
      <c r="U1193" s="206"/>
      <c r="V1193" s="208"/>
      <c r="W1193" s="196"/>
      <c r="X1193" s="152"/>
      <c r="Z1193" s="198"/>
      <c r="AA1193" s="198"/>
    </row>
    <row r="1194" spans="1:27" s="197" customFormat="1" ht="15" customHeight="1">
      <c r="A1194" s="226"/>
      <c r="B1194" s="224" t="s">
        <v>420</v>
      </c>
      <c r="C1194" s="312">
        <f t="shared" si="168"/>
        <v>0</v>
      </c>
      <c r="D1194" s="646">
        <f t="shared" si="172"/>
        <v>0</v>
      </c>
      <c r="E1194" s="645">
        <f t="shared" si="172"/>
        <v>0</v>
      </c>
      <c r="F1194" s="645">
        <f t="shared" si="172"/>
        <v>0</v>
      </c>
      <c r="G1194" s="645">
        <f t="shared" si="172"/>
        <v>0</v>
      </c>
      <c r="H1194" s="645">
        <f t="shared" si="172"/>
        <v>0</v>
      </c>
      <c r="I1194" s="646">
        <f t="shared" si="172"/>
        <v>0</v>
      </c>
      <c r="J1194" s="207"/>
      <c r="K1194" s="243" t="e">
        <f t="shared" si="165"/>
        <v>#DIV/0!</v>
      </c>
      <c r="L1194" s="243"/>
      <c r="M1194" s="243"/>
      <c r="N1194" s="206"/>
      <c r="O1194" s="631">
        <f t="shared" si="171"/>
        <v>360</v>
      </c>
      <c r="P1194" s="206" t="e">
        <f t="shared" si="170"/>
        <v>#DIV/0!</v>
      </c>
      <c r="Q1194" s="206"/>
      <c r="R1194" s="206"/>
      <c r="S1194" s="341" t="e">
        <f t="shared" si="166"/>
        <v>#DIV/0!</v>
      </c>
      <c r="T1194" s="341" t="e">
        <f t="shared" si="167"/>
        <v>#DIV/0!</v>
      </c>
      <c r="U1194" s="206"/>
      <c r="V1194" s="208"/>
      <c r="W1194" s="196"/>
      <c r="X1194" s="152"/>
      <c r="Z1194" s="198"/>
      <c r="AA1194" s="198"/>
    </row>
    <row r="1195" spans="1:27" s="197" customFormat="1" ht="15" customHeight="1">
      <c r="A1195" s="226"/>
      <c r="B1195" s="224" t="s">
        <v>990</v>
      </c>
      <c r="C1195" s="312">
        <f t="shared" si="168"/>
        <v>0</v>
      </c>
      <c r="D1195" s="646">
        <f t="shared" si="172"/>
        <v>0</v>
      </c>
      <c r="E1195" s="645">
        <f t="shared" si="172"/>
        <v>0</v>
      </c>
      <c r="F1195" s="645">
        <f t="shared" si="172"/>
        <v>0</v>
      </c>
      <c r="G1195" s="645">
        <f t="shared" si="172"/>
        <v>0</v>
      </c>
      <c r="H1195" s="645">
        <f t="shared" si="172"/>
        <v>0</v>
      </c>
      <c r="I1195" s="646">
        <f t="shared" si="172"/>
        <v>0</v>
      </c>
      <c r="J1195" s="207"/>
      <c r="K1195" s="243" t="e">
        <f t="shared" si="165"/>
        <v>#DIV/0!</v>
      </c>
      <c r="L1195" s="243"/>
      <c r="M1195" s="243"/>
      <c r="N1195" s="206"/>
      <c r="O1195" s="631">
        <f t="shared" si="171"/>
        <v>360</v>
      </c>
      <c r="P1195" s="206" t="e">
        <f t="shared" si="170"/>
        <v>#DIV/0!</v>
      </c>
      <c r="Q1195" s="206"/>
      <c r="R1195" s="206"/>
      <c r="S1195" s="341" t="e">
        <f t="shared" si="166"/>
        <v>#DIV/0!</v>
      </c>
      <c r="T1195" s="341" t="e">
        <f t="shared" si="167"/>
        <v>#DIV/0!</v>
      </c>
      <c r="U1195" s="206"/>
      <c r="V1195" s="208"/>
      <c r="W1195" s="196"/>
      <c r="X1195" s="152"/>
      <c r="Z1195" s="198"/>
      <c r="AA1195" s="198"/>
    </row>
    <row r="1196" spans="1:27" s="197" customFormat="1" ht="15" customHeight="1">
      <c r="A1196" s="226"/>
      <c r="B1196" s="224" t="s">
        <v>991</v>
      </c>
      <c r="C1196" s="312">
        <f t="shared" si="168"/>
        <v>0</v>
      </c>
      <c r="D1196" s="646">
        <f t="shared" si="172"/>
        <v>0</v>
      </c>
      <c r="E1196" s="645">
        <f t="shared" si="172"/>
        <v>0</v>
      </c>
      <c r="F1196" s="645">
        <f t="shared" si="172"/>
        <v>0</v>
      </c>
      <c r="G1196" s="645">
        <f t="shared" si="172"/>
        <v>0</v>
      </c>
      <c r="H1196" s="645">
        <f t="shared" si="172"/>
        <v>0</v>
      </c>
      <c r="I1196" s="646">
        <f t="shared" si="172"/>
        <v>0</v>
      </c>
      <c r="J1196" s="207"/>
      <c r="K1196" s="243" t="e">
        <f t="shared" si="165"/>
        <v>#DIV/0!</v>
      </c>
      <c r="L1196" s="243"/>
      <c r="M1196" s="243"/>
      <c r="N1196" s="206"/>
      <c r="O1196" s="631">
        <f t="shared" si="171"/>
        <v>360</v>
      </c>
      <c r="P1196" s="206" t="e">
        <f t="shared" si="170"/>
        <v>#DIV/0!</v>
      </c>
      <c r="Q1196" s="206"/>
      <c r="R1196" s="206"/>
      <c r="S1196" s="341" t="e">
        <f t="shared" si="166"/>
        <v>#DIV/0!</v>
      </c>
      <c r="T1196" s="341" t="e">
        <f t="shared" si="167"/>
        <v>#DIV/0!</v>
      </c>
      <c r="U1196" s="206"/>
      <c r="V1196" s="208"/>
      <c r="W1196" s="196"/>
      <c r="X1196" s="152"/>
      <c r="Z1196" s="198"/>
      <c r="AA1196" s="198"/>
    </row>
    <row r="1197" spans="1:27" s="197" customFormat="1" ht="15" customHeight="1">
      <c r="A1197" s="226"/>
      <c r="B1197" s="224" t="s">
        <v>992</v>
      </c>
      <c r="C1197" s="312">
        <f t="shared" si="168"/>
        <v>0</v>
      </c>
      <c r="D1197" s="646">
        <f t="shared" si="172"/>
        <v>0</v>
      </c>
      <c r="E1197" s="645">
        <f t="shared" si="172"/>
        <v>0</v>
      </c>
      <c r="F1197" s="645">
        <f t="shared" si="172"/>
        <v>0</v>
      </c>
      <c r="G1197" s="645">
        <f t="shared" si="172"/>
        <v>0</v>
      </c>
      <c r="H1197" s="645">
        <f t="shared" si="172"/>
        <v>0</v>
      </c>
      <c r="I1197" s="646">
        <f t="shared" si="172"/>
        <v>0</v>
      </c>
      <c r="J1197" s="207"/>
      <c r="K1197" s="243" t="e">
        <f t="shared" si="165"/>
        <v>#DIV/0!</v>
      </c>
      <c r="L1197" s="243"/>
      <c r="M1197" s="243"/>
      <c r="N1197" s="206"/>
      <c r="O1197" s="631">
        <f t="shared" si="171"/>
        <v>360</v>
      </c>
      <c r="P1197" s="206" t="e">
        <f t="shared" si="170"/>
        <v>#DIV/0!</v>
      </c>
      <c r="Q1197" s="206"/>
      <c r="R1197" s="206"/>
      <c r="S1197" s="341" t="e">
        <f t="shared" si="166"/>
        <v>#DIV/0!</v>
      </c>
      <c r="T1197" s="341" t="e">
        <f t="shared" si="167"/>
        <v>#DIV/0!</v>
      </c>
      <c r="U1197" s="206"/>
      <c r="V1197" s="208"/>
      <c r="W1197" s="196"/>
      <c r="X1197" s="152"/>
      <c r="Z1197" s="198"/>
      <c r="AA1197" s="198"/>
    </row>
    <row r="1198" spans="1:27" s="197" customFormat="1" ht="15" customHeight="1">
      <c r="A1198" s="226"/>
      <c r="B1198" s="224" t="s">
        <v>993</v>
      </c>
      <c r="C1198" s="312">
        <f t="shared" si="168"/>
        <v>0</v>
      </c>
      <c r="D1198" s="646">
        <f t="shared" ref="D1198:I1213" si="173">D1197</f>
        <v>0</v>
      </c>
      <c r="E1198" s="645">
        <f t="shared" si="173"/>
        <v>0</v>
      </c>
      <c r="F1198" s="645">
        <f t="shared" si="173"/>
        <v>0</v>
      </c>
      <c r="G1198" s="645">
        <f t="shared" si="173"/>
        <v>0</v>
      </c>
      <c r="H1198" s="645">
        <f t="shared" si="173"/>
        <v>0</v>
      </c>
      <c r="I1198" s="646">
        <f t="shared" si="173"/>
        <v>0</v>
      </c>
      <c r="J1198" s="207"/>
      <c r="K1198" s="243" t="e">
        <f t="shared" si="165"/>
        <v>#DIV/0!</v>
      </c>
      <c r="L1198" s="243"/>
      <c r="M1198" s="243"/>
      <c r="N1198" s="206"/>
      <c r="O1198" s="631">
        <f t="shared" si="171"/>
        <v>360</v>
      </c>
      <c r="P1198" s="206" t="e">
        <f t="shared" si="170"/>
        <v>#DIV/0!</v>
      </c>
      <c r="Q1198" s="206"/>
      <c r="R1198" s="206"/>
      <c r="S1198" s="341" t="e">
        <f t="shared" si="166"/>
        <v>#DIV/0!</v>
      </c>
      <c r="T1198" s="341" t="e">
        <f t="shared" si="167"/>
        <v>#DIV/0!</v>
      </c>
      <c r="U1198" s="206"/>
      <c r="V1198" s="208"/>
      <c r="W1198" s="196"/>
      <c r="X1198" s="152"/>
      <c r="Z1198" s="198"/>
      <c r="AA1198" s="198"/>
    </row>
    <row r="1199" spans="1:27" s="197" customFormat="1" ht="15" customHeight="1">
      <c r="A1199" s="226"/>
      <c r="B1199" s="224" t="s">
        <v>994</v>
      </c>
      <c r="C1199" s="312">
        <f t="shared" si="168"/>
        <v>0</v>
      </c>
      <c r="D1199" s="646">
        <f t="shared" si="173"/>
        <v>0</v>
      </c>
      <c r="E1199" s="645">
        <f t="shared" si="173"/>
        <v>0</v>
      </c>
      <c r="F1199" s="645">
        <f t="shared" si="173"/>
        <v>0</v>
      </c>
      <c r="G1199" s="645">
        <f t="shared" si="173"/>
        <v>0</v>
      </c>
      <c r="H1199" s="645">
        <f t="shared" si="173"/>
        <v>0</v>
      </c>
      <c r="I1199" s="646">
        <f t="shared" si="173"/>
        <v>0</v>
      </c>
      <c r="J1199" s="207"/>
      <c r="K1199" s="243" t="e">
        <f t="shared" si="165"/>
        <v>#DIV/0!</v>
      </c>
      <c r="L1199" s="243"/>
      <c r="M1199" s="243"/>
      <c r="N1199" s="206"/>
      <c r="O1199" s="631">
        <f t="shared" si="171"/>
        <v>360</v>
      </c>
      <c r="P1199" s="206" t="e">
        <f t="shared" si="170"/>
        <v>#DIV/0!</v>
      </c>
      <c r="Q1199" s="206"/>
      <c r="R1199" s="206"/>
      <c r="S1199" s="341" t="e">
        <f t="shared" si="166"/>
        <v>#DIV/0!</v>
      </c>
      <c r="T1199" s="341" t="e">
        <f t="shared" si="167"/>
        <v>#DIV/0!</v>
      </c>
      <c r="U1199" s="206"/>
      <c r="V1199" s="208"/>
      <c r="W1199" s="196"/>
      <c r="X1199" s="152"/>
      <c r="Z1199" s="198"/>
      <c r="AA1199" s="198"/>
    </row>
    <row r="1200" spans="1:27" s="197" customFormat="1" ht="15" customHeight="1">
      <c r="A1200" s="226"/>
      <c r="B1200" s="224" t="s">
        <v>995</v>
      </c>
      <c r="C1200" s="312">
        <f t="shared" si="168"/>
        <v>0</v>
      </c>
      <c r="D1200" s="646">
        <f t="shared" si="173"/>
        <v>0</v>
      </c>
      <c r="E1200" s="645">
        <f t="shared" si="173"/>
        <v>0</v>
      </c>
      <c r="F1200" s="645">
        <f t="shared" si="173"/>
        <v>0</v>
      </c>
      <c r="G1200" s="645">
        <f t="shared" si="173"/>
        <v>0</v>
      </c>
      <c r="H1200" s="645">
        <f t="shared" si="173"/>
        <v>0</v>
      </c>
      <c r="I1200" s="646">
        <f t="shared" si="173"/>
        <v>0</v>
      </c>
      <c r="J1200" s="207"/>
      <c r="K1200" s="243" t="e">
        <f t="shared" si="165"/>
        <v>#DIV/0!</v>
      </c>
      <c r="L1200" s="243"/>
      <c r="M1200" s="243"/>
      <c r="N1200" s="206"/>
      <c r="O1200" s="631">
        <f t="shared" si="171"/>
        <v>360</v>
      </c>
      <c r="P1200" s="206" t="e">
        <f t="shared" si="170"/>
        <v>#DIV/0!</v>
      </c>
      <c r="Q1200" s="206"/>
      <c r="R1200" s="206"/>
      <c r="S1200" s="341" t="e">
        <f t="shared" si="166"/>
        <v>#DIV/0!</v>
      </c>
      <c r="T1200" s="341" t="e">
        <f t="shared" si="167"/>
        <v>#DIV/0!</v>
      </c>
      <c r="U1200" s="206"/>
      <c r="V1200" s="208"/>
      <c r="W1200" s="196"/>
      <c r="X1200" s="152"/>
      <c r="Z1200" s="198"/>
      <c r="AA1200" s="198"/>
    </row>
    <row r="1201" spans="1:27" s="197" customFormat="1" ht="15" customHeight="1">
      <c r="A1201" s="226"/>
      <c r="B1201" s="224" t="s">
        <v>996</v>
      </c>
      <c r="C1201" s="312">
        <f t="shared" si="168"/>
        <v>0</v>
      </c>
      <c r="D1201" s="646">
        <f t="shared" si="173"/>
        <v>0</v>
      </c>
      <c r="E1201" s="645">
        <f t="shared" si="173"/>
        <v>0</v>
      </c>
      <c r="F1201" s="645">
        <f t="shared" si="173"/>
        <v>0</v>
      </c>
      <c r="G1201" s="645">
        <f t="shared" si="173"/>
        <v>0</v>
      </c>
      <c r="H1201" s="645">
        <f t="shared" si="173"/>
        <v>0</v>
      </c>
      <c r="I1201" s="646">
        <f t="shared" si="173"/>
        <v>0</v>
      </c>
      <c r="J1201" s="207"/>
      <c r="K1201" s="243" t="e">
        <f t="shared" si="165"/>
        <v>#DIV/0!</v>
      </c>
      <c r="L1201" s="243"/>
      <c r="M1201" s="243"/>
      <c r="N1201" s="206"/>
      <c r="O1201" s="631">
        <f t="shared" si="171"/>
        <v>360</v>
      </c>
      <c r="P1201" s="206" t="e">
        <f t="shared" si="170"/>
        <v>#DIV/0!</v>
      </c>
      <c r="Q1201" s="206"/>
      <c r="R1201" s="206"/>
      <c r="S1201" s="341" t="e">
        <f t="shared" si="166"/>
        <v>#DIV/0!</v>
      </c>
      <c r="T1201" s="341" t="e">
        <f t="shared" si="167"/>
        <v>#DIV/0!</v>
      </c>
      <c r="U1201" s="206"/>
      <c r="V1201" s="208"/>
      <c r="W1201" s="196"/>
      <c r="X1201" s="152"/>
      <c r="Z1201" s="198"/>
      <c r="AA1201" s="198"/>
    </row>
    <row r="1202" spans="1:27" s="197" customFormat="1" ht="15" customHeight="1">
      <c r="A1202" s="226"/>
      <c r="B1202" s="224" t="s">
        <v>997</v>
      </c>
      <c r="C1202" s="312">
        <f t="shared" si="168"/>
        <v>0</v>
      </c>
      <c r="D1202" s="646">
        <f t="shared" si="173"/>
        <v>0</v>
      </c>
      <c r="E1202" s="645">
        <f t="shared" si="173"/>
        <v>0</v>
      </c>
      <c r="F1202" s="645">
        <f t="shared" si="173"/>
        <v>0</v>
      </c>
      <c r="G1202" s="645">
        <f t="shared" si="173"/>
        <v>0</v>
      </c>
      <c r="H1202" s="645">
        <f t="shared" si="173"/>
        <v>0</v>
      </c>
      <c r="I1202" s="646">
        <f t="shared" si="173"/>
        <v>0</v>
      </c>
      <c r="J1202" s="207"/>
      <c r="K1202" s="243" t="e">
        <f t="shared" si="165"/>
        <v>#DIV/0!</v>
      </c>
      <c r="L1202" s="243"/>
      <c r="M1202" s="243"/>
      <c r="N1202" s="206"/>
      <c r="O1202" s="631">
        <f t="shared" si="171"/>
        <v>360</v>
      </c>
      <c r="P1202" s="206" t="e">
        <f t="shared" si="170"/>
        <v>#DIV/0!</v>
      </c>
      <c r="Q1202" s="206"/>
      <c r="R1202" s="206"/>
      <c r="S1202" s="341" t="e">
        <f t="shared" si="166"/>
        <v>#DIV/0!</v>
      </c>
      <c r="T1202" s="341" t="e">
        <f t="shared" si="167"/>
        <v>#DIV/0!</v>
      </c>
      <c r="U1202" s="206"/>
      <c r="V1202" s="208"/>
      <c r="W1202" s="196"/>
      <c r="X1202" s="152"/>
      <c r="Z1202" s="198"/>
      <c r="AA1202" s="198"/>
    </row>
    <row r="1203" spans="1:27" s="197" customFormat="1" ht="15" customHeight="1">
      <c r="A1203" s="226"/>
      <c r="B1203" s="224" t="s">
        <v>998</v>
      </c>
      <c r="C1203" s="312">
        <f t="shared" si="168"/>
        <v>0</v>
      </c>
      <c r="D1203" s="646">
        <f t="shared" si="173"/>
        <v>0</v>
      </c>
      <c r="E1203" s="645">
        <f t="shared" si="173"/>
        <v>0</v>
      </c>
      <c r="F1203" s="645">
        <f t="shared" si="173"/>
        <v>0</v>
      </c>
      <c r="G1203" s="645">
        <f t="shared" si="173"/>
        <v>0</v>
      </c>
      <c r="H1203" s="645">
        <f t="shared" si="173"/>
        <v>0</v>
      </c>
      <c r="I1203" s="646">
        <f t="shared" si="173"/>
        <v>0</v>
      </c>
      <c r="J1203" s="207"/>
      <c r="K1203" s="243" t="e">
        <f t="shared" si="165"/>
        <v>#DIV/0!</v>
      </c>
      <c r="L1203" s="243"/>
      <c r="M1203" s="243"/>
      <c r="N1203" s="206"/>
      <c r="O1203" s="631">
        <f t="shared" si="171"/>
        <v>360</v>
      </c>
      <c r="P1203" s="206" t="e">
        <f t="shared" si="170"/>
        <v>#DIV/0!</v>
      </c>
      <c r="Q1203" s="206"/>
      <c r="R1203" s="206"/>
      <c r="S1203" s="341" t="e">
        <f t="shared" si="166"/>
        <v>#DIV/0!</v>
      </c>
      <c r="T1203" s="341" t="e">
        <f t="shared" si="167"/>
        <v>#DIV/0!</v>
      </c>
      <c r="U1203" s="206"/>
      <c r="V1203" s="208"/>
      <c r="W1203" s="196"/>
      <c r="X1203" s="152"/>
      <c r="Z1203" s="198"/>
      <c r="AA1203" s="198"/>
    </row>
    <row r="1204" spans="1:27" s="197" customFormat="1" ht="15" customHeight="1">
      <c r="A1204" s="226"/>
      <c r="B1204" s="224" t="s">
        <v>999</v>
      </c>
      <c r="C1204" s="312">
        <f t="shared" si="168"/>
        <v>0</v>
      </c>
      <c r="D1204" s="646">
        <f t="shared" si="173"/>
        <v>0</v>
      </c>
      <c r="E1204" s="645">
        <f t="shared" si="173"/>
        <v>0</v>
      </c>
      <c r="F1204" s="645">
        <f t="shared" si="173"/>
        <v>0</v>
      </c>
      <c r="G1204" s="645">
        <f t="shared" si="173"/>
        <v>0</v>
      </c>
      <c r="H1204" s="645">
        <f t="shared" si="173"/>
        <v>0</v>
      </c>
      <c r="I1204" s="646">
        <f t="shared" si="173"/>
        <v>0</v>
      </c>
      <c r="J1204" s="207"/>
      <c r="K1204" s="243" t="e">
        <f t="shared" si="165"/>
        <v>#DIV/0!</v>
      </c>
      <c r="L1204" s="243"/>
      <c r="M1204" s="243"/>
      <c r="N1204" s="206"/>
      <c r="O1204" s="631">
        <f t="shared" si="171"/>
        <v>360</v>
      </c>
      <c r="P1204" s="206" t="e">
        <f t="shared" si="170"/>
        <v>#DIV/0!</v>
      </c>
      <c r="Q1204" s="206"/>
      <c r="R1204" s="206"/>
      <c r="S1204" s="341" t="e">
        <f t="shared" si="166"/>
        <v>#DIV/0!</v>
      </c>
      <c r="T1204" s="341" t="e">
        <f t="shared" si="167"/>
        <v>#DIV/0!</v>
      </c>
      <c r="U1204" s="206"/>
      <c r="V1204" s="208"/>
      <c r="W1204" s="196"/>
      <c r="X1204" s="152"/>
      <c r="Z1204" s="198"/>
      <c r="AA1204" s="198"/>
    </row>
    <row r="1205" spans="1:27" s="197" customFormat="1" ht="15" customHeight="1">
      <c r="A1205" s="226"/>
      <c r="B1205" s="224" t="s">
        <v>1000</v>
      </c>
      <c r="C1205" s="312">
        <f t="shared" si="168"/>
        <v>0</v>
      </c>
      <c r="D1205" s="646">
        <f t="shared" si="173"/>
        <v>0</v>
      </c>
      <c r="E1205" s="645">
        <f t="shared" si="173"/>
        <v>0</v>
      </c>
      <c r="F1205" s="645">
        <f t="shared" si="173"/>
        <v>0</v>
      </c>
      <c r="G1205" s="645">
        <f t="shared" si="173"/>
        <v>0</v>
      </c>
      <c r="H1205" s="645">
        <f t="shared" si="173"/>
        <v>0</v>
      </c>
      <c r="I1205" s="646">
        <f t="shared" si="173"/>
        <v>0</v>
      </c>
      <c r="J1205" s="207"/>
      <c r="K1205" s="243" t="e">
        <f t="shared" si="165"/>
        <v>#DIV/0!</v>
      </c>
      <c r="L1205" s="243"/>
      <c r="M1205" s="243"/>
      <c r="N1205" s="206"/>
      <c r="O1205" s="631">
        <f t="shared" si="171"/>
        <v>360</v>
      </c>
      <c r="P1205" s="206" t="e">
        <f t="shared" si="170"/>
        <v>#DIV/0!</v>
      </c>
      <c r="Q1205" s="206"/>
      <c r="R1205" s="206"/>
      <c r="S1205" s="341" t="e">
        <f t="shared" si="166"/>
        <v>#DIV/0!</v>
      </c>
      <c r="T1205" s="341" t="e">
        <f t="shared" si="167"/>
        <v>#DIV/0!</v>
      </c>
      <c r="U1205" s="206"/>
      <c r="V1205" s="208"/>
      <c r="W1205" s="196"/>
      <c r="X1205" s="152"/>
      <c r="Z1205" s="198"/>
      <c r="AA1205" s="198"/>
    </row>
    <row r="1206" spans="1:27" s="197" customFormat="1" ht="15" customHeight="1">
      <c r="A1206" s="226"/>
      <c r="B1206" s="224" t="s">
        <v>1001</v>
      </c>
      <c r="C1206" s="312">
        <f t="shared" si="168"/>
        <v>0</v>
      </c>
      <c r="D1206" s="646">
        <f t="shared" si="173"/>
        <v>0</v>
      </c>
      <c r="E1206" s="645">
        <f t="shared" si="173"/>
        <v>0</v>
      </c>
      <c r="F1206" s="645">
        <f t="shared" si="173"/>
        <v>0</v>
      </c>
      <c r="G1206" s="645">
        <f t="shared" si="173"/>
        <v>0</v>
      </c>
      <c r="H1206" s="645">
        <f t="shared" si="173"/>
        <v>0</v>
      </c>
      <c r="I1206" s="646">
        <f t="shared" si="173"/>
        <v>0</v>
      </c>
      <c r="J1206" s="207"/>
      <c r="K1206" s="243" t="e">
        <f t="shared" si="165"/>
        <v>#DIV/0!</v>
      </c>
      <c r="L1206" s="243"/>
      <c r="M1206" s="243"/>
      <c r="N1206" s="206"/>
      <c r="O1206" s="631">
        <f t="shared" si="171"/>
        <v>360</v>
      </c>
      <c r="P1206" s="206" t="e">
        <f t="shared" si="170"/>
        <v>#DIV/0!</v>
      </c>
      <c r="Q1206" s="206"/>
      <c r="R1206" s="206"/>
      <c r="S1206" s="341" t="e">
        <f t="shared" si="166"/>
        <v>#DIV/0!</v>
      </c>
      <c r="T1206" s="341" t="e">
        <f t="shared" si="167"/>
        <v>#DIV/0!</v>
      </c>
      <c r="U1206" s="206"/>
      <c r="V1206" s="208"/>
      <c r="W1206" s="196"/>
      <c r="X1206" s="152"/>
      <c r="Z1206" s="198"/>
      <c r="AA1206" s="198"/>
    </row>
    <row r="1207" spans="1:27" s="197" customFormat="1" ht="15" customHeight="1">
      <c r="A1207" s="226"/>
      <c r="B1207" s="224" t="s">
        <v>1002</v>
      </c>
      <c r="C1207" s="312">
        <f t="shared" si="168"/>
        <v>0</v>
      </c>
      <c r="D1207" s="646">
        <f t="shared" si="173"/>
        <v>0</v>
      </c>
      <c r="E1207" s="645">
        <f t="shared" si="173"/>
        <v>0</v>
      </c>
      <c r="F1207" s="645">
        <f t="shared" si="173"/>
        <v>0</v>
      </c>
      <c r="G1207" s="645">
        <f t="shared" si="173"/>
        <v>0</v>
      </c>
      <c r="H1207" s="645">
        <f t="shared" si="173"/>
        <v>0</v>
      </c>
      <c r="I1207" s="646">
        <f t="shared" si="173"/>
        <v>0</v>
      </c>
      <c r="J1207" s="207"/>
      <c r="K1207" s="243" t="e">
        <f t="shared" si="165"/>
        <v>#DIV/0!</v>
      </c>
      <c r="L1207" s="243"/>
      <c r="M1207" s="243"/>
      <c r="N1207" s="206"/>
      <c r="O1207" s="631">
        <f t="shared" si="171"/>
        <v>360</v>
      </c>
      <c r="P1207" s="206" t="e">
        <f t="shared" si="170"/>
        <v>#DIV/0!</v>
      </c>
      <c r="Q1207" s="206"/>
      <c r="R1207" s="206"/>
      <c r="S1207" s="341" t="e">
        <f t="shared" si="166"/>
        <v>#DIV/0!</v>
      </c>
      <c r="T1207" s="341" t="e">
        <f t="shared" si="167"/>
        <v>#DIV/0!</v>
      </c>
      <c r="U1207" s="206"/>
      <c r="V1207" s="208"/>
      <c r="W1207" s="196"/>
      <c r="X1207" s="152"/>
      <c r="Z1207" s="198"/>
      <c r="AA1207" s="198"/>
    </row>
    <row r="1208" spans="1:27" s="197" customFormat="1" ht="15" customHeight="1">
      <c r="A1208" s="226"/>
      <c r="B1208" s="224" t="s">
        <v>1003</v>
      </c>
      <c r="C1208" s="312">
        <f t="shared" si="168"/>
        <v>0</v>
      </c>
      <c r="D1208" s="646">
        <f t="shared" si="173"/>
        <v>0</v>
      </c>
      <c r="E1208" s="645">
        <f t="shared" si="173"/>
        <v>0</v>
      </c>
      <c r="F1208" s="645">
        <f t="shared" si="173"/>
        <v>0</v>
      </c>
      <c r="G1208" s="645">
        <f t="shared" si="173"/>
        <v>0</v>
      </c>
      <c r="H1208" s="645">
        <f t="shared" si="173"/>
        <v>0</v>
      </c>
      <c r="I1208" s="646">
        <f t="shared" si="173"/>
        <v>0</v>
      </c>
      <c r="J1208" s="207"/>
      <c r="K1208" s="243" t="e">
        <f t="shared" si="165"/>
        <v>#DIV/0!</v>
      </c>
      <c r="L1208" s="243"/>
      <c r="M1208" s="243"/>
      <c r="N1208" s="206"/>
      <c r="O1208" s="631">
        <f t="shared" si="171"/>
        <v>360</v>
      </c>
      <c r="P1208" s="206" t="e">
        <f t="shared" si="170"/>
        <v>#DIV/0!</v>
      </c>
      <c r="Q1208" s="206"/>
      <c r="R1208" s="206"/>
      <c r="S1208" s="341" t="e">
        <f t="shared" si="166"/>
        <v>#DIV/0!</v>
      </c>
      <c r="T1208" s="341" t="e">
        <f t="shared" si="167"/>
        <v>#DIV/0!</v>
      </c>
      <c r="U1208" s="206"/>
      <c r="V1208" s="208"/>
      <c r="W1208" s="196"/>
      <c r="X1208" s="152"/>
      <c r="Z1208" s="198"/>
      <c r="AA1208" s="198"/>
    </row>
    <row r="1209" spans="1:27" s="197" customFormat="1" ht="15" customHeight="1">
      <c r="A1209" s="226"/>
      <c r="B1209" s="224" t="s">
        <v>1004</v>
      </c>
      <c r="C1209" s="312">
        <f t="shared" si="168"/>
        <v>0</v>
      </c>
      <c r="D1209" s="646">
        <f t="shared" si="173"/>
        <v>0</v>
      </c>
      <c r="E1209" s="645">
        <f t="shared" si="173"/>
        <v>0</v>
      </c>
      <c r="F1209" s="645">
        <f t="shared" si="173"/>
        <v>0</v>
      </c>
      <c r="G1209" s="645">
        <f t="shared" si="173"/>
        <v>0</v>
      </c>
      <c r="H1209" s="645">
        <f t="shared" si="173"/>
        <v>0</v>
      </c>
      <c r="I1209" s="646">
        <f t="shared" si="173"/>
        <v>0</v>
      </c>
      <c r="J1209" s="207"/>
      <c r="K1209" s="243" t="e">
        <f t="shared" si="165"/>
        <v>#DIV/0!</v>
      </c>
      <c r="L1209" s="243"/>
      <c r="M1209" s="243"/>
      <c r="N1209" s="206"/>
      <c r="O1209" s="631">
        <f t="shared" si="171"/>
        <v>360</v>
      </c>
      <c r="P1209" s="206" t="e">
        <f t="shared" si="170"/>
        <v>#DIV/0!</v>
      </c>
      <c r="Q1209" s="206"/>
      <c r="R1209" s="206"/>
      <c r="S1209" s="341" t="e">
        <f t="shared" si="166"/>
        <v>#DIV/0!</v>
      </c>
      <c r="T1209" s="341" t="e">
        <f t="shared" si="167"/>
        <v>#DIV/0!</v>
      </c>
      <c r="U1209" s="206"/>
      <c r="V1209" s="208"/>
      <c r="W1209" s="196"/>
      <c r="X1209" s="152"/>
      <c r="Z1209" s="198"/>
      <c r="AA1209" s="198"/>
    </row>
    <row r="1210" spans="1:27" s="197" customFormat="1" ht="15" customHeight="1">
      <c r="A1210" s="226"/>
      <c r="B1210" s="224" t="s">
        <v>1005</v>
      </c>
      <c r="C1210" s="312">
        <f t="shared" si="168"/>
        <v>0</v>
      </c>
      <c r="D1210" s="646">
        <f t="shared" si="173"/>
        <v>0</v>
      </c>
      <c r="E1210" s="645">
        <f t="shared" si="173"/>
        <v>0</v>
      </c>
      <c r="F1210" s="645">
        <f t="shared" si="173"/>
        <v>0</v>
      </c>
      <c r="G1210" s="645">
        <f t="shared" si="173"/>
        <v>0</v>
      </c>
      <c r="H1210" s="645">
        <f t="shared" si="173"/>
        <v>0</v>
      </c>
      <c r="I1210" s="646">
        <f t="shared" si="173"/>
        <v>0</v>
      </c>
      <c r="J1210" s="207"/>
      <c r="K1210" s="243" t="e">
        <f t="shared" si="165"/>
        <v>#DIV/0!</v>
      </c>
      <c r="L1210" s="243"/>
      <c r="M1210" s="243"/>
      <c r="N1210" s="206"/>
      <c r="O1210" s="631">
        <f t="shared" si="171"/>
        <v>360</v>
      </c>
      <c r="P1210" s="206" t="e">
        <f t="shared" si="170"/>
        <v>#DIV/0!</v>
      </c>
      <c r="Q1210" s="206"/>
      <c r="R1210" s="206"/>
      <c r="S1210" s="341" t="e">
        <f t="shared" si="166"/>
        <v>#DIV/0!</v>
      </c>
      <c r="T1210" s="341" t="e">
        <f t="shared" si="167"/>
        <v>#DIV/0!</v>
      </c>
      <c r="U1210" s="206"/>
      <c r="V1210" s="208"/>
      <c r="W1210" s="196"/>
      <c r="X1210" s="152"/>
      <c r="Z1210" s="198"/>
      <c r="AA1210" s="198"/>
    </row>
    <row r="1211" spans="1:27" s="197" customFormat="1" ht="15" customHeight="1">
      <c r="A1211" s="226"/>
      <c r="B1211" s="224" t="s">
        <v>1006</v>
      </c>
      <c r="C1211" s="312">
        <f t="shared" si="168"/>
        <v>0</v>
      </c>
      <c r="D1211" s="646">
        <f t="shared" si="173"/>
        <v>0</v>
      </c>
      <c r="E1211" s="645">
        <f t="shared" si="173"/>
        <v>0</v>
      </c>
      <c r="F1211" s="645">
        <f t="shared" si="173"/>
        <v>0</v>
      </c>
      <c r="G1211" s="645">
        <f t="shared" si="173"/>
        <v>0</v>
      </c>
      <c r="H1211" s="645">
        <f t="shared" si="173"/>
        <v>0</v>
      </c>
      <c r="I1211" s="646">
        <f t="shared" si="173"/>
        <v>0</v>
      </c>
      <c r="J1211" s="207"/>
      <c r="K1211" s="243" t="e">
        <f t="shared" si="165"/>
        <v>#DIV/0!</v>
      </c>
      <c r="L1211" s="243"/>
      <c r="M1211" s="243"/>
      <c r="N1211" s="206"/>
      <c r="O1211" s="631">
        <f t="shared" si="171"/>
        <v>360</v>
      </c>
      <c r="P1211" s="206" t="e">
        <f t="shared" si="170"/>
        <v>#DIV/0!</v>
      </c>
      <c r="Q1211" s="206"/>
      <c r="R1211" s="206"/>
      <c r="S1211" s="341" t="e">
        <f t="shared" si="166"/>
        <v>#DIV/0!</v>
      </c>
      <c r="T1211" s="341" t="e">
        <f t="shared" si="167"/>
        <v>#DIV/0!</v>
      </c>
      <c r="U1211" s="206"/>
      <c r="V1211" s="208"/>
      <c r="W1211" s="196"/>
      <c r="X1211" s="152"/>
      <c r="Z1211" s="198"/>
      <c r="AA1211" s="198"/>
    </row>
    <row r="1212" spans="1:27" s="197" customFormat="1" ht="15" customHeight="1">
      <c r="A1212" s="226"/>
      <c r="B1212" s="224" t="s">
        <v>1007</v>
      </c>
      <c r="C1212" s="312">
        <f t="shared" si="168"/>
        <v>0</v>
      </c>
      <c r="D1212" s="646">
        <f t="shared" si="173"/>
        <v>0</v>
      </c>
      <c r="E1212" s="645">
        <f t="shared" si="173"/>
        <v>0</v>
      </c>
      <c r="F1212" s="645">
        <f t="shared" si="173"/>
        <v>0</v>
      </c>
      <c r="G1212" s="645">
        <f t="shared" si="173"/>
        <v>0</v>
      </c>
      <c r="H1212" s="645">
        <f t="shared" si="173"/>
        <v>0</v>
      </c>
      <c r="I1212" s="646">
        <f t="shared" si="173"/>
        <v>0</v>
      </c>
      <c r="J1212" s="207"/>
      <c r="K1212" s="243" t="e">
        <f t="shared" si="165"/>
        <v>#DIV/0!</v>
      </c>
      <c r="L1212" s="243"/>
      <c r="M1212" s="243"/>
      <c r="N1212" s="206"/>
      <c r="O1212" s="631">
        <f t="shared" si="171"/>
        <v>360</v>
      </c>
      <c r="P1212" s="206" t="e">
        <f t="shared" si="170"/>
        <v>#DIV/0!</v>
      </c>
      <c r="Q1212" s="206"/>
      <c r="R1212" s="206"/>
      <c r="S1212" s="341" t="e">
        <f t="shared" si="166"/>
        <v>#DIV/0!</v>
      </c>
      <c r="T1212" s="341" t="e">
        <f t="shared" si="167"/>
        <v>#DIV/0!</v>
      </c>
      <c r="U1212" s="206"/>
      <c r="V1212" s="208"/>
      <c r="W1212" s="196"/>
      <c r="X1212" s="152"/>
      <c r="Z1212" s="198"/>
      <c r="AA1212" s="198"/>
    </row>
    <row r="1213" spans="1:27" s="197" customFormat="1" ht="15" customHeight="1">
      <c r="A1213" s="226"/>
      <c r="B1213" s="224" t="s">
        <v>1008</v>
      </c>
      <c r="C1213" s="312">
        <f t="shared" si="168"/>
        <v>0</v>
      </c>
      <c r="D1213" s="646">
        <f t="shared" si="173"/>
        <v>0</v>
      </c>
      <c r="E1213" s="645">
        <f t="shared" si="173"/>
        <v>0</v>
      </c>
      <c r="F1213" s="645">
        <f t="shared" si="173"/>
        <v>0</v>
      </c>
      <c r="G1213" s="645">
        <f t="shared" si="173"/>
        <v>0</v>
      </c>
      <c r="H1213" s="645">
        <f t="shared" si="173"/>
        <v>0</v>
      </c>
      <c r="I1213" s="646">
        <f t="shared" si="173"/>
        <v>0</v>
      </c>
      <c r="J1213" s="207"/>
      <c r="K1213" s="243" t="e">
        <f t="shared" si="165"/>
        <v>#DIV/0!</v>
      </c>
      <c r="L1213" s="243"/>
      <c r="M1213" s="243"/>
      <c r="N1213" s="206"/>
      <c r="O1213" s="631">
        <f t="shared" si="171"/>
        <v>360</v>
      </c>
      <c r="P1213" s="206" t="e">
        <f t="shared" si="170"/>
        <v>#DIV/0!</v>
      </c>
      <c r="Q1213" s="206"/>
      <c r="R1213" s="206"/>
      <c r="S1213" s="341" t="e">
        <f t="shared" si="166"/>
        <v>#DIV/0!</v>
      </c>
      <c r="T1213" s="341" t="e">
        <f t="shared" si="167"/>
        <v>#DIV/0!</v>
      </c>
      <c r="U1213" s="206"/>
      <c r="V1213" s="208"/>
      <c r="W1213" s="196"/>
      <c r="X1213" s="152"/>
      <c r="Z1213" s="198"/>
      <c r="AA1213" s="198"/>
    </row>
    <row r="1214" spans="1:27" s="197" customFormat="1" ht="15" customHeight="1" thickBot="1">
      <c r="A1214" s="226"/>
      <c r="B1214" s="224" t="s">
        <v>1009</v>
      </c>
      <c r="C1214" s="312">
        <f t="shared" si="168"/>
        <v>0</v>
      </c>
      <c r="D1214" s="646">
        <f t="shared" ref="D1214:I1214" si="174">D1213</f>
        <v>0</v>
      </c>
      <c r="E1214" s="645">
        <f t="shared" si="174"/>
        <v>0</v>
      </c>
      <c r="F1214" s="645">
        <f t="shared" si="174"/>
        <v>0</v>
      </c>
      <c r="G1214" s="645">
        <f t="shared" si="174"/>
        <v>0</v>
      </c>
      <c r="H1214" s="645">
        <f t="shared" si="174"/>
        <v>0</v>
      </c>
      <c r="I1214" s="646">
        <f t="shared" si="174"/>
        <v>0</v>
      </c>
      <c r="J1214" s="207"/>
      <c r="K1214" s="243" t="e">
        <f t="shared" si="165"/>
        <v>#DIV/0!</v>
      </c>
      <c r="L1214" s="243"/>
      <c r="M1214" s="243"/>
      <c r="N1214" s="206"/>
      <c r="O1214" s="632">
        <f t="shared" si="171"/>
        <v>360</v>
      </c>
      <c r="P1214" s="206" t="e">
        <f t="shared" si="170"/>
        <v>#DIV/0!</v>
      </c>
      <c r="Q1214" s="206"/>
      <c r="R1214" s="206"/>
      <c r="S1214" s="341" t="e">
        <f t="shared" si="166"/>
        <v>#DIV/0!</v>
      </c>
      <c r="T1214" s="341" t="e">
        <f t="shared" si="167"/>
        <v>#DIV/0!</v>
      </c>
      <c r="U1214" s="206"/>
      <c r="V1214" s="208"/>
      <c r="W1214" s="196"/>
      <c r="X1214" s="152"/>
      <c r="Z1214" s="198"/>
      <c r="AA1214" s="198"/>
    </row>
    <row r="1215" spans="1:27" s="197" customFormat="1" ht="15" customHeight="1">
      <c r="A1215" s="226"/>
      <c r="B1215" s="221"/>
      <c r="C1215" s="312"/>
      <c r="D1215" s="206"/>
      <c r="E1215" s="146"/>
      <c r="F1215" s="146"/>
      <c r="G1215" s="146"/>
      <c r="H1215" s="146"/>
      <c r="I1215" s="243"/>
      <c r="J1215" s="243"/>
      <c r="K1215" s="243"/>
      <c r="L1215" s="243"/>
      <c r="M1215" s="243"/>
      <c r="N1215" s="206"/>
      <c r="O1215" s="155"/>
      <c r="P1215" s="206"/>
      <c r="Q1215" s="206"/>
      <c r="R1215" s="206"/>
      <c r="S1215" s="206"/>
      <c r="T1215" s="206"/>
      <c r="U1215" s="206"/>
      <c r="V1215" s="208"/>
      <c r="W1215" s="196"/>
      <c r="X1215" s="152"/>
      <c r="Z1215" s="198"/>
      <c r="AA1215" s="198"/>
    </row>
    <row r="1216" spans="1:27" s="197" customFormat="1" ht="15" customHeight="1" thickBot="1">
      <c r="A1216" s="226"/>
      <c r="B1216" s="291" t="s">
        <v>1010</v>
      </c>
      <c r="C1216" s="292"/>
      <c r="D1216" s="293"/>
      <c r="E1216" s="293"/>
      <c r="F1216" s="293"/>
      <c r="G1216" s="293"/>
      <c r="H1216" s="293"/>
      <c r="I1216" s="293"/>
      <c r="J1216" s="294"/>
      <c r="K1216" s="294"/>
      <c r="L1216" s="295"/>
      <c r="M1216" s="293"/>
      <c r="N1216" s="293"/>
      <c r="O1216" s="293"/>
      <c r="P1216" s="293"/>
      <c r="Q1216" s="293"/>
      <c r="R1216" s="293"/>
      <c r="S1216" s="296"/>
      <c r="T1216" s="293"/>
      <c r="U1216" s="293" t="s">
        <v>678</v>
      </c>
      <c r="V1216" s="297" t="s">
        <v>27</v>
      </c>
      <c r="W1216" s="298"/>
      <c r="X1216" s="299"/>
      <c r="Z1216" s="198"/>
      <c r="AA1216" s="198"/>
    </row>
    <row r="1217" spans="1:27" s="197" customFormat="1" ht="15" customHeight="1" thickBot="1">
      <c r="A1217" s="226"/>
      <c r="B1217" s="221"/>
      <c r="C1217" s="144">
        <f>SUMIF(Densidades!A:A,'Memória TOTAL'!X1217,Densidades!B:B)</f>
        <v>0</v>
      </c>
      <c r="D1217" s="145">
        <f>SUMIF(Densidades!A:A,'Memória TOTAL'!X1217,Densidades!C:C)</f>
        <v>0</v>
      </c>
      <c r="E1217" s="145" t="str">
        <f>IF(I1217=15,"FIRECLAY MORTAR",IF(I1217=16,"ALUMINA MORTAR",IF(I1217=17,"BASIC MORTAR",IF(I1217=18,"MORTAR","-"))))</f>
        <v>-</v>
      </c>
      <c r="F1217" s="145" t="str">
        <f>IF(I1217=15,"FIRECLAY MORTAR",IF(I1217=16,"ALUMINA MORTAR",IF(I1217=17,"BASIC MORTAR",IF(I1217=18,"MORTAR","-"))))</f>
        <v>-</v>
      </c>
      <c r="G1217" s="145" t="str">
        <f>IF(I1217=15,"FIRECLAY MORTAR",IF(I1217=16,"ALUMINA MORTAR",IF(I1217=17,"BASIC MORTAR",IF(I1217=18,"MORTAR","-"))))</f>
        <v>-</v>
      </c>
      <c r="H1217" s="145" t="str">
        <f>IF(I1217=15,"FIRECLAY MORTAR",IF(I1217=16,"ALUMINA MORTAR",IF(I1217=17,"BASIC MORTAR",IF(I1217=18,"MORTAR","-"))))</f>
        <v>-</v>
      </c>
      <c r="I1217" s="145">
        <f>SUMIF(Densidades!A:A,'Memória TOTAL'!X1217,Densidades!G:G)</f>
        <v>0</v>
      </c>
      <c r="J1217" s="147">
        <f>SUMIF(Formatos!A:A,'Memória TOTAL'!X1218,Formatos!G:G)</f>
        <v>0</v>
      </c>
      <c r="K1217" s="148">
        <f>SUMIF(Densidades!A:A,'Memória TOTAL'!X1217,Densidades!I:I)</f>
        <v>0</v>
      </c>
      <c r="L1217" s="199">
        <v>0</v>
      </c>
      <c r="M1217" s="200"/>
      <c r="N1217" s="200"/>
      <c r="O1217" s="200"/>
      <c r="P1217" s="200"/>
      <c r="Q1217" s="200"/>
      <c r="R1217" s="200"/>
      <c r="S1217" s="200"/>
      <c r="T1217" s="201"/>
      <c r="U1217" s="302">
        <v>0.06</v>
      </c>
      <c r="V1217" s="203" t="e">
        <f>(W1154*J1154*C1217+W1158*J1158*C1217)*U1217</f>
        <v>#VALUE!</v>
      </c>
      <c r="W1217" s="204" t="str">
        <f>IF(C1217=0,"",ROUNDUP(SUM(V1217:V1219)*(1+L1217)/D1217,0)*D1217)</f>
        <v/>
      </c>
      <c r="X1217" s="274"/>
      <c r="Z1217" s="198"/>
      <c r="AA1217" s="198"/>
    </row>
    <row r="1218" spans="1:27" s="197" customFormat="1" ht="15" customHeight="1">
      <c r="A1218" s="226"/>
      <c r="B1218" s="221"/>
      <c r="C1218" s="144"/>
      <c r="D1218" s="206"/>
      <c r="E1218" s="206"/>
      <c r="F1218" s="206"/>
      <c r="G1218" s="206"/>
      <c r="H1218" s="206"/>
      <c r="I1218" s="206"/>
      <c r="J1218" s="207"/>
      <c r="K1218" s="207"/>
      <c r="L1218" s="155"/>
      <c r="M1218" s="206"/>
      <c r="N1218" s="206"/>
      <c r="O1218" s="206"/>
      <c r="P1218" s="206"/>
      <c r="Q1218" s="206"/>
      <c r="R1218" s="206"/>
      <c r="S1218" s="206"/>
      <c r="T1218" s="206"/>
      <c r="U1218" s="206"/>
      <c r="V1218" s="208"/>
      <c r="W1218" s="196"/>
      <c r="X1218" s="152" t="str">
        <f>IF(AND(H1217="-",G1217="-",F1217="-"),E1217,IF(AND(H1217="-",G1217="-",E1217="-"),F1217,IF(AND(H1217="-",F1217="-",E1217="-"),G1217,H1217)))</f>
        <v>-</v>
      </c>
      <c r="Z1218" s="198"/>
      <c r="AA1218" s="198"/>
    </row>
    <row r="1219" spans="1:27" s="197" customFormat="1" ht="15" customHeight="1">
      <c r="A1219" s="226"/>
      <c r="B1219" s="224"/>
      <c r="C1219" s="144"/>
      <c r="D1219" s="206"/>
      <c r="E1219" s="206"/>
      <c r="F1219" s="206"/>
      <c r="G1219" s="206"/>
      <c r="H1219" s="206"/>
      <c r="I1219" s="206"/>
      <c r="J1219" s="207"/>
      <c r="K1219" s="207"/>
      <c r="L1219" s="155"/>
      <c r="M1219" s="206"/>
      <c r="N1219" s="206"/>
      <c r="O1219" s="206"/>
      <c r="P1219" s="206"/>
      <c r="Q1219" s="206"/>
      <c r="R1219" s="206"/>
      <c r="S1219" s="206"/>
      <c r="T1219" s="206"/>
      <c r="U1219" s="206"/>
      <c r="V1219" s="208"/>
      <c r="W1219" s="196"/>
      <c r="X1219" s="152" t="s">
        <v>2</v>
      </c>
      <c r="Z1219" s="198"/>
      <c r="AA1219" s="198"/>
    </row>
    <row r="1220" spans="1:27" ht="15" customHeight="1">
      <c r="A1220" s="226"/>
      <c r="B1220" s="142"/>
      <c r="C1220" s="180"/>
      <c r="D1220" s="181"/>
      <c r="E1220" s="181"/>
      <c r="F1220" s="181"/>
      <c r="G1220" s="181"/>
      <c r="H1220" s="181"/>
      <c r="I1220" s="181"/>
      <c r="J1220" s="182"/>
      <c r="K1220" s="182"/>
      <c r="L1220" s="183"/>
      <c r="M1220" s="181"/>
      <c r="N1220" s="181"/>
      <c r="O1220" s="181"/>
      <c r="P1220" s="181"/>
      <c r="Q1220" s="181"/>
      <c r="R1220" s="181"/>
      <c r="S1220" s="181"/>
      <c r="T1220" s="181"/>
      <c r="U1220" s="181"/>
      <c r="V1220" s="184"/>
      <c r="W1220" s="185"/>
      <c r="X1220" s="186"/>
    </row>
    <row r="1221" spans="1:27" s="197" customFormat="1" ht="15" customHeight="1" thickBot="1">
      <c r="A1221" s="226"/>
      <c r="B1221" s="291" t="s">
        <v>1011</v>
      </c>
      <c r="C1221" s="292"/>
      <c r="D1221" s="293"/>
      <c r="E1221" s="293"/>
      <c r="F1221" s="293"/>
      <c r="G1221" s="293"/>
      <c r="H1221" s="293"/>
      <c r="I1221" s="293"/>
      <c r="J1221" s="294"/>
      <c r="K1221" s="294"/>
      <c r="L1221" s="295"/>
      <c r="M1221" s="293"/>
      <c r="N1221" s="293"/>
      <c r="O1221" s="293"/>
      <c r="P1221" s="293"/>
      <c r="Q1221" s="293"/>
      <c r="R1221" s="293" t="s">
        <v>636</v>
      </c>
      <c r="S1221" s="296" t="s">
        <v>637</v>
      </c>
      <c r="T1221" s="293" t="s">
        <v>638</v>
      </c>
      <c r="U1221" s="293" t="s">
        <v>38</v>
      </c>
      <c r="V1221" s="297" t="s">
        <v>27</v>
      </c>
      <c r="W1221" s="298"/>
      <c r="X1221" s="299"/>
      <c r="Z1221" s="198"/>
      <c r="AA1221" s="198"/>
    </row>
    <row r="1222" spans="1:27" s="197" customFormat="1" ht="15" customHeight="1" thickBot="1">
      <c r="A1222" s="226"/>
      <c r="B1222" s="221"/>
      <c r="C1222" s="144">
        <f>SUMIF(Densidades!A:A,'Memória TOTAL'!X1222,Densidades!B:B)</f>
        <v>0</v>
      </c>
      <c r="D1222" s="145">
        <f>SUMIF(Densidades!A:A,'Memória TOTAL'!X1222,Densidades!C:C)</f>
        <v>0</v>
      </c>
      <c r="E1222" s="145" t="str">
        <f>IF(I1222=15,"FIRECLAY MORTAR",IF(I1222=16,"ALUMINA MORTAR",IF(I1222=17,"BASIC MORTAR",IF(I1222=18,"MORTAR","-"))))</f>
        <v>-</v>
      </c>
      <c r="F1222" s="145" t="str">
        <f>IF(I1222=15,"FIRECLAY MORTAR",IF(I1222=16,"ALUMINA MORTAR",IF(I1222=17,"BASIC MORTAR",IF(I1222=18,"MORTAR","-"))))</f>
        <v>-</v>
      </c>
      <c r="G1222" s="145" t="str">
        <f>IF(I1222=15,"FIRECLAY MORTAR",IF(I1222=16,"ALUMINA MORTAR",IF(I1222=17,"BASIC MORTAR",IF(I1222=18,"MORTAR","-"))))</f>
        <v>-</v>
      </c>
      <c r="H1222" s="145" t="str">
        <f>IF(I1222=15,"FIRECLAY MORTAR",IF(I1222=16,"ALUMINA MORTAR",IF(I1222=17,"BASIC MORTAR",IF(I1222=18,"MORTAR","-"))))</f>
        <v>-</v>
      </c>
      <c r="I1222" s="145">
        <f>SUMIF(Densidades!A:A,'Memória TOTAL'!X1222,Densidades!G:G)</f>
        <v>0</v>
      </c>
      <c r="J1222" s="147">
        <f>SUMIF(Formatos!A:A,'Memória TOTAL'!X1223,Formatos!G:G)</f>
        <v>0</v>
      </c>
      <c r="K1222" s="233">
        <f>SUMIF(Densidades!A:A,'Memória TOTAL'!X1222,Densidades!I:I)</f>
        <v>0</v>
      </c>
      <c r="L1222" s="199">
        <v>0</v>
      </c>
      <c r="M1222" s="200"/>
      <c r="N1222" s="200"/>
      <c r="O1222" s="200"/>
      <c r="P1222" s="200"/>
      <c r="Q1222" s="200"/>
      <c r="R1222" s="201">
        <f>((G1154*H1154)+(G1154*E1154)+(H1154*E1154))/1000000</f>
        <v>0</v>
      </c>
      <c r="S1222" s="270">
        <v>2</v>
      </c>
      <c r="T1222" s="201">
        <f>R1222*S1222</f>
        <v>0</v>
      </c>
      <c r="U1222" s="202" t="e">
        <f>SUM(W1154:W1159)</f>
        <v>#VALUE!</v>
      </c>
      <c r="V1222" s="203" t="e">
        <f>(T1222*C1222*(1+L1222))*U1222</f>
        <v>#VALUE!</v>
      </c>
      <c r="W1222" s="151" t="str">
        <f>IF(C1222=0,"",ROUNDUP(SUM(V1222:V1224)*(1+L1222)/D1222,0)*D1222)</f>
        <v/>
      </c>
      <c r="X1222" s="274"/>
      <c r="Z1222" s="198"/>
      <c r="AA1222" s="198"/>
    </row>
    <row r="1223" spans="1:27" s="197" customFormat="1" ht="15" customHeight="1">
      <c r="A1223" s="226"/>
      <c r="B1223" s="221"/>
      <c r="C1223" s="144"/>
      <c r="D1223" s="206"/>
      <c r="E1223" s="206"/>
      <c r="F1223" s="206"/>
      <c r="G1223" s="206"/>
      <c r="H1223" s="206"/>
      <c r="I1223" s="206"/>
      <c r="J1223" s="207"/>
      <c r="K1223" s="207"/>
      <c r="L1223" s="155"/>
      <c r="M1223" s="206"/>
      <c r="N1223" s="206"/>
      <c r="O1223" s="206"/>
      <c r="P1223" s="206"/>
      <c r="Q1223" s="206"/>
      <c r="R1223" s="206"/>
      <c r="S1223" s="206"/>
      <c r="T1223" s="206"/>
      <c r="U1223" s="206"/>
      <c r="V1223" s="208"/>
      <c r="W1223" s="196"/>
      <c r="X1223" s="152" t="str">
        <f>IF(AND(H1222="-",G1222="-",F1222="-"),E1222,IF(AND(H1222="-",G1222="-",E1222="-"),F1222,IF(AND(H1222="-",F1222="-",E1222="-"),G1222,H1222)))</f>
        <v>-</v>
      </c>
      <c r="Z1223" s="198"/>
      <c r="AA1223" s="198"/>
    </row>
    <row r="1224" spans="1:27" s="197" customFormat="1" ht="15" customHeight="1">
      <c r="A1224" s="226"/>
      <c r="B1224" s="224"/>
      <c r="C1224" s="144"/>
      <c r="D1224" s="206"/>
      <c r="E1224" s="206"/>
      <c r="F1224" s="206"/>
      <c r="G1224" s="206"/>
      <c r="H1224" s="206"/>
      <c r="I1224" s="206"/>
      <c r="J1224" s="207"/>
      <c r="K1224" s="207"/>
      <c r="L1224" s="155"/>
      <c r="M1224" s="206"/>
      <c r="N1224" s="206"/>
      <c r="O1224" s="206"/>
      <c r="P1224" s="206"/>
      <c r="Q1224" s="206"/>
      <c r="R1224" s="206"/>
      <c r="S1224" s="206"/>
      <c r="T1224" s="206"/>
      <c r="U1224" s="206"/>
      <c r="V1224" s="208"/>
      <c r="W1224" s="196"/>
      <c r="X1224" s="152" t="s">
        <v>2</v>
      </c>
      <c r="Z1224" s="198"/>
      <c r="AA1224" s="198"/>
    </row>
    <row r="1225" spans="1:27" s="197" customFormat="1" ht="15" customHeight="1">
      <c r="A1225" s="226"/>
      <c r="B1225" s="221"/>
      <c r="C1225" s="312"/>
      <c r="D1225" s="206"/>
      <c r="E1225" s="206"/>
      <c r="F1225" s="206"/>
      <c r="G1225" s="206"/>
      <c r="H1225" s="206"/>
      <c r="I1225" s="206"/>
      <c r="J1225" s="207"/>
      <c r="K1225" s="207"/>
      <c r="L1225" s="155"/>
      <c r="M1225" s="206"/>
      <c r="N1225" s="206"/>
      <c r="O1225" s="206"/>
      <c r="P1225" s="206"/>
      <c r="Q1225" s="206"/>
      <c r="R1225" s="206"/>
      <c r="S1225" s="206"/>
      <c r="T1225" s="206"/>
      <c r="U1225" s="206"/>
      <c r="V1225" s="208"/>
      <c r="W1225" s="196"/>
      <c r="X1225" s="152"/>
      <c r="Z1225" s="198"/>
      <c r="AA1225" s="198"/>
    </row>
    <row r="1226" spans="1:27" s="197" customFormat="1" ht="15" customHeight="1" thickBot="1">
      <c r="A1226" s="226"/>
      <c r="B1226" s="524"/>
      <c r="C1226" s="524"/>
      <c r="D1226" s="527"/>
      <c r="E1226" s="527"/>
      <c r="F1226" s="527"/>
      <c r="G1226" s="527"/>
      <c r="H1226" s="527"/>
      <c r="I1226" s="527"/>
      <c r="J1226" s="527"/>
      <c r="K1226" s="527"/>
      <c r="L1226" s="527"/>
      <c r="M1226" s="527"/>
      <c r="N1226" s="527"/>
      <c r="O1226" s="527"/>
      <c r="P1226" s="527"/>
      <c r="Q1226" s="527"/>
      <c r="R1226" s="527"/>
      <c r="S1226" s="527"/>
      <c r="T1226" s="527"/>
      <c r="U1226" s="527"/>
      <c r="V1226" s="527"/>
      <c r="W1226" s="527"/>
      <c r="X1226" s="528"/>
      <c r="Z1226" s="198"/>
      <c r="AA1226" s="198"/>
    </row>
    <row r="1227" spans="1:27" ht="15" customHeight="1" thickBot="1">
      <c r="A1227" s="225"/>
      <c r="B1227" s="284" t="str">
        <f>IF(X1228="","BLANKET/FELT/PAPER (pcs)",X1228)</f>
        <v>BLANKET/FELT/PAPER (pcs)</v>
      </c>
      <c r="C1227" s="285" t="s">
        <v>101</v>
      </c>
      <c r="D1227" s="286" t="s">
        <v>102</v>
      </c>
      <c r="E1227" s="286" t="s">
        <v>42</v>
      </c>
      <c r="F1227" s="286" t="s">
        <v>42</v>
      </c>
      <c r="G1227" s="286" t="s">
        <v>43</v>
      </c>
      <c r="H1227" s="286" t="s">
        <v>44</v>
      </c>
      <c r="I1227" s="286" t="s">
        <v>47</v>
      </c>
      <c r="J1227" s="286" t="s">
        <v>103</v>
      </c>
      <c r="K1227" s="286" t="s">
        <v>37</v>
      </c>
      <c r="L1227" s="286" t="s">
        <v>39</v>
      </c>
      <c r="M1227" s="286" t="s">
        <v>41</v>
      </c>
      <c r="N1227" s="286" t="s">
        <v>46</v>
      </c>
      <c r="O1227" s="286"/>
      <c r="P1227" s="286" t="s">
        <v>113</v>
      </c>
      <c r="Q1227" s="286"/>
      <c r="R1227" s="286"/>
      <c r="S1227" s="286" t="s">
        <v>70</v>
      </c>
      <c r="T1227" s="286" t="s">
        <v>26</v>
      </c>
      <c r="U1227" s="286" t="s">
        <v>38</v>
      </c>
      <c r="V1227" s="287" t="s">
        <v>27</v>
      </c>
      <c r="W1227" s="288"/>
      <c r="X1227" s="289"/>
    </row>
    <row r="1228" spans="1:27" ht="15" customHeight="1" thickBot="1">
      <c r="A1228" s="225"/>
      <c r="B1228" s="221"/>
      <c r="C1228" s="144">
        <f>SUMIF(Densidades!A:A,'Memória TOTAL'!X1228,Densidades!B:B)</f>
        <v>0</v>
      </c>
      <c r="D1228" s="145">
        <f>SUMIF(Densidades!A:A,'Memória TOTAL'!X1228,Densidades!C:C)</f>
        <v>0</v>
      </c>
      <c r="E1228" s="146">
        <f>SUMIF(Formatos!A:A,'Memória TOTAL'!X1229,Formatos!E:E)</f>
        <v>0</v>
      </c>
      <c r="F1228" s="146">
        <f>SUMIF(Formatos!A:A,'Memória TOTAL'!X1229,Formatos!F:F)</f>
        <v>0</v>
      </c>
      <c r="G1228" s="146">
        <f>SUMIF(Formatos!A:A,'Memória TOTAL'!X1229,Formatos!C:C)</f>
        <v>0</v>
      </c>
      <c r="H1228" s="146">
        <f>SUMIF(Formatos!A:A,'Memória TOTAL'!X1229,Formatos!D:D)</f>
        <v>0</v>
      </c>
      <c r="I1228" s="146">
        <f>SUMIF(Densidades!A:A,'Memória TOTAL'!X1228,Densidades!H:H)</f>
        <v>0</v>
      </c>
      <c r="J1228" s="147">
        <f>SUMIF(Formatos!A:A,'Memória TOTAL'!X1229,Formatos!G:G)</f>
        <v>0</v>
      </c>
      <c r="K1228" s="148">
        <f>SUMIF(Densidades!A:A,'Memória TOTAL'!X1228,Densidades!I:I)</f>
        <v>0</v>
      </c>
      <c r="L1228" s="149">
        <v>0</v>
      </c>
      <c r="M1228" s="150"/>
      <c r="N1228" s="268"/>
      <c r="O1228" s="150"/>
      <c r="P1228" s="150"/>
      <c r="Q1228" s="150"/>
      <c r="R1228" s="150"/>
      <c r="S1228" s="150"/>
      <c r="T1228" s="150"/>
      <c r="U1228" s="150"/>
      <c r="V1228" s="156"/>
      <c r="W1228" s="204" t="str">
        <f>IF(C1228=0,"",ROUNDUP(SUM(V1230:V1233)*(1+L1228),0))</f>
        <v/>
      </c>
      <c r="X1228" s="274"/>
    </row>
    <row r="1229" spans="1:27" ht="15" customHeight="1" thickBot="1">
      <c r="A1229" s="225"/>
      <c r="B1229" s="222"/>
      <c r="C1229" s="153"/>
      <c r="D1229" s="150"/>
      <c r="E1229" s="146">
        <f t="shared" ref="E1229:K1229" si="175">E1228</f>
        <v>0</v>
      </c>
      <c r="F1229" s="146">
        <f t="shared" si="175"/>
        <v>0</v>
      </c>
      <c r="G1229" s="146">
        <f t="shared" si="175"/>
        <v>0</v>
      </c>
      <c r="H1229" s="146">
        <f t="shared" si="175"/>
        <v>0</v>
      </c>
      <c r="I1229" s="146">
        <f t="shared" si="175"/>
        <v>0</v>
      </c>
      <c r="J1229" s="146">
        <f t="shared" si="175"/>
        <v>0</v>
      </c>
      <c r="K1229" s="148">
        <f t="shared" si="175"/>
        <v>0</v>
      </c>
      <c r="L1229" s="155"/>
      <c r="M1229" s="150"/>
      <c r="N1229" s="146">
        <f>N1228</f>
        <v>0</v>
      </c>
      <c r="O1229" s="150"/>
      <c r="P1229" s="150"/>
      <c r="Q1229" s="150"/>
      <c r="R1229" s="150"/>
      <c r="S1229" s="150"/>
      <c r="T1229" s="150"/>
      <c r="U1229" s="150"/>
      <c r="V1229" s="156"/>
      <c r="W1229" s="157"/>
      <c r="X1229" s="274"/>
    </row>
    <row r="1230" spans="1:27" ht="15" customHeight="1" thickBot="1">
      <c r="A1230" s="225"/>
      <c r="B1230" s="223" t="s">
        <v>71</v>
      </c>
      <c r="C1230" s="153"/>
      <c r="D1230" s="150"/>
      <c r="E1230" s="146">
        <f t="shared" ref="E1230:K1230" si="176">E1229</f>
        <v>0</v>
      </c>
      <c r="F1230" s="146">
        <f t="shared" si="176"/>
        <v>0</v>
      </c>
      <c r="G1230" s="146">
        <f t="shared" si="176"/>
        <v>0</v>
      </c>
      <c r="H1230" s="146">
        <f t="shared" si="176"/>
        <v>0</v>
      </c>
      <c r="I1230" s="146">
        <f t="shared" si="176"/>
        <v>0</v>
      </c>
      <c r="J1230" s="146">
        <f t="shared" si="176"/>
        <v>0</v>
      </c>
      <c r="K1230" s="148">
        <f t="shared" si="176"/>
        <v>0</v>
      </c>
      <c r="L1230" s="155"/>
      <c r="M1230" s="150"/>
      <c r="N1230" s="146">
        <f>N1229</f>
        <v>0</v>
      </c>
      <c r="O1230" s="150"/>
      <c r="P1230" s="150"/>
      <c r="Q1230" s="150"/>
      <c r="R1230" s="150"/>
      <c r="S1230" s="150"/>
      <c r="T1230" s="150"/>
      <c r="U1230" s="206"/>
      <c r="V1230" s="156"/>
      <c r="W1230" s="157"/>
      <c r="X1230" s="158" t="s">
        <v>524</v>
      </c>
    </row>
    <row r="1231" spans="1:27" ht="15" customHeight="1" thickBot="1">
      <c r="A1231" s="225"/>
      <c r="B1231" s="217"/>
      <c r="C1231" s="170"/>
      <c r="D1231" s="171"/>
      <c r="E1231" s="187">
        <f t="shared" ref="E1231:K1231" si="177">E1230</f>
        <v>0</v>
      </c>
      <c r="F1231" s="187">
        <f t="shared" si="177"/>
        <v>0</v>
      </c>
      <c r="G1231" s="187">
        <f t="shared" si="177"/>
        <v>0</v>
      </c>
      <c r="H1231" s="187">
        <f t="shared" si="177"/>
        <v>0</v>
      </c>
      <c r="I1231" s="187">
        <f t="shared" si="177"/>
        <v>0</v>
      </c>
      <c r="J1231" s="187">
        <f t="shared" si="177"/>
        <v>0</v>
      </c>
      <c r="K1231" s="188">
        <f t="shared" si="177"/>
        <v>0</v>
      </c>
      <c r="L1231" s="173"/>
      <c r="M1231" s="171"/>
      <c r="N1231" s="187">
        <f>N1230</f>
        <v>0</v>
      </c>
      <c r="O1231" s="171"/>
      <c r="P1231" s="268"/>
      <c r="Q1231" s="171"/>
      <c r="R1231" s="171"/>
      <c r="S1231" s="268"/>
      <c r="T1231" s="189" t="str">
        <f>IF(S1231="","-",IF(COUNTIF(E1231:H1231,P1231)&lt;1,"Esp. Errada",ROUNDUP(S1231/((G1231+N1231)*(H1231+N1231)*((E1231+N1231)+(F1231+N1231))/2/(P1231+N1231)),0)))</f>
        <v>-</v>
      </c>
      <c r="U1231" s="268"/>
      <c r="V1231" s="190">
        <f>IF(S1231="",0,IF(OR(P1231=E1231,P1231=G1231,P1231=H1231),T1231*U1231,"ESP. ERRADA"))</f>
        <v>0</v>
      </c>
      <c r="W1231" s="191"/>
      <c r="X1231" s="192"/>
    </row>
    <row r="1232" spans="1:27" s="197" customFormat="1" ht="15" customHeight="1" thickBot="1">
      <c r="A1232" s="225"/>
      <c r="B1232" s="217"/>
      <c r="C1232" s="235"/>
      <c r="D1232" s="212"/>
      <c r="E1232" s="187">
        <f t="shared" ref="E1232:K1232" si="178">E1230</f>
        <v>0</v>
      </c>
      <c r="F1232" s="187">
        <f t="shared" si="178"/>
        <v>0</v>
      </c>
      <c r="G1232" s="187">
        <f t="shared" si="178"/>
        <v>0</v>
      </c>
      <c r="H1232" s="187">
        <f t="shared" si="178"/>
        <v>0</v>
      </c>
      <c r="I1232" s="187">
        <f t="shared" si="178"/>
        <v>0</v>
      </c>
      <c r="J1232" s="187">
        <f t="shared" si="178"/>
        <v>0</v>
      </c>
      <c r="K1232" s="236">
        <f t="shared" si="178"/>
        <v>0</v>
      </c>
      <c r="L1232" s="173"/>
      <c r="M1232" s="281"/>
      <c r="N1232" s="187">
        <f>N1230</f>
        <v>0</v>
      </c>
      <c r="O1232" s="212"/>
      <c r="P1232" s="268"/>
      <c r="Q1232" s="212"/>
      <c r="R1232" s="212"/>
      <c r="S1232" s="212"/>
      <c r="T1232" s="238" t="str">
        <f>IF(M1232="","-",IF(COUNTIF(E1232:H1232,P1232)&lt;1,"Esp. Errada",ROUNDUP(M1232/IF(G1232=P1232,G1232,(G1232+N1232))/IF(H1232=P1232,H1232,(H1232+N1232))/IF(E1232=P1232,E1232,(E1232+N1232)),0)))</f>
        <v>-</v>
      </c>
      <c r="U1232" s="268"/>
      <c r="V1232" s="190">
        <f>IF(M1232="",0,IF(OR(P1232=E1232,P1232=G1232,P1232=H1232),T1232*U1232,"ESP. ERRADA"))</f>
        <v>0</v>
      </c>
      <c r="W1232" s="240"/>
      <c r="X1232" s="241"/>
      <c r="Z1232" s="198"/>
      <c r="AA1232" s="198"/>
    </row>
    <row r="1233" spans="1:27" s="197" customFormat="1" ht="15" customHeight="1">
      <c r="A1233" s="226"/>
      <c r="B1233" s="221"/>
      <c r="C1233" s="211"/>
      <c r="D1233" s="206"/>
      <c r="E1233" s="206"/>
      <c r="F1233" s="206"/>
      <c r="G1233" s="206"/>
      <c r="H1233" s="206"/>
      <c r="I1233" s="206"/>
      <c r="J1233" s="207"/>
      <c r="K1233" s="207"/>
      <c r="L1233" s="155"/>
      <c r="M1233" s="206"/>
      <c r="N1233" s="206"/>
      <c r="O1233" s="206"/>
      <c r="P1233" s="206"/>
      <c r="Q1233" s="206"/>
      <c r="R1233" s="206"/>
      <c r="S1233" s="206"/>
      <c r="T1233" s="206"/>
      <c r="U1233" s="206"/>
      <c r="V1233" s="208"/>
      <c r="W1233" s="196"/>
      <c r="X1233" s="152"/>
      <c r="Z1233" s="198"/>
      <c r="AA1233" s="198"/>
    </row>
    <row r="1234" spans="1:27" s="197" customFormat="1" ht="15" customHeight="1" thickBot="1">
      <c r="A1234" s="226"/>
      <c r="B1234" s="524"/>
      <c r="C1234" s="524"/>
      <c r="D1234" s="527"/>
      <c r="E1234" s="527"/>
      <c r="F1234" s="527"/>
      <c r="G1234" s="527"/>
      <c r="H1234" s="527"/>
      <c r="I1234" s="527"/>
      <c r="J1234" s="527"/>
      <c r="K1234" s="527"/>
      <c r="L1234" s="527"/>
      <c r="M1234" s="527"/>
      <c r="N1234" s="527"/>
      <c r="O1234" s="527"/>
      <c r="P1234" s="527"/>
      <c r="Q1234" s="527"/>
      <c r="R1234" s="527"/>
      <c r="S1234" s="527"/>
      <c r="T1234" s="527"/>
      <c r="U1234" s="527"/>
      <c r="V1234" s="527"/>
      <c r="W1234" s="527"/>
      <c r="X1234" s="528"/>
      <c r="Z1234" s="198"/>
      <c r="AA1234" s="198"/>
    </row>
    <row r="1235" spans="1:27" ht="15" customHeight="1" thickBot="1">
      <c r="A1235" s="225"/>
      <c r="B1235" s="284" t="str">
        <f>IF(X1236="","JOINT PANEL (pcs)",X1236)</f>
        <v>JOINT PANEL (pcs)</v>
      </c>
      <c r="C1235" s="285" t="s">
        <v>101</v>
      </c>
      <c r="D1235" s="286" t="s">
        <v>102</v>
      </c>
      <c r="E1235" s="286" t="s">
        <v>42</v>
      </c>
      <c r="F1235" s="286" t="s">
        <v>42</v>
      </c>
      <c r="G1235" s="286" t="s">
        <v>43</v>
      </c>
      <c r="H1235" s="286" t="s">
        <v>44</v>
      </c>
      <c r="I1235" s="286" t="s">
        <v>47</v>
      </c>
      <c r="J1235" s="286" t="s">
        <v>103</v>
      </c>
      <c r="K1235" s="286" t="s">
        <v>37</v>
      </c>
      <c r="L1235" s="286" t="s">
        <v>39</v>
      </c>
      <c r="M1235" s="286"/>
      <c r="N1235" s="286"/>
      <c r="O1235" s="286"/>
      <c r="P1235" s="194" t="s">
        <v>1095</v>
      </c>
      <c r="Q1235" s="286" t="s">
        <v>107</v>
      </c>
      <c r="R1235" s="194" t="s">
        <v>65</v>
      </c>
      <c r="S1235" s="286" t="s">
        <v>70</v>
      </c>
      <c r="T1235" s="286" t="s">
        <v>26</v>
      </c>
      <c r="U1235" s="286" t="s">
        <v>38</v>
      </c>
      <c r="V1235" s="287" t="s">
        <v>27</v>
      </c>
      <c r="W1235" s="288"/>
      <c r="X1235" s="289"/>
    </row>
    <row r="1236" spans="1:27" ht="15" customHeight="1" thickBot="1">
      <c r="A1236" s="225"/>
      <c r="B1236" s="221"/>
      <c r="C1236" s="144">
        <f>SUMIF(Densidades!A:A,'Memória TOTAL'!X1236,Densidades!B:B)</f>
        <v>0</v>
      </c>
      <c r="D1236" s="145">
        <f>SUMIF(Densidades!A:A,'Memória TOTAL'!X1236,Densidades!C:C)</f>
        <v>0</v>
      </c>
      <c r="E1236" s="146">
        <f>SUMIF(Formatos!A:A,'Memória TOTAL'!X1237,Formatos!E:E)</f>
        <v>0</v>
      </c>
      <c r="F1236" s="146">
        <f>SUMIF(Formatos!A:A,'Memória TOTAL'!X1237,Formatos!F:F)</f>
        <v>0</v>
      </c>
      <c r="G1236" s="146">
        <f>SUMIF(Formatos!A:A,'Memória TOTAL'!X1237,Formatos!C:C)</f>
        <v>0</v>
      </c>
      <c r="H1236" s="146">
        <f>SUMIF(Formatos!A:A,'Memória TOTAL'!X1237,Formatos!D:D)</f>
        <v>0</v>
      </c>
      <c r="I1236" s="146">
        <f>SUMIF(Densidades!A:A,'Memória TOTAL'!X1236,Densidades!H:H)</f>
        <v>0</v>
      </c>
      <c r="J1236" s="147">
        <f>SUMIF(Formatos!A:A,'Memória TOTAL'!X1237,Formatos!G:G)</f>
        <v>0</v>
      </c>
      <c r="K1236" s="148">
        <f>SUMIF(Densidades!A:A,'Memória TOTAL'!X1236,Densidades!I:I)</f>
        <v>0</v>
      </c>
      <c r="L1236" s="149">
        <v>0</v>
      </c>
      <c r="M1236" s="150"/>
      <c r="N1236" s="150"/>
      <c r="O1236" s="150"/>
      <c r="P1236" s="150"/>
      <c r="Q1236" s="150"/>
      <c r="R1236" s="150"/>
      <c r="S1236" s="150"/>
      <c r="T1236" s="150"/>
      <c r="U1236" s="150"/>
      <c r="V1236" s="156"/>
      <c r="W1236" s="204" t="str">
        <f>IF(C1236=0,"",ROUNDUP(SUM(V1238:V1240)*(1+L1236),0))</f>
        <v/>
      </c>
      <c r="X1236" s="274"/>
    </row>
    <row r="1237" spans="1:27" ht="15" customHeight="1" thickBot="1">
      <c r="A1237" s="225"/>
      <c r="B1237" s="222"/>
      <c r="C1237" s="153"/>
      <c r="D1237" s="150"/>
      <c r="E1237" s="146">
        <f t="shared" ref="E1237:K1237" si="179">E1236</f>
        <v>0</v>
      </c>
      <c r="F1237" s="146">
        <f t="shared" si="179"/>
        <v>0</v>
      </c>
      <c r="G1237" s="146">
        <f t="shared" si="179"/>
        <v>0</v>
      </c>
      <c r="H1237" s="146">
        <f t="shared" si="179"/>
        <v>0</v>
      </c>
      <c r="I1237" s="146">
        <f t="shared" si="179"/>
        <v>0</v>
      </c>
      <c r="J1237" s="146">
        <f t="shared" si="179"/>
        <v>0</v>
      </c>
      <c r="K1237" s="148">
        <f t="shared" si="179"/>
        <v>0</v>
      </c>
      <c r="L1237" s="155"/>
      <c r="M1237" s="150"/>
      <c r="N1237" s="146"/>
      <c r="O1237" s="150"/>
      <c r="P1237" s="150"/>
      <c r="Q1237" s="150"/>
      <c r="R1237" s="150"/>
      <c r="S1237" s="150"/>
      <c r="T1237" s="150"/>
      <c r="U1237" s="150"/>
      <c r="V1237" s="156"/>
      <c r="W1237" s="157"/>
      <c r="X1237" s="274"/>
    </row>
    <row r="1238" spans="1:27" ht="15" customHeight="1" thickBot="1">
      <c r="A1238" s="225"/>
      <c r="B1238" s="223" t="s">
        <v>71</v>
      </c>
      <c r="C1238" s="153"/>
      <c r="D1238" s="150"/>
      <c r="E1238" s="146">
        <f t="shared" ref="E1238:K1238" si="180">E1237</f>
        <v>0</v>
      </c>
      <c r="F1238" s="146">
        <f t="shared" si="180"/>
        <v>0</v>
      </c>
      <c r="G1238" s="146">
        <f t="shared" si="180"/>
        <v>0</v>
      </c>
      <c r="H1238" s="146">
        <f t="shared" si="180"/>
        <v>0</v>
      </c>
      <c r="I1238" s="146">
        <f t="shared" si="180"/>
        <v>0</v>
      </c>
      <c r="J1238" s="146">
        <f t="shared" si="180"/>
        <v>0</v>
      </c>
      <c r="K1238" s="148">
        <f t="shared" si="180"/>
        <v>0</v>
      </c>
      <c r="L1238" s="155"/>
      <c r="M1238" s="150"/>
      <c r="N1238" s="146"/>
      <c r="O1238" s="150"/>
      <c r="P1238" s="150"/>
      <c r="Q1238" s="150"/>
      <c r="R1238" s="150"/>
      <c r="S1238" s="150"/>
      <c r="T1238" s="150"/>
      <c r="U1238" s="206" t="s">
        <v>673</v>
      </c>
      <c r="V1238" s="156"/>
      <c r="W1238" s="157"/>
      <c r="X1238" s="158" t="s">
        <v>524</v>
      </c>
    </row>
    <row r="1239" spans="1:27" ht="15" customHeight="1" thickBot="1">
      <c r="A1239" s="225"/>
      <c r="B1239" s="217"/>
      <c r="C1239" s="170"/>
      <c r="D1239" s="171"/>
      <c r="E1239" s="187">
        <f t="shared" ref="E1239:K1239" si="181">E1238</f>
        <v>0</v>
      </c>
      <c r="F1239" s="187">
        <f t="shared" si="181"/>
        <v>0</v>
      </c>
      <c r="G1239" s="187">
        <f t="shared" si="181"/>
        <v>0</v>
      </c>
      <c r="H1239" s="187">
        <f t="shared" si="181"/>
        <v>0</v>
      </c>
      <c r="I1239" s="187">
        <f t="shared" si="181"/>
        <v>0</v>
      </c>
      <c r="J1239" s="187">
        <f t="shared" si="181"/>
        <v>0</v>
      </c>
      <c r="K1239" s="188">
        <f t="shared" si="181"/>
        <v>0</v>
      </c>
      <c r="L1239" s="173"/>
      <c r="M1239" s="171"/>
      <c r="N1239" s="187"/>
      <c r="O1239" s="171"/>
      <c r="P1239" s="268"/>
      <c r="Q1239" s="171"/>
      <c r="R1239" s="268"/>
      <c r="S1239" s="268"/>
      <c r="T1239" s="238" t="e">
        <f>ROUNDUP((((S1239/P1239/P1239)*(P1239*2)*R1239)/G1239/H1239),0)</f>
        <v>#DIV/0!</v>
      </c>
      <c r="U1239" s="268"/>
      <c r="V1239" s="190" t="e">
        <f>U1239*T1239</f>
        <v>#DIV/0!</v>
      </c>
      <c r="W1239" s="191"/>
      <c r="X1239" s="192"/>
    </row>
    <row r="1240" spans="1:27" s="197" customFormat="1" ht="15" customHeight="1">
      <c r="A1240" s="226"/>
      <c r="B1240" s="221"/>
      <c r="C1240" s="211"/>
      <c r="D1240" s="206"/>
      <c r="E1240" s="206"/>
      <c r="F1240" s="206"/>
      <c r="G1240" s="206"/>
      <c r="H1240" s="206"/>
      <c r="I1240" s="206"/>
      <c r="J1240" s="207"/>
      <c r="K1240" s="207"/>
      <c r="L1240" s="155"/>
      <c r="M1240" s="206"/>
      <c r="N1240" s="206"/>
      <c r="O1240" s="206"/>
      <c r="P1240" s="206"/>
      <c r="Q1240" s="206"/>
      <c r="R1240" s="206"/>
      <c r="S1240" s="206"/>
      <c r="T1240" s="206"/>
      <c r="U1240" s="206"/>
      <c r="V1240" s="208"/>
      <c r="W1240" s="196"/>
      <c r="X1240" s="152"/>
      <c r="Z1240" s="198"/>
      <c r="AA1240" s="198"/>
    </row>
    <row r="1241" spans="1:27" s="197" customFormat="1" ht="15" customHeight="1" thickBot="1">
      <c r="A1241" s="226"/>
      <c r="B1241" s="524"/>
      <c r="C1241" s="524"/>
      <c r="D1241" s="527"/>
      <c r="E1241" s="527"/>
      <c r="F1241" s="527"/>
      <c r="G1241" s="527"/>
      <c r="H1241" s="527"/>
      <c r="I1241" s="527"/>
      <c r="J1241" s="527"/>
      <c r="K1241" s="527"/>
      <c r="L1241" s="527"/>
      <c r="M1241" s="527"/>
      <c r="N1241" s="527"/>
      <c r="O1241" s="527"/>
      <c r="P1241" s="527"/>
      <c r="Q1241" s="527"/>
      <c r="R1241" s="527"/>
      <c r="S1241" s="527"/>
      <c r="T1241" s="527"/>
      <c r="U1241" s="527"/>
      <c r="V1241" s="527"/>
      <c r="W1241" s="527"/>
      <c r="X1241" s="528"/>
      <c r="Z1241" s="198"/>
      <c r="AA1241" s="198"/>
    </row>
    <row r="1242" spans="1:27" s="197" customFormat="1" ht="15" customHeight="1" thickBot="1">
      <c r="A1242" s="225"/>
      <c r="B1242" s="213" t="str">
        <f>IF(X1243="","FIBRA",X1243)</f>
        <v>CER. FIBER WOOL 96/1260</v>
      </c>
      <c r="C1242" s="230" t="s">
        <v>101</v>
      </c>
      <c r="D1242" s="194" t="s">
        <v>102</v>
      </c>
      <c r="E1242" s="194"/>
      <c r="F1242" s="194"/>
      <c r="G1242" s="194"/>
      <c r="H1242" s="194"/>
      <c r="I1242" s="194"/>
      <c r="J1242" s="194" t="s">
        <v>103</v>
      </c>
      <c r="K1242" s="194" t="s">
        <v>37</v>
      </c>
      <c r="L1242" s="194" t="s">
        <v>39</v>
      </c>
      <c r="M1242" s="194" t="s">
        <v>10</v>
      </c>
      <c r="N1242" s="194"/>
      <c r="O1242" s="194"/>
      <c r="P1242" s="194"/>
      <c r="Q1242" s="194"/>
      <c r="R1242" s="194"/>
      <c r="S1242" s="194"/>
      <c r="T1242" s="194" t="s">
        <v>26</v>
      </c>
      <c r="U1242" s="194" t="s">
        <v>38</v>
      </c>
      <c r="V1242" s="195" t="s">
        <v>27</v>
      </c>
      <c r="W1242" s="231"/>
      <c r="X1242" s="232"/>
      <c r="Z1242" s="198"/>
      <c r="AA1242" s="198"/>
    </row>
    <row r="1243" spans="1:27" s="197" customFormat="1" ht="15" customHeight="1" thickBot="1">
      <c r="A1243" s="225"/>
      <c r="B1243" s="205"/>
      <c r="C1243" s="144">
        <f>SUMIF(Densidades!A:A,'Memória TOTAL'!X1243,Densidades!B:B)</f>
        <v>9.6000000000000002E-2</v>
      </c>
      <c r="D1243" s="145">
        <f>SUMIF(Densidades!A:A,'Memória TOTAL'!X1243,Densidades!C:C)</f>
        <v>1</v>
      </c>
      <c r="E1243" s="145"/>
      <c r="F1243" s="145"/>
      <c r="G1243" s="145"/>
      <c r="H1243" s="145"/>
      <c r="I1243" s="145"/>
      <c r="J1243" s="147">
        <f>SUMIF(Formatos!A:A,'Memória TOTAL'!X1244,Formatos!G:G)</f>
        <v>1</v>
      </c>
      <c r="K1243" s="233">
        <f>SUMIF(Densidades!A:A,'Memória TOTAL'!X1243,Densidades!I:I)</f>
        <v>4</v>
      </c>
      <c r="L1243" s="234">
        <v>0</v>
      </c>
      <c r="M1243" s="206"/>
      <c r="N1243" s="206"/>
      <c r="O1243" s="206"/>
      <c r="P1243" s="206"/>
      <c r="Q1243" s="206"/>
      <c r="R1243" s="206"/>
      <c r="S1243" s="206"/>
      <c r="T1243" s="206"/>
      <c r="U1243" s="206"/>
      <c r="V1243" s="208"/>
      <c r="W1243" s="204">
        <f>IF(C1243=0,"",ROUNDUP(SUM(V1247:V1247)*(1+L1243),0))</f>
        <v>0</v>
      </c>
      <c r="X1243" s="274" t="s">
        <v>1811</v>
      </c>
      <c r="Z1243" s="198"/>
      <c r="AA1243" s="198"/>
    </row>
    <row r="1244" spans="1:27" s="197" customFormat="1" ht="15" customHeight="1" thickBot="1">
      <c r="A1244" s="225"/>
      <c r="B1244" s="205"/>
      <c r="C1244" s="211"/>
      <c r="D1244" s="206"/>
      <c r="E1244" s="206"/>
      <c r="F1244" s="206"/>
      <c r="G1244" s="206"/>
      <c r="H1244" s="206"/>
      <c r="I1244" s="206"/>
      <c r="J1244" s="207"/>
      <c r="K1244" s="207"/>
      <c r="L1244" s="155"/>
      <c r="M1244" s="206"/>
      <c r="N1244" s="206"/>
      <c r="O1244" s="206"/>
      <c r="P1244" s="206"/>
      <c r="Q1244" s="206"/>
      <c r="R1244" s="206"/>
      <c r="S1244" s="206"/>
      <c r="T1244" s="206"/>
      <c r="U1244" s="206"/>
      <c r="V1244" s="208"/>
      <c r="W1244" s="196"/>
      <c r="X1244" s="274" t="s">
        <v>1841</v>
      </c>
      <c r="Z1244" s="198"/>
      <c r="AA1244" s="198"/>
    </row>
    <row r="1245" spans="1:27" s="197" customFormat="1" ht="15" customHeight="1">
      <c r="A1245" s="225"/>
      <c r="B1245" s="205"/>
      <c r="C1245" s="211"/>
      <c r="D1245" s="206"/>
      <c r="E1245" s="206"/>
      <c r="F1245" s="206"/>
      <c r="G1245" s="206"/>
      <c r="H1245" s="206"/>
      <c r="I1245" s="206"/>
      <c r="J1245" s="207"/>
      <c r="K1245" s="207"/>
      <c r="L1245" s="155"/>
      <c r="M1245" s="206"/>
      <c r="N1245" s="206"/>
      <c r="O1245" s="206"/>
      <c r="P1245" s="206"/>
      <c r="Q1245" s="206"/>
      <c r="R1245" s="206"/>
      <c r="S1245" s="206"/>
      <c r="T1245" s="206"/>
      <c r="U1245" s="206"/>
      <c r="V1245" s="208"/>
      <c r="W1245" s="196"/>
      <c r="X1245" s="152" t="s">
        <v>2</v>
      </c>
      <c r="Z1245" s="198"/>
      <c r="AA1245" s="198"/>
    </row>
    <row r="1246" spans="1:27" s="197" customFormat="1" ht="15" customHeight="1" thickBot="1">
      <c r="A1246" s="225"/>
      <c r="B1246" s="179"/>
      <c r="C1246" s="211"/>
      <c r="D1246" s="206"/>
      <c r="E1246" s="206"/>
      <c r="F1246" s="206"/>
      <c r="G1246" s="206"/>
      <c r="H1246" s="206"/>
      <c r="I1246" s="206"/>
      <c r="J1246" s="207"/>
      <c r="K1246" s="207"/>
      <c r="L1246" s="155"/>
      <c r="M1246" s="206"/>
      <c r="N1246" s="206"/>
      <c r="O1246" s="206"/>
      <c r="P1246" s="206"/>
      <c r="Q1246" s="206"/>
      <c r="R1246" s="206"/>
      <c r="S1246" s="206"/>
      <c r="T1246" s="206"/>
      <c r="U1246" s="206"/>
      <c r="V1246" s="208"/>
      <c r="W1246" s="196"/>
      <c r="X1246" s="152"/>
      <c r="Z1246" s="198"/>
      <c r="AA1246" s="198"/>
    </row>
    <row r="1247" spans="1:27" s="197" customFormat="1" ht="15" customHeight="1" thickBot="1">
      <c r="A1247" s="225"/>
      <c r="B1247" s="217"/>
      <c r="C1247" s="209">
        <f>C1243</f>
        <v>9.6000000000000002E-2</v>
      </c>
      <c r="D1247" s="212"/>
      <c r="E1247" s="212"/>
      <c r="F1247" s="212"/>
      <c r="G1247" s="212"/>
      <c r="H1247" s="212"/>
      <c r="I1247" s="212"/>
      <c r="J1247" s="245"/>
      <c r="K1247" s="245"/>
      <c r="L1247" s="248">
        <v>0</v>
      </c>
      <c r="M1247" s="268"/>
      <c r="N1247" s="212"/>
      <c r="O1247" s="212"/>
      <c r="P1247" s="212"/>
      <c r="Q1247" s="212"/>
      <c r="R1247" s="212"/>
      <c r="S1247" s="212"/>
      <c r="T1247" s="238">
        <f>M1247/10^6</f>
        <v>0</v>
      </c>
      <c r="U1247" s="270">
        <v>1</v>
      </c>
      <c r="V1247" s="239">
        <f>ROUNDUP(T1247*C1247*(1+L1247),0)*U1247</f>
        <v>0</v>
      </c>
      <c r="W1247" s="240"/>
      <c r="X1247" s="241"/>
      <c r="Z1247" s="198"/>
      <c r="AA1247" s="198"/>
    </row>
    <row r="1248" spans="1:27" s="197" customFormat="1" ht="15" customHeight="1">
      <c r="A1248" s="225"/>
      <c r="B1248" s="205"/>
      <c r="C1248" s="211"/>
      <c r="D1248" s="206"/>
      <c r="E1248" s="206"/>
      <c r="F1248" s="206"/>
      <c r="G1248" s="206"/>
      <c r="H1248" s="206"/>
      <c r="I1248" s="206"/>
      <c r="J1248" s="207"/>
      <c r="K1248" s="207"/>
      <c r="L1248" s="155"/>
      <c r="M1248" s="206"/>
      <c r="N1248" s="206"/>
      <c r="O1248" s="206"/>
      <c r="P1248" s="206"/>
      <c r="Q1248" s="206"/>
      <c r="R1248" s="206"/>
      <c r="S1248" s="206"/>
      <c r="T1248" s="206"/>
      <c r="U1248" s="206"/>
      <c r="V1248" s="208"/>
      <c r="W1248" s="196"/>
      <c r="X1248" s="152"/>
      <c r="Z1248" s="198"/>
      <c r="AA1248" s="198"/>
    </row>
    <row r="1249" spans="1:27" s="197" customFormat="1" ht="15" customHeight="1" thickBot="1">
      <c r="A1249" s="225"/>
      <c r="B1249" s="524"/>
      <c r="C1249" s="524"/>
      <c r="D1249" s="527"/>
      <c r="E1249" s="527"/>
      <c r="F1249" s="527"/>
      <c r="G1249" s="527"/>
      <c r="H1249" s="527"/>
      <c r="I1249" s="527"/>
      <c r="J1249" s="527"/>
      <c r="K1249" s="527"/>
      <c r="L1249" s="527"/>
      <c r="M1249" s="527"/>
      <c r="N1249" s="527"/>
      <c r="O1249" s="527"/>
      <c r="P1249" s="527"/>
      <c r="Q1249" s="527"/>
      <c r="R1249" s="527"/>
      <c r="S1249" s="527"/>
      <c r="T1249" s="527"/>
      <c r="U1249" s="527"/>
      <c r="V1249" s="527"/>
      <c r="W1249" s="527"/>
      <c r="X1249" s="528"/>
      <c r="Z1249" s="198"/>
      <c r="AA1249" s="198"/>
    </row>
    <row r="1250" spans="1:27" ht="15" customHeight="1" thickBot="1">
      <c r="A1250" s="290"/>
      <c r="B1250" s="284" t="str">
        <f>IF(X1251="","ESPINHA DE PEIXE-FUNDO ESF.",X1251)</f>
        <v>ESPINHA DE PEIXE-FUNDO ESF.</v>
      </c>
      <c r="C1250" s="285" t="s">
        <v>101</v>
      </c>
      <c r="D1250" s="286" t="s">
        <v>102</v>
      </c>
      <c r="E1250" s="286" t="s">
        <v>42</v>
      </c>
      <c r="F1250" s="286" t="s">
        <v>42</v>
      </c>
      <c r="G1250" s="286" t="s">
        <v>43</v>
      </c>
      <c r="H1250" s="286" t="s">
        <v>44</v>
      </c>
      <c r="I1250" s="286" t="s">
        <v>47</v>
      </c>
      <c r="J1250" s="286" t="s">
        <v>103</v>
      </c>
      <c r="K1250" s="286" t="s">
        <v>37</v>
      </c>
      <c r="L1250" s="286" t="s">
        <v>39</v>
      </c>
      <c r="M1250" s="286" t="s">
        <v>45</v>
      </c>
      <c r="N1250" s="286" t="s">
        <v>46</v>
      </c>
      <c r="O1250" s="286" t="s">
        <v>672</v>
      </c>
      <c r="P1250" s="286" t="s">
        <v>51</v>
      </c>
      <c r="Q1250" s="286" t="s">
        <v>52</v>
      </c>
      <c r="R1250" s="310" t="s">
        <v>1012</v>
      </c>
      <c r="S1250" s="286"/>
      <c r="T1250" s="286"/>
      <c r="U1250" s="310" t="s">
        <v>38</v>
      </c>
      <c r="V1250" s="287" t="s">
        <v>27</v>
      </c>
      <c r="W1250" s="288"/>
      <c r="X1250" s="289"/>
    </row>
    <row r="1251" spans="1:27" ht="15" customHeight="1" thickBot="1">
      <c r="A1251" s="255"/>
      <c r="B1251" s="257"/>
      <c r="C1251" s="256">
        <f>SUMIF(Densidades!A:A,'Memória TOTAL'!X1251,Densidades!B:B)</f>
        <v>0</v>
      </c>
      <c r="D1251" s="145">
        <f>SUMIF(Densidades!A:A,'Memória TOTAL'!X1251,Densidades!C:C)</f>
        <v>0</v>
      </c>
      <c r="E1251" s="146">
        <f>IF(AND(E1257=1,E1258=2),SUMIF(Formatos!A:A,'Memória TOTAL'!X1252,Formatos!D:D),SUMIF(Formatos!A:A,'Memória TOTAL'!X1252,Formatos!E:E))</f>
        <v>0</v>
      </c>
      <c r="F1251" s="146">
        <f>IF(AND(E1257=1,E1258=2),SUMIF(Formatos!A:A,'Memória TOTAL'!X1252,Formatos!R:R),SUMIF(Formatos!A:A,'Memória TOTAL'!X1252,Formatos!F:F))</f>
        <v>0</v>
      </c>
      <c r="G1251" s="146">
        <f>SUMIF(Formatos!A:A,'Memória TOTAL'!X1252,Formatos!C:C)</f>
        <v>0</v>
      </c>
      <c r="H1251" s="146">
        <f>SUMIF(Formatos!A:A,'Memória TOTAL'!X1252,Formatos!D:D)</f>
        <v>0</v>
      </c>
      <c r="I1251" s="146">
        <f>SUMIF(Densidades!A:A,'Memória TOTAL'!X1251,Densidades!H:H)</f>
        <v>0</v>
      </c>
      <c r="J1251" s="147">
        <f>SUMIF(Formatos!A:A,'Memória TOTAL'!X1252,Formatos!G:G)</f>
        <v>4.1130000000000004</v>
      </c>
      <c r="K1251" s="148">
        <f>SUMIF(Densidades!A:A,'Memória TOTAL'!X1251,Densidades!I:I)</f>
        <v>0</v>
      </c>
      <c r="L1251" s="264">
        <v>0</v>
      </c>
      <c r="M1251" s="267"/>
      <c r="N1251" s="265">
        <v>0</v>
      </c>
      <c r="O1251" s="268"/>
      <c r="P1251" s="266">
        <f>O1251*2</f>
        <v>0</v>
      </c>
      <c r="Q1251" s="150">
        <f>P1251-(2*M1251)</f>
        <v>0</v>
      </c>
      <c r="R1251" s="268"/>
      <c r="S1251" s="271"/>
      <c r="T1251" s="206"/>
      <c r="U1251" s="268"/>
      <c r="V1251" s="267" t="str">
        <f>IF(M1251="","",IF(OR(M1251=E1251,M1251=G1251,M1251=H1251),ROUND(R1258,0),"ESP. ERRADA"))</f>
        <v/>
      </c>
      <c r="W1251" s="273" t="str">
        <f>IFERROR(IF(C1251=0,"",ROUNDUP(SUM(V1251)*(1+L1251),0))*U1251,"")</f>
        <v/>
      </c>
      <c r="X1251" s="274"/>
    </row>
    <row r="1252" spans="1:27" s="197" customFormat="1" ht="15" customHeight="1">
      <c r="A1252" s="226"/>
      <c r="B1252" s="315"/>
      <c r="C1252" s="247"/>
      <c r="D1252" s="206"/>
      <c r="E1252" s="206"/>
      <c r="F1252" s="206"/>
      <c r="G1252" s="206"/>
      <c r="H1252" s="206"/>
      <c r="I1252" s="206"/>
      <c r="J1252" s="207"/>
      <c r="K1252" s="207"/>
      <c r="L1252" s="155"/>
      <c r="M1252" s="206"/>
      <c r="N1252" s="206"/>
      <c r="O1252" s="206"/>
      <c r="P1252" s="206"/>
      <c r="Q1252" s="206"/>
      <c r="R1252" s="206"/>
      <c r="S1252" s="206"/>
      <c r="T1252" s="206"/>
      <c r="U1252" s="206"/>
      <c r="V1252" s="208"/>
      <c r="W1252" s="196"/>
      <c r="X1252" s="152" t="str">
        <f>IF(B1257="","",B1257)</f>
        <v/>
      </c>
      <c r="Z1252" s="198"/>
      <c r="AA1252" s="198"/>
    </row>
    <row r="1253" spans="1:27" s="197" customFormat="1" ht="15" customHeight="1">
      <c r="A1253" s="226"/>
      <c r="B1253" s="315"/>
      <c r="C1253" s="247"/>
      <c r="D1253" s="206"/>
      <c r="E1253" s="206"/>
      <c r="F1253" s="206"/>
      <c r="G1253" s="206"/>
      <c r="H1253" s="206"/>
      <c r="I1253" s="206"/>
      <c r="J1253" s="207"/>
      <c r="K1253" s="207"/>
      <c r="L1253" s="155"/>
      <c r="M1253" s="206"/>
      <c r="N1253" s="206"/>
      <c r="O1253" s="206"/>
      <c r="P1253" s="206"/>
      <c r="Q1253" s="206"/>
      <c r="R1253" s="206"/>
      <c r="S1253" s="206"/>
      <c r="T1253" s="206"/>
      <c r="U1253" s="206"/>
      <c r="V1253" s="208"/>
      <c r="W1253" s="196"/>
      <c r="X1253" s="152" t="s">
        <v>524</v>
      </c>
      <c r="Z1253" s="198"/>
      <c r="AA1253" s="198"/>
    </row>
    <row r="1254" spans="1:27" s="197" customFormat="1" ht="15" customHeight="1" thickBot="1">
      <c r="A1254" s="226"/>
      <c r="B1254" s="315"/>
      <c r="C1254" s="247" t="str">
        <f t="shared" ref="C1254:L1254" si="182">C1250</f>
        <v>Dens.</v>
      </c>
      <c r="D1254" s="206" t="str">
        <f t="shared" si="182"/>
        <v>Emb.</v>
      </c>
      <c r="E1254" s="249" t="str">
        <f t="shared" si="182"/>
        <v>Esp. Tij.</v>
      </c>
      <c r="F1254" s="249" t="str">
        <f t="shared" si="182"/>
        <v>Esp. Tij.</v>
      </c>
      <c r="G1254" s="249" t="str">
        <f t="shared" si="182"/>
        <v>Comp. Tij.</v>
      </c>
      <c r="H1254" s="249" t="str">
        <f t="shared" si="182"/>
        <v>Larg. Tij.</v>
      </c>
      <c r="I1254" s="249" t="str">
        <f t="shared" si="182"/>
        <v>Tipo Fator</v>
      </c>
      <c r="J1254" s="249" t="str">
        <f t="shared" si="182"/>
        <v>Vol.</v>
      </c>
      <c r="K1254" s="249" t="str">
        <f t="shared" si="182"/>
        <v>Class.</v>
      </c>
      <c r="L1254" s="206" t="str">
        <f t="shared" si="182"/>
        <v>Coefic. (%)</v>
      </c>
      <c r="M1254" s="206"/>
      <c r="N1254" s="206"/>
      <c r="O1254" s="206"/>
      <c r="P1254" s="206"/>
      <c r="Q1254" s="206"/>
      <c r="R1254" s="206"/>
      <c r="S1254" s="206"/>
      <c r="T1254" s="206"/>
      <c r="U1254" s="206"/>
      <c r="V1254" s="253"/>
      <c r="W1254" s="196"/>
      <c r="X1254" s="152"/>
      <c r="Z1254" s="198"/>
      <c r="AA1254" s="198"/>
    </row>
    <row r="1255" spans="1:27" s="197" customFormat="1" ht="15" customHeight="1" thickBot="1">
      <c r="A1255" s="226"/>
      <c r="B1255" s="315"/>
      <c r="C1255" s="256">
        <f>SUMIF(Densidades!A:A,'Memória TOTAL'!X1255,Densidades!B:B)</f>
        <v>0</v>
      </c>
      <c r="D1255" s="145">
        <f>SUMIF(Densidades!A:A,'Memória TOTAL'!X1255,Densidades!C:C)</f>
        <v>570</v>
      </c>
      <c r="E1255" s="146">
        <f>SUMIF(Formatos!A:A,'Memória TOTAL'!X1256,Formatos!E:E)</f>
        <v>0</v>
      </c>
      <c r="F1255" s="146">
        <f>SUMIF(Formatos!A:A,'Memória TOTAL'!X1256,Formatos!F:F)</f>
        <v>0</v>
      </c>
      <c r="G1255" s="146">
        <f>SUMIF(Formatos!A:A,'Memória TOTAL'!X1256,Formatos!C:C)</f>
        <v>0</v>
      </c>
      <c r="H1255" s="146">
        <f>SUMIF(Formatos!A:A,'Memória TOTAL'!X1256,Formatos!D:D)</f>
        <v>0</v>
      </c>
      <c r="I1255" s="146">
        <f>SUMIF(Densidades!A:A,'Memória TOTAL'!X1255,Densidades!H:H)</f>
        <v>0</v>
      </c>
      <c r="J1255" s="147">
        <f>SUMIF(Formatos!A:A,'Memória TOTAL'!X1256,Formatos!G:G)</f>
        <v>4.1130000000000004</v>
      </c>
      <c r="K1255" s="233">
        <f>SUMIF(Densidades!A:A,'Memória TOTAL'!X1255,Densidades!I:I)</f>
        <v>167</v>
      </c>
      <c r="L1255" s="234">
        <v>0</v>
      </c>
      <c r="M1255" s="206"/>
      <c r="N1255" s="206"/>
      <c r="O1255" s="206"/>
      <c r="P1255" s="206"/>
      <c r="Q1255" s="206"/>
      <c r="R1255" s="206"/>
      <c r="S1255" s="206"/>
      <c r="T1255" s="243"/>
      <c r="U1255" s="246"/>
      <c r="V1255" s="267" t="str">
        <f>IF(M1251="","",IF(OR(M1251=E1251,M1251=G1251,M1251=H1251),ROUND(S1258,0),"ESP. ERRADA"))</f>
        <v/>
      </c>
      <c r="W1255" s="278" t="str">
        <f>IFERROR(IF(C1255=0,"",ROUNDUP(SUM(V1255)*(1+L1255),0))*U1251,"")</f>
        <v/>
      </c>
      <c r="X1255" s="152" t="str">
        <f>IF(X1251="","",X1251)</f>
        <v/>
      </c>
      <c r="Z1255" s="198"/>
      <c r="AA1255" s="198"/>
    </row>
    <row r="1256" spans="1:27" s="197" customFormat="1" ht="15" customHeight="1">
      <c r="A1256" s="226"/>
      <c r="B1256" s="315"/>
      <c r="C1256" s="247"/>
      <c r="D1256" s="206"/>
      <c r="E1256" s="206"/>
      <c r="F1256" s="206"/>
      <c r="G1256" s="206"/>
      <c r="H1256" s="206"/>
      <c r="I1256" s="206"/>
      <c r="J1256" s="207"/>
      <c r="K1256" s="207"/>
      <c r="L1256" s="155"/>
      <c r="M1256" s="206"/>
      <c r="N1256" s="206"/>
      <c r="O1256" s="206"/>
      <c r="P1256" s="206"/>
      <c r="Q1256" s="206"/>
      <c r="R1256" s="206"/>
      <c r="S1256" s="206"/>
      <c r="T1256" s="206"/>
      <c r="U1256" s="206"/>
      <c r="V1256" s="208"/>
      <c r="W1256" s="196"/>
      <c r="X1256" s="152" t="str">
        <f>IF(B1258="","",B1258)</f>
        <v/>
      </c>
      <c r="Z1256" s="198"/>
      <c r="AA1256" s="198"/>
    </row>
    <row r="1257" spans="1:27" s="197" customFormat="1" ht="15" customHeight="1">
      <c r="A1257" s="226"/>
      <c r="B1257" s="315"/>
      <c r="C1257" s="254" t="s">
        <v>54</v>
      </c>
      <c r="D1257" s="250"/>
      <c r="E1257" s="206">
        <f>SUMIF(Formatos!A:A,'Memória TOTAL'!X1252,Formatos!S:S)</f>
        <v>2</v>
      </c>
      <c r="F1257" s="249"/>
      <c r="G1257" s="249"/>
      <c r="H1257" s="159" t="s">
        <v>54</v>
      </c>
      <c r="I1257" s="159" t="s">
        <v>55</v>
      </c>
      <c r="J1257" s="207"/>
      <c r="K1257" s="206" t="s">
        <v>1076</v>
      </c>
      <c r="L1257" s="155"/>
      <c r="M1257" s="206"/>
      <c r="N1257" s="206" t="s">
        <v>22</v>
      </c>
      <c r="O1257" s="160" t="s">
        <v>48</v>
      </c>
      <c r="P1257" s="160" t="s">
        <v>49</v>
      </c>
      <c r="Q1257" s="161" t="s">
        <v>50</v>
      </c>
      <c r="R1257" s="160" t="s">
        <v>54</v>
      </c>
      <c r="S1257" s="160" t="s">
        <v>55</v>
      </c>
      <c r="T1257" s="206"/>
      <c r="U1257" s="206"/>
      <c r="V1257" s="208"/>
      <c r="W1257" s="196"/>
      <c r="X1257" s="152" t="s">
        <v>524</v>
      </c>
      <c r="Z1257" s="198"/>
      <c r="AA1257" s="198"/>
    </row>
    <row r="1258" spans="1:27" s="197" customFormat="1" ht="15" customHeight="1" thickBot="1">
      <c r="A1258" s="226"/>
      <c r="B1258" s="316"/>
      <c r="C1258" s="254" t="s">
        <v>55</v>
      </c>
      <c r="D1258" s="250"/>
      <c r="E1258" s="206">
        <f>SUMIF(Formatos!A:A,'Memória TOTAL'!X1256,Formatos!S:S)</f>
        <v>2</v>
      </c>
      <c r="F1258" s="206"/>
      <c r="G1258" s="206"/>
      <c r="H1258" s="318" t="e">
        <f>(1/(-(N1258+N1251)*(Q1258+N1251)+(O1258+N1251)*(P1258+N1251)))*3.1416*(-P1251*(Q1258+N1251)+Q1251*(P1258+N1251))</f>
        <v>#DIV/0!</v>
      </c>
      <c r="I1258" s="318" t="e">
        <f>((P1251*PI())-(H1258*(N1258+N1251)))/(P1258+N1251)</f>
        <v>#DIV/0!</v>
      </c>
      <c r="J1258" s="207"/>
      <c r="K1258" s="206">
        <f>(P1251*PI()/360*R1251)^2*PI()/4</f>
        <v>0</v>
      </c>
      <c r="L1258" s="155"/>
      <c r="M1258" s="206"/>
      <c r="N1258" s="206">
        <f>E1251</f>
        <v>0</v>
      </c>
      <c r="O1258" s="162">
        <f>F1251</f>
        <v>0</v>
      </c>
      <c r="P1258" s="162">
        <f>E1255</f>
        <v>0</v>
      </c>
      <c r="Q1258" s="168">
        <f>F1255</f>
        <v>0</v>
      </c>
      <c r="R1258" s="162" t="e">
        <f>ROUNDUP(K1258/E1251/H1251*H1259,0)</f>
        <v>#DIV/0!</v>
      </c>
      <c r="S1258" s="162" t="e">
        <f>ROUNDUP(K1258/E1255/H1255*I1259,)</f>
        <v>#DIV/0!</v>
      </c>
      <c r="T1258" s="206"/>
      <c r="U1258" s="206"/>
      <c r="V1258" s="208"/>
      <c r="W1258" s="242"/>
      <c r="X1258" s="152"/>
      <c r="Z1258" s="198"/>
      <c r="AA1258" s="198"/>
    </row>
    <row r="1259" spans="1:27" s="166" customFormat="1" ht="15" customHeight="1" thickBot="1">
      <c r="A1259" s="259"/>
      <c r="B1259" s="258" t="s">
        <v>676</v>
      </c>
      <c r="C1259" s="247"/>
      <c r="D1259" s="206"/>
      <c r="E1259" s="206"/>
      <c r="F1259" s="206"/>
      <c r="G1259" s="206"/>
      <c r="H1259" s="318" t="e">
        <f>H1258/(H1258+I1258)</f>
        <v>#DIV/0!</v>
      </c>
      <c r="I1259" s="318" t="e">
        <f>I1258/(H1258+I1258)</f>
        <v>#DIV/0!</v>
      </c>
      <c r="J1259" s="207"/>
      <c r="K1259" s="207"/>
      <c r="L1259" s="206"/>
      <c r="M1259" s="206"/>
      <c r="N1259" s="206"/>
      <c r="O1259" s="206"/>
      <c r="P1259" s="206"/>
      <c r="Q1259" s="206"/>
      <c r="R1259" s="206"/>
      <c r="S1259" s="206"/>
      <c r="T1259" s="162"/>
      <c r="U1259" s="162"/>
      <c r="V1259" s="163"/>
      <c r="W1259" s="164"/>
      <c r="X1259" s="165"/>
      <c r="Z1259" s="167"/>
      <c r="AA1259" s="167"/>
    </row>
    <row r="1260" spans="1:27" s="197" customFormat="1" ht="15" customHeight="1">
      <c r="A1260" s="226"/>
      <c r="B1260" s="221"/>
      <c r="C1260" s="312"/>
      <c r="D1260" s="206"/>
      <c r="E1260" s="146"/>
      <c r="F1260" s="146"/>
      <c r="G1260" s="146"/>
      <c r="H1260" s="146"/>
      <c r="I1260" s="243"/>
      <c r="J1260" s="243"/>
      <c r="K1260" s="243"/>
      <c r="L1260" s="206"/>
      <c r="M1260" s="206"/>
      <c r="N1260" s="206"/>
      <c r="O1260" s="155"/>
      <c r="P1260" s="206"/>
      <c r="Q1260" s="206"/>
      <c r="R1260" s="206"/>
      <c r="S1260" s="206"/>
      <c r="T1260" s="206"/>
      <c r="U1260" s="206"/>
      <c r="V1260" s="208"/>
      <c r="W1260" s="196"/>
      <c r="X1260" s="152"/>
      <c r="Z1260" s="198"/>
      <c r="AA1260" s="198"/>
    </row>
    <row r="1261" spans="1:27" s="197" customFormat="1" ht="15" customHeight="1">
      <c r="A1261" s="226"/>
      <c r="B1261" s="221"/>
      <c r="C1261" s="312"/>
      <c r="D1261" s="206"/>
      <c r="E1261" s="146"/>
      <c r="F1261" s="146"/>
      <c r="G1261" s="146"/>
      <c r="H1261" s="146"/>
      <c r="I1261" s="243"/>
      <c r="J1261" s="243"/>
      <c r="K1261" s="243"/>
      <c r="L1261" s="206"/>
      <c r="M1261" s="206"/>
      <c r="N1261" s="206"/>
      <c r="O1261" s="155"/>
      <c r="P1261" s="206"/>
      <c r="Q1261" s="206"/>
      <c r="R1261" s="206"/>
      <c r="S1261" s="206"/>
      <c r="T1261" s="206"/>
      <c r="U1261" s="206"/>
      <c r="V1261" s="208"/>
      <c r="W1261" s="196"/>
      <c r="X1261" s="152"/>
      <c r="Z1261" s="198"/>
      <c r="AA1261" s="198"/>
    </row>
    <row r="1262" spans="1:27" s="197" customFormat="1" ht="15" customHeight="1" thickBot="1">
      <c r="A1262" s="226"/>
      <c r="B1262" s="291" t="s">
        <v>1010</v>
      </c>
      <c r="C1262" s="292"/>
      <c r="D1262" s="293"/>
      <c r="E1262" s="293"/>
      <c r="F1262" s="293"/>
      <c r="G1262" s="293"/>
      <c r="H1262" s="293"/>
      <c r="I1262" s="293"/>
      <c r="J1262" s="294"/>
      <c r="K1262" s="294"/>
      <c r="L1262" s="295"/>
      <c r="M1262" s="293"/>
      <c r="N1262" s="293"/>
      <c r="O1262" s="293"/>
      <c r="P1262" s="293"/>
      <c r="Q1262" s="293"/>
      <c r="R1262" s="293"/>
      <c r="S1262" s="296"/>
      <c r="T1262" s="293"/>
      <c r="U1262" s="293" t="s">
        <v>678</v>
      </c>
      <c r="V1262" s="297" t="s">
        <v>27</v>
      </c>
      <c r="W1262" s="298"/>
      <c r="X1262" s="299"/>
      <c r="Z1262" s="198"/>
      <c r="AA1262" s="198"/>
    </row>
    <row r="1263" spans="1:27" s="197" customFormat="1" ht="15" customHeight="1" thickBot="1">
      <c r="A1263" s="226"/>
      <c r="B1263" s="221"/>
      <c r="C1263" s="144">
        <f>SUMIF(Densidades!A:A,'Memória TOTAL'!X1263,Densidades!B:B)</f>
        <v>0</v>
      </c>
      <c r="D1263" s="145">
        <f>SUMIF(Densidades!A:A,'Memória TOTAL'!X1263,Densidades!C:C)</f>
        <v>0</v>
      </c>
      <c r="E1263" s="145" t="str">
        <f>IF(I1263=15,"FIRECLAY MORTAR",IF(I1263=16,"ALUMINA MORTAR",IF(I1263=17,"BASIC MORTAR",IF(I1263=18,"MORTAR","-"))))</f>
        <v>-</v>
      </c>
      <c r="F1263" s="145" t="str">
        <f>IF(I1263=15,"FIRECLAY MORTAR",IF(I1263=16,"ALUMINA MORTAR",IF(I1263=17,"BASIC MORTAR",IF(I1263=18,"MORTAR","-"))))</f>
        <v>-</v>
      </c>
      <c r="G1263" s="145" t="str">
        <f>IF(I1263=15,"FIRECLAY MORTAR",IF(I1263=16,"ALUMINA MORTAR",IF(I1263=17,"BASIC MORTAR",IF(I1263=18,"MORTAR","-"))))</f>
        <v>-</v>
      </c>
      <c r="H1263" s="145" t="str">
        <f>IF(I1263=15,"FIRECLAY MORTAR",IF(I1263=16,"ALUMINA MORTAR",IF(I1263=17,"BASIC MORTAR",IF(I1263=18,"MORTAR","-"))))</f>
        <v>-</v>
      </c>
      <c r="I1263" s="145">
        <f>SUMIF(Densidades!A:A,'Memória TOTAL'!X1263,Densidades!G:G)</f>
        <v>0</v>
      </c>
      <c r="J1263" s="147">
        <f>SUMIF(Formatos!A:A,'Memória TOTAL'!X1264,Formatos!G:G)</f>
        <v>0</v>
      </c>
      <c r="K1263" s="148">
        <f>SUMIF(Densidades!A:A,'Memória TOTAL'!X1263,Densidades!I:I)</f>
        <v>0</v>
      </c>
      <c r="L1263" s="199">
        <v>0</v>
      </c>
      <c r="M1263" s="200"/>
      <c r="N1263" s="200"/>
      <c r="O1263" s="200"/>
      <c r="P1263" s="200"/>
      <c r="Q1263" s="200"/>
      <c r="R1263" s="200"/>
      <c r="S1263" s="200"/>
      <c r="T1263" s="201"/>
      <c r="U1263" s="302">
        <v>0.06</v>
      </c>
      <c r="V1263" s="203" t="e">
        <f>(W1251*J1251*C1263+W1255*J1255*C1263)*U1263</f>
        <v>#VALUE!</v>
      </c>
      <c r="W1263" s="204" t="str">
        <f>IF(C1263=0,"",ROUNDUP(SUM(V1263:V1264)*(1+L1263)/D1263,0)*D1263)</f>
        <v/>
      </c>
      <c r="X1263" s="274"/>
      <c r="Z1263" s="198"/>
      <c r="AA1263" s="198"/>
    </row>
    <row r="1264" spans="1:27" s="197" customFormat="1" ht="15" customHeight="1">
      <c r="A1264" s="226"/>
      <c r="B1264" s="221"/>
      <c r="C1264" s="144"/>
      <c r="D1264" s="206"/>
      <c r="E1264" s="206"/>
      <c r="F1264" s="206"/>
      <c r="G1264" s="206"/>
      <c r="H1264" s="206"/>
      <c r="I1264" s="206"/>
      <c r="J1264" s="207"/>
      <c r="K1264" s="207"/>
      <c r="L1264" s="155"/>
      <c r="M1264" s="206"/>
      <c r="N1264" s="206"/>
      <c r="O1264" s="206"/>
      <c r="P1264" s="206"/>
      <c r="Q1264" s="206"/>
      <c r="R1264" s="206"/>
      <c r="S1264" s="206"/>
      <c r="T1264" s="206"/>
      <c r="U1264" s="206"/>
      <c r="V1264" s="208"/>
      <c r="W1264" s="196"/>
      <c r="X1264" s="152" t="str">
        <f>IF(AND(H1263="-",G1263="-",F1263="-"),E1263,IF(AND(H1263="-",G1263="-",E1263="-"),F1263,IF(AND(H1263="-",F1263="-",E1263="-"),G1263,H1263)))</f>
        <v>-</v>
      </c>
      <c r="Z1264" s="198"/>
      <c r="AA1264" s="198"/>
    </row>
    <row r="1265" spans="1:27" s="197" customFormat="1" ht="15" customHeight="1">
      <c r="A1265" s="226"/>
      <c r="B1265" s="224"/>
      <c r="C1265" s="144"/>
      <c r="D1265" s="206"/>
      <c r="E1265" s="206"/>
      <c r="F1265" s="206"/>
      <c r="G1265" s="206"/>
      <c r="H1265" s="206"/>
      <c r="I1265" s="206"/>
      <c r="J1265" s="207"/>
      <c r="K1265" s="207"/>
      <c r="L1265" s="155"/>
      <c r="M1265" s="206"/>
      <c r="N1265" s="206"/>
      <c r="O1265" s="206"/>
      <c r="P1265" s="206"/>
      <c r="Q1265" s="206"/>
      <c r="R1265" s="206"/>
      <c r="S1265" s="206"/>
      <c r="T1265" s="206"/>
      <c r="U1265" s="206"/>
      <c r="V1265" s="208"/>
      <c r="W1265" s="196"/>
      <c r="X1265" s="152" t="s">
        <v>2</v>
      </c>
      <c r="Z1265" s="198"/>
      <c r="AA1265" s="198"/>
    </row>
    <row r="1266" spans="1:27" ht="15" customHeight="1">
      <c r="A1266" s="226"/>
      <c r="B1266" s="142"/>
      <c r="C1266" s="180"/>
      <c r="D1266" s="181"/>
      <c r="E1266" s="181"/>
      <c r="F1266" s="181"/>
      <c r="G1266" s="181"/>
      <c r="H1266" s="181"/>
      <c r="I1266" s="181"/>
      <c r="J1266" s="182"/>
      <c r="K1266" s="182"/>
      <c r="L1266" s="183"/>
      <c r="M1266" s="181"/>
      <c r="N1266" s="181"/>
      <c r="O1266" s="181"/>
      <c r="P1266" s="181"/>
      <c r="Q1266" s="181"/>
      <c r="R1266" s="181"/>
      <c r="S1266" s="181"/>
      <c r="T1266" s="181"/>
      <c r="U1266" s="181"/>
      <c r="V1266" s="184"/>
      <c r="W1266" s="185"/>
      <c r="X1266" s="186"/>
    </row>
    <row r="1267" spans="1:27" s="197" customFormat="1" ht="15" customHeight="1" thickBot="1">
      <c r="A1267" s="226"/>
      <c r="B1267" s="291" t="s">
        <v>1011</v>
      </c>
      <c r="C1267" s="292"/>
      <c r="D1267" s="293"/>
      <c r="E1267" s="293"/>
      <c r="F1267" s="293"/>
      <c r="G1267" s="293"/>
      <c r="H1267" s="293"/>
      <c r="I1267" s="293"/>
      <c r="J1267" s="294"/>
      <c r="K1267" s="294"/>
      <c r="L1267" s="295"/>
      <c r="M1267" s="293"/>
      <c r="N1267" s="293"/>
      <c r="O1267" s="293"/>
      <c r="P1267" s="293"/>
      <c r="Q1267" s="293"/>
      <c r="R1267" s="293" t="s">
        <v>636</v>
      </c>
      <c r="S1267" s="296" t="s">
        <v>637</v>
      </c>
      <c r="T1267" s="293" t="s">
        <v>638</v>
      </c>
      <c r="U1267" s="293" t="s">
        <v>38</v>
      </c>
      <c r="V1267" s="297" t="s">
        <v>27</v>
      </c>
      <c r="W1267" s="298"/>
      <c r="X1267" s="299"/>
      <c r="Z1267" s="198"/>
      <c r="AA1267" s="198"/>
    </row>
    <row r="1268" spans="1:27" s="197" customFormat="1" ht="15" customHeight="1" thickBot="1">
      <c r="A1268" s="226"/>
      <c r="B1268" s="221"/>
      <c r="C1268" s="144">
        <f>SUMIF(Densidades!A:A,'Memória TOTAL'!X1268,Densidades!B:B)</f>
        <v>0</v>
      </c>
      <c r="D1268" s="145">
        <f>SUMIF(Densidades!A:A,'Memória TOTAL'!X1268,Densidades!C:C)</f>
        <v>0</v>
      </c>
      <c r="E1268" s="145" t="str">
        <f>IF(I1268=15,"FIRECLAY MORTAR",IF(I1268=16,"ALUMINA MORTAR",IF(I1268=17,"BASIC MORTAR",IF(I1268=18,"MORTAR","-"))))</f>
        <v>-</v>
      </c>
      <c r="F1268" s="145" t="str">
        <f>IF(I1268=15,"FIRECLAY MORTAR",IF(I1268=16,"ALUMINA MORTAR",IF(I1268=17,"BASIC MORTAR",IF(I1268=18,"MORTAR","-"))))</f>
        <v>-</v>
      </c>
      <c r="G1268" s="145" t="str">
        <f>IF(I1268=15,"FIRECLAY MORTAR",IF(I1268=16,"ALUMINA MORTAR",IF(I1268=17,"BASIC MORTAR",IF(I1268=18,"MORTAR","-"))))</f>
        <v>-</v>
      </c>
      <c r="H1268" s="145" t="str">
        <f>IF(I1268=15,"FIRECLAY MORTAR",IF(I1268=16,"ALUMINA MORTAR",IF(I1268=17,"BASIC MORTAR",IF(I1268=18,"MORTAR","-"))))</f>
        <v>-</v>
      </c>
      <c r="I1268" s="145">
        <f>SUMIF(Densidades!A:A,'Memória TOTAL'!X1268,Densidades!G:G)</f>
        <v>0</v>
      </c>
      <c r="J1268" s="147">
        <f>SUMIF(Formatos!A:A,'Memória TOTAL'!X1269,Formatos!G:G)</f>
        <v>0</v>
      </c>
      <c r="K1268" s="233">
        <f>SUMIF(Densidades!A:A,'Memória TOTAL'!X1268,Densidades!I:I)</f>
        <v>0</v>
      </c>
      <c r="L1268" s="199">
        <v>0</v>
      </c>
      <c r="M1268" s="200"/>
      <c r="N1268" s="200"/>
      <c r="O1268" s="200"/>
      <c r="P1268" s="200"/>
      <c r="Q1268" s="200"/>
      <c r="R1268" s="201">
        <f>((G1251*H1251)+(G1251*E1251)+(H1251*E1251))/1000000</f>
        <v>0</v>
      </c>
      <c r="S1268" s="270">
        <v>2</v>
      </c>
      <c r="T1268" s="201">
        <f>R1268*S1268</f>
        <v>0</v>
      </c>
      <c r="U1268" s="202">
        <f>SUM(W1251:W1256)</f>
        <v>0</v>
      </c>
      <c r="V1268" s="203">
        <f>(T1268*C1268*(1+L1268))*U1268</f>
        <v>0</v>
      </c>
      <c r="W1268" s="151" t="str">
        <f>IF(C1268=0,"",ROUNDUP(SUM(V1268:V1269)*(1+L1268)/D1268,0)*D1268)</f>
        <v/>
      </c>
      <c r="X1268" s="274"/>
      <c r="Z1268" s="198"/>
      <c r="AA1268" s="198"/>
    </row>
    <row r="1269" spans="1:27" s="197" customFormat="1" ht="15" customHeight="1">
      <c r="A1269" s="226"/>
      <c r="B1269" s="221"/>
      <c r="C1269" s="144"/>
      <c r="D1269" s="206"/>
      <c r="E1269" s="206"/>
      <c r="F1269" s="206"/>
      <c r="G1269" s="206"/>
      <c r="H1269" s="206"/>
      <c r="I1269" s="206"/>
      <c r="J1269" s="207"/>
      <c r="K1269" s="207"/>
      <c r="L1269" s="155"/>
      <c r="M1269" s="206"/>
      <c r="N1269" s="206"/>
      <c r="O1269" s="206"/>
      <c r="P1269" s="206"/>
      <c r="Q1269" s="206"/>
      <c r="R1269" s="206"/>
      <c r="S1269" s="206"/>
      <c r="T1269" s="206"/>
      <c r="U1269" s="206"/>
      <c r="V1269" s="208"/>
      <c r="W1269" s="196"/>
      <c r="X1269" s="152" t="str">
        <f>IF(AND(H1268="-",G1268="-",F1268="-"),E1268,IF(AND(H1268="-",G1268="-",E1268="-"),F1268,IF(AND(H1268="-",F1268="-",E1268="-"),G1268,H1268)))</f>
        <v>-</v>
      </c>
      <c r="Z1269" s="198"/>
      <c r="AA1269" s="198"/>
    </row>
    <row r="1270" spans="1:27" s="197" customFormat="1" ht="15" customHeight="1">
      <c r="A1270" s="226"/>
      <c r="B1270" s="224"/>
      <c r="C1270" s="144"/>
      <c r="D1270" s="206"/>
      <c r="E1270" s="206"/>
      <c r="F1270" s="206"/>
      <c r="G1270" s="206"/>
      <c r="H1270" s="206"/>
      <c r="I1270" s="206"/>
      <c r="J1270" s="207"/>
      <c r="K1270" s="207"/>
      <c r="L1270" s="155"/>
      <c r="M1270" s="206"/>
      <c r="N1270" s="206"/>
      <c r="O1270" s="206"/>
      <c r="P1270" s="206"/>
      <c r="Q1270" s="206"/>
      <c r="R1270" s="206"/>
      <c r="S1270" s="206"/>
      <c r="T1270" s="206"/>
      <c r="U1270" s="206"/>
      <c r="V1270" s="208"/>
      <c r="W1270" s="196"/>
      <c r="X1270" s="152" t="s">
        <v>2</v>
      </c>
      <c r="Z1270" s="198"/>
      <c r="AA1270" s="198"/>
    </row>
    <row r="1271" spans="1:27" s="197" customFormat="1" ht="15" customHeight="1">
      <c r="A1271" s="226"/>
      <c r="B1271" s="221"/>
      <c r="C1271" s="312"/>
      <c r="D1271" s="206"/>
      <c r="E1271" s="146"/>
      <c r="F1271" s="146"/>
      <c r="G1271" s="146"/>
      <c r="H1271" s="146"/>
      <c r="I1271" s="243"/>
      <c r="J1271" s="243"/>
      <c r="K1271" s="243"/>
      <c r="L1271" s="206"/>
      <c r="M1271" s="206"/>
      <c r="N1271" s="206"/>
      <c r="O1271" s="155"/>
      <c r="P1271" s="206"/>
      <c r="Q1271" s="206"/>
      <c r="R1271" s="206"/>
      <c r="S1271" s="206"/>
      <c r="T1271" s="206"/>
      <c r="U1271" s="206"/>
      <c r="V1271" s="208"/>
      <c r="W1271" s="196"/>
      <c r="X1271" s="152"/>
      <c r="Z1271" s="198"/>
      <c r="AA1271" s="198"/>
    </row>
    <row r="1272" spans="1:27" s="197" customFormat="1" ht="15" customHeight="1" thickBot="1">
      <c r="A1272" s="226"/>
      <c r="B1272" s="524"/>
      <c r="C1272" s="524"/>
      <c r="D1272" s="527"/>
      <c r="E1272" s="527"/>
      <c r="F1272" s="527"/>
      <c r="G1272" s="527"/>
      <c r="H1272" s="527"/>
      <c r="I1272" s="527"/>
      <c r="J1272" s="527"/>
      <c r="K1272" s="527"/>
      <c r="L1272" s="527"/>
      <c r="M1272" s="527"/>
      <c r="N1272" s="527"/>
      <c r="O1272" s="527"/>
      <c r="P1272" s="527"/>
      <c r="Q1272" s="527"/>
      <c r="R1272" s="527"/>
      <c r="S1272" s="527"/>
      <c r="T1272" s="527"/>
      <c r="U1272" s="527"/>
      <c r="V1272" s="527"/>
      <c r="W1272" s="527"/>
      <c r="X1272" s="528"/>
      <c r="Z1272" s="198"/>
      <c r="AA1272" s="198"/>
    </row>
    <row r="1273" spans="1:27" ht="15" customHeight="1" thickBot="1">
      <c r="A1273" s="290"/>
      <c r="B1273" s="284" t="s">
        <v>642</v>
      </c>
      <c r="C1273" s="285" t="s">
        <v>101</v>
      </c>
      <c r="D1273" s="286" t="s">
        <v>102</v>
      </c>
      <c r="E1273" s="286"/>
      <c r="F1273" s="286"/>
      <c r="G1273" s="286"/>
      <c r="H1273" s="286"/>
      <c r="I1273" s="286"/>
      <c r="J1273" s="286" t="s">
        <v>103</v>
      </c>
      <c r="K1273" s="286" t="s">
        <v>37</v>
      </c>
      <c r="L1273" s="286" t="s">
        <v>39</v>
      </c>
      <c r="M1273" s="286" t="s">
        <v>62</v>
      </c>
      <c r="N1273" s="286" t="s">
        <v>106</v>
      </c>
      <c r="O1273" s="286" t="s">
        <v>68</v>
      </c>
      <c r="P1273" s="286" t="s">
        <v>69</v>
      </c>
      <c r="Q1273" s="286" t="s">
        <v>107</v>
      </c>
      <c r="R1273" s="286" t="s">
        <v>53</v>
      </c>
      <c r="S1273" s="286" t="s">
        <v>40</v>
      </c>
      <c r="T1273" s="286" t="s">
        <v>26</v>
      </c>
      <c r="U1273" s="286" t="s">
        <v>38</v>
      </c>
      <c r="V1273" s="287" t="s">
        <v>27</v>
      </c>
      <c r="W1273" s="288"/>
      <c r="X1273" s="289"/>
    </row>
    <row r="1274" spans="1:27" s="197" customFormat="1" ht="15" customHeight="1" thickBot="1">
      <c r="A1274" s="226"/>
      <c r="B1274" s="221"/>
      <c r="C1274" s="144">
        <f>SUMIF(Densidades!A:A,'Memória TOTAL'!X1274,Densidades!B:B)</f>
        <v>0</v>
      </c>
      <c r="D1274" s="145">
        <f>SUMIF(Densidades!A:A,'Memória TOTAL'!X1274,Densidades!C:C)</f>
        <v>0</v>
      </c>
      <c r="E1274" s="145"/>
      <c r="F1274" s="145"/>
      <c r="G1274" s="145"/>
      <c r="H1274" s="145"/>
      <c r="I1274" s="145"/>
      <c r="J1274" s="147">
        <f>SUMIF(Formatos!A:A,'Memória TOTAL'!X1275,Formatos!G:G)</f>
        <v>0</v>
      </c>
      <c r="K1274" s="233">
        <f>SUMIF(Densidades!A:A,'Memória TOTAL'!X1274,Densidades!I:I)</f>
        <v>0</v>
      </c>
      <c r="L1274" s="234">
        <v>0</v>
      </c>
      <c r="M1274" s="206"/>
      <c r="N1274" s="206"/>
      <c r="O1274" s="206"/>
      <c r="P1274" s="206"/>
      <c r="Q1274" s="206"/>
      <c r="R1274" s="206"/>
      <c r="S1274" s="206"/>
      <c r="T1274" s="206"/>
      <c r="U1274" s="206"/>
      <c r="V1274" s="208"/>
      <c r="W1274" s="277"/>
      <c r="X1274" s="274"/>
      <c r="Z1274" s="198"/>
      <c r="AA1274" s="198"/>
    </row>
    <row r="1275" spans="1:27" s="197" customFormat="1" ht="15" customHeight="1" thickBot="1">
      <c r="A1275" s="226"/>
      <c r="B1275" s="221"/>
      <c r="C1275" s="211"/>
      <c r="D1275" s="206"/>
      <c r="E1275" s="206"/>
      <c r="F1275" s="206"/>
      <c r="G1275" s="206"/>
      <c r="H1275" s="206"/>
      <c r="I1275" s="206"/>
      <c r="J1275" s="207"/>
      <c r="K1275" s="207"/>
      <c r="L1275" s="155"/>
      <c r="M1275" s="206"/>
      <c r="N1275" s="206"/>
      <c r="O1275" s="206"/>
      <c r="P1275" s="206"/>
      <c r="Q1275" s="206"/>
      <c r="R1275" s="206"/>
      <c r="S1275" s="206"/>
      <c r="T1275" s="206"/>
      <c r="U1275" s="206"/>
      <c r="V1275" s="208"/>
      <c r="W1275" s="196"/>
      <c r="X1275" s="274"/>
      <c r="Z1275" s="198"/>
      <c r="AA1275" s="198"/>
    </row>
    <row r="1276" spans="1:27" s="197" customFormat="1" ht="15" customHeight="1">
      <c r="A1276" s="226"/>
      <c r="B1276" s="224"/>
      <c r="C1276" s="211"/>
      <c r="D1276" s="206"/>
      <c r="E1276" s="206"/>
      <c r="F1276" s="206"/>
      <c r="G1276" s="206"/>
      <c r="H1276" s="206"/>
      <c r="I1276" s="206"/>
      <c r="J1276" s="207"/>
      <c r="K1276" s="207"/>
      <c r="L1276" s="155"/>
      <c r="M1276" s="206"/>
      <c r="N1276" s="206"/>
      <c r="O1276" s="206"/>
      <c r="P1276" s="206"/>
      <c r="Q1276" s="206"/>
      <c r="R1276" s="206"/>
      <c r="S1276" s="206"/>
      <c r="T1276" s="206"/>
      <c r="U1276" s="206"/>
      <c r="V1276" s="208"/>
      <c r="W1276" s="196"/>
      <c r="X1276" s="152" t="s">
        <v>524</v>
      </c>
      <c r="Z1276" s="198"/>
      <c r="AA1276" s="198"/>
    </row>
    <row r="1277" spans="1:27" s="197" customFormat="1" ht="15" customHeight="1">
      <c r="A1277" s="226"/>
      <c r="B1277" s="221"/>
      <c r="C1277" s="312"/>
      <c r="D1277" s="206"/>
      <c r="E1277" s="146"/>
      <c r="F1277" s="146"/>
      <c r="G1277" s="146"/>
      <c r="H1277" s="146"/>
      <c r="I1277" s="243"/>
      <c r="J1277" s="243"/>
      <c r="K1277" s="243"/>
      <c r="L1277" s="206"/>
      <c r="M1277" s="206"/>
      <c r="N1277" s="206"/>
      <c r="O1277" s="155"/>
      <c r="P1277" s="206"/>
      <c r="Q1277" s="206"/>
      <c r="R1277" s="206"/>
      <c r="S1277" s="206"/>
      <c r="T1277" s="206"/>
      <c r="U1277" s="206"/>
      <c r="V1277" s="208"/>
      <c r="W1277" s="196"/>
      <c r="X1277" s="152"/>
      <c r="Z1277" s="198"/>
      <c r="AA1277" s="198"/>
    </row>
    <row r="1278" spans="1:27" s="197" customFormat="1" ht="15" customHeight="1" thickBot="1">
      <c r="A1278" s="226"/>
      <c r="B1278" s="524"/>
      <c r="C1278" s="524"/>
      <c r="D1278" s="527"/>
      <c r="E1278" s="527"/>
      <c r="F1278" s="527"/>
      <c r="G1278" s="527"/>
      <c r="H1278" s="527"/>
      <c r="I1278" s="527"/>
      <c r="J1278" s="527"/>
      <c r="K1278" s="527"/>
      <c r="L1278" s="527"/>
      <c r="M1278" s="527"/>
      <c r="N1278" s="527"/>
      <c r="O1278" s="527"/>
      <c r="P1278" s="527"/>
      <c r="Q1278" s="527"/>
      <c r="R1278" s="527"/>
      <c r="S1278" s="527"/>
      <c r="T1278" s="527"/>
      <c r="U1278" s="527"/>
      <c r="V1278" s="527"/>
      <c r="W1278" s="527"/>
      <c r="X1278" s="528"/>
      <c r="Z1278" s="198"/>
      <c r="AA1278" s="198"/>
    </row>
    <row r="1279" spans="1:27" s="197" customFormat="1" ht="15" customHeight="1" thickBot="1">
      <c r="A1279" s="319" t="s">
        <v>299</v>
      </c>
      <c r="B1279" s="320"/>
      <c r="C1279" s="321"/>
      <c r="D1279" s="321"/>
      <c r="E1279" s="321"/>
      <c r="F1279" s="321"/>
      <c r="G1279" s="321"/>
      <c r="H1279" s="321"/>
      <c r="I1279" s="321"/>
      <c r="J1279" s="322"/>
      <c r="K1279" s="322"/>
      <c r="L1279" s="323"/>
      <c r="M1279" s="321"/>
      <c r="N1279" s="321"/>
      <c r="O1279" s="324"/>
      <c r="P1279" s="325"/>
      <c r="Q1279" s="324"/>
      <c r="R1279" s="321"/>
      <c r="S1279" s="321"/>
      <c r="T1279" s="321"/>
      <c r="U1279" s="321"/>
      <c r="V1279" s="326"/>
      <c r="W1279" s="327"/>
      <c r="X1279" s="328"/>
      <c r="Z1279" s="198"/>
      <c r="AA1279" s="198"/>
    </row>
    <row r="1280" spans="1:27" s="197" customFormat="1" ht="15" customHeight="1">
      <c r="A1280" s="227"/>
      <c r="B1280" s="228"/>
      <c r="C1280" s="228"/>
      <c r="D1280" s="228"/>
      <c r="E1280" s="228"/>
      <c r="F1280" s="228"/>
      <c r="G1280" s="228"/>
      <c r="H1280" s="228"/>
      <c r="I1280" s="228"/>
      <c r="J1280" s="228"/>
      <c r="K1280" s="228"/>
      <c r="L1280" s="228"/>
      <c r="M1280" s="228"/>
      <c r="N1280" s="228"/>
      <c r="O1280" s="228"/>
      <c r="P1280" s="228"/>
      <c r="Q1280" s="228"/>
      <c r="R1280" s="228"/>
      <c r="S1280" s="228"/>
      <c r="T1280" s="228"/>
      <c r="U1280" s="228"/>
      <c r="V1280" s="228"/>
      <c r="W1280" s="229"/>
      <c r="X1280" s="229"/>
      <c r="Z1280" s="198"/>
      <c r="AA1280" s="198"/>
    </row>
  </sheetData>
  <dataConsolidate/>
  <mergeCells count="28">
    <mergeCell ref="A1:X1"/>
    <mergeCell ref="A651:X651"/>
    <mergeCell ref="B233:B234"/>
    <mergeCell ref="S233:T233"/>
    <mergeCell ref="G338:H338"/>
    <mergeCell ref="M338:Q338"/>
    <mergeCell ref="B224:B225"/>
    <mergeCell ref="B298:B299"/>
    <mergeCell ref="B519:B520"/>
    <mergeCell ref="B528:B529"/>
    <mergeCell ref="S528:T528"/>
    <mergeCell ref="T502:U502"/>
    <mergeCell ref="B62:B63"/>
    <mergeCell ref="R338:V338"/>
    <mergeCell ref="O420:S420"/>
    <mergeCell ref="B697:B698"/>
    <mergeCell ref="B859:B860"/>
    <mergeCell ref="B868:B869"/>
    <mergeCell ref="S868:T868"/>
    <mergeCell ref="B933:B934"/>
    <mergeCell ref="B1154:B1155"/>
    <mergeCell ref="B1163:B1164"/>
    <mergeCell ref="S1163:T1163"/>
    <mergeCell ref="G973:H973"/>
    <mergeCell ref="M973:Q973"/>
    <mergeCell ref="R973:V973"/>
    <mergeCell ref="O1055:S1055"/>
    <mergeCell ref="T1137:U1137"/>
  </mergeCells>
  <phoneticPr fontId="4" type="noConversion"/>
  <conditionalFormatting sqref="W639 X640:X641">
    <cfRule type="containsBlanks" dxfId="821" priority="7076" stopIfTrue="1">
      <formula>LEN(TRIM(W639))=0</formula>
    </cfRule>
  </conditionalFormatting>
  <conditionalFormatting sqref="W639">
    <cfRule type="cellIs" dxfId="820" priority="7075" stopIfTrue="1" operator="equal">
      <formula>0</formula>
    </cfRule>
  </conditionalFormatting>
  <conditionalFormatting sqref="X639">
    <cfRule type="containsBlanks" dxfId="819" priority="6594" stopIfTrue="1">
      <formula>LEN(TRIM(X639))=0</formula>
    </cfRule>
  </conditionalFormatting>
  <conditionalFormatting sqref="V228">
    <cfRule type="containsBlanks" dxfId="818" priority="6427" stopIfTrue="1">
      <formula>LEN(TRIM(V228))=0</formula>
    </cfRule>
  </conditionalFormatting>
  <conditionalFormatting sqref="W18">
    <cfRule type="cellIs" dxfId="817" priority="6415" stopIfTrue="1" operator="equal">
      <formula>0</formula>
    </cfRule>
  </conditionalFormatting>
  <conditionalFormatting sqref="X287:X289">
    <cfRule type="containsBlanks" dxfId="816" priority="6423" stopIfTrue="1">
      <formula>LEN(TRIM(X287))=0</formula>
    </cfRule>
  </conditionalFormatting>
  <conditionalFormatting sqref="W292">
    <cfRule type="cellIs" dxfId="815" priority="6425" stopIfTrue="1" operator="equal">
      <formula>0</formula>
    </cfRule>
  </conditionalFormatting>
  <conditionalFormatting sqref="V288:V289 V286 V291:V294">
    <cfRule type="cellIs" dxfId="814" priority="6424" stopIfTrue="1" operator="equal">
      <formula>"ESP. ERRADA"</formula>
    </cfRule>
  </conditionalFormatting>
  <conditionalFormatting sqref="U22">
    <cfRule type="containsBlanks" dxfId="813" priority="6416" stopIfTrue="1">
      <formula>LEN(TRIM(U22))=0</formula>
    </cfRule>
  </conditionalFormatting>
  <conditionalFormatting sqref="V21:V22">
    <cfRule type="cellIs" dxfId="812" priority="6419" stopIfTrue="1" operator="equal">
      <formula>"ESP. ERRADA"</formula>
    </cfRule>
  </conditionalFormatting>
  <conditionalFormatting sqref="V224">
    <cfRule type="containsBlanks" dxfId="811" priority="6428" stopIfTrue="1">
      <formula>LEN(TRIM(V224))=0</formula>
    </cfRule>
  </conditionalFormatting>
  <conditionalFormatting sqref="W139">
    <cfRule type="cellIs" dxfId="810" priority="6408" stopIfTrue="1" operator="equal">
      <formula>0</formula>
    </cfRule>
  </conditionalFormatting>
  <conditionalFormatting sqref="B233 U224 X224">
    <cfRule type="containsBlanks" dxfId="809" priority="6432" stopIfTrue="1">
      <formula>LEN(TRIM(B224))=0</formula>
    </cfRule>
  </conditionalFormatting>
  <conditionalFormatting sqref="U21 X20 N18">
    <cfRule type="containsBlanks" dxfId="808" priority="6421" stopIfTrue="1">
      <formula>LEN(TRIM(N18))=0</formula>
    </cfRule>
  </conditionalFormatting>
  <conditionalFormatting sqref="X292">
    <cfRule type="containsBlanks" dxfId="807" priority="6413" stopIfTrue="1">
      <formula>LEN(TRIM(X292))=0</formula>
    </cfRule>
  </conditionalFormatting>
  <conditionalFormatting sqref="U287">
    <cfRule type="containsBlanks" dxfId="806" priority="6414" stopIfTrue="1">
      <formula>LEN(TRIM(U287))=0</formula>
    </cfRule>
  </conditionalFormatting>
  <conditionalFormatting sqref="X139:X141">
    <cfRule type="containsBlanks" dxfId="805" priority="6409" stopIfTrue="1">
      <formula>LEN(TRIM(X139))=0</formula>
    </cfRule>
  </conditionalFormatting>
  <conditionalFormatting sqref="M616 O616 U616:V616 V620 X616">
    <cfRule type="containsBlanks" dxfId="804" priority="6405" stopIfTrue="1">
      <formula>LEN(TRIM(M616))=0</formula>
    </cfRule>
  </conditionalFormatting>
  <conditionalFormatting sqref="W287">
    <cfRule type="cellIs" dxfId="803" priority="6422" stopIfTrue="1" operator="equal">
      <formula>0</formula>
    </cfRule>
  </conditionalFormatting>
  <conditionalFormatting sqref="B127 B129 B134 M125 O125 O135 T125:V125 V129 X125">
    <cfRule type="containsBlanks" dxfId="802" priority="6412" stopIfTrue="1">
      <formula>LEN(TRIM(B125))=0</formula>
    </cfRule>
  </conditionalFormatting>
  <conditionalFormatting sqref="U139">
    <cfRule type="containsBlanks" dxfId="801" priority="6407" stopIfTrue="1">
      <formula>LEN(TRIM(U139))=0</formula>
    </cfRule>
  </conditionalFormatting>
  <conditionalFormatting sqref="W628">
    <cfRule type="cellIs" dxfId="800" priority="6401" stopIfTrue="1" operator="equal">
      <formula>0</formula>
    </cfRule>
  </conditionalFormatting>
  <conditionalFormatting sqref="X628:X630">
    <cfRule type="containsBlanks" dxfId="799" priority="6402" stopIfTrue="1">
      <formula>LEN(TRIM(X628))=0</formula>
    </cfRule>
  </conditionalFormatting>
  <conditionalFormatting sqref="W67 W93 W88 W84 W76">
    <cfRule type="cellIs" dxfId="798" priority="6385" stopIfTrue="1" operator="equal">
      <formula>0</formula>
    </cfRule>
  </conditionalFormatting>
  <conditionalFormatting sqref="X633">
    <cfRule type="containsBlanks" dxfId="797" priority="6399" stopIfTrue="1">
      <formula>LEN(TRIM(X633))=0</formula>
    </cfRule>
  </conditionalFormatting>
  <conditionalFormatting sqref="X144">
    <cfRule type="containsBlanks" dxfId="796" priority="6406" stopIfTrue="1">
      <formula>LEN(TRIM(X144))=0</formula>
    </cfRule>
  </conditionalFormatting>
  <conditionalFormatting sqref="P45 S45 U45">
    <cfRule type="containsBlanks" dxfId="795" priority="6395" stopIfTrue="1">
      <formula>LEN(TRIM(P45))=0</formula>
    </cfRule>
  </conditionalFormatting>
  <conditionalFormatting sqref="X25">
    <cfRule type="containsBlanks" dxfId="794" priority="6387" stopIfTrue="1">
      <formula>LEN(TRIM(X25))=0</formula>
    </cfRule>
  </conditionalFormatting>
  <conditionalFormatting sqref="R616">
    <cfRule type="containsBlanks" dxfId="793" priority="6398" stopIfTrue="1">
      <formula>LEN(TRIM(R616))=0</formula>
    </cfRule>
  </conditionalFormatting>
  <conditionalFormatting sqref="V140:V141 V138 V143:V147">
    <cfRule type="cellIs" dxfId="792" priority="6410" stopIfTrue="1" operator="equal">
      <formula>"ESP. ERRADA"</formula>
    </cfRule>
  </conditionalFormatting>
  <conditionalFormatting sqref="U70">
    <cfRule type="containsBlanks" dxfId="791" priority="6380" stopIfTrue="1">
      <formula>LEN(TRIM(U70))=0</formula>
    </cfRule>
  </conditionalFormatting>
  <conditionalFormatting sqref="O71">
    <cfRule type="containsBlanks" dxfId="790" priority="6378" stopIfTrue="1">
      <formula>LEN(TRIM(O71))=0</formula>
    </cfRule>
  </conditionalFormatting>
  <conditionalFormatting sqref="W144">
    <cfRule type="cellIs" dxfId="789" priority="6411" stopIfTrue="1" operator="equal">
      <formula>0</formula>
    </cfRule>
  </conditionalFormatting>
  <conditionalFormatting sqref="X43 M44 U44 X41">
    <cfRule type="containsBlanks" dxfId="788" priority="6397" stopIfTrue="1">
      <formula>LEN(TRIM(M41))=0</formula>
    </cfRule>
  </conditionalFormatting>
  <conditionalFormatting sqref="V629:V630 V627 V632:V635">
    <cfRule type="cellIs" dxfId="787" priority="6403" stopIfTrue="1" operator="equal">
      <formula>"ESP. ERRADA"</formula>
    </cfRule>
  </conditionalFormatting>
  <conditionalFormatting sqref="U628">
    <cfRule type="containsBlanks" dxfId="786" priority="6400" stopIfTrue="1">
      <formula>LEN(TRIM(U628))=0</formula>
    </cfRule>
  </conditionalFormatting>
  <conditionalFormatting sqref="W633">
    <cfRule type="cellIs" dxfId="785" priority="6404" stopIfTrue="1" operator="equal">
      <formula>0</formula>
    </cfRule>
  </conditionalFormatting>
  <conditionalFormatting sqref="S70">
    <cfRule type="containsBlanks" dxfId="784" priority="6381" stopIfTrue="1">
      <formula>LEN(TRIM(S70))=0</formula>
    </cfRule>
  </conditionalFormatting>
  <conditionalFormatting sqref="W41">
    <cfRule type="cellIs" dxfId="783" priority="6396" stopIfTrue="1" operator="equal">
      <formula>0</formula>
    </cfRule>
  </conditionalFormatting>
  <conditionalFormatting sqref="U71">
    <cfRule type="containsBlanks" dxfId="782" priority="6374" stopIfTrue="1">
      <formula>LEN(TRIM(U71))=0</formula>
    </cfRule>
  </conditionalFormatting>
  <conditionalFormatting sqref="X88">
    <cfRule type="containsBlanks" dxfId="781" priority="6366" stopIfTrue="1">
      <formula>LEN(TRIM(X88))=0</formula>
    </cfRule>
  </conditionalFormatting>
  <conditionalFormatting sqref="V24:V28">
    <cfRule type="cellIs" dxfId="780" priority="6391" stopIfTrue="1" operator="equal">
      <formula>"ESP. ERRADA"</formula>
    </cfRule>
  </conditionalFormatting>
  <conditionalFormatting sqref="W25">
    <cfRule type="cellIs" dxfId="779" priority="6392" stopIfTrue="1" operator="equal">
      <formula>0</formula>
    </cfRule>
  </conditionalFormatting>
  <conditionalFormatting sqref="X68">
    <cfRule type="containsBlanks" dxfId="778" priority="6384" stopIfTrue="1">
      <formula>LEN(TRIM(X68))=0</formula>
    </cfRule>
  </conditionalFormatting>
  <conditionalFormatting sqref="P70">
    <cfRule type="containsBlanks" dxfId="777" priority="6383" stopIfTrue="1">
      <formula>LEN(TRIM(P70))=0</formula>
    </cfRule>
  </conditionalFormatting>
  <conditionalFormatting sqref="X77">
    <cfRule type="containsBlanks" dxfId="776" priority="6373" stopIfTrue="1">
      <formula>LEN(TRIM(X77))=0</formula>
    </cfRule>
  </conditionalFormatting>
  <conditionalFormatting sqref="N71">
    <cfRule type="containsBlanks" dxfId="775" priority="6379" stopIfTrue="1">
      <formula>LEN(TRIM(N71))=0</formula>
    </cfRule>
  </conditionalFormatting>
  <conditionalFormatting sqref="X85">
    <cfRule type="containsBlanks" dxfId="774" priority="6372" stopIfTrue="1">
      <formula>LEN(TRIM(X85))=0</formula>
    </cfRule>
  </conditionalFormatting>
  <conditionalFormatting sqref="R71">
    <cfRule type="containsBlanks" dxfId="773" priority="6375" stopIfTrue="1">
      <formula>LEN(TRIM(R71))=0</formula>
    </cfRule>
  </conditionalFormatting>
  <conditionalFormatting sqref="X89">
    <cfRule type="containsBlanks" dxfId="772" priority="6371" stopIfTrue="1">
      <formula>LEN(TRIM(X89))=0</formula>
    </cfRule>
  </conditionalFormatting>
  <conditionalFormatting sqref="X76">
    <cfRule type="containsBlanks" dxfId="771" priority="6368" stopIfTrue="1">
      <formula>LEN(TRIM(X76))=0</formula>
    </cfRule>
  </conditionalFormatting>
  <conditionalFormatting sqref="X84">
    <cfRule type="containsBlanks" dxfId="770" priority="6367" stopIfTrue="1">
      <formula>LEN(TRIM(X84))=0</formula>
    </cfRule>
  </conditionalFormatting>
  <conditionalFormatting sqref="X67">
    <cfRule type="containsBlanks" dxfId="769" priority="6369" stopIfTrue="1">
      <formula>LEN(TRIM(X67))=0</formula>
    </cfRule>
  </conditionalFormatting>
  <conditionalFormatting sqref="U81">
    <cfRule type="containsBlanks" dxfId="768" priority="6362" stopIfTrue="1">
      <formula>LEN(TRIM(U81))=0</formula>
    </cfRule>
  </conditionalFormatting>
  <conditionalFormatting sqref="U72">
    <cfRule type="containsBlanks" dxfId="767" priority="6360" stopIfTrue="1">
      <formula>LEN(TRIM(U72))=0</formula>
    </cfRule>
  </conditionalFormatting>
  <conditionalFormatting sqref="P79">
    <cfRule type="containsBlanks" dxfId="766" priority="6365" stopIfTrue="1">
      <formula>LEN(TRIM(P79))=0</formula>
    </cfRule>
  </conditionalFormatting>
  <conditionalFormatting sqref="S79">
    <cfRule type="containsBlanks" dxfId="765" priority="6364" stopIfTrue="1">
      <formula>LEN(TRIM(S79))=0</formula>
    </cfRule>
  </conditionalFormatting>
  <conditionalFormatting sqref="U79">
    <cfRule type="containsBlanks" dxfId="764" priority="6363" stopIfTrue="1">
      <formula>LEN(TRIM(U79))=0</formula>
    </cfRule>
  </conditionalFormatting>
  <conditionalFormatting sqref="N81">
    <cfRule type="containsBlanks" dxfId="763" priority="6350" stopIfTrue="1">
      <formula>LEN(TRIM(N81))=0</formula>
    </cfRule>
  </conditionalFormatting>
  <conditionalFormatting sqref="U80">
    <cfRule type="containsBlanks" dxfId="762" priority="6356" stopIfTrue="1">
      <formula>LEN(TRIM(U80))=0</formula>
    </cfRule>
  </conditionalFormatting>
  <conditionalFormatting sqref="O80">
    <cfRule type="containsBlanks" dxfId="761" priority="6358" stopIfTrue="1">
      <formula>LEN(TRIM(O80))=0</formula>
    </cfRule>
  </conditionalFormatting>
  <conditionalFormatting sqref="N80">
    <cfRule type="containsBlanks" dxfId="760" priority="6359" stopIfTrue="1">
      <formula>LEN(TRIM(N80))=0</formula>
    </cfRule>
  </conditionalFormatting>
  <conditionalFormatting sqref="R80">
    <cfRule type="containsBlanks" dxfId="759" priority="6357" stopIfTrue="1">
      <formula>LEN(TRIM(R80))=0</formula>
    </cfRule>
  </conditionalFormatting>
  <conditionalFormatting sqref="R72">
    <cfRule type="containsBlanks" dxfId="758" priority="6355" stopIfTrue="1">
      <formula>LEN(TRIM(R72))=0</formula>
    </cfRule>
  </conditionalFormatting>
  <conditionalFormatting sqref="R81">
    <cfRule type="containsBlanks" dxfId="757" priority="6354" stopIfTrue="1">
      <formula>LEN(TRIM(R81))=0</formula>
    </cfRule>
  </conditionalFormatting>
  <conditionalFormatting sqref="P81">
    <cfRule type="containsBlanks" dxfId="756" priority="6353" stopIfTrue="1">
      <formula>LEN(TRIM(P81))=0</formula>
    </cfRule>
  </conditionalFormatting>
  <conditionalFormatting sqref="Q81">
    <cfRule type="containsBlanks" dxfId="755" priority="6352" stopIfTrue="1">
      <formula>LEN(TRIM(Q81))=0</formula>
    </cfRule>
  </conditionalFormatting>
  <conditionalFormatting sqref="O81">
    <cfRule type="containsBlanks" dxfId="754" priority="6351" stopIfTrue="1">
      <formula>LEN(TRIM(O81))=0</formula>
    </cfRule>
  </conditionalFormatting>
  <conditionalFormatting sqref="W302 W306 W310 W314 W318 W322 W298 W326">
    <cfRule type="cellIs" dxfId="753" priority="6348" stopIfTrue="1" operator="equal">
      <formula>0</formula>
    </cfRule>
  </conditionalFormatting>
  <conditionalFormatting sqref="V298 V302 V306 V310 V314">
    <cfRule type="cellIs" dxfId="752" priority="6347" stopIfTrue="1" operator="equal">
      <formula>"ESP. ERRADA"</formula>
    </cfRule>
  </conditionalFormatting>
  <conditionalFormatting sqref="M340">
    <cfRule type="containsBlanks" dxfId="751" priority="6345" stopIfTrue="1">
      <formula>LEN(TRIM(M340))=0</formula>
    </cfRule>
  </conditionalFormatting>
  <conditionalFormatting sqref="R344">
    <cfRule type="containsBlanks" dxfId="750" priority="6333" stopIfTrue="1">
      <formula>LEN(TRIM(R344))=0</formula>
    </cfRule>
  </conditionalFormatting>
  <conditionalFormatting sqref="M353">
    <cfRule type="containsBlanks" dxfId="749" priority="6328" stopIfTrue="1">
      <formula>LEN(TRIM(M353))=0</formula>
    </cfRule>
  </conditionalFormatting>
  <conditionalFormatting sqref="Q353">
    <cfRule type="containsBlanks" dxfId="748" priority="6318" stopIfTrue="1">
      <formula>LEN(TRIM(Q353))=0</formula>
    </cfRule>
  </conditionalFormatting>
  <conditionalFormatting sqref="X298">
    <cfRule type="containsBlanks" dxfId="747" priority="6313" stopIfTrue="1">
      <formula>LEN(TRIM(X298))=0</formula>
    </cfRule>
  </conditionalFormatting>
  <conditionalFormatting sqref="W330">
    <cfRule type="cellIs" dxfId="746" priority="6312" stopIfTrue="1" operator="equal">
      <formula>0</formula>
    </cfRule>
  </conditionalFormatting>
  <conditionalFormatting sqref="W334">
    <cfRule type="cellIs" dxfId="745" priority="6310" stopIfTrue="1" operator="equal">
      <formula>0</formula>
    </cfRule>
  </conditionalFormatting>
  <conditionalFormatting sqref="V318">
    <cfRule type="cellIs" dxfId="744" priority="6308" stopIfTrue="1" operator="equal">
      <formula>"ESP. ERRADA"</formula>
    </cfRule>
  </conditionalFormatting>
  <conditionalFormatting sqref="V322">
    <cfRule type="cellIs" dxfId="743" priority="6307" stopIfTrue="1" operator="equal">
      <formula>"ESP. ERRADA"</formula>
    </cfRule>
  </conditionalFormatting>
  <conditionalFormatting sqref="V326">
    <cfRule type="cellIs" dxfId="742" priority="6306" stopIfTrue="1" operator="equal">
      <formula>"ESP. ERRADA"</formula>
    </cfRule>
  </conditionalFormatting>
  <conditionalFormatting sqref="V330">
    <cfRule type="cellIs" dxfId="741" priority="6305" stopIfTrue="1" operator="equal">
      <formula>"ESP. ERRADA"</formula>
    </cfRule>
  </conditionalFormatting>
  <conditionalFormatting sqref="V334">
    <cfRule type="cellIs" dxfId="740" priority="6304" stopIfTrue="1" operator="equal">
      <formula>"ESP. ERRADA"</formula>
    </cfRule>
  </conditionalFormatting>
  <conditionalFormatting sqref="X405:X407">
    <cfRule type="containsBlanks" dxfId="739" priority="6106" stopIfTrue="1">
      <formula>LEN(TRIM(X405))=0</formula>
    </cfRule>
  </conditionalFormatting>
  <conditionalFormatting sqref="U405">
    <cfRule type="containsBlanks" dxfId="738" priority="6104" stopIfTrue="1">
      <formula>LEN(TRIM(U405))=0</formula>
    </cfRule>
  </conditionalFormatting>
  <conditionalFormatting sqref="M354">
    <cfRule type="containsBlanks" dxfId="737" priority="6102" stopIfTrue="1">
      <formula>LEN(TRIM(M354))=0</formula>
    </cfRule>
  </conditionalFormatting>
  <conditionalFormatting sqref="M356">
    <cfRule type="containsBlanks" dxfId="736" priority="6100" stopIfTrue="1">
      <formula>LEN(TRIM(M356))=0</formula>
    </cfRule>
  </conditionalFormatting>
  <conditionalFormatting sqref="M358">
    <cfRule type="containsBlanks" dxfId="735" priority="6098" stopIfTrue="1">
      <formula>LEN(TRIM(M358))=0</formula>
    </cfRule>
  </conditionalFormatting>
  <conditionalFormatting sqref="M360">
    <cfRule type="containsBlanks" dxfId="734" priority="6096" stopIfTrue="1">
      <formula>LEN(TRIM(M360))=0</formula>
    </cfRule>
  </conditionalFormatting>
  <conditionalFormatting sqref="M362">
    <cfRule type="containsBlanks" dxfId="733" priority="6094" stopIfTrue="1">
      <formula>LEN(TRIM(M362))=0</formula>
    </cfRule>
  </conditionalFormatting>
  <conditionalFormatting sqref="M364">
    <cfRule type="containsBlanks" dxfId="732" priority="6092" stopIfTrue="1">
      <formula>LEN(TRIM(M364))=0</formula>
    </cfRule>
  </conditionalFormatting>
  <conditionalFormatting sqref="M366">
    <cfRule type="containsBlanks" dxfId="731" priority="6090" stopIfTrue="1">
      <formula>LEN(TRIM(M366))=0</formula>
    </cfRule>
  </conditionalFormatting>
  <conditionalFormatting sqref="M368">
    <cfRule type="containsBlanks" dxfId="730" priority="6088" stopIfTrue="1">
      <formula>LEN(TRIM(M368))=0</formula>
    </cfRule>
  </conditionalFormatting>
  <conditionalFormatting sqref="M370">
    <cfRule type="containsBlanks" dxfId="729" priority="6086" stopIfTrue="1">
      <formula>LEN(TRIM(M370))=0</formula>
    </cfRule>
  </conditionalFormatting>
  <conditionalFormatting sqref="M372">
    <cfRule type="containsBlanks" dxfId="728" priority="6084" stopIfTrue="1">
      <formula>LEN(TRIM(M372))=0</formula>
    </cfRule>
  </conditionalFormatting>
  <conditionalFormatting sqref="M374">
    <cfRule type="containsBlanks" dxfId="727" priority="6082" stopIfTrue="1">
      <formula>LEN(TRIM(M374))=0</formula>
    </cfRule>
  </conditionalFormatting>
  <conditionalFormatting sqref="M376">
    <cfRule type="containsBlanks" dxfId="726" priority="6080" stopIfTrue="1">
      <formula>LEN(TRIM(M376))=0</formula>
    </cfRule>
  </conditionalFormatting>
  <conditionalFormatting sqref="M378">
    <cfRule type="containsBlanks" dxfId="725" priority="6078" stopIfTrue="1">
      <formula>LEN(TRIM(M378))=0</formula>
    </cfRule>
  </conditionalFormatting>
  <conditionalFormatting sqref="M380">
    <cfRule type="containsBlanks" dxfId="724" priority="6076" stopIfTrue="1">
      <formula>LEN(TRIM(M380))=0</formula>
    </cfRule>
  </conditionalFormatting>
  <conditionalFormatting sqref="M382">
    <cfRule type="containsBlanks" dxfId="723" priority="6074" stopIfTrue="1">
      <formula>LEN(TRIM(M382))=0</formula>
    </cfRule>
  </conditionalFormatting>
  <conditionalFormatting sqref="T352:V401">
    <cfRule type="cellIs" dxfId="722" priority="6156" operator="lessThan">
      <formula>0</formula>
    </cfRule>
  </conditionalFormatting>
  <conditionalFormatting sqref="W410">
    <cfRule type="cellIs" dxfId="721" priority="6108" stopIfTrue="1" operator="equal">
      <formula>0</formula>
    </cfRule>
  </conditionalFormatting>
  <conditionalFormatting sqref="V406:V407 V404 V409:V412">
    <cfRule type="cellIs" dxfId="720" priority="6107" stopIfTrue="1" operator="equal">
      <formula>"ESP. ERRADA"</formula>
    </cfRule>
  </conditionalFormatting>
  <conditionalFormatting sqref="X410">
    <cfRule type="containsBlanks" dxfId="719" priority="6103" stopIfTrue="1">
      <formula>LEN(TRIM(X410))=0</formula>
    </cfRule>
  </conditionalFormatting>
  <conditionalFormatting sqref="W405">
    <cfRule type="cellIs" dxfId="718" priority="6105" stopIfTrue="1" operator="equal">
      <formula>0</formula>
    </cfRule>
  </conditionalFormatting>
  <conditionalFormatting sqref="M357">
    <cfRule type="containsBlanks" dxfId="717" priority="6099" stopIfTrue="1">
      <formula>LEN(TRIM(M357))=0</formula>
    </cfRule>
  </conditionalFormatting>
  <conditionalFormatting sqref="M359">
    <cfRule type="containsBlanks" dxfId="716" priority="6097" stopIfTrue="1">
      <formula>LEN(TRIM(M359))=0</formula>
    </cfRule>
  </conditionalFormatting>
  <conditionalFormatting sqref="M361">
    <cfRule type="containsBlanks" dxfId="715" priority="6095" stopIfTrue="1">
      <formula>LEN(TRIM(M361))=0</formula>
    </cfRule>
  </conditionalFormatting>
  <conditionalFormatting sqref="M363">
    <cfRule type="containsBlanks" dxfId="714" priority="6093" stopIfTrue="1">
      <formula>LEN(TRIM(M363))=0</formula>
    </cfRule>
  </conditionalFormatting>
  <conditionalFormatting sqref="M365">
    <cfRule type="containsBlanks" dxfId="713" priority="6091" stopIfTrue="1">
      <formula>LEN(TRIM(M365))=0</formula>
    </cfRule>
  </conditionalFormatting>
  <conditionalFormatting sqref="M367">
    <cfRule type="containsBlanks" dxfId="712" priority="6089" stopIfTrue="1">
      <formula>LEN(TRIM(M367))=0</formula>
    </cfRule>
  </conditionalFormatting>
  <conditionalFormatting sqref="M369">
    <cfRule type="containsBlanks" dxfId="711" priority="6087" stopIfTrue="1">
      <formula>LEN(TRIM(M369))=0</formula>
    </cfRule>
  </conditionalFormatting>
  <conditionalFormatting sqref="M371">
    <cfRule type="containsBlanks" dxfId="710" priority="6085" stopIfTrue="1">
      <formula>LEN(TRIM(M371))=0</formula>
    </cfRule>
  </conditionalFormatting>
  <conditionalFormatting sqref="M373">
    <cfRule type="containsBlanks" dxfId="709" priority="6083" stopIfTrue="1">
      <formula>LEN(TRIM(M373))=0</formula>
    </cfRule>
  </conditionalFormatting>
  <conditionalFormatting sqref="M375">
    <cfRule type="containsBlanks" dxfId="708" priority="6081" stopIfTrue="1">
      <formula>LEN(TRIM(M375))=0</formula>
    </cfRule>
  </conditionalFormatting>
  <conditionalFormatting sqref="M377">
    <cfRule type="containsBlanks" dxfId="707" priority="6079" stopIfTrue="1">
      <formula>LEN(TRIM(M377))=0</formula>
    </cfRule>
  </conditionalFormatting>
  <conditionalFormatting sqref="M379">
    <cfRule type="containsBlanks" dxfId="706" priority="6077" stopIfTrue="1">
      <formula>LEN(TRIM(M379))=0</formula>
    </cfRule>
  </conditionalFormatting>
  <conditionalFormatting sqref="M381">
    <cfRule type="containsBlanks" dxfId="705" priority="6075" stopIfTrue="1">
      <formula>LEN(TRIM(M381))=0</formula>
    </cfRule>
  </conditionalFormatting>
  <conditionalFormatting sqref="M383">
    <cfRule type="containsBlanks" dxfId="704" priority="6073" stopIfTrue="1">
      <formula>LEN(TRIM(M383))=0</formula>
    </cfRule>
  </conditionalFormatting>
  <conditionalFormatting sqref="M384">
    <cfRule type="containsBlanks" dxfId="703" priority="6072" stopIfTrue="1">
      <formula>LEN(TRIM(M384))=0</formula>
    </cfRule>
  </conditionalFormatting>
  <conditionalFormatting sqref="M385">
    <cfRule type="containsBlanks" dxfId="702" priority="6071" stopIfTrue="1">
      <formula>LEN(TRIM(M385))=0</formula>
    </cfRule>
  </conditionalFormatting>
  <conditionalFormatting sqref="M386">
    <cfRule type="containsBlanks" dxfId="701" priority="6070" stopIfTrue="1">
      <formula>LEN(TRIM(M386))=0</formula>
    </cfRule>
  </conditionalFormatting>
  <conditionalFormatting sqref="M387">
    <cfRule type="containsBlanks" dxfId="700" priority="6069" stopIfTrue="1">
      <formula>LEN(TRIM(M387))=0</formula>
    </cfRule>
  </conditionalFormatting>
  <conditionalFormatting sqref="M388">
    <cfRule type="containsBlanks" dxfId="699" priority="6068" stopIfTrue="1">
      <formula>LEN(TRIM(M388))=0</formula>
    </cfRule>
  </conditionalFormatting>
  <conditionalFormatting sqref="M389">
    <cfRule type="containsBlanks" dxfId="698" priority="6067" stopIfTrue="1">
      <formula>LEN(TRIM(M389))=0</formula>
    </cfRule>
  </conditionalFormatting>
  <conditionalFormatting sqref="M390">
    <cfRule type="containsBlanks" dxfId="697" priority="6066" stopIfTrue="1">
      <formula>LEN(TRIM(M390))=0</formula>
    </cfRule>
  </conditionalFormatting>
  <conditionalFormatting sqref="M391">
    <cfRule type="containsBlanks" dxfId="696" priority="6065" stopIfTrue="1">
      <formula>LEN(TRIM(M391))=0</formula>
    </cfRule>
  </conditionalFormatting>
  <conditionalFormatting sqref="M392">
    <cfRule type="containsBlanks" dxfId="695" priority="6064" stopIfTrue="1">
      <formula>LEN(TRIM(M392))=0</formula>
    </cfRule>
  </conditionalFormatting>
  <conditionalFormatting sqref="M393">
    <cfRule type="containsBlanks" dxfId="694" priority="6063" stopIfTrue="1">
      <formula>LEN(TRIM(M393))=0</formula>
    </cfRule>
  </conditionalFormatting>
  <conditionalFormatting sqref="M394">
    <cfRule type="containsBlanks" dxfId="693" priority="6062" stopIfTrue="1">
      <formula>LEN(TRIM(M394))=0</formula>
    </cfRule>
  </conditionalFormatting>
  <conditionalFormatting sqref="M395">
    <cfRule type="containsBlanks" dxfId="692" priority="6061" stopIfTrue="1">
      <formula>LEN(TRIM(M395))=0</formula>
    </cfRule>
  </conditionalFormatting>
  <conditionalFormatting sqref="M396">
    <cfRule type="containsBlanks" dxfId="691" priority="6060" stopIfTrue="1">
      <formula>LEN(TRIM(M396))=0</formula>
    </cfRule>
  </conditionalFormatting>
  <conditionalFormatting sqref="M397">
    <cfRule type="containsBlanks" dxfId="690" priority="6059" stopIfTrue="1">
      <formula>LEN(TRIM(M397))=0</formula>
    </cfRule>
  </conditionalFormatting>
  <conditionalFormatting sqref="M398">
    <cfRule type="containsBlanks" dxfId="689" priority="6058" stopIfTrue="1">
      <formula>LEN(TRIM(M398))=0</formula>
    </cfRule>
  </conditionalFormatting>
  <conditionalFormatting sqref="M399">
    <cfRule type="containsBlanks" dxfId="688" priority="6057" stopIfTrue="1">
      <formula>LEN(TRIM(M399))=0</formula>
    </cfRule>
  </conditionalFormatting>
  <conditionalFormatting sqref="M400">
    <cfRule type="containsBlanks" dxfId="687" priority="6056" stopIfTrue="1">
      <formula>LEN(TRIM(M400))=0</formula>
    </cfRule>
  </conditionalFormatting>
  <conditionalFormatting sqref="M401">
    <cfRule type="containsBlanks" dxfId="686" priority="6055" stopIfTrue="1">
      <formula>LEN(TRIM(M401))=0</formula>
    </cfRule>
  </conditionalFormatting>
  <conditionalFormatting sqref="Q354">
    <cfRule type="containsBlanks" dxfId="685" priority="6006" stopIfTrue="1">
      <formula>LEN(TRIM(Q354))=0</formula>
    </cfRule>
  </conditionalFormatting>
  <conditionalFormatting sqref="Q355">
    <cfRule type="containsBlanks" dxfId="684" priority="6005" stopIfTrue="1">
      <formula>LEN(TRIM(Q355))=0</formula>
    </cfRule>
  </conditionalFormatting>
  <conditionalFormatting sqref="Q356">
    <cfRule type="containsBlanks" dxfId="683" priority="6004" stopIfTrue="1">
      <formula>LEN(TRIM(Q356))=0</formula>
    </cfRule>
  </conditionalFormatting>
  <conditionalFormatting sqref="Q357">
    <cfRule type="containsBlanks" dxfId="682" priority="6003" stopIfTrue="1">
      <formula>LEN(TRIM(Q357))=0</formula>
    </cfRule>
  </conditionalFormatting>
  <conditionalFormatting sqref="Q358">
    <cfRule type="containsBlanks" dxfId="681" priority="6002" stopIfTrue="1">
      <formula>LEN(TRIM(Q358))=0</formula>
    </cfRule>
  </conditionalFormatting>
  <conditionalFormatting sqref="Q359">
    <cfRule type="containsBlanks" dxfId="680" priority="6001" stopIfTrue="1">
      <formula>LEN(TRIM(Q359))=0</formula>
    </cfRule>
  </conditionalFormatting>
  <conditionalFormatting sqref="Q360">
    <cfRule type="containsBlanks" dxfId="679" priority="6000" stopIfTrue="1">
      <formula>LEN(TRIM(Q360))=0</formula>
    </cfRule>
  </conditionalFormatting>
  <conditionalFormatting sqref="Q361">
    <cfRule type="containsBlanks" dxfId="678" priority="5999" stopIfTrue="1">
      <formula>LEN(TRIM(Q361))=0</formula>
    </cfRule>
  </conditionalFormatting>
  <conditionalFormatting sqref="Q362">
    <cfRule type="containsBlanks" dxfId="677" priority="5998" stopIfTrue="1">
      <formula>LEN(TRIM(Q362))=0</formula>
    </cfRule>
  </conditionalFormatting>
  <conditionalFormatting sqref="Q363">
    <cfRule type="containsBlanks" dxfId="676" priority="5997" stopIfTrue="1">
      <formula>LEN(TRIM(Q363))=0</formula>
    </cfRule>
  </conditionalFormatting>
  <conditionalFormatting sqref="Q364">
    <cfRule type="containsBlanks" dxfId="675" priority="5996" stopIfTrue="1">
      <formula>LEN(TRIM(Q364))=0</formula>
    </cfRule>
  </conditionalFormatting>
  <conditionalFormatting sqref="Q365">
    <cfRule type="containsBlanks" dxfId="674" priority="5995" stopIfTrue="1">
      <formula>LEN(TRIM(Q365))=0</formula>
    </cfRule>
  </conditionalFormatting>
  <conditionalFormatting sqref="Q366">
    <cfRule type="containsBlanks" dxfId="673" priority="5994" stopIfTrue="1">
      <formula>LEN(TRIM(Q366))=0</formula>
    </cfRule>
  </conditionalFormatting>
  <conditionalFormatting sqref="Q367">
    <cfRule type="containsBlanks" dxfId="672" priority="5993" stopIfTrue="1">
      <formula>LEN(TRIM(Q367))=0</formula>
    </cfRule>
  </conditionalFormatting>
  <conditionalFormatting sqref="Q368">
    <cfRule type="containsBlanks" dxfId="671" priority="5992" stopIfTrue="1">
      <formula>LEN(TRIM(Q368))=0</formula>
    </cfRule>
  </conditionalFormatting>
  <conditionalFormatting sqref="Q369">
    <cfRule type="containsBlanks" dxfId="670" priority="5991" stopIfTrue="1">
      <formula>LEN(TRIM(Q369))=0</formula>
    </cfRule>
  </conditionalFormatting>
  <conditionalFormatting sqref="Q370">
    <cfRule type="containsBlanks" dxfId="669" priority="5990" stopIfTrue="1">
      <formula>LEN(TRIM(Q370))=0</formula>
    </cfRule>
  </conditionalFormatting>
  <conditionalFormatting sqref="Q371">
    <cfRule type="containsBlanks" dxfId="668" priority="5989" stopIfTrue="1">
      <formula>LEN(TRIM(Q371))=0</formula>
    </cfRule>
  </conditionalFormatting>
  <conditionalFormatting sqref="Q372">
    <cfRule type="containsBlanks" dxfId="667" priority="5988" stopIfTrue="1">
      <formula>LEN(TRIM(Q372))=0</formula>
    </cfRule>
  </conditionalFormatting>
  <conditionalFormatting sqref="Q373">
    <cfRule type="containsBlanks" dxfId="666" priority="5987" stopIfTrue="1">
      <formula>LEN(TRIM(Q373))=0</formula>
    </cfRule>
  </conditionalFormatting>
  <conditionalFormatting sqref="Q374">
    <cfRule type="containsBlanks" dxfId="665" priority="5986" stopIfTrue="1">
      <formula>LEN(TRIM(Q374))=0</formula>
    </cfRule>
  </conditionalFormatting>
  <conditionalFormatting sqref="Q375">
    <cfRule type="containsBlanks" dxfId="664" priority="5985" stopIfTrue="1">
      <formula>LEN(TRIM(Q375))=0</formula>
    </cfRule>
  </conditionalFormatting>
  <conditionalFormatting sqref="Q376">
    <cfRule type="containsBlanks" dxfId="663" priority="5984" stopIfTrue="1">
      <formula>LEN(TRIM(Q376))=0</formula>
    </cfRule>
  </conditionalFormatting>
  <conditionalFormatting sqref="Q377">
    <cfRule type="containsBlanks" dxfId="662" priority="5983" stopIfTrue="1">
      <formula>LEN(TRIM(Q377))=0</formula>
    </cfRule>
  </conditionalFormatting>
  <conditionalFormatting sqref="Q378">
    <cfRule type="containsBlanks" dxfId="661" priority="5982" stopIfTrue="1">
      <formula>LEN(TRIM(Q378))=0</formula>
    </cfRule>
  </conditionalFormatting>
  <conditionalFormatting sqref="Q379">
    <cfRule type="containsBlanks" dxfId="660" priority="5981" stopIfTrue="1">
      <formula>LEN(TRIM(Q379))=0</formula>
    </cfRule>
  </conditionalFormatting>
  <conditionalFormatting sqref="Q380">
    <cfRule type="containsBlanks" dxfId="659" priority="5980" stopIfTrue="1">
      <formula>LEN(TRIM(Q380))=0</formula>
    </cfRule>
  </conditionalFormatting>
  <conditionalFormatting sqref="Q381">
    <cfRule type="containsBlanks" dxfId="658" priority="5979" stopIfTrue="1">
      <formula>LEN(TRIM(Q381))=0</formula>
    </cfRule>
  </conditionalFormatting>
  <conditionalFormatting sqref="Q382">
    <cfRule type="containsBlanks" dxfId="657" priority="5978" stopIfTrue="1">
      <formula>LEN(TRIM(Q382))=0</formula>
    </cfRule>
  </conditionalFormatting>
  <conditionalFormatting sqref="Q383">
    <cfRule type="containsBlanks" dxfId="656" priority="5977" stopIfTrue="1">
      <formula>LEN(TRIM(Q383))=0</formula>
    </cfRule>
  </conditionalFormatting>
  <conditionalFormatting sqref="Q384">
    <cfRule type="containsBlanks" dxfId="655" priority="5976" stopIfTrue="1">
      <formula>LEN(TRIM(Q384))=0</formula>
    </cfRule>
  </conditionalFormatting>
  <conditionalFormatting sqref="Q385">
    <cfRule type="containsBlanks" dxfId="654" priority="5975" stopIfTrue="1">
      <formula>LEN(TRIM(Q385))=0</formula>
    </cfRule>
  </conditionalFormatting>
  <conditionalFormatting sqref="Q386">
    <cfRule type="containsBlanks" dxfId="653" priority="5974" stopIfTrue="1">
      <formula>LEN(TRIM(Q386))=0</formula>
    </cfRule>
  </conditionalFormatting>
  <conditionalFormatting sqref="Q387">
    <cfRule type="containsBlanks" dxfId="652" priority="5973" stopIfTrue="1">
      <formula>LEN(TRIM(Q387))=0</formula>
    </cfRule>
  </conditionalFormatting>
  <conditionalFormatting sqref="Q388">
    <cfRule type="containsBlanks" dxfId="651" priority="5972" stopIfTrue="1">
      <formula>LEN(TRIM(Q388))=0</formula>
    </cfRule>
  </conditionalFormatting>
  <conditionalFormatting sqref="Q389">
    <cfRule type="containsBlanks" dxfId="650" priority="5971" stopIfTrue="1">
      <formula>LEN(TRIM(Q389))=0</formula>
    </cfRule>
  </conditionalFormatting>
  <conditionalFormatting sqref="Q390">
    <cfRule type="containsBlanks" dxfId="649" priority="5970" stopIfTrue="1">
      <formula>LEN(TRIM(Q390))=0</formula>
    </cfRule>
  </conditionalFormatting>
  <conditionalFormatting sqref="Q391">
    <cfRule type="containsBlanks" dxfId="648" priority="5969" stopIfTrue="1">
      <formula>LEN(TRIM(Q391))=0</formula>
    </cfRule>
  </conditionalFormatting>
  <conditionalFormatting sqref="Q392">
    <cfRule type="containsBlanks" dxfId="647" priority="5968" stopIfTrue="1">
      <formula>LEN(TRIM(Q392))=0</formula>
    </cfRule>
  </conditionalFormatting>
  <conditionalFormatting sqref="Q393">
    <cfRule type="containsBlanks" dxfId="646" priority="5967" stopIfTrue="1">
      <formula>LEN(TRIM(Q393))=0</formula>
    </cfRule>
  </conditionalFormatting>
  <conditionalFormatting sqref="Q394">
    <cfRule type="containsBlanks" dxfId="645" priority="5966" stopIfTrue="1">
      <formula>LEN(TRIM(Q394))=0</formula>
    </cfRule>
  </conditionalFormatting>
  <conditionalFormatting sqref="Q395">
    <cfRule type="containsBlanks" dxfId="644" priority="5965" stopIfTrue="1">
      <formula>LEN(TRIM(Q395))=0</formula>
    </cfRule>
  </conditionalFormatting>
  <conditionalFormatting sqref="Q396">
    <cfRule type="containsBlanks" dxfId="643" priority="5964" stopIfTrue="1">
      <formula>LEN(TRIM(Q396))=0</formula>
    </cfRule>
  </conditionalFormatting>
  <conditionalFormatting sqref="Q397">
    <cfRule type="containsBlanks" dxfId="642" priority="5963" stopIfTrue="1">
      <formula>LEN(TRIM(Q397))=0</formula>
    </cfRule>
  </conditionalFormatting>
  <conditionalFormatting sqref="Q398">
    <cfRule type="containsBlanks" dxfId="641" priority="5962" stopIfTrue="1">
      <formula>LEN(TRIM(Q398))=0</formula>
    </cfRule>
  </conditionalFormatting>
  <conditionalFormatting sqref="Q399">
    <cfRule type="containsBlanks" dxfId="640" priority="5961" stopIfTrue="1">
      <formula>LEN(TRIM(Q399))=0</formula>
    </cfRule>
  </conditionalFormatting>
  <conditionalFormatting sqref="Q400">
    <cfRule type="containsBlanks" dxfId="639" priority="5960" stopIfTrue="1">
      <formula>LEN(TRIM(Q400))=0</formula>
    </cfRule>
  </conditionalFormatting>
  <conditionalFormatting sqref="Q401">
    <cfRule type="containsBlanks" dxfId="638" priority="5959" stopIfTrue="1">
      <formula>LEN(TRIM(Q401))=0</formula>
    </cfRule>
  </conditionalFormatting>
  <conditionalFormatting sqref="O340:O344">
    <cfRule type="cellIs" dxfId="637" priority="5955" operator="notEqual">
      <formula>$O$340</formula>
    </cfRule>
    <cfRule type="cellIs" dxfId="636" priority="5956" operator="equal">
      <formula>$O$340</formula>
    </cfRule>
  </conditionalFormatting>
  <conditionalFormatting sqref="N340:N344">
    <cfRule type="cellIs" dxfId="635" priority="5953" operator="notEqual">
      <formula>$N$340</formula>
    </cfRule>
    <cfRule type="cellIs" dxfId="634" priority="5954" operator="equal">
      <formula>$N$340</formula>
    </cfRule>
  </conditionalFormatting>
  <conditionalFormatting sqref="N72">
    <cfRule type="containsBlanks" dxfId="633" priority="5924" stopIfTrue="1">
      <formula>LEN(TRIM(N72))=0</formula>
    </cfRule>
  </conditionalFormatting>
  <conditionalFormatting sqref="O72">
    <cfRule type="containsBlanks" dxfId="632" priority="5923" stopIfTrue="1">
      <formula>LEN(TRIM(O72))=0</formula>
    </cfRule>
  </conditionalFormatting>
  <conditionalFormatting sqref="P72">
    <cfRule type="containsBlanks" dxfId="631" priority="5922" stopIfTrue="1">
      <formula>LEN(TRIM(P72))=0</formula>
    </cfRule>
  </conditionalFormatting>
  <conditionalFormatting sqref="Q72">
    <cfRule type="containsBlanks" dxfId="630" priority="5921" stopIfTrue="1">
      <formula>LEN(TRIM(Q72))=0</formula>
    </cfRule>
  </conditionalFormatting>
  <conditionalFormatting sqref="R94">
    <cfRule type="containsBlanks" dxfId="629" priority="5920" stopIfTrue="1">
      <formula>LEN(TRIM(R94))=0</formula>
    </cfRule>
  </conditionalFormatting>
  <conditionalFormatting sqref="W99">
    <cfRule type="cellIs" dxfId="628" priority="5910" stopIfTrue="1" operator="equal">
      <formula>0</formula>
    </cfRule>
  </conditionalFormatting>
  <conditionalFormatting sqref="U102">
    <cfRule type="containsBlanks" dxfId="627" priority="5905" stopIfTrue="1">
      <formula>LEN(TRIM(U102))=0</formula>
    </cfRule>
  </conditionalFormatting>
  <conditionalFormatting sqref="U103">
    <cfRule type="containsBlanks" dxfId="626" priority="5901" stopIfTrue="1">
      <formula>LEN(TRIM(U103))=0</formula>
    </cfRule>
  </conditionalFormatting>
  <conditionalFormatting sqref="X100">
    <cfRule type="containsBlanks" dxfId="625" priority="5909" stopIfTrue="1">
      <formula>LEN(TRIM(X100))=0</formula>
    </cfRule>
  </conditionalFormatting>
  <conditionalFormatting sqref="X99">
    <cfRule type="containsBlanks" dxfId="624" priority="5900" stopIfTrue="1">
      <formula>LEN(TRIM(X99))=0</formula>
    </cfRule>
  </conditionalFormatting>
  <conditionalFormatting sqref="X610">
    <cfRule type="containsBlanks" dxfId="623" priority="5893" stopIfTrue="1">
      <formula>LEN(TRIM(X610))=0</formula>
    </cfRule>
  </conditionalFormatting>
  <conditionalFormatting sqref="W608">
    <cfRule type="cellIs" dxfId="622" priority="5892" stopIfTrue="1" operator="equal">
      <formula>0</formula>
    </cfRule>
  </conditionalFormatting>
  <conditionalFormatting sqref="M612">
    <cfRule type="containsBlanks" dxfId="621" priority="5891" stopIfTrue="1">
      <formula>LEN(TRIM(M612))=0</formula>
    </cfRule>
  </conditionalFormatting>
  <conditionalFormatting sqref="B21">
    <cfRule type="containsBlanks" dxfId="620" priority="5890" stopIfTrue="1">
      <formula>LEN(TRIM(B21))=0</formula>
    </cfRule>
  </conditionalFormatting>
  <conditionalFormatting sqref="B22">
    <cfRule type="containsBlanks" dxfId="619" priority="5889" stopIfTrue="1">
      <formula>LEN(TRIM(B22))=0</formula>
    </cfRule>
  </conditionalFormatting>
  <conditionalFormatting sqref="C340">
    <cfRule type="containsBlanks" dxfId="618" priority="5888" stopIfTrue="1">
      <formula>LEN(TRIM(C340))=0</formula>
    </cfRule>
  </conditionalFormatting>
  <conditionalFormatting sqref="C343">
    <cfRule type="containsBlanks" dxfId="617" priority="5887" stopIfTrue="1">
      <formula>LEN(TRIM(C343))=0</formula>
    </cfRule>
  </conditionalFormatting>
  <conditionalFormatting sqref="C346">
    <cfRule type="containsBlanks" dxfId="616" priority="5886" stopIfTrue="1">
      <formula>LEN(TRIM(C346))=0</formula>
    </cfRule>
  </conditionalFormatting>
  <conditionalFormatting sqref="P604">
    <cfRule type="containsBlanks" dxfId="615" priority="5520" stopIfTrue="1">
      <formula>LEN(TRIM(P604))=0</formula>
    </cfRule>
  </conditionalFormatting>
  <conditionalFormatting sqref="U597">
    <cfRule type="containsBlanks" dxfId="614" priority="5512" stopIfTrue="1">
      <formula>LEN(TRIM(U597))=0</formula>
    </cfRule>
  </conditionalFormatting>
  <conditionalFormatting sqref="B70">
    <cfRule type="containsBlanks" dxfId="613" priority="5500" stopIfTrue="1">
      <formula>LEN(TRIM(B70))=0</formula>
    </cfRule>
  </conditionalFormatting>
  <conditionalFormatting sqref="B79">
    <cfRule type="containsBlanks" dxfId="612" priority="5497" stopIfTrue="1">
      <formula>LEN(TRIM(B79))=0</formula>
    </cfRule>
  </conditionalFormatting>
  <conditionalFormatting sqref="B80">
    <cfRule type="containsBlanks" dxfId="611" priority="5496" stopIfTrue="1">
      <formula>LEN(TRIM(B80))=0</formula>
    </cfRule>
  </conditionalFormatting>
  <conditionalFormatting sqref="B81">
    <cfRule type="containsBlanks" dxfId="610" priority="5495" stopIfTrue="1">
      <formula>LEN(TRIM(B81))=0</formula>
    </cfRule>
  </conditionalFormatting>
  <conditionalFormatting sqref="B72">
    <cfRule type="containsBlanks" dxfId="609" priority="5498" stopIfTrue="1">
      <formula>LEN(TRIM(B72))=0</formula>
    </cfRule>
  </conditionalFormatting>
  <conditionalFormatting sqref="R604">
    <cfRule type="containsBlanks" dxfId="608" priority="5517" stopIfTrue="1">
      <formula>LEN(TRIM(R604))=0</formula>
    </cfRule>
  </conditionalFormatting>
  <conditionalFormatting sqref="U596 X593 N593 X595">
    <cfRule type="containsBlanks" dxfId="607" priority="5516" stopIfTrue="1">
      <formula>LEN(TRIM(N593))=0</formula>
    </cfRule>
  </conditionalFormatting>
  <conditionalFormatting sqref="W601">
    <cfRule type="cellIs" dxfId="606" priority="5530" stopIfTrue="1" operator="equal">
      <formula>0</formula>
    </cfRule>
  </conditionalFormatting>
  <conditionalFormatting sqref="V604">
    <cfRule type="cellIs" dxfId="605" priority="5534" stopIfTrue="1" operator="equal">
      <formula>"ESP. ERRADA"</formula>
    </cfRule>
  </conditionalFormatting>
  <conditionalFormatting sqref="U604 X601:X603">
    <cfRule type="containsBlanks" dxfId="604" priority="5535" stopIfTrue="1">
      <formula>LEN(TRIM(U601))=0</formula>
    </cfRule>
  </conditionalFormatting>
  <conditionalFormatting sqref="S604">
    <cfRule type="containsBlanks" dxfId="603" priority="5519" stopIfTrue="1">
      <formula>LEN(TRIM(S604))=0</formula>
    </cfRule>
  </conditionalFormatting>
  <conditionalFormatting sqref="W593">
    <cfRule type="cellIs" dxfId="602" priority="5511" stopIfTrue="1" operator="equal">
      <formula>0</formula>
    </cfRule>
  </conditionalFormatting>
  <conditionalFormatting sqref="B44">
    <cfRule type="containsBlanks" dxfId="601" priority="5502" stopIfTrue="1">
      <formula>LEN(TRIM(B44))=0</formula>
    </cfRule>
  </conditionalFormatting>
  <conditionalFormatting sqref="B45">
    <cfRule type="containsBlanks" dxfId="600" priority="5501" stopIfTrue="1">
      <formula>LEN(TRIM(B45))=0</formula>
    </cfRule>
  </conditionalFormatting>
  <conditionalFormatting sqref="B71">
    <cfRule type="containsBlanks" dxfId="599" priority="5499" stopIfTrue="1">
      <formula>LEN(TRIM(B71))=0</formula>
    </cfRule>
  </conditionalFormatting>
  <conditionalFormatting sqref="P53 S53 U53">
    <cfRule type="containsBlanks" dxfId="598" priority="5133" stopIfTrue="1">
      <formula>LEN(TRIM(P53))=0</formula>
    </cfRule>
  </conditionalFormatting>
  <conditionalFormatting sqref="X51 M52 U52 X49">
    <cfRule type="containsBlanks" dxfId="597" priority="5135" stopIfTrue="1">
      <formula>LEN(TRIM(M49))=0</formula>
    </cfRule>
  </conditionalFormatting>
  <conditionalFormatting sqref="W49">
    <cfRule type="cellIs" dxfId="596" priority="5134" stopIfTrue="1" operator="equal">
      <formula>0</formula>
    </cfRule>
  </conditionalFormatting>
  <conditionalFormatting sqref="B52">
    <cfRule type="containsBlanks" dxfId="595" priority="5132" stopIfTrue="1">
      <formula>LEN(TRIM(B52))=0</formula>
    </cfRule>
  </conditionalFormatting>
  <conditionalFormatting sqref="B53">
    <cfRule type="containsBlanks" dxfId="594" priority="5131" stopIfTrue="1">
      <formula>LEN(TRIM(B53))=0</formula>
    </cfRule>
  </conditionalFormatting>
  <conditionalFormatting sqref="W60">
    <cfRule type="cellIs" dxfId="593" priority="5130" stopIfTrue="1" operator="equal">
      <formula>0</formula>
    </cfRule>
  </conditionalFormatting>
  <conditionalFormatting sqref="X60">
    <cfRule type="containsBlanks" dxfId="592" priority="5128" stopIfTrue="1">
      <formula>LEN(TRIM(X60))=0</formula>
    </cfRule>
  </conditionalFormatting>
  <conditionalFormatting sqref="R61">
    <cfRule type="containsBlanks" dxfId="591" priority="5127" stopIfTrue="1">
      <formula>LEN(TRIM(R61))=0</formula>
    </cfRule>
  </conditionalFormatting>
  <conditionalFormatting sqref="W213">
    <cfRule type="cellIs" dxfId="590" priority="5122" stopIfTrue="1" operator="equal">
      <formula>0</formula>
    </cfRule>
  </conditionalFormatting>
  <conditionalFormatting sqref="X213:X215">
    <cfRule type="containsBlanks" dxfId="589" priority="5123" stopIfTrue="1">
      <formula>LEN(TRIM(X213))=0</formula>
    </cfRule>
  </conditionalFormatting>
  <conditionalFormatting sqref="B159 M150 O150 O160 U150:V150 V154 X150">
    <cfRule type="containsBlanks" dxfId="588" priority="5126" stopIfTrue="1">
      <formula>LEN(TRIM(B150))=0</formula>
    </cfRule>
  </conditionalFormatting>
  <conditionalFormatting sqref="U213">
    <cfRule type="containsBlanks" dxfId="587" priority="5121" stopIfTrue="1">
      <formula>LEN(TRIM(U213))=0</formula>
    </cfRule>
  </conditionalFormatting>
  <conditionalFormatting sqref="X218">
    <cfRule type="containsBlanks" dxfId="586" priority="5120" stopIfTrue="1">
      <formula>LEN(TRIM(X218))=0</formula>
    </cfRule>
  </conditionalFormatting>
  <conditionalFormatting sqref="V214:V215 V212 V217:V221">
    <cfRule type="cellIs" dxfId="585" priority="5124" stopIfTrue="1" operator="equal">
      <formula>"ESP. ERRADA"</formula>
    </cfRule>
  </conditionalFormatting>
  <conditionalFormatting sqref="W218">
    <cfRule type="cellIs" dxfId="584" priority="5125" stopIfTrue="1" operator="equal">
      <formula>0</formula>
    </cfRule>
  </conditionalFormatting>
  <conditionalFormatting sqref="X119">
    <cfRule type="containsBlanks" dxfId="583" priority="5105" stopIfTrue="1">
      <formula>LEN(TRIM(X119))=0</formula>
    </cfRule>
  </conditionalFormatting>
  <conditionalFormatting sqref="O161:O209">
    <cfRule type="containsBlanks" dxfId="582" priority="5118" stopIfTrue="1">
      <formula>LEN(TRIM(O161))=0</formula>
    </cfRule>
  </conditionalFormatting>
  <conditionalFormatting sqref="B111">
    <cfRule type="containsBlanks" dxfId="581" priority="5103" stopIfTrue="1">
      <formula>LEN(TRIM(B111))=0</formula>
    </cfRule>
  </conditionalFormatting>
  <conditionalFormatting sqref="W107">
    <cfRule type="cellIs" dxfId="580" priority="5111" stopIfTrue="1" operator="equal">
      <formula>0</formula>
    </cfRule>
  </conditionalFormatting>
  <conditionalFormatting sqref="U111">
    <cfRule type="containsBlanks" dxfId="579" priority="5112" stopIfTrue="1">
      <formula>LEN(TRIM(U111))=0</formula>
    </cfRule>
  </conditionalFormatting>
  <conditionalFormatting sqref="P110 S110 U110 X107:X109 N107">
    <cfRule type="containsBlanks" dxfId="578" priority="5116" stopIfTrue="1">
      <formula>LEN(TRIM(N107))=0</formula>
    </cfRule>
  </conditionalFormatting>
  <conditionalFormatting sqref="M597">
    <cfRule type="containsBlanks" dxfId="577" priority="5113" stopIfTrue="1">
      <formula>LEN(TRIM(M597))=0</formula>
    </cfRule>
  </conditionalFormatting>
  <conditionalFormatting sqref="U25">
    <cfRule type="containsBlanks" dxfId="576" priority="5095" stopIfTrue="1">
      <formula>LEN(TRIM(U25))=0</formula>
    </cfRule>
  </conditionalFormatting>
  <conditionalFormatting sqref="X114:X116">
    <cfRule type="containsBlanks" dxfId="575" priority="5108" stopIfTrue="1">
      <formula>LEN(TRIM(X114))=0</formula>
    </cfRule>
  </conditionalFormatting>
  <conditionalFormatting sqref="U114">
    <cfRule type="containsBlanks" dxfId="574" priority="5106" stopIfTrue="1">
      <formula>LEN(TRIM(U114))=0</formula>
    </cfRule>
  </conditionalFormatting>
  <conditionalFormatting sqref="V115:V116 V113 V118:V122">
    <cfRule type="cellIs" dxfId="573" priority="5109" stopIfTrue="1" operator="equal">
      <formula>"ESP. ERRADA"</formula>
    </cfRule>
  </conditionalFormatting>
  <conditionalFormatting sqref="W114">
    <cfRule type="cellIs" dxfId="572" priority="5107" stopIfTrue="1" operator="equal">
      <formula>0</formula>
    </cfRule>
  </conditionalFormatting>
  <conditionalFormatting sqref="W119">
    <cfRule type="cellIs" dxfId="571" priority="5110" stopIfTrue="1" operator="equal">
      <formula>0</formula>
    </cfRule>
  </conditionalFormatting>
  <conditionalFormatting sqref="B110">
    <cfRule type="containsBlanks" dxfId="570" priority="5104" stopIfTrue="1">
      <formula>LEN(TRIM(B110))=0</formula>
    </cfRule>
  </conditionalFormatting>
  <conditionalFormatting sqref="X30">
    <cfRule type="containsBlanks" dxfId="569" priority="5100" stopIfTrue="1">
      <formula>LEN(TRIM(X30))=0</formula>
    </cfRule>
  </conditionalFormatting>
  <conditionalFormatting sqref="U35">
    <cfRule type="containsBlanks" dxfId="568" priority="5093" stopIfTrue="1">
      <formula>LEN(TRIM(U35))=0</formula>
    </cfRule>
  </conditionalFormatting>
  <conditionalFormatting sqref="V29:V33">
    <cfRule type="cellIs" dxfId="567" priority="5101" stopIfTrue="1" operator="equal">
      <formula>"ESP. ERRADA"</formula>
    </cfRule>
  </conditionalFormatting>
  <conditionalFormatting sqref="W30">
    <cfRule type="cellIs" dxfId="566" priority="5102" stopIfTrue="1" operator="equal">
      <formula>0</formula>
    </cfRule>
  </conditionalFormatting>
  <conditionalFormatting sqref="X35">
    <cfRule type="containsBlanks" dxfId="565" priority="5097" stopIfTrue="1">
      <formula>LEN(TRIM(X35))=0</formula>
    </cfRule>
  </conditionalFormatting>
  <conditionalFormatting sqref="V34:V38">
    <cfRule type="cellIs" dxfId="564" priority="5098" stopIfTrue="1" operator="equal">
      <formula>"ESP. ERRADA"</formula>
    </cfRule>
  </conditionalFormatting>
  <conditionalFormatting sqref="W35">
    <cfRule type="cellIs" dxfId="563" priority="5099" stopIfTrue="1" operator="equal">
      <formula>0</formula>
    </cfRule>
  </conditionalFormatting>
  <conditionalFormatting sqref="U30">
    <cfRule type="containsBlanks" dxfId="562" priority="5094" stopIfTrue="1">
      <formula>LEN(TRIM(U30))=0</formula>
    </cfRule>
  </conditionalFormatting>
  <conditionalFormatting sqref="X93">
    <cfRule type="containsBlanks" dxfId="561" priority="4697" stopIfTrue="1">
      <formula>LEN(TRIM(X93))=0</formula>
    </cfRule>
  </conditionalFormatting>
  <conditionalFormatting sqref="X94">
    <cfRule type="containsBlanks" dxfId="560" priority="4696" stopIfTrue="1">
      <formula>LEN(TRIM(X94))=0</formula>
    </cfRule>
  </conditionalFormatting>
  <conditionalFormatting sqref="X608">
    <cfRule type="containsBlanks" dxfId="559" priority="4695" stopIfTrue="1">
      <formula>LEN(TRIM(X608))=0</formula>
    </cfRule>
  </conditionalFormatting>
  <conditionalFormatting sqref="X609">
    <cfRule type="containsBlanks" dxfId="558" priority="4694" stopIfTrue="1">
      <formula>LEN(TRIM(X609))=0</formula>
    </cfRule>
  </conditionalFormatting>
  <conditionalFormatting sqref="X582:X584">
    <cfRule type="containsBlanks" dxfId="557" priority="4687" stopIfTrue="1">
      <formula>LEN(TRIM(X582))=0</formula>
    </cfRule>
  </conditionalFormatting>
  <conditionalFormatting sqref="W587">
    <cfRule type="cellIs" dxfId="556" priority="4689" stopIfTrue="1" operator="equal">
      <formula>0</formula>
    </cfRule>
  </conditionalFormatting>
  <conditionalFormatting sqref="V583:V584 V581 V586:V589">
    <cfRule type="cellIs" dxfId="555" priority="4688" stopIfTrue="1" operator="equal">
      <formula>"ESP. ERRADA"</formula>
    </cfRule>
  </conditionalFormatting>
  <conditionalFormatting sqref="Q519">
    <cfRule type="containsBlanks" dxfId="554" priority="4692" stopIfTrue="1">
      <formula>LEN(TRIM(Q519))=0</formula>
    </cfRule>
  </conditionalFormatting>
  <conditionalFormatting sqref="V519">
    <cfRule type="containsBlanks" dxfId="553" priority="4691" stopIfTrue="1">
      <formula>LEN(TRIM(V519))=0</formula>
    </cfRule>
  </conditionalFormatting>
  <conditionalFormatting sqref="B528 M519 O519 U519 X519">
    <cfRule type="containsBlanks" dxfId="552" priority="4693" stopIfTrue="1">
      <formula>LEN(TRIM(B519))=0</formula>
    </cfRule>
  </conditionalFormatting>
  <conditionalFormatting sqref="X587">
    <cfRule type="containsBlanks" dxfId="551" priority="4684" stopIfTrue="1">
      <formula>LEN(TRIM(X587))=0</formula>
    </cfRule>
  </conditionalFormatting>
  <conditionalFormatting sqref="U582">
    <cfRule type="containsBlanks" dxfId="550" priority="4685" stopIfTrue="1">
      <formula>LEN(TRIM(U582))=0</formula>
    </cfRule>
  </conditionalFormatting>
  <conditionalFormatting sqref="W582">
    <cfRule type="cellIs" dxfId="549" priority="4686" stopIfTrue="1" operator="equal">
      <formula>0</formula>
    </cfRule>
  </conditionalFormatting>
  <conditionalFormatting sqref="B525">
    <cfRule type="containsBlanks" dxfId="548" priority="4680" stopIfTrue="1">
      <formula>LEN(TRIM(B525))=0</formula>
    </cfRule>
  </conditionalFormatting>
  <conditionalFormatting sqref="N519">
    <cfRule type="containsBlanks" dxfId="547" priority="4677" stopIfTrue="1">
      <formula>LEN(TRIM(N519))=0</formula>
    </cfRule>
  </conditionalFormatting>
  <conditionalFormatting sqref="N150">
    <cfRule type="containsBlanks" dxfId="546" priority="4675" stopIfTrue="1">
      <formula>LEN(TRIM(N150))=0</formula>
    </cfRule>
  </conditionalFormatting>
  <conditionalFormatting sqref="N125">
    <cfRule type="containsBlanks" dxfId="545" priority="4674" stopIfTrue="1">
      <formula>LEN(TRIM(N125))=0</formula>
    </cfRule>
  </conditionalFormatting>
  <conditionalFormatting sqref="W508">
    <cfRule type="cellIs" dxfId="544" priority="4669" stopIfTrue="1" operator="equal">
      <formula>0</formula>
    </cfRule>
  </conditionalFormatting>
  <conditionalFormatting sqref="X508:X510">
    <cfRule type="containsBlanks" dxfId="543" priority="4670" stopIfTrue="1">
      <formula>LEN(TRIM(X508))=0</formula>
    </cfRule>
  </conditionalFormatting>
  <conditionalFormatting sqref="B496 B498 B503 M494 O494 O504 T494:V494 X494 B500:B501">
    <cfRule type="containsBlanks" dxfId="542" priority="4673" stopIfTrue="1">
      <formula>LEN(TRIM(B494))=0</formula>
    </cfRule>
  </conditionalFormatting>
  <conditionalFormatting sqref="U508">
    <cfRule type="containsBlanks" dxfId="541" priority="4668" stopIfTrue="1">
      <formula>LEN(TRIM(U508))=0</formula>
    </cfRule>
  </conditionalFormatting>
  <conditionalFormatting sqref="X513">
    <cfRule type="containsBlanks" dxfId="540" priority="4667" stopIfTrue="1">
      <formula>LEN(TRIM(X513))=0</formula>
    </cfRule>
  </conditionalFormatting>
  <conditionalFormatting sqref="V509:V510 V507 V512:V516">
    <cfRule type="cellIs" dxfId="539" priority="4671" stopIfTrue="1" operator="equal">
      <formula>"ESP. ERRADA"</formula>
    </cfRule>
  </conditionalFormatting>
  <conditionalFormatting sqref="W513">
    <cfRule type="cellIs" dxfId="538" priority="4672" stopIfTrue="1" operator="equal">
      <formula>0</formula>
    </cfRule>
  </conditionalFormatting>
  <conditionalFormatting sqref="N494">
    <cfRule type="containsBlanks" dxfId="537" priority="4666" stopIfTrue="1">
      <formula>LEN(TRIM(N494))=0</formula>
    </cfRule>
  </conditionalFormatting>
  <conditionalFormatting sqref="Q352">
    <cfRule type="containsBlanks" dxfId="536" priority="2746" stopIfTrue="1">
      <formula>LEN(TRIM(Q352))=0</formula>
    </cfRule>
  </conditionalFormatting>
  <conditionalFormatting sqref="O352:O401">
    <cfRule type="containsBlanks" dxfId="535" priority="2745" stopIfTrue="1">
      <formula>LEN(TRIM(O352))=0</formula>
    </cfRule>
  </conditionalFormatting>
  <conditionalFormatting sqref="M352">
    <cfRule type="containsBlanks" dxfId="534" priority="2744" stopIfTrue="1">
      <formula>LEN(TRIM(M352))=0</formula>
    </cfRule>
  </conditionalFormatting>
  <conditionalFormatting sqref="M355">
    <cfRule type="containsBlanks" dxfId="533" priority="2739" stopIfTrue="1">
      <formula>LEN(TRIM(M355))=0</formula>
    </cfRule>
  </conditionalFormatting>
  <conditionalFormatting sqref="X18">
    <cfRule type="containsBlanks" dxfId="532" priority="2201" stopIfTrue="1">
      <formula>LEN(TRIM(X18))=0</formula>
    </cfRule>
  </conditionalFormatting>
  <conditionalFormatting sqref="T340">
    <cfRule type="cellIs" dxfId="531" priority="2194" operator="notEqual">
      <formula>$O$340</formula>
    </cfRule>
    <cfRule type="cellIs" dxfId="530" priority="2195" operator="equal">
      <formula>$O$340</formula>
    </cfRule>
  </conditionalFormatting>
  <conditionalFormatting sqref="S340">
    <cfRule type="cellIs" dxfId="529" priority="2149" operator="notEqual">
      <formula>$N$340</formula>
    </cfRule>
    <cfRule type="cellIs" dxfId="528" priority="2150" operator="equal">
      <formula>$N$340</formula>
    </cfRule>
  </conditionalFormatting>
  <conditionalFormatting sqref="T341:T344">
    <cfRule type="cellIs" dxfId="527" priority="2138" operator="notEqual">
      <formula>$O$340</formula>
    </cfRule>
    <cfRule type="cellIs" dxfId="526" priority="2139" operator="equal">
      <formula>$O$340</formula>
    </cfRule>
  </conditionalFormatting>
  <conditionalFormatting sqref="S341:S344">
    <cfRule type="cellIs" dxfId="525" priority="2136" operator="notEqual">
      <formula>$N$340</formula>
    </cfRule>
    <cfRule type="cellIs" dxfId="524" priority="2137" operator="equal">
      <formula>$N$340</formula>
    </cfRule>
  </conditionalFormatting>
  <conditionalFormatting sqref="R341">
    <cfRule type="containsBlanks" dxfId="523" priority="2135" stopIfTrue="1">
      <formula>LEN(TRIM(R341))=0</formula>
    </cfRule>
  </conditionalFormatting>
  <conditionalFormatting sqref="R342">
    <cfRule type="containsBlanks" dxfId="522" priority="2134" stopIfTrue="1">
      <formula>LEN(TRIM(R342))=0</formula>
    </cfRule>
  </conditionalFormatting>
  <conditionalFormatting sqref="R343">
    <cfRule type="containsBlanks" dxfId="521" priority="2133" stopIfTrue="1">
      <formula>LEN(TRIM(R343))=0</formula>
    </cfRule>
  </conditionalFormatting>
  <conditionalFormatting sqref="R340">
    <cfRule type="containsBlanks" dxfId="520" priority="2132" stopIfTrue="1">
      <formula>LEN(TRIM(R340))=0</formula>
    </cfRule>
  </conditionalFormatting>
  <conditionalFormatting sqref="M341">
    <cfRule type="containsBlanks" dxfId="519" priority="2131" stopIfTrue="1">
      <formula>LEN(TRIM(M341))=0</formula>
    </cfRule>
  </conditionalFormatting>
  <conditionalFormatting sqref="M342">
    <cfRule type="containsBlanks" dxfId="518" priority="2130" stopIfTrue="1">
      <formula>LEN(TRIM(M342))=0</formula>
    </cfRule>
  </conditionalFormatting>
  <conditionalFormatting sqref="M343">
    <cfRule type="containsBlanks" dxfId="517" priority="2129" stopIfTrue="1">
      <formula>LEN(TRIM(M343))=0</formula>
    </cfRule>
  </conditionalFormatting>
  <conditionalFormatting sqref="M344">
    <cfRule type="containsBlanks" dxfId="516" priority="2128" stopIfTrue="1">
      <formula>LEN(TRIM(M344))=0</formula>
    </cfRule>
  </conditionalFormatting>
  <conditionalFormatting sqref="M224 O224">
    <cfRule type="containsBlanks" dxfId="515" priority="2127" stopIfTrue="1">
      <formula>LEN(TRIM(M224))=0</formula>
    </cfRule>
  </conditionalFormatting>
  <conditionalFormatting sqref="N224">
    <cfRule type="containsBlanks" dxfId="514" priority="2126" stopIfTrue="1">
      <formula>LEN(TRIM(N224))=0</formula>
    </cfRule>
  </conditionalFormatting>
  <conditionalFormatting sqref="Q224">
    <cfRule type="containsBlanks" dxfId="513" priority="2125" stopIfTrue="1">
      <formula>LEN(TRIM(Q224))=0</formula>
    </cfRule>
  </conditionalFormatting>
  <conditionalFormatting sqref="B230">
    <cfRule type="containsBlanks" dxfId="512" priority="2124" stopIfTrue="1">
      <formula>LEN(TRIM(B230))=0</formula>
    </cfRule>
  </conditionalFormatting>
  <conditionalFormatting sqref="B231">
    <cfRule type="containsBlanks" dxfId="511" priority="2123" stopIfTrue="1">
      <formula>LEN(TRIM(B231))=0</formula>
    </cfRule>
  </conditionalFormatting>
  <conditionalFormatting sqref="R224">
    <cfRule type="containsBlanks" dxfId="510" priority="2122" stopIfTrue="1">
      <formula>LEN(TRIM(R224))=0</formula>
    </cfRule>
  </conditionalFormatting>
  <conditionalFormatting sqref="O235:O284">
    <cfRule type="containsBlanks" dxfId="509" priority="2121" stopIfTrue="1">
      <formula>LEN(TRIM(O235))=0</formula>
    </cfRule>
  </conditionalFormatting>
  <conditionalFormatting sqref="B156">
    <cfRule type="containsBlanks" dxfId="508" priority="2120" stopIfTrue="1">
      <formula>LEN(TRIM(B156))=0</formula>
    </cfRule>
  </conditionalFormatting>
  <conditionalFormatting sqref="B157">
    <cfRule type="containsBlanks" dxfId="507" priority="2119" stopIfTrue="1">
      <formula>LEN(TRIM(B157))=0</formula>
    </cfRule>
  </conditionalFormatting>
  <conditionalFormatting sqref="B131">
    <cfRule type="containsBlanks" dxfId="506" priority="2118" stopIfTrue="1">
      <formula>LEN(TRIM(B131))=0</formula>
    </cfRule>
  </conditionalFormatting>
  <conditionalFormatting sqref="B132">
    <cfRule type="containsBlanks" dxfId="505" priority="2117" stopIfTrue="1">
      <formula>LEN(TRIM(B132))=0</formula>
    </cfRule>
  </conditionalFormatting>
  <conditionalFormatting sqref="S352:S401">
    <cfRule type="containsBlanks" dxfId="504" priority="2116">
      <formula>LEN(TRIM(S352))=0</formula>
    </cfRule>
  </conditionalFormatting>
  <conditionalFormatting sqref="S530:T579 T504:U504 T1139:U1139">
    <cfRule type="cellIs" dxfId="503" priority="7079" operator="greaterThan">
      <formula>1+$I$530</formula>
    </cfRule>
  </conditionalFormatting>
  <conditionalFormatting sqref="T530:T579">
    <cfRule type="cellIs" dxfId="502" priority="7081" operator="lessThan">
      <formula>-1-$I$530</formula>
    </cfRule>
  </conditionalFormatting>
  <conditionalFormatting sqref="O530:O579">
    <cfRule type="containsBlanks" dxfId="501" priority="2115" stopIfTrue="1">
      <formula>LEN(TRIM(O530))=0</formula>
    </cfRule>
  </conditionalFormatting>
  <conditionalFormatting sqref="S235:T284">
    <cfRule type="cellIs" dxfId="500" priority="7083" operator="greaterThan">
      <formula>1+$K$235</formula>
    </cfRule>
  </conditionalFormatting>
  <conditionalFormatting sqref="P111">
    <cfRule type="containsBlanks" dxfId="499" priority="2071" stopIfTrue="1">
      <formula>LEN(TRIM(P111))=0</formula>
    </cfRule>
  </conditionalFormatting>
  <conditionalFormatting sqref="X19">
    <cfRule type="containsBlanks" dxfId="498" priority="2070" stopIfTrue="1">
      <formula>LEN(TRIM(X19))=0</formula>
    </cfRule>
  </conditionalFormatting>
  <conditionalFormatting sqref="P21 S21">
    <cfRule type="containsBlanks" dxfId="497" priority="2069" stopIfTrue="1">
      <formula>LEN(TRIM(P21))=0</formula>
    </cfRule>
  </conditionalFormatting>
  <conditionalFormatting sqref="P22">
    <cfRule type="containsBlanks" dxfId="496" priority="2068" stopIfTrue="1">
      <formula>LEN(TRIM(P22))=0</formula>
    </cfRule>
  </conditionalFormatting>
  <conditionalFormatting sqref="M22">
    <cfRule type="containsBlanks" dxfId="495" priority="2067" stopIfTrue="1">
      <formula>LEN(TRIM(M22))=0</formula>
    </cfRule>
  </conditionalFormatting>
  <conditionalFormatting sqref="P596 S596">
    <cfRule type="containsBlanks" dxfId="494" priority="2066" stopIfTrue="1">
      <formula>LEN(TRIM(P596))=0</formula>
    </cfRule>
  </conditionalFormatting>
  <conditionalFormatting sqref="P597">
    <cfRule type="containsBlanks" dxfId="493" priority="2065" stopIfTrue="1">
      <formula>LEN(TRIM(P597))=0</formula>
    </cfRule>
  </conditionalFormatting>
  <conditionalFormatting sqref="M111">
    <cfRule type="containsBlanks" dxfId="492" priority="2064" stopIfTrue="1">
      <formula>LEN(TRIM(M111))=0</formula>
    </cfRule>
  </conditionalFormatting>
  <conditionalFormatting sqref="X594">
    <cfRule type="containsBlanks" dxfId="491" priority="2063" stopIfTrue="1">
      <formula>LEN(TRIM(X594))=0</formula>
    </cfRule>
  </conditionalFormatting>
  <conditionalFormatting sqref="V110:V111">
    <cfRule type="cellIs" dxfId="490" priority="2062" stopIfTrue="1" operator="equal">
      <formula>"ESP. ERRADA"</formula>
    </cfRule>
  </conditionalFormatting>
  <conditionalFormatting sqref="V596:V597">
    <cfRule type="cellIs" dxfId="489" priority="2061" stopIfTrue="1" operator="equal">
      <formula>"ESP. ERRADA"</formula>
    </cfRule>
  </conditionalFormatting>
  <conditionalFormatting sqref="P94">
    <cfRule type="containsBlanks" dxfId="488" priority="1727" stopIfTrue="1">
      <formula>LEN(TRIM(P94))=0</formula>
    </cfRule>
  </conditionalFormatting>
  <conditionalFormatting sqref="S144">
    <cfRule type="containsBlanks" dxfId="487" priority="1392" stopIfTrue="1">
      <formula>LEN(TRIM(S144))=0</formula>
    </cfRule>
  </conditionalFormatting>
  <conditionalFormatting sqref="S119">
    <cfRule type="containsBlanks" dxfId="486" priority="1391" stopIfTrue="1">
      <formula>LEN(TRIM(S119))=0</formula>
    </cfRule>
  </conditionalFormatting>
  <conditionalFormatting sqref="S218">
    <cfRule type="containsBlanks" dxfId="485" priority="1390" stopIfTrue="1">
      <formula>LEN(TRIM(S218))=0</formula>
    </cfRule>
  </conditionalFormatting>
  <conditionalFormatting sqref="S292">
    <cfRule type="containsBlanks" dxfId="484" priority="1389" stopIfTrue="1">
      <formula>LEN(TRIM(S292))=0</formula>
    </cfRule>
  </conditionalFormatting>
  <conditionalFormatting sqref="S410">
    <cfRule type="containsBlanks" dxfId="483" priority="1388" stopIfTrue="1">
      <formula>LEN(TRIM(S410))=0</formula>
    </cfRule>
  </conditionalFormatting>
  <conditionalFormatting sqref="S513">
    <cfRule type="containsBlanks" dxfId="482" priority="1387" stopIfTrue="1">
      <formula>LEN(TRIM(S513))=0</formula>
    </cfRule>
  </conditionalFormatting>
  <conditionalFormatting sqref="S587">
    <cfRule type="containsBlanks" dxfId="481" priority="1386" stopIfTrue="1">
      <formula>LEN(TRIM(S587))=0</formula>
    </cfRule>
  </conditionalFormatting>
  <conditionalFormatting sqref="U612">
    <cfRule type="containsBlanks" dxfId="480" priority="1385" stopIfTrue="1">
      <formula>LEN(TRIM(U612))=0</formula>
    </cfRule>
  </conditionalFormatting>
  <conditionalFormatting sqref="S633">
    <cfRule type="containsBlanks" dxfId="479" priority="1384" stopIfTrue="1">
      <formula>LEN(TRIM(S633))=0</formula>
    </cfRule>
  </conditionalFormatting>
  <conditionalFormatting sqref="W420 W424 W416">
    <cfRule type="cellIs" dxfId="478" priority="1040" stopIfTrue="1" operator="equal">
      <formula>0</formula>
    </cfRule>
  </conditionalFormatting>
  <conditionalFormatting sqref="V416 V420 V424">
    <cfRule type="cellIs" dxfId="477" priority="1039" stopIfTrue="1" operator="equal">
      <formula>"ESP. ERRADA"</formula>
    </cfRule>
  </conditionalFormatting>
  <conditionalFormatting sqref="O422">
    <cfRule type="containsBlanks" dxfId="476" priority="1038" stopIfTrue="1">
      <formula>LEN(TRIM(O422))=0</formula>
    </cfRule>
  </conditionalFormatting>
  <conditionalFormatting sqref="X416">
    <cfRule type="containsBlanks" dxfId="475" priority="1034" stopIfTrue="1">
      <formula>LEN(TRIM(X416))=0</formula>
    </cfRule>
  </conditionalFormatting>
  <conditionalFormatting sqref="X483:X485">
    <cfRule type="containsBlanks" dxfId="474" priority="1023" stopIfTrue="1">
      <formula>LEN(TRIM(X483))=0</formula>
    </cfRule>
  </conditionalFormatting>
  <conditionalFormatting sqref="U483">
    <cfRule type="containsBlanks" dxfId="473" priority="1021" stopIfTrue="1">
      <formula>LEN(TRIM(U483))=0</formula>
    </cfRule>
  </conditionalFormatting>
  <conditionalFormatting sqref="S430:U479">
    <cfRule type="cellIs" dxfId="472" priority="1026" operator="lessThan">
      <formula>0</formula>
    </cfRule>
  </conditionalFormatting>
  <conditionalFormatting sqref="W488">
    <cfRule type="cellIs" dxfId="471" priority="1025" stopIfTrue="1" operator="equal">
      <formula>0</formula>
    </cfRule>
  </conditionalFormatting>
  <conditionalFormatting sqref="V484:V485 V482 V487:V490">
    <cfRule type="cellIs" dxfId="470" priority="1024" stopIfTrue="1" operator="equal">
      <formula>"ESP. ERRADA"</formula>
    </cfRule>
  </conditionalFormatting>
  <conditionalFormatting sqref="X488">
    <cfRule type="containsBlanks" dxfId="469" priority="1020" stopIfTrue="1">
      <formula>LEN(TRIM(X488))=0</formula>
    </cfRule>
  </conditionalFormatting>
  <conditionalFormatting sqref="W483">
    <cfRule type="cellIs" dxfId="468" priority="1022" stopIfTrue="1" operator="equal">
      <formula>0</formula>
    </cfRule>
  </conditionalFormatting>
  <conditionalFormatting sqref="N416">
    <cfRule type="containsBlanks" dxfId="467" priority="920" stopIfTrue="1">
      <formula>LEN(TRIM(N416))=0</formula>
    </cfRule>
  </conditionalFormatting>
  <conditionalFormatting sqref="P416">
    <cfRule type="containsBlanks" dxfId="466" priority="919" stopIfTrue="1">
      <formula>LEN(TRIM(P416))=0</formula>
    </cfRule>
  </conditionalFormatting>
  <conditionalFormatting sqref="O416">
    <cfRule type="containsBlanks" dxfId="465" priority="918" stopIfTrue="1">
      <formula>LEN(TRIM(O416))=0</formula>
    </cfRule>
  </conditionalFormatting>
  <conditionalFormatting sqref="O423">
    <cfRule type="containsBlanks" dxfId="464" priority="901" stopIfTrue="1">
      <formula>LEN(TRIM(O423))=0</formula>
    </cfRule>
  </conditionalFormatting>
  <conditionalFormatting sqref="O424">
    <cfRule type="containsBlanks" dxfId="463" priority="900" stopIfTrue="1">
      <formula>LEN(TRIM(O424))=0</formula>
    </cfRule>
  </conditionalFormatting>
  <conditionalFormatting sqref="O430:O479">
    <cfRule type="containsBlanks" dxfId="462" priority="897">
      <formula>LEN(TRIM(O430))=0</formula>
    </cfRule>
  </conditionalFormatting>
  <conditionalFormatting sqref="S488">
    <cfRule type="containsBlanks" dxfId="461" priority="896" stopIfTrue="1">
      <formula>LEN(TRIM(S488))=0</formula>
    </cfRule>
  </conditionalFormatting>
  <conditionalFormatting sqref="P422:P423 Q424">
    <cfRule type="uniqueValues" dxfId="460" priority="886"/>
    <cfRule type="duplicateValues" dxfId="459" priority="887"/>
  </conditionalFormatting>
  <conditionalFormatting sqref="Q422:Q423 P424">
    <cfRule type="uniqueValues" dxfId="458" priority="884"/>
    <cfRule type="duplicateValues" dxfId="457" priority="885"/>
  </conditionalFormatting>
  <conditionalFormatting sqref="Q416">
    <cfRule type="containsBlanks" dxfId="456" priority="883" stopIfTrue="1">
      <formula>LEN(TRIM(Q416))=0</formula>
    </cfRule>
  </conditionalFormatting>
  <conditionalFormatting sqref="W1274 X1275:X1276">
    <cfRule type="containsBlanks" dxfId="455" priority="879" stopIfTrue="1">
      <formula>LEN(TRIM(W1274))=0</formula>
    </cfRule>
  </conditionalFormatting>
  <conditionalFormatting sqref="W1274">
    <cfRule type="cellIs" dxfId="454" priority="878" stopIfTrue="1" operator="equal">
      <formula>0</formula>
    </cfRule>
  </conditionalFormatting>
  <conditionalFormatting sqref="X1274">
    <cfRule type="containsBlanks" dxfId="453" priority="877" stopIfTrue="1">
      <formula>LEN(TRIM(X1274))=0</formula>
    </cfRule>
  </conditionalFormatting>
  <conditionalFormatting sqref="V863">
    <cfRule type="containsBlanks" dxfId="452" priority="874" stopIfTrue="1">
      <formula>LEN(TRIM(V863))=0</formula>
    </cfRule>
  </conditionalFormatting>
  <conditionalFormatting sqref="W653">
    <cfRule type="cellIs" dxfId="451" priority="866" stopIfTrue="1" operator="equal">
      <formula>0</formula>
    </cfRule>
  </conditionalFormatting>
  <conditionalFormatting sqref="X922:X924">
    <cfRule type="containsBlanks" dxfId="450" priority="871" stopIfTrue="1">
      <formula>LEN(TRIM(X922))=0</formula>
    </cfRule>
  </conditionalFormatting>
  <conditionalFormatting sqref="W927">
    <cfRule type="cellIs" dxfId="449" priority="873" stopIfTrue="1" operator="equal">
      <formula>0</formula>
    </cfRule>
  </conditionalFormatting>
  <conditionalFormatting sqref="V923:V924 V921 V926:V929">
    <cfRule type="cellIs" dxfId="448" priority="872" stopIfTrue="1" operator="equal">
      <formula>"ESP. ERRADA"</formula>
    </cfRule>
  </conditionalFormatting>
  <conditionalFormatting sqref="U657">
    <cfRule type="containsBlanks" dxfId="447" priority="867" stopIfTrue="1">
      <formula>LEN(TRIM(U657))=0</formula>
    </cfRule>
  </conditionalFormatting>
  <conditionalFormatting sqref="V656:V657">
    <cfRule type="cellIs" dxfId="446" priority="868" stopIfTrue="1" operator="equal">
      <formula>"ESP. ERRADA"</formula>
    </cfRule>
  </conditionalFormatting>
  <conditionalFormatting sqref="V859">
    <cfRule type="containsBlanks" dxfId="445" priority="875" stopIfTrue="1">
      <formula>LEN(TRIM(V859))=0</formula>
    </cfRule>
  </conditionalFormatting>
  <conditionalFormatting sqref="W774">
    <cfRule type="cellIs" dxfId="444" priority="859" stopIfTrue="1" operator="equal">
      <formula>0</formula>
    </cfRule>
  </conditionalFormatting>
  <conditionalFormatting sqref="B868 U859 X859">
    <cfRule type="containsBlanks" dxfId="443" priority="876" stopIfTrue="1">
      <formula>LEN(TRIM(B859))=0</formula>
    </cfRule>
  </conditionalFormatting>
  <conditionalFormatting sqref="U656 X655 N653">
    <cfRule type="containsBlanks" dxfId="442" priority="869" stopIfTrue="1">
      <formula>LEN(TRIM(N653))=0</formula>
    </cfRule>
  </conditionalFormatting>
  <conditionalFormatting sqref="X927">
    <cfRule type="containsBlanks" dxfId="441" priority="864" stopIfTrue="1">
      <formula>LEN(TRIM(X927))=0</formula>
    </cfRule>
  </conditionalFormatting>
  <conditionalFormatting sqref="U922">
    <cfRule type="containsBlanks" dxfId="440" priority="865" stopIfTrue="1">
      <formula>LEN(TRIM(U922))=0</formula>
    </cfRule>
  </conditionalFormatting>
  <conditionalFormatting sqref="X774:X776">
    <cfRule type="containsBlanks" dxfId="439" priority="860" stopIfTrue="1">
      <formula>LEN(TRIM(X774))=0</formula>
    </cfRule>
  </conditionalFormatting>
  <conditionalFormatting sqref="M1251 O1251 U1251:V1251 V1255 X1251">
    <cfRule type="containsBlanks" dxfId="438" priority="856" stopIfTrue="1">
      <formula>LEN(TRIM(M1251))=0</formula>
    </cfRule>
  </conditionalFormatting>
  <conditionalFormatting sqref="W922">
    <cfRule type="cellIs" dxfId="437" priority="870" stopIfTrue="1" operator="equal">
      <formula>0</formula>
    </cfRule>
  </conditionalFormatting>
  <conditionalFormatting sqref="B762 B764 B769 M760 O760 O770 T760:V760 V764 X760">
    <cfRule type="containsBlanks" dxfId="436" priority="863" stopIfTrue="1">
      <formula>LEN(TRIM(B760))=0</formula>
    </cfRule>
  </conditionalFormatting>
  <conditionalFormatting sqref="U774">
    <cfRule type="containsBlanks" dxfId="435" priority="858" stopIfTrue="1">
      <formula>LEN(TRIM(U774))=0</formula>
    </cfRule>
  </conditionalFormatting>
  <conditionalFormatting sqref="W1263">
    <cfRule type="cellIs" dxfId="434" priority="852" stopIfTrue="1" operator="equal">
      <formula>0</formula>
    </cfRule>
  </conditionalFormatting>
  <conditionalFormatting sqref="X1263:X1265">
    <cfRule type="containsBlanks" dxfId="433" priority="853" stopIfTrue="1">
      <formula>LEN(TRIM(X1263))=0</formula>
    </cfRule>
  </conditionalFormatting>
  <conditionalFormatting sqref="W702 W728 W723 W719 W711">
    <cfRule type="cellIs" dxfId="432" priority="842" stopIfTrue="1" operator="equal">
      <formula>0</formula>
    </cfRule>
  </conditionalFormatting>
  <conditionalFormatting sqref="X1268">
    <cfRule type="containsBlanks" dxfId="431" priority="850" stopIfTrue="1">
      <formula>LEN(TRIM(X1268))=0</formula>
    </cfRule>
  </conditionalFormatting>
  <conditionalFormatting sqref="X779">
    <cfRule type="containsBlanks" dxfId="430" priority="857" stopIfTrue="1">
      <formula>LEN(TRIM(X779))=0</formula>
    </cfRule>
  </conditionalFormatting>
  <conditionalFormatting sqref="P680 S680 U680">
    <cfRule type="containsBlanks" dxfId="429" priority="846" stopIfTrue="1">
      <formula>LEN(TRIM(P680))=0</formula>
    </cfRule>
  </conditionalFormatting>
  <conditionalFormatting sqref="X660">
    <cfRule type="containsBlanks" dxfId="428" priority="843" stopIfTrue="1">
      <formula>LEN(TRIM(X660))=0</formula>
    </cfRule>
  </conditionalFormatting>
  <conditionalFormatting sqref="R1251">
    <cfRule type="containsBlanks" dxfId="427" priority="849" stopIfTrue="1">
      <formula>LEN(TRIM(R1251))=0</formula>
    </cfRule>
  </conditionalFormatting>
  <conditionalFormatting sqref="V775:V776 V773 V778:V782">
    <cfRule type="cellIs" dxfId="426" priority="861" stopIfTrue="1" operator="equal">
      <formula>"ESP. ERRADA"</formula>
    </cfRule>
  </conditionalFormatting>
  <conditionalFormatting sqref="U705">
    <cfRule type="containsBlanks" dxfId="425" priority="838" stopIfTrue="1">
      <formula>LEN(TRIM(U705))=0</formula>
    </cfRule>
  </conditionalFormatting>
  <conditionalFormatting sqref="O706">
    <cfRule type="containsBlanks" dxfId="424" priority="836" stopIfTrue="1">
      <formula>LEN(TRIM(O706))=0</formula>
    </cfRule>
  </conditionalFormatting>
  <conditionalFormatting sqref="W779">
    <cfRule type="cellIs" dxfId="423" priority="862" stopIfTrue="1" operator="equal">
      <formula>0</formula>
    </cfRule>
  </conditionalFormatting>
  <conditionalFormatting sqref="X678 M679 U679 X676">
    <cfRule type="containsBlanks" dxfId="422" priority="848" stopIfTrue="1">
      <formula>LEN(TRIM(M676))=0</formula>
    </cfRule>
  </conditionalFormatting>
  <conditionalFormatting sqref="V1264:V1265 V1262 V1267:V1270">
    <cfRule type="cellIs" dxfId="421" priority="854" stopIfTrue="1" operator="equal">
      <formula>"ESP. ERRADA"</formula>
    </cfRule>
  </conditionalFormatting>
  <conditionalFormatting sqref="U1263">
    <cfRule type="containsBlanks" dxfId="420" priority="851" stopIfTrue="1">
      <formula>LEN(TRIM(U1263))=0</formula>
    </cfRule>
  </conditionalFormatting>
  <conditionalFormatting sqref="W1268">
    <cfRule type="cellIs" dxfId="419" priority="855" stopIfTrue="1" operator="equal">
      <formula>0</formula>
    </cfRule>
  </conditionalFormatting>
  <conditionalFormatting sqref="S705">
    <cfRule type="containsBlanks" dxfId="418" priority="839" stopIfTrue="1">
      <formula>LEN(TRIM(S705))=0</formula>
    </cfRule>
  </conditionalFormatting>
  <conditionalFormatting sqref="W676">
    <cfRule type="cellIs" dxfId="417" priority="847" stopIfTrue="1" operator="equal">
      <formula>0</formula>
    </cfRule>
  </conditionalFormatting>
  <conditionalFormatting sqref="U706">
    <cfRule type="containsBlanks" dxfId="416" priority="834" stopIfTrue="1">
      <formula>LEN(TRIM(U706))=0</formula>
    </cfRule>
  </conditionalFormatting>
  <conditionalFormatting sqref="X723">
    <cfRule type="containsBlanks" dxfId="415" priority="827" stopIfTrue="1">
      <formula>LEN(TRIM(X723))=0</formula>
    </cfRule>
  </conditionalFormatting>
  <conditionalFormatting sqref="V659:V663">
    <cfRule type="cellIs" dxfId="414" priority="844" stopIfTrue="1" operator="equal">
      <formula>"ESP. ERRADA"</formula>
    </cfRule>
  </conditionalFormatting>
  <conditionalFormatting sqref="W660">
    <cfRule type="cellIs" dxfId="413" priority="845" stopIfTrue="1" operator="equal">
      <formula>0</formula>
    </cfRule>
  </conditionalFormatting>
  <conditionalFormatting sqref="X703">
    <cfRule type="containsBlanks" dxfId="412" priority="841" stopIfTrue="1">
      <formula>LEN(TRIM(X703))=0</formula>
    </cfRule>
  </conditionalFormatting>
  <conditionalFormatting sqref="P705">
    <cfRule type="containsBlanks" dxfId="411" priority="840" stopIfTrue="1">
      <formula>LEN(TRIM(P705))=0</formula>
    </cfRule>
  </conditionalFormatting>
  <conditionalFormatting sqref="X712">
    <cfRule type="containsBlanks" dxfId="410" priority="833" stopIfTrue="1">
      <formula>LEN(TRIM(X712))=0</formula>
    </cfRule>
  </conditionalFormatting>
  <conditionalFormatting sqref="N706">
    <cfRule type="containsBlanks" dxfId="409" priority="837" stopIfTrue="1">
      <formula>LEN(TRIM(N706))=0</formula>
    </cfRule>
  </conditionalFormatting>
  <conditionalFormatting sqref="X720">
    <cfRule type="containsBlanks" dxfId="408" priority="832" stopIfTrue="1">
      <formula>LEN(TRIM(X720))=0</formula>
    </cfRule>
  </conditionalFormatting>
  <conditionalFormatting sqref="R706">
    <cfRule type="containsBlanks" dxfId="407" priority="835" stopIfTrue="1">
      <formula>LEN(TRIM(R706))=0</formula>
    </cfRule>
  </conditionalFormatting>
  <conditionalFormatting sqref="X724">
    <cfRule type="containsBlanks" dxfId="406" priority="831" stopIfTrue="1">
      <formula>LEN(TRIM(X724))=0</formula>
    </cfRule>
  </conditionalFormatting>
  <conditionalFormatting sqref="X711">
    <cfRule type="containsBlanks" dxfId="405" priority="829" stopIfTrue="1">
      <formula>LEN(TRIM(X711))=0</formula>
    </cfRule>
  </conditionalFormatting>
  <conditionalFormatting sqref="X719">
    <cfRule type="containsBlanks" dxfId="404" priority="828" stopIfTrue="1">
      <formula>LEN(TRIM(X719))=0</formula>
    </cfRule>
  </conditionalFormatting>
  <conditionalFormatting sqref="X702">
    <cfRule type="containsBlanks" dxfId="403" priority="830" stopIfTrue="1">
      <formula>LEN(TRIM(X702))=0</formula>
    </cfRule>
  </conditionalFormatting>
  <conditionalFormatting sqref="U716">
    <cfRule type="containsBlanks" dxfId="402" priority="823" stopIfTrue="1">
      <formula>LEN(TRIM(U716))=0</formula>
    </cfRule>
  </conditionalFormatting>
  <conditionalFormatting sqref="U707">
    <cfRule type="containsBlanks" dxfId="401" priority="822" stopIfTrue="1">
      <formula>LEN(TRIM(U707))=0</formula>
    </cfRule>
  </conditionalFormatting>
  <conditionalFormatting sqref="P714">
    <cfRule type="containsBlanks" dxfId="400" priority="826" stopIfTrue="1">
      <formula>LEN(TRIM(P714))=0</formula>
    </cfRule>
  </conditionalFormatting>
  <conditionalFormatting sqref="S714">
    <cfRule type="containsBlanks" dxfId="399" priority="825" stopIfTrue="1">
      <formula>LEN(TRIM(S714))=0</formula>
    </cfRule>
  </conditionalFormatting>
  <conditionalFormatting sqref="U714">
    <cfRule type="containsBlanks" dxfId="398" priority="824" stopIfTrue="1">
      <formula>LEN(TRIM(U714))=0</formula>
    </cfRule>
  </conditionalFormatting>
  <conditionalFormatting sqref="N716">
    <cfRule type="containsBlanks" dxfId="397" priority="812" stopIfTrue="1">
      <formula>LEN(TRIM(N716))=0</formula>
    </cfRule>
  </conditionalFormatting>
  <conditionalFormatting sqref="U715">
    <cfRule type="containsBlanks" dxfId="396" priority="818" stopIfTrue="1">
      <formula>LEN(TRIM(U715))=0</formula>
    </cfRule>
  </conditionalFormatting>
  <conditionalFormatting sqref="O715">
    <cfRule type="containsBlanks" dxfId="395" priority="820" stopIfTrue="1">
      <formula>LEN(TRIM(O715))=0</formula>
    </cfRule>
  </conditionalFormatting>
  <conditionalFormatting sqref="N715">
    <cfRule type="containsBlanks" dxfId="394" priority="821" stopIfTrue="1">
      <formula>LEN(TRIM(N715))=0</formula>
    </cfRule>
  </conditionalFormatting>
  <conditionalFormatting sqref="R715">
    <cfRule type="containsBlanks" dxfId="393" priority="819" stopIfTrue="1">
      <formula>LEN(TRIM(R715))=0</formula>
    </cfRule>
  </conditionalFormatting>
  <conditionalFormatting sqref="R707">
    <cfRule type="containsBlanks" dxfId="392" priority="817" stopIfTrue="1">
      <formula>LEN(TRIM(R707))=0</formula>
    </cfRule>
  </conditionalFormatting>
  <conditionalFormatting sqref="R716">
    <cfRule type="containsBlanks" dxfId="391" priority="816" stopIfTrue="1">
      <formula>LEN(TRIM(R716))=0</formula>
    </cfRule>
  </conditionalFormatting>
  <conditionalFormatting sqref="P716">
    <cfRule type="containsBlanks" dxfId="390" priority="815" stopIfTrue="1">
      <formula>LEN(TRIM(P716))=0</formula>
    </cfRule>
  </conditionalFormatting>
  <conditionalFormatting sqref="Q716">
    <cfRule type="containsBlanks" dxfId="389" priority="814" stopIfTrue="1">
      <formula>LEN(TRIM(Q716))=0</formula>
    </cfRule>
  </conditionalFormatting>
  <conditionalFormatting sqref="O716">
    <cfRule type="containsBlanks" dxfId="388" priority="813" stopIfTrue="1">
      <formula>LEN(TRIM(O716))=0</formula>
    </cfRule>
  </conditionalFormatting>
  <conditionalFormatting sqref="W937 W941 W945 W949 W953 W957 W933 W961">
    <cfRule type="cellIs" dxfId="387" priority="811" stopIfTrue="1" operator="equal">
      <formula>0</formula>
    </cfRule>
  </conditionalFormatting>
  <conditionalFormatting sqref="V933 V937 V941 V945 V949">
    <cfRule type="cellIs" dxfId="386" priority="810" stopIfTrue="1" operator="equal">
      <formula>"ESP. ERRADA"</formula>
    </cfRule>
  </conditionalFormatting>
  <conditionalFormatting sqref="M975">
    <cfRule type="containsBlanks" dxfId="385" priority="809" stopIfTrue="1">
      <formula>LEN(TRIM(M975))=0</formula>
    </cfRule>
  </conditionalFormatting>
  <conditionalFormatting sqref="R979">
    <cfRule type="containsBlanks" dxfId="384" priority="808" stopIfTrue="1">
      <formula>LEN(TRIM(R979))=0</formula>
    </cfRule>
  </conditionalFormatting>
  <conditionalFormatting sqref="M988">
    <cfRule type="containsBlanks" dxfId="383" priority="807" stopIfTrue="1">
      <formula>LEN(TRIM(M988))=0</formula>
    </cfRule>
  </conditionalFormatting>
  <conditionalFormatting sqref="Q988">
    <cfRule type="containsBlanks" dxfId="382" priority="806" stopIfTrue="1">
      <formula>LEN(TRIM(Q988))=0</formula>
    </cfRule>
  </conditionalFormatting>
  <conditionalFormatting sqref="X933">
    <cfRule type="containsBlanks" dxfId="381" priority="805" stopIfTrue="1">
      <formula>LEN(TRIM(X933))=0</formula>
    </cfRule>
  </conditionalFormatting>
  <conditionalFormatting sqref="W965">
    <cfRule type="cellIs" dxfId="380" priority="804" stopIfTrue="1" operator="equal">
      <formula>0</formula>
    </cfRule>
  </conditionalFormatting>
  <conditionalFormatting sqref="W969">
    <cfRule type="cellIs" dxfId="379" priority="803" stopIfTrue="1" operator="equal">
      <formula>0</formula>
    </cfRule>
  </conditionalFormatting>
  <conditionalFormatting sqref="V953">
    <cfRule type="cellIs" dxfId="378" priority="802" stopIfTrue="1" operator="equal">
      <formula>"ESP. ERRADA"</formula>
    </cfRule>
  </conditionalFormatting>
  <conditionalFormatting sqref="V957">
    <cfRule type="cellIs" dxfId="377" priority="801" stopIfTrue="1" operator="equal">
      <formula>"ESP. ERRADA"</formula>
    </cfRule>
  </conditionalFormatting>
  <conditionalFormatting sqref="V961">
    <cfRule type="cellIs" dxfId="376" priority="800" stopIfTrue="1" operator="equal">
      <formula>"ESP. ERRADA"</formula>
    </cfRule>
  </conditionalFormatting>
  <conditionalFormatting sqref="V965">
    <cfRule type="cellIs" dxfId="375" priority="799" stopIfTrue="1" operator="equal">
      <formula>"ESP. ERRADA"</formula>
    </cfRule>
  </conditionalFormatting>
  <conditionalFormatting sqref="V969">
    <cfRule type="cellIs" dxfId="374" priority="798" stopIfTrue="1" operator="equal">
      <formula>"ESP. ERRADA"</formula>
    </cfRule>
  </conditionalFormatting>
  <conditionalFormatting sqref="X1040:X1042">
    <cfRule type="containsBlanks" dxfId="373" priority="794" stopIfTrue="1">
      <formula>LEN(TRIM(X1040))=0</formula>
    </cfRule>
  </conditionalFormatting>
  <conditionalFormatting sqref="U1040">
    <cfRule type="containsBlanks" dxfId="372" priority="792" stopIfTrue="1">
      <formula>LEN(TRIM(U1040))=0</formula>
    </cfRule>
  </conditionalFormatting>
  <conditionalFormatting sqref="M989">
    <cfRule type="containsBlanks" dxfId="371" priority="790" stopIfTrue="1">
      <formula>LEN(TRIM(M989))=0</formula>
    </cfRule>
  </conditionalFormatting>
  <conditionalFormatting sqref="M991">
    <cfRule type="containsBlanks" dxfId="370" priority="789" stopIfTrue="1">
      <formula>LEN(TRIM(M991))=0</formula>
    </cfRule>
  </conditionalFormatting>
  <conditionalFormatting sqref="M993">
    <cfRule type="containsBlanks" dxfId="369" priority="787" stopIfTrue="1">
      <formula>LEN(TRIM(M993))=0</formula>
    </cfRule>
  </conditionalFormatting>
  <conditionalFormatting sqref="M995">
    <cfRule type="containsBlanks" dxfId="368" priority="785" stopIfTrue="1">
      <formula>LEN(TRIM(M995))=0</formula>
    </cfRule>
  </conditionalFormatting>
  <conditionalFormatting sqref="M997">
    <cfRule type="containsBlanks" dxfId="367" priority="783" stopIfTrue="1">
      <formula>LEN(TRIM(M997))=0</formula>
    </cfRule>
  </conditionalFormatting>
  <conditionalFormatting sqref="M999">
    <cfRule type="containsBlanks" dxfId="366" priority="781" stopIfTrue="1">
      <formula>LEN(TRIM(M999))=0</formula>
    </cfRule>
  </conditionalFormatting>
  <conditionalFormatting sqref="M1001">
    <cfRule type="containsBlanks" dxfId="365" priority="779" stopIfTrue="1">
      <formula>LEN(TRIM(M1001))=0</formula>
    </cfRule>
  </conditionalFormatting>
  <conditionalFormatting sqref="M1003">
    <cfRule type="containsBlanks" dxfId="364" priority="777" stopIfTrue="1">
      <formula>LEN(TRIM(M1003))=0</formula>
    </cfRule>
  </conditionalFormatting>
  <conditionalFormatting sqref="M1005">
    <cfRule type="containsBlanks" dxfId="363" priority="775" stopIfTrue="1">
      <formula>LEN(TRIM(M1005))=0</formula>
    </cfRule>
  </conditionalFormatting>
  <conditionalFormatting sqref="M1007">
    <cfRule type="containsBlanks" dxfId="362" priority="773" stopIfTrue="1">
      <formula>LEN(TRIM(M1007))=0</formula>
    </cfRule>
  </conditionalFormatting>
  <conditionalFormatting sqref="M1009">
    <cfRule type="containsBlanks" dxfId="361" priority="771" stopIfTrue="1">
      <formula>LEN(TRIM(M1009))=0</formula>
    </cfRule>
  </conditionalFormatting>
  <conditionalFormatting sqref="M1011">
    <cfRule type="containsBlanks" dxfId="360" priority="769" stopIfTrue="1">
      <formula>LEN(TRIM(M1011))=0</formula>
    </cfRule>
  </conditionalFormatting>
  <conditionalFormatting sqref="M1013">
    <cfRule type="containsBlanks" dxfId="359" priority="767" stopIfTrue="1">
      <formula>LEN(TRIM(M1013))=0</formula>
    </cfRule>
  </conditionalFormatting>
  <conditionalFormatting sqref="M1015">
    <cfRule type="containsBlanks" dxfId="358" priority="765" stopIfTrue="1">
      <formula>LEN(TRIM(M1015))=0</formula>
    </cfRule>
  </conditionalFormatting>
  <conditionalFormatting sqref="M1017">
    <cfRule type="containsBlanks" dxfId="357" priority="763" stopIfTrue="1">
      <formula>LEN(TRIM(M1017))=0</formula>
    </cfRule>
  </conditionalFormatting>
  <conditionalFormatting sqref="T987:V1036">
    <cfRule type="cellIs" dxfId="356" priority="797" operator="lessThan">
      <formula>0</formula>
    </cfRule>
  </conditionalFormatting>
  <conditionalFormatting sqref="W1045">
    <cfRule type="cellIs" dxfId="355" priority="796" stopIfTrue="1" operator="equal">
      <formula>0</formula>
    </cfRule>
  </conditionalFormatting>
  <conditionalFormatting sqref="V1041:V1042 V1039 V1044:V1047">
    <cfRule type="cellIs" dxfId="354" priority="795" stopIfTrue="1" operator="equal">
      <formula>"ESP. ERRADA"</formula>
    </cfRule>
  </conditionalFormatting>
  <conditionalFormatting sqref="X1045">
    <cfRule type="containsBlanks" dxfId="353" priority="791" stopIfTrue="1">
      <formula>LEN(TRIM(X1045))=0</formula>
    </cfRule>
  </conditionalFormatting>
  <conditionalFormatting sqref="W1040">
    <cfRule type="cellIs" dxfId="352" priority="793" stopIfTrue="1" operator="equal">
      <formula>0</formula>
    </cfRule>
  </conditionalFormatting>
  <conditionalFormatting sqref="M992">
    <cfRule type="containsBlanks" dxfId="351" priority="788" stopIfTrue="1">
      <formula>LEN(TRIM(M992))=0</formula>
    </cfRule>
  </conditionalFormatting>
  <conditionalFormatting sqref="M994">
    <cfRule type="containsBlanks" dxfId="350" priority="786" stopIfTrue="1">
      <formula>LEN(TRIM(M994))=0</formula>
    </cfRule>
  </conditionalFormatting>
  <conditionalFormatting sqref="M996">
    <cfRule type="containsBlanks" dxfId="349" priority="784" stopIfTrue="1">
      <formula>LEN(TRIM(M996))=0</formula>
    </cfRule>
  </conditionalFormatting>
  <conditionalFormatting sqref="M998">
    <cfRule type="containsBlanks" dxfId="348" priority="782" stopIfTrue="1">
      <formula>LEN(TRIM(M998))=0</formula>
    </cfRule>
  </conditionalFormatting>
  <conditionalFormatting sqref="M1000">
    <cfRule type="containsBlanks" dxfId="347" priority="780" stopIfTrue="1">
      <formula>LEN(TRIM(M1000))=0</formula>
    </cfRule>
  </conditionalFormatting>
  <conditionalFormatting sqref="M1002">
    <cfRule type="containsBlanks" dxfId="346" priority="778" stopIfTrue="1">
      <formula>LEN(TRIM(M1002))=0</formula>
    </cfRule>
  </conditionalFormatting>
  <conditionalFormatting sqref="M1004">
    <cfRule type="containsBlanks" dxfId="345" priority="776" stopIfTrue="1">
      <formula>LEN(TRIM(M1004))=0</formula>
    </cfRule>
  </conditionalFormatting>
  <conditionalFormatting sqref="M1006">
    <cfRule type="containsBlanks" dxfId="344" priority="774" stopIfTrue="1">
      <formula>LEN(TRIM(M1006))=0</formula>
    </cfRule>
  </conditionalFormatting>
  <conditionalFormatting sqref="M1008">
    <cfRule type="containsBlanks" dxfId="343" priority="772" stopIfTrue="1">
      <formula>LEN(TRIM(M1008))=0</formula>
    </cfRule>
  </conditionalFormatting>
  <conditionalFormatting sqref="M1010">
    <cfRule type="containsBlanks" dxfId="342" priority="770" stopIfTrue="1">
      <formula>LEN(TRIM(M1010))=0</formula>
    </cfRule>
  </conditionalFormatting>
  <conditionalFormatting sqref="M1012">
    <cfRule type="containsBlanks" dxfId="341" priority="768" stopIfTrue="1">
      <formula>LEN(TRIM(M1012))=0</formula>
    </cfRule>
  </conditionalFormatting>
  <conditionalFormatting sqref="M1014">
    <cfRule type="containsBlanks" dxfId="340" priority="766" stopIfTrue="1">
      <formula>LEN(TRIM(M1014))=0</formula>
    </cfRule>
  </conditionalFormatting>
  <conditionalFormatting sqref="M1016">
    <cfRule type="containsBlanks" dxfId="339" priority="764" stopIfTrue="1">
      <formula>LEN(TRIM(M1016))=0</formula>
    </cfRule>
  </conditionalFormatting>
  <conditionalFormatting sqref="M1018">
    <cfRule type="containsBlanks" dxfId="338" priority="762" stopIfTrue="1">
      <formula>LEN(TRIM(M1018))=0</formula>
    </cfRule>
  </conditionalFormatting>
  <conditionalFormatting sqref="M1019">
    <cfRule type="containsBlanks" dxfId="337" priority="761" stopIfTrue="1">
      <formula>LEN(TRIM(M1019))=0</formula>
    </cfRule>
  </conditionalFormatting>
  <conditionalFormatting sqref="M1020">
    <cfRule type="containsBlanks" dxfId="336" priority="760" stopIfTrue="1">
      <formula>LEN(TRIM(M1020))=0</formula>
    </cfRule>
  </conditionalFormatting>
  <conditionalFormatting sqref="M1021">
    <cfRule type="containsBlanks" dxfId="335" priority="759" stopIfTrue="1">
      <formula>LEN(TRIM(M1021))=0</formula>
    </cfRule>
  </conditionalFormatting>
  <conditionalFormatting sqref="M1022">
    <cfRule type="containsBlanks" dxfId="334" priority="758" stopIfTrue="1">
      <formula>LEN(TRIM(M1022))=0</formula>
    </cfRule>
  </conditionalFormatting>
  <conditionalFormatting sqref="M1023">
    <cfRule type="containsBlanks" dxfId="333" priority="757" stopIfTrue="1">
      <formula>LEN(TRIM(M1023))=0</formula>
    </cfRule>
  </conditionalFormatting>
  <conditionalFormatting sqref="M1024">
    <cfRule type="containsBlanks" dxfId="332" priority="756" stopIfTrue="1">
      <formula>LEN(TRIM(M1024))=0</formula>
    </cfRule>
  </conditionalFormatting>
  <conditionalFormatting sqref="M1025">
    <cfRule type="containsBlanks" dxfId="331" priority="755" stopIfTrue="1">
      <formula>LEN(TRIM(M1025))=0</formula>
    </cfRule>
  </conditionalFormatting>
  <conditionalFormatting sqref="M1026">
    <cfRule type="containsBlanks" dxfId="330" priority="754" stopIfTrue="1">
      <formula>LEN(TRIM(M1026))=0</formula>
    </cfRule>
  </conditionalFormatting>
  <conditionalFormatting sqref="M1027">
    <cfRule type="containsBlanks" dxfId="329" priority="753" stopIfTrue="1">
      <formula>LEN(TRIM(M1027))=0</formula>
    </cfRule>
  </conditionalFormatting>
  <conditionalFormatting sqref="M1028">
    <cfRule type="containsBlanks" dxfId="328" priority="752" stopIfTrue="1">
      <formula>LEN(TRIM(M1028))=0</formula>
    </cfRule>
  </conditionalFormatting>
  <conditionalFormatting sqref="M1029">
    <cfRule type="containsBlanks" dxfId="327" priority="751" stopIfTrue="1">
      <formula>LEN(TRIM(M1029))=0</formula>
    </cfRule>
  </conditionalFormatting>
  <conditionalFormatting sqref="M1030">
    <cfRule type="containsBlanks" dxfId="326" priority="750" stopIfTrue="1">
      <formula>LEN(TRIM(M1030))=0</formula>
    </cfRule>
  </conditionalFormatting>
  <conditionalFormatting sqref="M1031">
    <cfRule type="containsBlanks" dxfId="325" priority="749" stopIfTrue="1">
      <formula>LEN(TRIM(M1031))=0</formula>
    </cfRule>
  </conditionalFormatting>
  <conditionalFormatting sqref="M1032">
    <cfRule type="containsBlanks" dxfId="324" priority="748" stopIfTrue="1">
      <formula>LEN(TRIM(M1032))=0</formula>
    </cfRule>
  </conditionalFormatting>
  <conditionalFormatting sqref="M1033">
    <cfRule type="containsBlanks" dxfId="323" priority="747" stopIfTrue="1">
      <formula>LEN(TRIM(M1033))=0</formula>
    </cfRule>
  </conditionalFormatting>
  <conditionalFormatting sqref="M1034">
    <cfRule type="containsBlanks" dxfId="322" priority="746" stopIfTrue="1">
      <formula>LEN(TRIM(M1034))=0</formula>
    </cfRule>
  </conditionalFormatting>
  <conditionalFormatting sqref="M1035">
    <cfRule type="containsBlanks" dxfId="321" priority="745" stopIfTrue="1">
      <formula>LEN(TRIM(M1035))=0</formula>
    </cfRule>
  </conditionalFormatting>
  <conditionalFormatting sqref="M1036">
    <cfRule type="containsBlanks" dxfId="320" priority="744" stopIfTrue="1">
      <formula>LEN(TRIM(M1036))=0</formula>
    </cfRule>
  </conditionalFormatting>
  <conditionalFormatting sqref="Q989">
    <cfRule type="containsBlanks" dxfId="319" priority="743" stopIfTrue="1">
      <formula>LEN(TRIM(Q989))=0</formula>
    </cfRule>
  </conditionalFormatting>
  <conditionalFormatting sqref="Q990">
    <cfRule type="containsBlanks" dxfId="318" priority="742" stopIfTrue="1">
      <formula>LEN(TRIM(Q990))=0</formula>
    </cfRule>
  </conditionalFormatting>
  <conditionalFormatting sqref="Q991">
    <cfRule type="containsBlanks" dxfId="317" priority="741" stopIfTrue="1">
      <formula>LEN(TRIM(Q991))=0</formula>
    </cfRule>
  </conditionalFormatting>
  <conditionalFormatting sqref="Q992">
    <cfRule type="containsBlanks" dxfId="316" priority="740" stopIfTrue="1">
      <formula>LEN(TRIM(Q992))=0</formula>
    </cfRule>
  </conditionalFormatting>
  <conditionalFormatting sqref="Q993">
    <cfRule type="containsBlanks" dxfId="315" priority="739" stopIfTrue="1">
      <formula>LEN(TRIM(Q993))=0</formula>
    </cfRule>
  </conditionalFormatting>
  <conditionalFormatting sqref="Q994">
    <cfRule type="containsBlanks" dxfId="314" priority="738" stopIfTrue="1">
      <formula>LEN(TRIM(Q994))=0</formula>
    </cfRule>
  </conditionalFormatting>
  <conditionalFormatting sqref="Q995">
    <cfRule type="containsBlanks" dxfId="313" priority="737" stopIfTrue="1">
      <formula>LEN(TRIM(Q995))=0</formula>
    </cfRule>
  </conditionalFormatting>
  <conditionalFormatting sqref="Q996">
    <cfRule type="containsBlanks" dxfId="312" priority="736" stopIfTrue="1">
      <formula>LEN(TRIM(Q996))=0</formula>
    </cfRule>
  </conditionalFormatting>
  <conditionalFormatting sqref="Q997">
    <cfRule type="containsBlanks" dxfId="311" priority="735" stopIfTrue="1">
      <formula>LEN(TRIM(Q997))=0</formula>
    </cfRule>
  </conditionalFormatting>
  <conditionalFormatting sqref="Q998">
    <cfRule type="containsBlanks" dxfId="310" priority="734" stopIfTrue="1">
      <formula>LEN(TRIM(Q998))=0</formula>
    </cfRule>
  </conditionalFormatting>
  <conditionalFormatting sqref="Q999">
    <cfRule type="containsBlanks" dxfId="309" priority="733" stopIfTrue="1">
      <formula>LEN(TRIM(Q999))=0</formula>
    </cfRule>
  </conditionalFormatting>
  <conditionalFormatting sqref="Q1000">
    <cfRule type="containsBlanks" dxfId="308" priority="732" stopIfTrue="1">
      <formula>LEN(TRIM(Q1000))=0</formula>
    </cfRule>
  </conditionalFormatting>
  <conditionalFormatting sqref="Q1001">
    <cfRule type="containsBlanks" dxfId="307" priority="731" stopIfTrue="1">
      <formula>LEN(TRIM(Q1001))=0</formula>
    </cfRule>
  </conditionalFormatting>
  <conditionalFormatting sqref="Q1002">
    <cfRule type="containsBlanks" dxfId="306" priority="730" stopIfTrue="1">
      <formula>LEN(TRIM(Q1002))=0</formula>
    </cfRule>
  </conditionalFormatting>
  <conditionalFormatting sqref="Q1003">
    <cfRule type="containsBlanks" dxfId="305" priority="729" stopIfTrue="1">
      <formula>LEN(TRIM(Q1003))=0</formula>
    </cfRule>
  </conditionalFormatting>
  <conditionalFormatting sqref="Q1004">
    <cfRule type="containsBlanks" dxfId="304" priority="728" stopIfTrue="1">
      <formula>LEN(TRIM(Q1004))=0</formula>
    </cfRule>
  </conditionalFormatting>
  <conditionalFormatting sqref="Q1005">
    <cfRule type="containsBlanks" dxfId="303" priority="727" stopIfTrue="1">
      <formula>LEN(TRIM(Q1005))=0</formula>
    </cfRule>
  </conditionalFormatting>
  <conditionalFormatting sqref="Q1006">
    <cfRule type="containsBlanks" dxfId="302" priority="726" stopIfTrue="1">
      <formula>LEN(TRIM(Q1006))=0</formula>
    </cfRule>
  </conditionalFormatting>
  <conditionalFormatting sqref="Q1007">
    <cfRule type="containsBlanks" dxfId="301" priority="725" stopIfTrue="1">
      <formula>LEN(TRIM(Q1007))=0</formula>
    </cfRule>
  </conditionalFormatting>
  <conditionalFormatting sqref="Q1008">
    <cfRule type="containsBlanks" dxfId="300" priority="724" stopIfTrue="1">
      <formula>LEN(TRIM(Q1008))=0</formula>
    </cfRule>
  </conditionalFormatting>
  <conditionalFormatting sqref="Q1009">
    <cfRule type="containsBlanks" dxfId="299" priority="723" stopIfTrue="1">
      <formula>LEN(TRIM(Q1009))=0</formula>
    </cfRule>
  </conditionalFormatting>
  <conditionalFormatting sqref="Q1010">
    <cfRule type="containsBlanks" dxfId="298" priority="722" stopIfTrue="1">
      <formula>LEN(TRIM(Q1010))=0</formula>
    </cfRule>
  </conditionalFormatting>
  <conditionalFormatting sqref="Q1011">
    <cfRule type="containsBlanks" dxfId="297" priority="721" stopIfTrue="1">
      <formula>LEN(TRIM(Q1011))=0</formula>
    </cfRule>
  </conditionalFormatting>
  <conditionalFormatting sqref="Q1012">
    <cfRule type="containsBlanks" dxfId="296" priority="720" stopIfTrue="1">
      <formula>LEN(TRIM(Q1012))=0</formula>
    </cfRule>
  </conditionalFormatting>
  <conditionalFormatting sqref="Q1013">
    <cfRule type="containsBlanks" dxfId="295" priority="719" stopIfTrue="1">
      <formula>LEN(TRIM(Q1013))=0</formula>
    </cfRule>
  </conditionalFormatting>
  <conditionalFormatting sqref="Q1014">
    <cfRule type="containsBlanks" dxfId="294" priority="718" stopIfTrue="1">
      <formula>LEN(TRIM(Q1014))=0</formula>
    </cfRule>
  </conditionalFormatting>
  <conditionalFormatting sqref="Q1015">
    <cfRule type="containsBlanks" dxfId="293" priority="717" stopIfTrue="1">
      <formula>LEN(TRIM(Q1015))=0</formula>
    </cfRule>
  </conditionalFormatting>
  <conditionalFormatting sqref="Q1016">
    <cfRule type="containsBlanks" dxfId="292" priority="716" stopIfTrue="1">
      <formula>LEN(TRIM(Q1016))=0</formula>
    </cfRule>
  </conditionalFormatting>
  <conditionalFormatting sqref="Q1017">
    <cfRule type="containsBlanks" dxfId="291" priority="715" stopIfTrue="1">
      <formula>LEN(TRIM(Q1017))=0</formula>
    </cfRule>
  </conditionalFormatting>
  <conditionalFormatting sqref="Q1018">
    <cfRule type="containsBlanks" dxfId="290" priority="714" stopIfTrue="1">
      <formula>LEN(TRIM(Q1018))=0</formula>
    </cfRule>
  </conditionalFormatting>
  <conditionalFormatting sqref="Q1019">
    <cfRule type="containsBlanks" dxfId="289" priority="713" stopIfTrue="1">
      <formula>LEN(TRIM(Q1019))=0</formula>
    </cfRule>
  </conditionalFormatting>
  <conditionalFormatting sqref="Q1020">
    <cfRule type="containsBlanks" dxfId="288" priority="712" stopIfTrue="1">
      <formula>LEN(TRIM(Q1020))=0</formula>
    </cfRule>
  </conditionalFormatting>
  <conditionalFormatting sqref="Q1021">
    <cfRule type="containsBlanks" dxfId="287" priority="711" stopIfTrue="1">
      <formula>LEN(TRIM(Q1021))=0</formula>
    </cfRule>
  </conditionalFormatting>
  <conditionalFormatting sqref="Q1022">
    <cfRule type="containsBlanks" dxfId="286" priority="710" stopIfTrue="1">
      <formula>LEN(TRIM(Q1022))=0</formula>
    </cfRule>
  </conditionalFormatting>
  <conditionalFormatting sqref="Q1023">
    <cfRule type="containsBlanks" dxfId="285" priority="709" stopIfTrue="1">
      <formula>LEN(TRIM(Q1023))=0</formula>
    </cfRule>
  </conditionalFormatting>
  <conditionalFormatting sqref="Q1024">
    <cfRule type="containsBlanks" dxfId="284" priority="708" stopIfTrue="1">
      <formula>LEN(TRIM(Q1024))=0</formula>
    </cfRule>
  </conditionalFormatting>
  <conditionalFormatting sqref="Q1025">
    <cfRule type="containsBlanks" dxfId="283" priority="707" stopIfTrue="1">
      <formula>LEN(TRIM(Q1025))=0</formula>
    </cfRule>
  </conditionalFormatting>
  <conditionalFormatting sqref="Q1026">
    <cfRule type="containsBlanks" dxfId="282" priority="706" stopIfTrue="1">
      <formula>LEN(TRIM(Q1026))=0</formula>
    </cfRule>
  </conditionalFormatting>
  <conditionalFormatting sqref="Q1027">
    <cfRule type="containsBlanks" dxfId="281" priority="705" stopIfTrue="1">
      <formula>LEN(TRIM(Q1027))=0</formula>
    </cfRule>
  </conditionalFormatting>
  <conditionalFormatting sqref="Q1028">
    <cfRule type="containsBlanks" dxfId="280" priority="704" stopIfTrue="1">
      <formula>LEN(TRIM(Q1028))=0</formula>
    </cfRule>
  </conditionalFormatting>
  <conditionalFormatting sqref="Q1029">
    <cfRule type="containsBlanks" dxfId="279" priority="703" stopIfTrue="1">
      <formula>LEN(TRIM(Q1029))=0</formula>
    </cfRule>
  </conditionalFormatting>
  <conditionalFormatting sqref="Q1030">
    <cfRule type="containsBlanks" dxfId="278" priority="702" stopIfTrue="1">
      <formula>LEN(TRIM(Q1030))=0</formula>
    </cfRule>
  </conditionalFormatting>
  <conditionalFormatting sqref="Q1031">
    <cfRule type="containsBlanks" dxfId="277" priority="701" stopIfTrue="1">
      <formula>LEN(TRIM(Q1031))=0</formula>
    </cfRule>
  </conditionalFormatting>
  <conditionalFormatting sqref="Q1032">
    <cfRule type="containsBlanks" dxfId="276" priority="700" stopIfTrue="1">
      <formula>LEN(TRIM(Q1032))=0</formula>
    </cfRule>
  </conditionalFormatting>
  <conditionalFormatting sqref="Q1033">
    <cfRule type="containsBlanks" dxfId="275" priority="699" stopIfTrue="1">
      <formula>LEN(TRIM(Q1033))=0</formula>
    </cfRule>
  </conditionalFormatting>
  <conditionalFormatting sqref="Q1034">
    <cfRule type="containsBlanks" dxfId="274" priority="698" stopIfTrue="1">
      <formula>LEN(TRIM(Q1034))=0</formula>
    </cfRule>
  </conditionalFormatting>
  <conditionalFormatting sqref="Q1035">
    <cfRule type="containsBlanks" dxfId="273" priority="697" stopIfTrue="1">
      <formula>LEN(TRIM(Q1035))=0</formula>
    </cfRule>
  </conditionalFormatting>
  <conditionalFormatting sqref="Q1036">
    <cfRule type="containsBlanks" dxfId="272" priority="696" stopIfTrue="1">
      <formula>LEN(TRIM(Q1036))=0</formula>
    </cfRule>
  </conditionalFormatting>
  <conditionalFormatting sqref="O975:O979">
    <cfRule type="cellIs" dxfId="271" priority="694" operator="notEqual">
      <formula>$O$340</formula>
    </cfRule>
    <cfRule type="cellIs" dxfId="270" priority="695" operator="equal">
      <formula>$O$340</formula>
    </cfRule>
  </conditionalFormatting>
  <conditionalFormatting sqref="N975:N979">
    <cfRule type="cellIs" dxfId="269" priority="692" operator="notEqual">
      <formula>$N$340</formula>
    </cfRule>
    <cfRule type="cellIs" dxfId="268" priority="693" operator="equal">
      <formula>$N$340</formula>
    </cfRule>
  </conditionalFormatting>
  <conditionalFormatting sqref="N707">
    <cfRule type="containsBlanks" dxfId="267" priority="691" stopIfTrue="1">
      <formula>LEN(TRIM(N707))=0</formula>
    </cfRule>
  </conditionalFormatting>
  <conditionalFormatting sqref="O707">
    <cfRule type="containsBlanks" dxfId="266" priority="690" stopIfTrue="1">
      <formula>LEN(TRIM(O707))=0</formula>
    </cfRule>
  </conditionalFormatting>
  <conditionalFormatting sqref="P707">
    <cfRule type="containsBlanks" dxfId="265" priority="689" stopIfTrue="1">
      <formula>LEN(TRIM(P707))=0</formula>
    </cfRule>
  </conditionalFormatting>
  <conditionalFormatting sqref="Q707">
    <cfRule type="containsBlanks" dxfId="264" priority="688" stopIfTrue="1">
      <formula>LEN(TRIM(Q707))=0</formula>
    </cfRule>
  </conditionalFormatting>
  <conditionalFormatting sqref="R729">
    <cfRule type="containsBlanks" dxfId="263" priority="687" stopIfTrue="1">
      <formula>LEN(TRIM(R729))=0</formula>
    </cfRule>
  </conditionalFormatting>
  <conditionalFormatting sqref="W734">
    <cfRule type="cellIs" dxfId="262" priority="686" stopIfTrue="1" operator="equal">
      <formula>0</formula>
    </cfRule>
  </conditionalFormatting>
  <conditionalFormatting sqref="U737">
    <cfRule type="containsBlanks" dxfId="261" priority="684" stopIfTrue="1">
      <formula>LEN(TRIM(U737))=0</formula>
    </cfRule>
  </conditionalFormatting>
  <conditionalFormatting sqref="U738">
    <cfRule type="containsBlanks" dxfId="260" priority="683" stopIfTrue="1">
      <formula>LEN(TRIM(U738))=0</formula>
    </cfRule>
  </conditionalFormatting>
  <conditionalFormatting sqref="X735">
    <cfRule type="containsBlanks" dxfId="259" priority="685" stopIfTrue="1">
      <formula>LEN(TRIM(X735))=0</formula>
    </cfRule>
  </conditionalFormatting>
  <conditionalFormatting sqref="X734">
    <cfRule type="containsBlanks" dxfId="258" priority="682" stopIfTrue="1">
      <formula>LEN(TRIM(X734))=0</formula>
    </cfRule>
  </conditionalFormatting>
  <conditionalFormatting sqref="X1245">
    <cfRule type="containsBlanks" dxfId="257" priority="681" stopIfTrue="1">
      <formula>LEN(TRIM(X1245))=0</formula>
    </cfRule>
  </conditionalFormatting>
  <conditionalFormatting sqref="W1243">
    <cfRule type="cellIs" dxfId="256" priority="680" stopIfTrue="1" operator="equal">
      <formula>0</formula>
    </cfRule>
  </conditionalFormatting>
  <conditionalFormatting sqref="M1247">
    <cfRule type="containsBlanks" dxfId="255" priority="679" stopIfTrue="1">
      <formula>LEN(TRIM(M1247))=0</formula>
    </cfRule>
  </conditionalFormatting>
  <conditionalFormatting sqref="B656">
    <cfRule type="containsBlanks" dxfId="254" priority="678" stopIfTrue="1">
      <formula>LEN(TRIM(B656))=0</formula>
    </cfRule>
  </conditionalFormatting>
  <conditionalFormatting sqref="B657">
    <cfRule type="containsBlanks" dxfId="253" priority="677" stopIfTrue="1">
      <formula>LEN(TRIM(B657))=0</formula>
    </cfRule>
  </conditionalFormatting>
  <conditionalFormatting sqref="C975">
    <cfRule type="containsBlanks" dxfId="252" priority="676" stopIfTrue="1">
      <formula>LEN(TRIM(C975))=0</formula>
    </cfRule>
  </conditionalFormatting>
  <conditionalFormatting sqref="C978">
    <cfRule type="containsBlanks" dxfId="251" priority="675" stopIfTrue="1">
      <formula>LEN(TRIM(C978))=0</formula>
    </cfRule>
  </conditionalFormatting>
  <conditionalFormatting sqref="C981">
    <cfRule type="containsBlanks" dxfId="250" priority="674" stopIfTrue="1">
      <formula>LEN(TRIM(C981))=0</formula>
    </cfRule>
  </conditionalFormatting>
  <conditionalFormatting sqref="P1239">
    <cfRule type="containsBlanks" dxfId="249" priority="670" stopIfTrue="1">
      <formula>LEN(TRIM(P1239))=0</formula>
    </cfRule>
  </conditionalFormatting>
  <conditionalFormatting sqref="U1232">
    <cfRule type="containsBlanks" dxfId="248" priority="666" stopIfTrue="1">
      <formula>LEN(TRIM(U1232))=0</formula>
    </cfRule>
  </conditionalFormatting>
  <conditionalFormatting sqref="B705">
    <cfRule type="containsBlanks" dxfId="247" priority="662" stopIfTrue="1">
      <formula>LEN(TRIM(B705))=0</formula>
    </cfRule>
  </conditionalFormatting>
  <conditionalFormatting sqref="B714">
    <cfRule type="containsBlanks" dxfId="246" priority="659" stopIfTrue="1">
      <formula>LEN(TRIM(B714))=0</formula>
    </cfRule>
  </conditionalFormatting>
  <conditionalFormatting sqref="B715">
    <cfRule type="containsBlanks" dxfId="245" priority="658" stopIfTrue="1">
      <formula>LEN(TRIM(B715))=0</formula>
    </cfRule>
  </conditionalFormatting>
  <conditionalFormatting sqref="B716">
    <cfRule type="containsBlanks" dxfId="244" priority="657" stopIfTrue="1">
      <formula>LEN(TRIM(B716))=0</formula>
    </cfRule>
  </conditionalFormatting>
  <conditionalFormatting sqref="B707">
    <cfRule type="containsBlanks" dxfId="243" priority="660" stopIfTrue="1">
      <formula>LEN(TRIM(B707))=0</formula>
    </cfRule>
  </conditionalFormatting>
  <conditionalFormatting sqref="R1239">
    <cfRule type="containsBlanks" dxfId="242" priority="668" stopIfTrue="1">
      <formula>LEN(TRIM(R1239))=0</formula>
    </cfRule>
  </conditionalFormatting>
  <conditionalFormatting sqref="U1231 X1228 N1228 X1230">
    <cfRule type="containsBlanks" dxfId="241" priority="667" stopIfTrue="1">
      <formula>LEN(TRIM(N1228))=0</formula>
    </cfRule>
  </conditionalFormatting>
  <conditionalFormatting sqref="W1236">
    <cfRule type="cellIs" dxfId="240" priority="671" stopIfTrue="1" operator="equal">
      <formula>0</formula>
    </cfRule>
  </conditionalFormatting>
  <conditionalFormatting sqref="V1239">
    <cfRule type="cellIs" dxfId="239" priority="672" stopIfTrue="1" operator="equal">
      <formula>"ESP. ERRADA"</formula>
    </cfRule>
  </conditionalFormatting>
  <conditionalFormatting sqref="U1239 X1236:X1238">
    <cfRule type="containsBlanks" dxfId="238" priority="673" stopIfTrue="1">
      <formula>LEN(TRIM(U1236))=0</formula>
    </cfRule>
  </conditionalFormatting>
  <conditionalFormatting sqref="S1239">
    <cfRule type="containsBlanks" dxfId="237" priority="669" stopIfTrue="1">
      <formula>LEN(TRIM(S1239))=0</formula>
    </cfRule>
  </conditionalFormatting>
  <conditionalFormatting sqref="W1228">
    <cfRule type="cellIs" dxfId="236" priority="665" stopIfTrue="1" operator="equal">
      <formula>0</formula>
    </cfRule>
  </conditionalFormatting>
  <conditionalFormatting sqref="B679">
    <cfRule type="containsBlanks" dxfId="235" priority="664" stopIfTrue="1">
      <formula>LEN(TRIM(B679))=0</formula>
    </cfRule>
  </conditionalFormatting>
  <conditionalFormatting sqref="B680">
    <cfRule type="containsBlanks" dxfId="234" priority="663" stopIfTrue="1">
      <formula>LEN(TRIM(B680))=0</formula>
    </cfRule>
  </conditionalFormatting>
  <conditionalFormatting sqref="B706">
    <cfRule type="containsBlanks" dxfId="233" priority="661" stopIfTrue="1">
      <formula>LEN(TRIM(B706))=0</formula>
    </cfRule>
  </conditionalFormatting>
  <conditionalFormatting sqref="P688 S688 U688">
    <cfRule type="containsBlanks" dxfId="232" priority="654" stopIfTrue="1">
      <formula>LEN(TRIM(P688))=0</formula>
    </cfRule>
  </conditionalFormatting>
  <conditionalFormatting sqref="X686 M687 U687 X684">
    <cfRule type="containsBlanks" dxfId="231" priority="656" stopIfTrue="1">
      <formula>LEN(TRIM(M684))=0</formula>
    </cfRule>
  </conditionalFormatting>
  <conditionalFormatting sqref="W684">
    <cfRule type="cellIs" dxfId="230" priority="655" stopIfTrue="1" operator="equal">
      <formula>0</formula>
    </cfRule>
  </conditionalFormatting>
  <conditionalFormatting sqref="B687">
    <cfRule type="containsBlanks" dxfId="229" priority="653" stopIfTrue="1">
      <formula>LEN(TRIM(B687))=0</formula>
    </cfRule>
  </conditionalFormatting>
  <conditionalFormatting sqref="B688">
    <cfRule type="containsBlanks" dxfId="228" priority="652" stopIfTrue="1">
      <formula>LEN(TRIM(B688))=0</formula>
    </cfRule>
  </conditionalFormatting>
  <conditionalFormatting sqref="W695">
    <cfRule type="cellIs" dxfId="227" priority="651" stopIfTrue="1" operator="equal">
      <formula>0</formula>
    </cfRule>
  </conditionalFormatting>
  <conditionalFormatting sqref="X695">
    <cfRule type="containsBlanks" dxfId="226" priority="650" stopIfTrue="1">
      <formula>LEN(TRIM(X695))=0</formula>
    </cfRule>
  </conditionalFormatting>
  <conditionalFormatting sqref="R696">
    <cfRule type="containsBlanks" dxfId="225" priority="649" stopIfTrue="1">
      <formula>LEN(TRIM(R696))=0</formula>
    </cfRule>
  </conditionalFormatting>
  <conditionalFormatting sqref="W848">
    <cfRule type="cellIs" dxfId="224" priority="644" stopIfTrue="1" operator="equal">
      <formula>0</formula>
    </cfRule>
  </conditionalFormatting>
  <conditionalFormatting sqref="X848:X850">
    <cfRule type="containsBlanks" dxfId="223" priority="645" stopIfTrue="1">
      <formula>LEN(TRIM(X848))=0</formula>
    </cfRule>
  </conditionalFormatting>
  <conditionalFormatting sqref="B794 M785 O785 O795 U785:V785 V789 X785">
    <cfRule type="containsBlanks" dxfId="222" priority="648" stopIfTrue="1">
      <formula>LEN(TRIM(B785))=0</formula>
    </cfRule>
  </conditionalFormatting>
  <conditionalFormatting sqref="U848">
    <cfRule type="containsBlanks" dxfId="221" priority="643" stopIfTrue="1">
      <formula>LEN(TRIM(U848))=0</formula>
    </cfRule>
  </conditionalFormatting>
  <conditionalFormatting sqref="X853">
    <cfRule type="containsBlanks" dxfId="220" priority="642" stopIfTrue="1">
      <formula>LEN(TRIM(X853))=0</formula>
    </cfRule>
  </conditionalFormatting>
  <conditionalFormatting sqref="V849:V850 V847 V852:V856">
    <cfRule type="cellIs" dxfId="219" priority="646" stopIfTrue="1" operator="equal">
      <formula>"ESP. ERRADA"</formula>
    </cfRule>
  </conditionalFormatting>
  <conditionalFormatting sqref="W853">
    <cfRule type="cellIs" dxfId="218" priority="647" stopIfTrue="1" operator="equal">
      <formula>0</formula>
    </cfRule>
  </conditionalFormatting>
  <conditionalFormatting sqref="X754">
    <cfRule type="containsBlanks" dxfId="217" priority="631" stopIfTrue="1">
      <formula>LEN(TRIM(X754))=0</formula>
    </cfRule>
  </conditionalFormatting>
  <conditionalFormatting sqref="O796:O844">
    <cfRule type="containsBlanks" dxfId="216" priority="641" stopIfTrue="1">
      <formula>LEN(TRIM(O796))=0</formula>
    </cfRule>
  </conditionalFormatting>
  <conditionalFormatting sqref="B746">
    <cfRule type="containsBlanks" dxfId="215" priority="629" stopIfTrue="1">
      <formula>LEN(TRIM(B746))=0</formula>
    </cfRule>
  </conditionalFormatting>
  <conditionalFormatting sqref="W742">
    <cfRule type="cellIs" dxfId="214" priority="637" stopIfTrue="1" operator="equal">
      <formula>0</formula>
    </cfRule>
  </conditionalFormatting>
  <conditionalFormatting sqref="U746">
    <cfRule type="containsBlanks" dxfId="213" priority="638" stopIfTrue="1">
      <formula>LEN(TRIM(U746))=0</formula>
    </cfRule>
  </conditionalFormatting>
  <conditionalFormatting sqref="P745 S745 U745 X742:X744 N742">
    <cfRule type="containsBlanks" dxfId="212" priority="640" stopIfTrue="1">
      <formula>LEN(TRIM(N742))=0</formula>
    </cfRule>
  </conditionalFormatting>
  <conditionalFormatting sqref="M1232">
    <cfRule type="containsBlanks" dxfId="211" priority="639" stopIfTrue="1">
      <formula>LEN(TRIM(M1232))=0</formula>
    </cfRule>
  </conditionalFormatting>
  <conditionalFormatting sqref="U660">
    <cfRule type="containsBlanks" dxfId="210" priority="622" stopIfTrue="1">
      <formula>LEN(TRIM(U660))=0</formula>
    </cfRule>
  </conditionalFormatting>
  <conditionalFormatting sqref="X749:X751">
    <cfRule type="containsBlanks" dxfId="209" priority="634" stopIfTrue="1">
      <formula>LEN(TRIM(X749))=0</formula>
    </cfRule>
  </conditionalFormatting>
  <conditionalFormatting sqref="U749">
    <cfRule type="containsBlanks" dxfId="208" priority="632" stopIfTrue="1">
      <formula>LEN(TRIM(U749))=0</formula>
    </cfRule>
  </conditionalFormatting>
  <conditionalFormatting sqref="V750:V751 V748 V753:V757">
    <cfRule type="cellIs" dxfId="207" priority="635" stopIfTrue="1" operator="equal">
      <formula>"ESP. ERRADA"</formula>
    </cfRule>
  </conditionalFormatting>
  <conditionalFormatting sqref="W749">
    <cfRule type="cellIs" dxfId="206" priority="633" stopIfTrue="1" operator="equal">
      <formula>0</formula>
    </cfRule>
  </conditionalFormatting>
  <conditionalFormatting sqref="W754">
    <cfRule type="cellIs" dxfId="205" priority="636" stopIfTrue="1" operator="equal">
      <formula>0</formula>
    </cfRule>
  </conditionalFormatting>
  <conditionalFormatting sqref="B745">
    <cfRule type="containsBlanks" dxfId="204" priority="630" stopIfTrue="1">
      <formula>LEN(TRIM(B745))=0</formula>
    </cfRule>
  </conditionalFormatting>
  <conditionalFormatting sqref="X665">
    <cfRule type="containsBlanks" dxfId="203" priority="626" stopIfTrue="1">
      <formula>LEN(TRIM(X665))=0</formula>
    </cfRule>
  </conditionalFormatting>
  <conditionalFormatting sqref="U670">
    <cfRule type="containsBlanks" dxfId="202" priority="620" stopIfTrue="1">
      <formula>LEN(TRIM(U670))=0</formula>
    </cfRule>
  </conditionalFormatting>
  <conditionalFormatting sqref="V664:V668">
    <cfRule type="cellIs" dxfId="201" priority="627" stopIfTrue="1" operator="equal">
      <formula>"ESP. ERRADA"</formula>
    </cfRule>
  </conditionalFormatting>
  <conditionalFormatting sqref="W665">
    <cfRule type="cellIs" dxfId="200" priority="628" stopIfTrue="1" operator="equal">
      <formula>0</formula>
    </cfRule>
  </conditionalFormatting>
  <conditionalFormatting sqref="X670">
    <cfRule type="containsBlanks" dxfId="199" priority="623" stopIfTrue="1">
      <formula>LEN(TRIM(X670))=0</formula>
    </cfRule>
  </conditionalFormatting>
  <conditionalFormatting sqref="V669:V673">
    <cfRule type="cellIs" dxfId="198" priority="624" stopIfTrue="1" operator="equal">
      <formula>"ESP. ERRADA"</formula>
    </cfRule>
  </conditionalFormatting>
  <conditionalFormatting sqref="W670">
    <cfRule type="cellIs" dxfId="197" priority="625" stopIfTrue="1" operator="equal">
      <formula>0</formula>
    </cfRule>
  </conditionalFormatting>
  <conditionalFormatting sqref="U665">
    <cfRule type="containsBlanks" dxfId="196" priority="621" stopIfTrue="1">
      <formula>LEN(TRIM(U665))=0</formula>
    </cfRule>
  </conditionalFormatting>
  <conditionalFormatting sqref="X728">
    <cfRule type="containsBlanks" dxfId="195" priority="619" stopIfTrue="1">
      <formula>LEN(TRIM(X728))=0</formula>
    </cfRule>
  </conditionalFormatting>
  <conditionalFormatting sqref="X729">
    <cfRule type="containsBlanks" dxfId="194" priority="618" stopIfTrue="1">
      <formula>LEN(TRIM(X729))=0</formula>
    </cfRule>
  </conditionalFormatting>
  <conditionalFormatting sqref="X1243">
    <cfRule type="containsBlanks" dxfId="193" priority="617" stopIfTrue="1">
      <formula>LEN(TRIM(X1243))=0</formula>
    </cfRule>
  </conditionalFormatting>
  <conditionalFormatting sqref="X1244">
    <cfRule type="containsBlanks" dxfId="192" priority="616" stopIfTrue="1">
      <formula>LEN(TRIM(X1244))=0</formula>
    </cfRule>
  </conditionalFormatting>
  <conditionalFormatting sqref="X1217:X1219">
    <cfRule type="containsBlanks" dxfId="191" priority="610" stopIfTrue="1">
      <formula>LEN(TRIM(X1217))=0</formula>
    </cfRule>
  </conditionalFormatting>
  <conditionalFormatting sqref="W1222">
    <cfRule type="cellIs" dxfId="190" priority="612" stopIfTrue="1" operator="equal">
      <formula>0</formula>
    </cfRule>
  </conditionalFormatting>
  <conditionalFormatting sqref="V1218:V1219 V1216 V1221:V1224">
    <cfRule type="cellIs" dxfId="189" priority="611" stopIfTrue="1" operator="equal">
      <formula>"ESP. ERRADA"</formula>
    </cfRule>
  </conditionalFormatting>
  <conditionalFormatting sqref="Q1154">
    <cfRule type="containsBlanks" dxfId="188" priority="614" stopIfTrue="1">
      <formula>LEN(TRIM(Q1154))=0</formula>
    </cfRule>
  </conditionalFormatting>
  <conditionalFormatting sqref="V1154">
    <cfRule type="containsBlanks" dxfId="187" priority="613" stopIfTrue="1">
      <formula>LEN(TRIM(V1154))=0</formula>
    </cfRule>
  </conditionalFormatting>
  <conditionalFormatting sqref="B1163 M1154 O1154 U1154 X1154">
    <cfRule type="containsBlanks" dxfId="186" priority="615" stopIfTrue="1">
      <formula>LEN(TRIM(B1154))=0</formula>
    </cfRule>
  </conditionalFormatting>
  <conditionalFormatting sqref="X1222">
    <cfRule type="containsBlanks" dxfId="185" priority="607" stopIfTrue="1">
      <formula>LEN(TRIM(X1222))=0</formula>
    </cfRule>
  </conditionalFormatting>
  <conditionalFormatting sqref="U1217">
    <cfRule type="containsBlanks" dxfId="184" priority="608" stopIfTrue="1">
      <formula>LEN(TRIM(U1217))=0</formula>
    </cfRule>
  </conditionalFormatting>
  <conditionalFormatting sqref="W1217">
    <cfRule type="cellIs" dxfId="183" priority="609" stopIfTrue="1" operator="equal">
      <formula>0</formula>
    </cfRule>
  </conditionalFormatting>
  <conditionalFormatting sqref="B1160">
    <cfRule type="containsBlanks" dxfId="182" priority="606" stopIfTrue="1">
      <formula>LEN(TRIM(B1160))=0</formula>
    </cfRule>
  </conditionalFormatting>
  <conditionalFormatting sqref="N1154">
    <cfRule type="containsBlanks" dxfId="181" priority="605" stopIfTrue="1">
      <formula>LEN(TRIM(N1154))=0</formula>
    </cfRule>
  </conditionalFormatting>
  <conditionalFormatting sqref="N785">
    <cfRule type="containsBlanks" dxfId="180" priority="604" stopIfTrue="1">
      <formula>LEN(TRIM(N785))=0</formula>
    </cfRule>
  </conditionalFormatting>
  <conditionalFormatting sqref="N760">
    <cfRule type="containsBlanks" dxfId="179" priority="603" stopIfTrue="1">
      <formula>LEN(TRIM(N760))=0</formula>
    </cfRule>
  </conditionalFormatting>
  <conditionalFormatting sqref="W1143">
    <cfRule type="cellIs" dxfId="178" priority="598" stopIfTrue="1" operator="equal">
      <formula>0</formula>
    </cfRule>
  </conditionalFormatting>
  <conditionalFormatting sqref="X1143:X1145">
    <cfRule type="containsBlanks" dxfId="177" priority="599" stopIfTrue="1">
      <formula>LEN(TRIM(X1143))=0</formula>
    </cfRule>
  </conditionalFormatting>
  <conditionalFormatting sqref="B1131 B1133 B1138 M1129 O1129 O1139 T1129:V1129 X1129 B1135:B1136">
    <cfRule type="containsBlanks" dxfId="176" priority="602" stopIfTrue="1">
      <formula>LEN(TRIM(B1129))=0</formula>
    </cfRule>
  </conditionalFormatting>
  <conditionalFormatting sqref="U1143">
    <cfRule type="containsBlanks" dxfId="175" priority="597" stopIfTrue="1">
      <formula>LEN(TRIM(U1143))=0</formula>
    </cfRule>
  </conditionalFormatting>
  <conditionalFormatting sqref="X1148">
    <cfRule type="containsBlanks" dxfId="174" priority="596" stopIfTrue="1">
      <formula>LEN(TRIM(X1148))=0</formula>
    </cfRule>
  </conditionalFormatting>
  <conditionalFormatting sqref="V1144:V1145 V1142 V1147:V1151">
    <cfRule type="cellIs" dxfId="173" priority="600" stopIfTrue="1" operator="equal">
      <formula>"ESP. ERRADA"</formula>
    </cfRule>
  </conditionalFormatting>
  <conditionalFormatting sqref="W1148">
    <cfRule type="cellIs" dxfId="172" priority="601" stopIfTrue="1" operator="equal">
      <formula>0</formula>
    </cfRule>
  </conditionalFormatting>
  <conditionalFormatting sqref="N1129">
    <cfRule type="containsBlanks" dxfId="171" priority="595" stopIfTrue="1">
      <formula>LEN(TRIM(N1129))=0</formula>
    </cfRule>
  </conditionalFormatting>
  <conditionalFormatting sqref="Q987">
    <cfRule type="containsBlanks" dxfId="170" priority="594" stopIfTrue="1">
      <formula>LEN(TRIM(Q987))=0</formula>
    </cfRule>
  </conditionalFormatting>
  <conditionalFormatting sqref="O987:O1036">
    <cfRule type="containsBlanks" dxfId="169" priority="593" stopIfTrue="1">
      <formula>LEN(TRIM(O987))=0</formula>
    </cfRule>
  </conditionalFormatting>
  <conditionalFormatting sqref="M987">
    <cfRule type="containsBlanks" dxfId="168" priority="592" stopIfTrue="1">
      <formula>LEN(TRIM(M987))=0</formula>
    </cfRule>
  </conditionalFormatting>
  <conditionalFormatting sqref="M990">
    <cfRule type="containsBlanks" dxfId="167" priority="591" stopIfTrue="1">
      <formula>LEN(TRIM(M990))=0</formula>
    </cfRule>
  </conditionalFormatting>
  <conditionalFormatting sqref="X653">
    <cfRule type="containsBlanks" dxfId="166" priority="590" stopIfTrue="1">
      <formula>LEN(TRIM(X653))=0</formula>
    </cfRule>
  </conditionalFormatting>
  <conditionalFormatting sqref="T975">
    <cfRule type="cellIs" dxfId="165" priority="588" operator="notEqual">
      <formula>$O$340</formula>
    </cfRule>
    <cfRule type="cellIs" dxfId="164" priority="589" operator="equal">
      <formula>$O$340</formula>
    </cfRule>
  </conditionalFormatting>
  <conditionalFormatting sqref="S975">
    <cfRule type="cellIs" dxfId="163" priority="586" operator="notEqual">
      <formula>$N$340</formula>
    </cfRule>
    <cfRule type="cellIs" dxfId="162" priority="587" operator="equal">
      <formula>$N$340</formula>
    </cfRule>
  </conditionalFormatting>
  <conditionalFormatting sqref="T976:T979">
    <cfRule type="cellIs" dxfId="161" priority="584" operator="notEqual">
      <formula>$O$340</formula>
    </cfRule>
    <cfRule type="cellIs" dxfId="160" priority="585" operator="equal">
      <formula>$O$340</formula>
    </cfRule>
  </conditionalFormatting>
  <conditionalFormatting sqref="S976:S979">
    <cfRule type="cellIs" dxfId="159" priority="582" operator="notEqual">
      <formula>$N$340</formula>
    </cfRule>
    <cfRule type="cellIs" dxfId="158" priority="583" operator="equal">
      <formula>$N$340</formula>
    </cfRule>
  </conditionalFormatting>
  <conditionalFormatting sqref="R976">
    <cfRule type="containsBlanks" dxfId="157" priority="581" stopIfTrue="1">
      <formula>LEN(TRIM(R976))=0</formula>
    </cfRule>
  </conditionalFormatting>
  <conditionalFormatting sqref="R977">
    <cfRule type="containsBlanks" dxfId="156" priority="580" stopIfTrue="1">
      <formula>LEN(TRIM(R977))=0</formula>
    </cfRule>
  </conditionalFormatting>
  <conditionalFormatting sqref="R978">
    <cfRule type="containsBlanks" dxfId="155" priority="579" stopIfTrue="1">
      <formula>LEN(TRIM(R978))=0</formula>
    </cfRule>
  </conditionalFormatting>
  <conditionalFormatting sqref="R975">
    <cfRule type="containsBlanks" dxfId="154" priority="578" stopIfTrue="1">
      <formula>LEN(TRIM(R975))=0</formula>
    </cfRule>
  </conditionalFormatting>
  <conditionalFormatting sqref="M976">
    <cfRule type="containsBlanks" dxfId="153" priority="577" stopIfTrue="1">
      <formula>LEN(TRIM(M976))=0</formula>
    </cfRule>
  </conditionalFormatting>
  <conditionalFormatting sqref="M977">
    <cfRule type="containsBlanks" dxfId="152" priority="576" stopIfTrue="1">
      <formula>LEN(TRIM(M977))=0</formula>
    </cfRule>
  </conditionalFormatting>
  <conditionalFormatting sqref="M978">
    <cfRule type="containsBlanks" dxfId="151" priority="575" stopIfTrue="1">
      <formula>LEN(TRIM(M978))=0</formula>
    </cfRule>
  </conditionalFormatting>
  <conditionalFormatting sqref="M979">
    <cfRule type="containsBlanks" dxfId="150" priority="574" stopIfTrue="1">
      <formula>LEN(TRIM(M979))=0</formula>
    </cfRule>
  </conditionalFormatting>
  <conditionalFormatting sqref="M859 O859">
    <cfRule type="containsBlanks" dxfId="149" priority="573" stopIfTrue="1">
      <formula>LEN(TRIM(M859))=0</formula>
    </cfRule>
  </conditionalFormatting>
  <conditionalFormatting sqref="N859">
    <cfRule type="containsBlanks" dxfId="148" priority="572" stopIfTrue="1">
      <formula>LEN(TRIM(N859))=0</formula>
    </cfRule>
  </conditionalFormatting>
  <conditionalFormatting sqref="Q859">
    <cfRule type="containsBlanks" dxfId="147" priority="571" stopIfTrue="1">
      <formula>LEN(TRIM(Q859))=0</formula>
    </cfRule>
  </conditionalFormatting>
  <conditionalFormatting sqref="B865">
    <cfRule type="containsBlanks" dxfId="146" priority="570" stopIfTrue="1">
      <formula>LEN(TRIM(B865))=0</formula>
    </cfRule>
  </conditionalFormatting>
  <conditionalFormatting sqref="B866">
    <cfRule type="containsBlanks" dxfId="145" priority="569" stopIfTrue="1">
      <formula>LEN(TRIM(B866))=0</formula>
    </cfRule>
  </conditionalFormatting>
  <conditionalFormatting sqref="R859">
    <cfRule type="containsBlanks" dxfId="144" priority="568" stopIfTrue="1">
      <formula>LEN(TRIM(R859))=0</formula>
    </cfRule>
  </conditionalFormatting>
  <conditionalFormatting sqref="O870:O919">
    <cfRule type="containsBlanks" dxfId="143" priority="567" stopIfTrue="1">
      <formula>LEN(TRIM(O870))=0</formula>
    </cfRule>
  </conditionalFormatting>
  <conditionalFormatting sqref="B791">
    <cfRule type="containsBlanks" dxfId="142" priority="566" stopIfTrue="1">
      <formula>LEN(TRIM(B791))=0</formula>
    </cfRule>
  </conditionalFormatting>
  <conditionalFormatting sqref="B792">
    <cfRule type="containsBlanks" dxfId="141" priority="565" stopIfTrue="1">
      <formula>LEN(TRIM(B792))=0</formula>
    </cfRule>
  </conditionalFormatting>
  <conditionalFormatting sqref="B766">
    <cfRule type="containsBlanks" dxfId="140" priority="564" stopIfTrue="1">
      <formula>LEN(TRIM(B766))=0</formula>
    </cfRule>
  </conditionalFormatting>
  <conditionalFormatting sqref="B767">
    <cfRule type="containsBlanks" dxfId="139" priority="563" stopIfTrue="1">
      <formula>LEN(TRIM(B767))=0</formula>
    </cfRule>
  </conditionalFormatting>
  <conditionalFormatting sqref="S987:S1036">
    <cfRule type="containsBlanks" dxfId="138" priority="562">
      <formula>LEN(TRIM(S987))=0</formula>
    </cfRule>
  </conditionalFormatting>
  <conditionalFormatting sqref="S1165:T1214">
    <cfRule type="cellIs" dxfId="137" priority="880" operator="greaterThan">
      <formula>1+$I$530</formula>
    </cfRule>
  </conditionalFormatting>
  <conditionalFormatting sqref="T1165:T1214">
    <cfRule type="cellIs" dxfId="136" priority="881" operator="lessThan">
      <formula>-1-$I$530</formula>
    </cfRule>
  </conditionalFormatting>
  <conditionalFormatting sqref="O1165:O1214">
    <cfRule type="containsBlanks" dxfId="135" priority="561" stopIfTrue="1">
      <formula>LEN(TRIM(O1165))=0</formula>
    </cfRule>
  </conditionalFormatting>
  <conditionalFormatting sqref="S870:T919">
    <cfRule type="cellIs" dxfId="134" priority="882" operator="greaterThan">
      <formula>1+$K$235</formula>
    </cfRule>
  </conditionalFormatting>
  <conditionalFormatting sqref="P746">
    <cfRule type="containsBlanks" dxfId="133" priority="560" stopIfTrue="1">
      <formula>LEN(TRIM(P746))=0</formula>
    </cfRule>
  </conditionalFormatting>
  <conditionalFormatting sqref="X654">
    <cfRule type="containsBlanks" dxfId="132" priority="559" stopIfTrue="1">
      <formula>LEN(TRIM(X654))=0</formula>
    </cfRule>
  </conditionalFormatting>
  <conditionalFormatting sqref="P656 S656">
    <cfRule type="containsBlanks" dxfId="131" priority="558" stopIfTrue="1">
      <formula>LEN(TRIM(P656))=0</formula>
    </cfRule>
  </conditionalFormatting>
  <conditionalFormatting sqref="P657">
    <cfRule type="containsBlanks" dxfId="130" priority="557" stopIfTrue="1">
      <formula>LEN(TRIM(P657))=0</formula>
    </cfRule>
  </conditionalFormatting>
  <conditionalFormatting sqref="M657">
    <cfRule type="containsBlanks" dxfId="129" priority="556" stopIfTrue="1">
      <formula>LEN(TRIM(M657))=0</formula>
    </cfRule>
  </conditionalFormatting>
  <conditionalFormatting sqref="P1231 S1231">
    <cfRule type="containsBlanks" dxfId="128" priority="555" stopIfTrue="1">
      <formula>LEN(TRIM(P1231))=0</formula>
    </cfRule>
  </conditionalFormatting>
  <conditionalFormatting sqref="P1232">
    <cfRule type="containsBlanks" dxfId="127" priority="554" stopIfTrue="1">
      <formula>LEN(TRIM(P1232))=0</formula>
    </cfRule>
  </conditionalFormatting>
  <conditionalFormatting sqref="M746">
    <cfRule type="containsBlanks" dxfId="126" priority="553" stopIfTrue="1">
      <formula>LEN(TRIM(M746))=0</formula>
    </cfRule>
  </conditionalFormatting>
  <conditionalFormatting sqref="X1229">
    <cfRule type="containsBlanks" dxfId="125" priority="552" stopIfTrue="1">
      <formula>LEN(TRIM(X1229))=0</formula>
    </cfRule>
  </conditionalFormatting>
  <conditionalFormatting sqref="V745:V746">
    <cfRule type="cellIs" dxfId="124" priority="551" stopIfTrue="1" operator="equal">
      <formula>"ESP. ERRADA"</formula>
    </cfRule>
  </conditionalFormatting>
  <conditionalFormatting sqref="V1231:V1232">
    <cfRule type="cellIs" dxfId="123" priority="550" stopIfTrue="1" operator="equal">
      <formula>"ESP. ERRADA"</formula>
    </cfRule>
  </conditionalFormatting>
  <conditionalFormatting sqref="P729">
    <cfRule type="containsBlanks" dxfId="122" priority="549" stopIfTrue="1">
      <formula>LEN(TRIM(P729))=0</formula>
    </cfRule>
  </conditionalFormatting>
  <conditionalFormatting sqref="S779">
    <cfRule type="containsBlanks" dxfId="121" priority="548" stopIfTrue="1">
      <formula>LEN(TRIM(S779))=0</formula>
    </cfRule>
  </conditionalFormatting>
  <conditionalFormatting sqref="S754">
    <cfRule type="containsBlanks" dxfId="120" priority="547" stopIfTrue="1">
      <formula>LEN(TRIM(S754))=0</formula>
    </cfRule>
  </conditionalFormatting>
  <conditionalFormatting sqref="S853">
    <cfRule type="containsBlanks" dxfId="119" priority="546" stopIfTrue="1">
      <formula>LEN(TRIM(S853))=0</formula>
    </cfRule>
  </conditionalFormatting>
  <conditionalFormatting sqref="S927">
    <cfRule type="containsBlanks" dxfId="118" priority="545" stopIfTrue="1">
      <formula>LEN(TRIM(S927))=0</formula>
    </cfRule>
  </conditionalFormatting>
  <conditionalFormatting sqref="S1045">
    <cfRule type="containsBlanks" dxfId="117" priority="544" stopIfTrue="1">
      <formula>LEN(TRIM(S1045))=0</formula>
    </cfRule>
  </conditionalFormatting>
  <conditionalFormatting sqref="S1148">
    <cfRule type="containsBlanks" dxfId="116" priority="543" stopIfTrue="1">
      <formula>LEN(TRIM(S1148))=0</formula>
    </cfRule>
  </conditionalFormatting>
  <conditionalFormatting sqref="S1222">
    <cfRule type="containsBlanks" dxfId="115" priority="542" stopIfTrue="1">
      <formula>LEN(TRIM(S1222))=0</formula>
    </cfRule>
  </conditionalFormatting>
  <conditionalFormatting sqref="U1247">
    <cfRule type="containsBlanks" dxfId="114" priority="541" stopIfTrue="1">
      <formula>LEN(TRIM(U1247))=0</formula>
    </cfRule>
  </conditionalFormatting>
  <conditionalFormatting sqref="S1268">
    <cfRule type="containsBlanks" dxfId="113" priority="540" stopIfTrue="1">
      <formula>LEN(TRIM(S1268))=0</formula>
    </cfRule>
  </conditionalFormatting>
  <conditionalFormatting sqref="W1055 W1059 W1051">
    <cfRule type="cellIs" dxfId="112" priority="539" stopIfTrue="1" operator="equal">
      <formula>0</formula>
    </cfRule>
  </conditionalFormatting>
  <conditionalFormatting sqref="V1051 V1055 V1059">
    <cfRule type="cellIs" dxfId="111" priority="538" stopIfTrue="1" operator="equal">
      <formula>"ESP. ERRADA"</formula>
    </cfRule>
  </conditionalFormatting>
  <conditionalFormatting sqref="O1057">
    <cfRule type="containsBlanks" dxfId="110" priority="537" stopIfTrue="1">
      <formula>LEN(TRIM(O1057))=0</formula>
    </cfRule>
  </conditionalFormatting>
  <conditionalFormatting sqref="X1051">
    <cfRule type="containsBlanks" dxfId="109" priority="536" stopIfTrue="1">
      <formula>LEN(TRIM(X1051))=0</formula>
    </cfRule>
  </conditionalFormatting>
  <conditionalFormatting sqref="X1118:X1120">
    <cfRule type="containsBlanks" dxfId="108" priority="532" stopIfTrue="1">
      <formula>LEN(TRIM(X1118))=0</formula>
    </cfRule>
  </conditionalFormatting>
  <conditionalFormatting sqref="U1118">
    <cfRule type="containsBlanks" dxfId="107" priority="530" stopIfTrue="1">
      <formula>LEN(TRIM(U1118))=0</formula>
    </cfRule>
  </conditionalFormatting>
  <conditionalFormatting sqref="S1065:U1114">
    <cfRule type="cellIs" dxfId="106" priority="535" operator="lessThan">
      <formula>0</formula>
    </cfRule>
  </conditionalFormatting>
  <conditionalFormatting sqref="W1123">
    <cfRule type="cellIs" dxfId="105" priority="534" stopIfTrue="1" operator="equal">
      <formula>0</formula>
    </cfRule>
  </conditionalFormatting>
  <conditionalFormatting sqref="V1119:V1120 V1117 V1122:V1125">
    <cfRule type="cellIs" dxfId="104" priority="533" stopIfTrue="1" operator="equal">
      <formula>"ESP. ERRADA"</formula>
    </cfRule>
  </conditionalFormatting>
  <conditionalFormatting sqref="X1123">
    <cfRule type="containsBlanks" dxfId="103" priority="529" stopIfTrue="1">
      <formula>LEN(TRIM(X1123))=0</formula>
    </cfRule>
  </conditionalFormatting>
  <conditionalFormatting sqref="W1118">
    <cfRule type="cellIs" dxfId="102" priority="531" stopIfTrue="1" operator="equal">
      <formula>0</formula>
    </cfRule>
  </conditionalFormatting>
  <conditionalFormatting sqref="N1051">
    <cfRule type="containsBlanks" dxfId="101" priority="528" stopIfTrue="1">
      <formula>LEN(TRIM(N1051))=0</formula>
    </cfRule>
  </conditionalFormatting>
  <conditionalFormatting sqref="P1051">
    <cfRule type="containsBlanks" dxfId="100" priority="527" stopIfTrue="1">
      <formula>LEN(TRIM(P1051))=0</formula>
    </cfRule>
  </conditionalFormatting>
  <conditionalFormatting sqref="O1051">
    <cfRule type="containsBlanks" dxfId="99" priority="526" stopIfTrue="1">
      <formula>LEN(TRIM(O1051))=0</formula>
    </cfRule>
  </conditionalFormatting>
  <conditionalFormatting sqref="O1058">
    <cfRule type="containsBlanks" dxfId="98" priority="525" stopIfTrue="1">
      <formula>LEN(TRIM(O1058))=0</formula>
    </cfRule>
  </conditionalFormatting>
  <conditionalFormatting sqref="O1059">
    <cfRule type="containsBlanks" dxfId="97" priority="524" stopIfTrue="1">
      <formula>LEN(TRIM(O1059))=0</formula>
    </cfRule>
  </conditionalFormatting>
  <conditionalFormatting sqref="O1065:O1114">
    <cfRule type="containsBlanks" dxfId="96" priority="523">
      <formula>LEN(TRIM(O1065))=0</formula>
    </cfRule>
  </conditionalFormatting>
  <conditionalFormatting sqref="S1123">
    <cfRule type="containsBlanks" dxfId="95" priority="522" stopIfTrue="1">
      <formula>LEN(TRIM(S1123))=0</formula>
    </cfRule>
  </conditionalFormatting>
  <conditionalFormatting sqref="P1057:P1058 Q1059">
    <cfRule type="uniqueValues" dxfId="94" priority="520"/>
    <cfRule type="duplicateValues" dxfId="93" priority="521"/>
  </conditionalFormatting>
  <conditionalFormatting sqref="Q1057:Q1058 P1059">
    <cfRule type="uniqueValues" dxfId="92" priority="518"/>
    <cfRule type="duplicateValues" dxfId="91" priority="519"/>
  </conditionalFormatting>
  <conditionalFormatting sqref="Q1051">
    <cfRule type="containsBlanks" dxfId="90" priority="517" stopIfTrue="1">
      <formula>LEN(TRIM(Q1051))=0</formula>
    </cfRule>
  </conditionalFormatting>
  <dataValidations count="154">
    <dataValidation type="list" allowBlank="1" showInputMessage="1" showErrorMessage="1" sqref="M352 M987" xr:uid="{5429DD8A-42E6-4727-888C-EE9B1C330F26}">
      <formula1>R340:R344</formula1>
    </dataValidation>
    <dataValidation type="list" allowBlank="1" showInputMessage="1" showErrorMessage="1" sqref="O352 O987" xr:uid="{62D097BA-C68C-4931-AB6E-38F904490A72}">
      <formula1>M340:M344</formula1>
    </dataValidation>
    <dataValidation type="list" allowBlank="1" showInputMessage="1" showErrorMessage="1" sqref="Q352 Q987" xr:uid="{05F10698-2AE9-4D10-B55A-6314AFABD386}">
      <formula1>M340:M344</formula1>
    </dataValidation>
    <dataValidation type="whole" operator="equal" showDropDown="1" showInputMessage="1" showErrorMessage="1" error="Digitar na celula angulo a esquerda" sqref="M347 M982" xr:uid="{70E3BE9C-F86B-4B4A-BE85-5CF0B4E04079}">
      <formula1>C346</formula1>
    </dataValidation>
    <dataValidation type="list" allowBlank="1" showInputMessage="1" showErrorMessage="1" sqref="O353 O988" xr:uid="{3A253DB1-8D7B-4ED4-94B8-10B93BA02F83}">
      <formula1>M340:M344</formula1>
    </dataValidation>
    <dataValidation type="list" allowBlank="1" showInputMessage="1" showErrorMessage="1" sqref="M353 M988" xr:uid="{608EF3E8-E0C0-47A9-88CC-B1ABD6466263}">
      <formula1>R340:R344</formula1>
    </dataValidation>
    <dataValidation type="list" allowBlank="1" showInputMessage="1" showErrorMessage="1" sqref="M354 M989" xr:uid="{F8F61A26-3ACD-4BF4-AFB2-78E739863B23}">
      <formula1>R340:R344</formula1>
    </dataValidation>
    <dataValidation type="list" allowBlank="1" showInputMessage="1" showErrorMessage="1" sqref="M355 M990" xr:uid="{8822CED6-DE7D-4804-805E-5C12741AEA83}">
      <formula1>R340:R344</formula1>
    </dataValidation>
    <dataValidation type="list" allowBlank="1" showInputMessage="1" showErrorMessage="1" sqref="M356 M991" xr:uid="{4F60153B-FE55-4229-BDA3-0BCE03458962}">
      <formula1>R340:R344</formula1>
    </dataValidation>
    <dataValidation type="list" allowBlank="1" showInputMessage="1" showErrorMessage="1" sqref="M357 M992" xr:uid="{1A0EF5A5-0785-4BE2-9E1F-8BED83FD4404}">
      <formula1>R340:R344</formula1>
    </dataValidation>
    <dataValidation type="list" allowBlank="1" showInputMessage="1" showErrorMessage="1" sqref="M358 M993" xr:uid="{0531356C-E78A-4706-8FD2-CEF3F870BEA2}">
      <formula1>R340:R344</formula1>
    </dataValidation>
    <dataValidation type="list" allowBlank="1" showInputMessage="1" showErrorMessage="1" sqref="M359 M994" xr:uid="{08457C69-FCC4-4A5A-903D-1981F9128686}">
      <formula1>R340:R344</formula1>
    </dataValidation>
    <dataValidation type="list" allowBlank="1" showInputMessage="1" showErrorMessage="1" sqref="M360 M995" xr:uid="{9B5A319D-B920-4E3C-8D4A-6154CAE2C024}">
      <formula1>R340:R344</formula1>
    </dataValidation>
    <dataValidation type="list" allowBlank="1" showInputMessage="1" showErrorMessage="1" sqref="M361 M996" xr:uid="{1CE2DFA6-56BB-4C53-A391-97503A806EB2}">
      <formula1>R340:R344</formula1>
    </dataValidation>
    <dataValidation type="list" allowBlank="1" showInputMessage="1" showErrorMessage="1" sqref="M362 M997" xr:uid="{A811FEEC-099A-4D3A-A066-53DBC0A8C4DA}">
      <formula1>R340:R344</formula1>
    </dataValidation>
    <dataValidation type="list" allowBlank="1" showInputMessage="1" showErrorMessage="1" sqref="M363 M998" xr:uid="{3C9366EC-339C-46E9-B504-67BD5C27D317}">
      <formula1>R340:R344</formula1>
    </dataValidation>
    <dataValidation type="list" allowBlank="1" showInputMessage="1" showErrorMessage="1" sqref="M364 M999" xr:uid="{CDE2960C-DB6F-43D5-997F-460142ECCB23}">
      <formula1>R340:R344</formula1>
    </dataValidation>
    <dataValidation type="list" allowBlank="1" showInputMessage="1" showErrorMessage="1" sqref="M365 M1000" xr:uid="{EFFAA230-2642-43EB-BA30-AC1003B5649F}">
      <formula1>R340:R344</formula1>
    </dataValidation>
    <dataValidation type="list" allowBlank="1" showInputMessage="1" showErrorMessage="1" sqref="M366 M1001" xr:uid="{980EF874-C6BF-48F0-ADED-C8B4AAB68A46}">
      <formula1>R340:R344</formula1>
    </dataValidation>
    <dataValidation type="list" allowBlank="1" showInputMessage="1" showErrorMessage="1" sqref="M367 M1002" xr:uid="{96FE0A24-A5EC-4060-9CD3-2C300677352C}">
      <formula1>R340:R344</formula1>
    </dataValidation>
    <dataValidation type="list" allowBlank="1" showInputMessage="1" showErrorMessage="1" sqref="M368 M1003" xr:uid="{DEAA74D0-CE75-4739-961C-83A7C3EA9020}">
      <formula1>R340:R344</formula1>
    </dataValidation>
    <dataValidation type="list" allowBlank="1" showInputMessage="1" showErrorMessage="1" sqref="M369 M1004" xr:uid="{D25DEE9E-898E-451B-AAD1-7ADA6B87B91A}">
      <formula1>R340:R344</formula1>
    </dataValidation>
    <dataValidation type="list" allowBlank="1" showInputMessage="1" showErrorMessage="1" sqref="M370 M1005" xr:uid="{01C42920-7A90-4D66-BB34-7E8249EB1D0B}">
      <formula1>R340:R344</formula1>
    </dataValidation>
    <dataValidation type="list" allowBlank="1" showInputMessage="1" showErrorMessage="1" sqref="M371 M1006" xr:uid="{6526199F-AAAE-4E23-8180-551A0F8E9815}">
      <formula1>R340:R344</formula1>
    </dataValidation>
    <dataValidation type="list" allowBlank="1" showInputMessage="1" showErrorMessage="1" sqref="M372 M1007" xr:uid="{22E5F23E-71DC-482C-B6B4-C48BE103C189}">
      <formula1>R340:R344</formula1>
    </dataValidation>
    <dataValidation type="list" allowBlank="1" showInputMessage="1" showErrorMessage="1" sqref="M373 M1008" xr:uid="{A3956CD4-DD50-458A-A832-AF3818132B8D}">
      <formula1>R340:R344</formula1>
    </dataValidation>
    <dataValidation type="list" allowBlank="1" showInputMessage="1" showErrorMessage="1" sqref="M374 M1009" xr:uid="{16E4BB8D-DB88-40E7-9082-B861F6A8A282}">
      <formula1>R340:R344</formula1>
    </dataValidation>
    <dataValidation type="list" allowBlank="1" showInputMessage="1" showErrorMessage="1" sqref="M375 M1010" xr:uid="{5AE4F2B3-086E-4939-82F4-3C77591E60F4}">
      <formula1>R340:R344</formula1>
    </dataValidation>
    <dataValidation type="list" allowBlank="1" showInputMessage="1" showErrorMessage="1" sqref="M376 M1011" xr:uid="{468F9838-6AB9-4FB0-89F8-2481A3DDDF24}">
      <formula1>R340:R344</formula1>
    </dataValidation>
    <dataValidation type="list" allowBlank="1" showInputMessage="1" showErrorMessage="1" sqref="M377 M1012" xr:uid="{C0BFAC51-35FA-4FA6-94E2-ED1B5759D717}">
      <formula1>R340:R344</formula1>
    </dataValidation>
    <dataValidation type="list" allowBlank="1" showInputMessage="1" showErrorMessage="1" sqref="M378 M1013" xr:uid="{E94FD116-C3BD-4F11-8D93-DEA3AA73AD58}">
      <formula1>R340:R344</formula1>
    </dataValidation>
    <dataValidation type="list" allowBlank="1" showInputMessage="1" showErrorMessage="1" sqref="M379 M1014" xr:uid="{BD3D1418-7E2F-4B52-8190-1450EA86159A}">
      <formula1>R340:R344</formula1>
    </dataValidation>
    <dataValidation type="list" allowBlank="1" showInputMessage="1" showErrorMessage="1" sqref="M380 M1015" xr:uid="{3DFF5D75-8980-442F-B5DA-837D87280659}">
      <formula1>R340:R344</formula1>
    </dataValidation>
    <dataValidation type="list" allowBlank="1" showInputMessage="1" showErrorMessage="1" sqref="M381 M1016" xr:uid="{876DC2CD-5427-4E76-9EF7-D5F539D654A1}">
      <formula1>R340:R344</formula1>
    </dataValidation>
    <dataValidation type="list" allowBlank="1" showInputMessage="1" showErrorMessage="1" sqref="M382 M1017" xr:uid="{0203CB77-578B-4F6C-998B-F9CCE8B819D2}">
      <formula1>R340:R344</formula1>
    </dataValidation>
    <dataValidation type="list" allowBlank="1" showInputMessage="1" showErrorMessage="1" sqref="M383 M1018" xr:uid="{67C38A03-D0AB-4897-8E33-D6BED5E34B77}">
      <formula1>R340:R344</formula1>
    </dataValidation>
    <dataValidation type="list" allowBlank="1" showInputMessage="1" showErrorMessage="1" sqref="M384 M1019" xr:uid="{0F4CE7EB-F0BC-4F05-B922-A123B2506D50}">
      <formula1>R340:R344</formula1>
    </dataValidation>
    <dataValidation type="list" allowBlank="1" showInputMessage="1" showErrorMessage="1" sqref="M385 M1020" xr:uid="{C95F513F-A851-448D-B6BA-FF0A505585DD}">
      <formula1>R340:R344</formula1>
    </dataValidation>
    <dataValidation type="list" allowBlank="1" showInputMessage="1" showErrorMessage="1" sqref="M386 M1021" xr:uid="{9C6B253B-5DB7-476E-BADF-B1B81558D5B2}">
      <formula1>R340:R344</formula1>
    </dataValidation>
    <dataValidation type="list" allowBlank="1" showInputMessage="1" showErrorMessage="1" sqref="M387 M1022" xr:uid="{7C4F0F0A-26B3-4DB0-B169-A3D1C831BC2D}">
      <formula1>R340:R344</formula1>
    </dataValidation>
    <dataValidation type="list" allowBlank="1" showInputMessage="1" showErrorMessage="1" sqref="M388 M1023" xr:uid="{6C83C88C-8241-4F32-BC62-FB69FA0F33DE}">
      <formula1>R340:R344</formula1>
    </dataValidation>
    <dataValidation type="list" allowBlank="1" showInputMessage="1" showErrorMessage="1" sqref="M389 M1024" xr:uid="{1A6771B4-4CD9-416F-808A-3FD5D7D87CC8}">
      <formula1>R340:R344</formula1>
    </dataValidation>
    <dataValidation type="list" allowBlank="1" showInputMessage="1" showErrorMessage="1" sqref="M390 M1025" xr:uid="{479654CB-6DA6-473B-A824-A979272F8366}">
      <formula1>R340:R344</formula1>
    </dataValidation>
    <dataValidation type="list" allowBlank="1" showInputMessage="1" showErrorMessage="1" sqref="M391 M1026" xr:uid="{90ED6909-692C-45A6-B543-AE2C472650AC}">
      <formula1>R340:R344</formula1>
    </dataValidation>
    <dataValidation type="list" allowBlank="1" showInputMessage="1" showErrorMessage="1" sqref="M392 M1027" xr:uid="{AE74F27B-0EA4-46F5-9530-343B8C011818}">
      <formula1>R340:R344</formula1>
    </dataValidation>
    <dataValidation type="list" allowBlank="1" showInputMessage="1" showErrorMessage="1" sqref="M393 M1028" xr:uid="{F695DD60-709F-4E8E-BD77-63C63A3DE9B6}">
      <formula1>R340:R344</formula1>
    </dataValidation>
    <dataValidation type="list" allowBlank="1" showInputMessage="1" showErrorMessage="1" sqref="M394:M401 M1029:M1036" xr:uid="{ACF9980A-9BFB-48E7-BEDC-905F40B5332B}">
      <formula1>R340:R344</formula1>
    </dataValidation>
    <dataValidation type="list" allowBlank="1" showInputMessage="1" showErrorMessage="1" sqref="M395 M1030" xr:uid="{F34BDE5F-D463-4D2E-BC4A-0B97DA5A7C74}">
      <formula1>R340:R344</formula1>
    </dataValidation>
    <dataValidation type="list" allowBlank="1" showInputMessage="1" showErrorMessage="1" sqref="M396 M1031" xr:uid="{0EA5C8AA-4660-4FB9-BDF4-2F735D8F650B}">
      <formula1>R340:R344</formula1>
    </dataValidation>
    <dataValidation type="list" allowBlank="1" showInputMessage="1" showErrorMessage="1" sqref="M397 M1032" xr:uid="{E652E1D5-0FB2-4E00-807D-DA85552BCBA0}">
      <formula1>R340:R344</formula1>
    </dataValidation>
    <dataValidation type="list" allowBlank="1" showInputMessage="1" showErrorMessage="1" sqref="M398 M1033" xr:uid="{580E89C2-6137-4FA2-99D7-04F085AE5028}">
      <formula1>R340:R344</formula1>
    </dataValidation>
    <dataValidation type="list" allowBlank="1" showInputMessage="1" showErrorMessage="1" sqref="M399 M1034" xr:uid="{75D8D872-4745-478C-9DE1-8AA9A76A0A44}">
      <formula1>R340:R344</formula1>
    </dataValidation>
    <dataValidation type="list" allowBlank="1" showInputMessage="1" showErrorMessage="1" sqref="M400 M1035" xr:uid="{8E8038B7-910E-4838-93A6-BB6A73B74085}">
      <formula1>R340:R344</formula1>
    </dataValidation>
    <dataValidation type="list" allowBlank="1" showInputMessage="1" showErrorMessage="1" sqref="M401 M1036" xr:uid="{6F73D238-0812-4D51-A6AA-D5F5532F2424}">
      <formula1>R340:R344</formula1>
    </dataValidation>
    <dataValidation type="list" allowBlank="1" showInputMessage="1" showErrorMessage="1" sqref="O354 O989" xr:uid="{8F6F362D-73A2-481A-AF37-531EDFAD87EC}">
      <formula1>M340:M344</formula1>
    </dataValidation>
    <dataValidation type="list" allowBlank="1" showInputMessage="1" showErrorMessage="1" sqref="O355 O990" xr:uid="{A23341FC-68E7-482F-9E4A-E3CB516C1250}">
      <formula1>M340:M344</formula1>
    </dataValidation>
    <dataValidation type="list" allowBlank="1" showInputMessage="1" showErrorMessage="1" sqref="O356 O991" xr:uid="{40F2BF35-B543-4583-B3D3-C3845A6CD480}">
      <formula1>M340:M344</formula1>
    </dataValidation>
    <dataValidation type="list" allowBlank="1" showInputMessage="1" showErrorMessage="1" sqref="O357 O992" xr:uid="{BB052901-F9D7-497B-B5A7-982DF6995BC5}">
      <formula1>M340:M344</formula1>
    </dataValidation>
    <dataValidation type="list" allowBlank="1" showInputMessage="1" showErrorMessage="1" sqref="O358 O993" xr:uid="{5E23BFA5-7BD2-488E-90FC-44C86C87EB55}">
      <formula1>M340:M344</formula1>
    </dataValidation>
    <dataValidation type="list" allowBlank="1" showInputMessage="1" showErrorMessage="1" sqref="O359 O994" xr:uid="{2E32C322-F6E1-44CF-9D3B-1EEBA1E8E784}">
      <formula1>M340:M344</formula1>
    </dataValidation>
    <dataValidation type="list" allowBlank="1" showInputMessage="1" showErrorMessage="1" sqref="O360 O995" xr:uid="{0BFEABE0-6034-4492-A5DC-91C3E20CEA40}">
      <formula1>M340:M344</formula1>
    </dataValidation>
    <dataValidation type="list" allowBlank="1" showInputMessage="1" showErrorMessage="1" sqref="O361 O996" xr:uid="{AAADD743-2B97-4C46-96D1-5429E23B1A55}">
      <formula1>M340:M344</formula1>
    </dataValidation>
    <dataValidation type="list" allowBlank="1" showInputMessage="1" showErrorMessage="1" sqref="O362 O997" xr:uid="{7C7D0011-7190-4C8A-AA1B-46AC55957709}">
      <formula1>M340:M344</formula1>
    </dataValidation>
    <dataValidation type="list" allowBlank="1" showInputMessage="1" showErrorMessage="1" sqref="O363 O998" xr:uid="{8313B5AC-2974-433F-8D19-D54137F1AF60}">
      <formula1>M340:M344</formula1>
    </dataValidation>
    <dataValidation type="list" allowBlank="1" showInputMessage="1" showErrorMessage="1" sqref="O364 O999" xr:uid="{72468F20-61F0-41FC-A15B-5097BD69271D}">
      <formula1>M340:M344</formula1>
    </dataValidation>
    <dataValidation type="list" allowBlank="1" showInputMessage="1" showErrorMessage="1" sqref="O365 O1000" xr:uid="{AE7CE431-5ECE-4DFC-BBB2-395795FC16E2}">
      <formula1>M340:M344</formula1>
    </dataValidation>
    <dataValidation type="list" allowBlank="1" showInputMessage="1" showErrorMessage="1" sqref="O366 O1001" xr:uid="{735CF7A6-CB19-4CF4-A5DA-11E0239227EB}">
      <formula1>M340:M344</formula1>
    </dataValidation>
    <dataValidation type="list" allowBlank="1" showInputMessage="1" showErrorMessage="1" sqref="O367 O1002" xr:uid="{9B508997-0C44-4406-83EF-C5E0EBA16F3C}">
      <formula1>M340:M344</formula1>
    </dataValidation>
    <dataValidation type="list" allowBlank="1" showInputMessage="1" showErrorMessage="1" sqref="O368 O1003" xr:uid="{B2DE407A-E05A-4962-A452-B7AEF3C01585}">
      <formula1>M340:M344</formula1>
    </dataValidation>
    <dataValidation type="list" allowBlank="1" showInputMessage="1" showErrorMessage="1" sqref="O369 O1004" xr:uid="{8D7CCAAD-6AFC-4120-8F82-63F2F2229CCC}">
      <formula1>M340:M344</formula1>
    </dataValidation>
    <dataValidation type="list" allowBlank="1" showInputMessage="1" showErrorMessage="1" sqref="O370 O1005" xr:uid="{FC85BE5E-41EF-43A8-804C-E56C1C720998}">
      <formula1>M340:M344</formula1>
    </dataValidation>
    <dataValidation type="list" allowBlank="1" showInputMessage="1" showErrorMessage="1" sqref="O371 O1006" xr:uid="{2C656E3B-78E6-4421-9CAB-B0D9E641C341}">
      <formula1>M340:M344</formula1>
    </dataValidation>
    <dataValidation type="list" allowBlank="1" showInputMessage="1" showErrorMessage="1" sqref="O372 O1007" xr:uid="{C8C94267-DABB-4FB1-8DC0-6BE6C3719BA4}">
      <formula1>M340:M344</formula1>
    </dataValidation>
    <dataValidation type="list" allowBlank="1" showInputMessage="1" showErrorMessage="1" sqref="O373 O1008" xr:uid="{838CB2B5-653C-4096-90E9-558155D8C9F2}">
      <formula1>M340:M344</formula1>
    </dataValidation>
    <dataValidation type="list" allowBlank="1" showInputMessage="1" showErrorMessage="1" sqref="O374 O1009" xr:uid="{D2B606B3-2E62-4F3B-BF34-659FC1A3FE6E}">
      <formula1>M340:M344</formula1>
    </dataValidation>
    <dataValidation type="list" allowBlank="1" showInputMessage="1" showErrorMessage="1" sqref="O375 O1010" xr:uid="{8FCECBF1-5E7E-4199-BACA-3E0C71381004}">
      <formula1>M340:M344</formula1>
    </dataValidation>
    <dataValidation type="list" allowBlank="1" showInputMessage="1" showErrorMessage="1" sqref="O376 O1011" xr:uid="{822F0FB2-58EF-4277-A6B2-58EC877E9D68}">
      <formula1>M340:M344</formula1>
    </dataValidation>
    <dataValidation type="list" allowBlank="1" showInputMessage="1" showErrorMessage="1" sqref="O377 O1012" xr:uid="{75C7EE7E-FBA8-4B98-A647-6CB96EFF81F0}">
      <formula1>M340:M344</formula1>
    </dataValidation>
    <dataValidation type="list" allowBlank="1" showInputMessage="1" showErrorMessage="1" sqref="O378 O1013" xr:uid="{6555922D-9DA8-486C-8DF4-0A129DC77CDB}">
      <formula1>M340:M344</formula1>
    </dataValidation>
    <dataValidation type="list" allowBlank="1" showInputMessage="1" showErrorMessage="1" sqref="O379 O1014" xr:uid="{88308297-519B-411E-8457-D64F65413AD0}">
      <formula1>M340:M344</formula1>
    </dataValidation>
    <dataValidation type="list" allowBlank="1" showInputMessage="1" showErrorMessage="1" sqref="O380 O1015" xr:uid="{B7332E0F-0AF8-405F-B467-AE97E82A2408}">
      <formula1>M340:M344</formula1>
    </dataValidation>
    <dataValidation type="list" allowBlank="1" showInputMessage="1" showErrorMessage="1" sqref="O381 O1016" xr:uid="{2495844B-5739-4940-94EE-E0E225301DD8}">
      <formula1>M340:M344</formula1>
    </dataValidation>
    <dataValidation type="list" allowBlank="1" showInputMessage="1" showErrorMessage="1" sqref="O382 O1017" xr:uid="{782C1BB0-F3DF-4561-8442-3190987B7158}">
      <formula1>M340:M344</formula1>
    </dataValidation>
    <dataValidation type="list" allowBlank="1" showInputMessage="1" showErrorMessage="1" sqref="O383 O1018" xr:uid="{C168DD4A-7DF5-4A8E-985D-440912FBDED9}">
      <formula1>M340:M344</formula1>
    </dataValidation>
    <dataValidation type="list" allowBlank="1" showInputMessage="1" showErrorMessage="1" sqref="O384 O1019" xr:uid="{4AEB3D85-86F7-4911-BF16-4640B6FAF9D3}">
      <formula1>M340:M344</formula1>
    </dataValidation>
    <dataValidation type="list" allowBlank="1" showInputMessage="1" showErrorMessage="1" sqref="O385 O1020" xr:uid="{A0B16E41-A4D0-4F2F-B6B1-9EABC93A5BE5}">
      <formula1>M340:M344</formula1>
    </dataValidation>
    <dataValidation type="list" allowBlank="1" showInputMessage="1" showErrorMessage="1" sqref="O386 O1021" xr:uid="{B8DCC675-F944-416A-A8FE-94AAD01077D3}">
      <formula1>M340:M344</formula1>
    </dataValidation>
    <dataValidation type="list" allowBlank="1" showInputMessage="1" showErrorMessage="1" sqref="O387 O1022" xr:uid="{F980E800-89D2-4D63-B7A6-D01F154DE089}">
      <formula1>M340:M344</formula1>
    </dataValidation>
    <dataValidation type="list" allowBlank="1" showInputMessage="1" showErrorMessage="1" sqref="O388 O1023" xr:uid="{B92D32D6-13EE-4B1A-89A9-1628A0AFCEF5}">
      <formula1>M340:M344</formula1>
    </dataValidation>
    <dataValidation type="list" allowBlank="1" showInputMessage="1" showErrorMessage="1" sqref="O389 O1024" xr:uid="{65403985-5E69-4D93-AB53-395536C1B55B}">
      <formula1>M340:M344</formula1>
    </dataValidation>
    <dataValidation type="list" allowBlank="1" showInputMessage="1" showErrorMessage="1" sqref="O390 O1025" xr:uid="{E2732305-3C20-43C7-B081-2313A332D505}">
      <formula1>M340:M344</formula1>
    </dataValidation>
    <dataValidation type="list" allowBlank="1" showInputMessage="1" showErrorMessage="1" sqref="O391 O1026" xr:uid="{E2361A58-4F37-453A-B18F-94384B790527}">
      <formula1>M340:M344</formula1>
    </dataValidation>
    <dataValidation type="list" allowBlank="1" showInputMessage="1" showErrorMessage="1" sqref="O392 O1027" xr:uid="{0A69178C-7495-4913-856C-4A6892E54333}">
      <formula1>M340:M344</formula1>
    </dataValidation>
    <dataValidation type="list" allowBlank="1" showInputMessage="1" showErrorMessage="1" sqref="O393 O1028" xr:uid="{F285F519-F9C5-4FC0-AFBC-14D0D2B753E0}">
      <formula1>M340:M344</formula1>
    </dataValidation>
    <dataValidation type="list" allowBlank="1" showInputMessage="1" showErrorMessage="1" sqref="O394 O1029" xr:uid="{468CF5D3-4ADF-4281-91F2-04153B0A5086}">
      <formula1>M340:M344</formula1>
    </dataValidation>
    <dataValidation type="list" allowBlank="1" showInputMessage="1" showErrorMessage="1" sqref="O395 O1030" xr:uid="{9D756A6B-46DC-4B89-A344-30FAB85331B8}">
      <formula1>M340:M344</formula1>
    </dataValidation>
    <dataValidation type="list" allowBlank="1" showInputMessage="1" showErrorMessage="1" sqref="O396 O1031" xr:uid="{011F85F1-DFA3-4F3E-8834-2CAD4943BA16}">
      <formula1>M340:M344</formula1>
    </dataValidation>
    <dataValidation type="list" allowBlank="1" showInputMessage="1" showErrorMessage="1" sqref="O397 O1032" xr:uid="{0C097555-7E4C-4D58-AFF0-96BA8DAFF37C}">
      <formula1>M340:M344</formula1>
    </dataValidation>
    <dataValidation type="list" allowBlank="1" showInputMessage="1" showErrorMessage="1" sqref="O398 O1033" xr:uid="{CC189470-99B6-4CB2-90F0-927B9257B9F0}">
      <formula1>M340:M344</formula1>
    </dataValidation>
    <dataValidation type="list" allowBlank="1" showInputMessage="1" showErrorMessage="1" sqref="O399 O1034" xr:uid="{8A461132-B91A-42FE-95DB-AE1CB0F6A2D8}">
      <formula1>M340:M344</formula1>
    </dataValidation>
    <dataValidation type="list" allowBlank="1" showInputMessage="1" showErrorMessage="1" sqref="O400 O1035" xr:uid="{B2D926B6-D213-436B-A704-2BA1F179CF3F}">
      <formula1>M340:M344</formula1>
    </dataValidation>
    <dataValidation type="list" allowBlank="1" showInputMessage="1" showErrorMessage="1" sqref="O401 O1036" xr:uid="{0612073C-0D83-46E2-845B-048A8431157A}">
      <formula1>M340:M344</formula1>
    </dataValidation>
    <dataValidation type="list" allowBlank="1" showInputMessage="1" showErrorMessage="1" sqref="Q353 Q988" xr:uid="{04091CAD-E2FC-4F41-9B71-27EA9C1F57C6}">
      <formula1>M340:M344</formula1>
    </dataValidation>
    <dataValidation type="list" allowBlank="1" showInputMessage="1" showErrorMessage="1" sqref="Q354 Q989" xr:uid="{6B2C0117-F257-4A4C-8D8D-B9DDBCE7122A}">
      <formula1>M340:M344</formula1>
    </dataValidation>
    <dataValidation type="list" allowBlank="1" showInputMessage="1" showErrorMessage="1" sqref="Q355 Q990" xr:uid="{5E562984-59CB-44BB-B5F3-CA857EEA7626}">
      <formula1>M340:M344</formula1>
    </dataValidation>
    <dataValidation type="list" allowBlank="1" showInputMessage="1" showErrorMessage="1" sqref="Q356 Q991" xr:uid="{13FD23DF-EE2E-4498-ADC8-3FD499F7D98B}">
      <formula1>M340:M344</formula1>
    </dataValidation>
    <dataValidation type="list" allowBlank="1" showInputMessage="1" showErrorMessage="1" sqref="Q357 Q992" xr:uid="{81552932-0A87-44CB-B7B5-7A48E8BE0514}">
      <formula1>M340:M344</formula1>
    </dataValidation>
    <dataValidation type="list" allowBlank="1" showInputMessage="1" showErrorMessage="1" sqref="Q358 Q993" xr:uid="{2CBEA466-138B-4C2D-A666-194EABD90613}">
      <formula1>M340:M344</formula1>
    </dataValidation>
    <dataValidation type="list" allowBlank="1" showInputMessage="1" showErrorMessage="1" sqref="Q359 Q994" xr:uid="{A6C7CFFF-D6B9-4472-A8D5-2AE8AD836AA2}">
      <formula1>M340:M344</formula1>
    </dataValidation>
    <dataValidation type="list" allowBlank="1" showInputMessage="1" showErrorMessage="1" sqref="Q360 Q995" xr:uid="{53C27FC2-C093-4AEA-88D4-2CE3615D2D15}">
      <formula1>M340:M344</formula1>
    </dataValidation>
    <dataValidation type="list" allowBlank="1" showInputMessage="1" showErrorMessage="1" sqref="Q361 Q996" xr:uid="{D08C1BC2-4608-4E44-ABC0-4BD218AFFA9C}">
      <formula1>M340:M344</formula1>
    </dataValidation>
    <dataValidation type="list" allowBlank="1" showInputMessage="1" showErrorMessage="1" sqref="Q362 Q997" xr:uid="{5001921A-F8B8-4D1E-9596-DAE22252EC0C}">
      <formula1>M340:M344</formula1>
    </dataValidation>
    <dataValidation type="list" allowBlank="1" showInputMessage="1" showErrorMessage="1" sqref="Q363 Q998" xr:uid="{E4AA99AC-E0F9-413A-BA74-7E9484EED1A0}">
      <formula1>M340:M344</formula1>
    </dataValidation>
    <dataValidation type="list" allowBlank="1" showInputMessage="1" showErrorMessage="1" sqref="Q364 Q999" xr:uid="{AD0D592E-91EF-4D1F-ADCD-36924B854B02}">
      <formula1>M340:M344</formula1>
    </dataValidation>
    <dataValidation type="list" allowBlank="1" showInputMessage="1" showErrorMessage="1" sqref="Q365 Q1000" xr:uid="{36E7F628-57F8-4D36-9F5F-75AA0DCFFE0C}">
      <formula1>M340:M344</formula1>
    </dataValidation>
    <dataValidation type="list" allowBlank="1" showInputMessage="1" showErrorMessage="1" sqref="Q366 Q1001" xr:uid="{AE232BF4-98F2-41DE-A00C-FE685A7E68E9}">
      <formula1>M340:M344</formula1>
    </dataValidation>
    <dataValidation type="list" allowBlank="1" showInputMessage="1" showErrorMessage="1" sqref="Q367 Q1002" xr:uid="{4D669C83-9770-4077-A474-2310E598E84B}">
      <formula1>M340:M344</formula1>
    </dataValidation>
    <dataValidation type="list" allowBlank="1" showInputMessage="1" showErrorMessage="1" sqref="Q368 Q1003" xr:uid="{5EC072F8-3548-40BD-82EA-08108D77C360}">
      <formula1>M340:M344</formula1>
    </dataValidation>
    <dataValidation type="list" allowBlank="1" showInputMessage="1" showErrorMessage="1" sqref="Q369 Q1004" xr:uid="{BDCAC668-3242-4072-8549-2044CEA0B70B}">
      <formula1>M340:M344</formula1>
    </dataValidation>
    <dataValidation type="list" allowBlank="1" showInputMessage="1" showErrorMessage="1" sqref="Q370 Q1005" xr:uid="{00B51BAC-CE6C-4969-8870-440D755E6085}">
      <formula1>M340:M344</formula1>
    </dataValidation>
    <dataValidation type="list" allowBlank="1" showInputMessage="1" showErrorMessage="1" sqref="Q371 Q1006" xr:uid="{F00E82B1-AA13-4B04-9960-0FE3C60B7203}">
      <formula1>M340:M344</formula1>
    </dataValidation>
    <dataValidation type="list" allowBlank="1" showInputMessage="1" showErrorMessage="1" sqref="Q372 Q1007" xr:uid="{43E448EC-E360-4433-8504-14B7F293C204}">
      <formula1>M340:M344</formula1>
    </dataValidation>
    <dataValidation type="list" allowBlank="1" showInputMessage="1" showErrorMessage="1" sqref="Q373 Q1008" xr:uid="{62086BF2-E0DF-43F3-A793-3B1123290CF7}">
      <formula1>M340:M344</formula1>
    </dataValidation>
    <dataValidation type="list" allowBlank="1" showInputMessage="1" showErrorMessage="1" sqref="Q374 Q1009" xr:uid="{C967760E-B925-4D1F-A785-5F33C476E2DC}">
      <formula1>M340:M344</formula1>
    </dataValidation>
    <dataValidation type="list" allowBlank="1" showInputMessage="1" showErrorMessage="1" sqref="Q375 Q1010" xr:uid="{EA87AE34-83D8-4974-9344-58F97411ECBD}">
      <formula1>M340:M344</formula1>
    </dataValidation>
    <dataValidation type="list" allowBlank="1" showInputMessage="1" showErrorMessage="1" sqref="Q376 Q1011" xr:uid="{33CFBA2A-DEAB-4952-9D5C-FFEC091AF6F6}">
      <formula1>M340:M344</formula1>
    </dataValidation>
    <dataValidation type="list" allowBlank="1" showInputMessage="1" showErrorMessage="1" sqref="Q377 Q1012" xr:uid="{C29939D3-BB3C-48A3-95DC-B96F6B38A203}">
      <formula1>M340:M344</formula1>
    </dataValidation>
    <dataValidation type="list" allowBlank="1" showInputMessage="1" showErrorMessage="1" sqref="Q378 Q1013" xr:uid="{29044435-C8F4-42DA-8B90-A681A8D80C2D}">
      <formula1>M340:M344</formula1>
    </dataValidation>
    <dataValidation type="list" allowBlank="1" showInputMessage="1" showErrorMessage="1" sqref="Q379 Q1014" xr:uid="{60C15329-D009-4E6F-9848-5FCAF8787BBB}">
      <formula1>M340:M344</formula1>
    </dataValidation>
    <dataValidation type="list" allowBlank="1" showInputMessage="1" showErrorMessage="1" sqref="Q380 Q1015" xr:uid="{D615CCC6-4944-4BD4-B404-7A42C300C203}">
      <formula1>M340:M344</formula1>
    </dataValidation>
    <dataValidation type="list" allowBlank="1" showInputMessage="1" showErrorMessage="1" sqref="Q381 Q1016" xr:uid="{2CB37B8A-0C54-43FE-A351-BEB2E1BD1D2A}">
      <formula1>M340:M344</formula1>
    </dataValidation>
    <dataValidation type="list" allowBlank="1" showInputMessage="1" showErrorMessage="1" sqref="Q382 Q1017" xr:uid="{51474AB3-F596-4A75-A62B-6DC7FD5A33C3}">
      <formula1>M340:M344</formula1>
    </dataValidation>
    <dataValidation type="list" allowBlank="1" showInputMessage="1" showErrorMessage="1" sqref="Q383 Q1018" xr:uid="{11E8847A-046A-47F7-976B-1F0D49494678}">
      <formula1>M340:M344</formula1>
    </dataValidation>
    <dataValidation type="list" allowBlank="1" showInputMessage="1" showErrorMessage="1" sqref="Q384 Q1019" xr:uid="{907C0E4D-C7F8-4731-9410-342CBE044B76}">
      <formula1>M340:M344</formula1>
    </dataValidation>
    <dataValidation type="list" allowBlank="1" showInputMessage="1" showErrorMessage="1" sqref="Q385 Q1020" xr:uid="{1FF28C03-1D35-4A71-ACFB-8E8294AFA351}">
      <formula1>M340:M344</formula1>
    </dataValidation>
    <dataValidation type="list" allowBlank="1" showInputMessage="1" showErrorMessage="1" sqref="Q386 Q1021" xr:uid="{B41791AA-5C8B-4A67-B7CD-7663AF5F59AF}">
      <formula1>M340:M344</formula1>
    </dataValidation>
    <dataValidation type="list" allowBlank="1" showInputMessage="1" showErrorMessage="1" sqref="Q387 Q1022" xr:uid="{9911F80A-76E6-4287-956C-5AC1E3022B19}">
      <formula1>M340:M344</formula1>
    </dataValidation>
    <dataValidation type="list" allowBlank="1" showInputMessage="1" showErrorMessage="1" sqref="Q388 Q1023" xr:uid="{1FCE2EAB-D932-4243-8C2D-486AB6B07651}">
      <formula1>M340:M344</formula1>
    </dataValidation>
    <dataValidation type="list" allowBlank="1" showInputMessage="1" showErrorMessage="1" sqref="Q389 Q1024" xr:uid="{33BFEAAA-F380-40A0-A549-AA518A56F221}">
      <formula1>M340:M344</formula1>
    </dataValidation>
    <dataValidation type="list" allowBlank="1" showInputMessage="1" showErrorMessage="1" sqref="Q390 Q1025" xr:uid="{6F517814-6139-442B-AE07-3ADC50F6F22D}">
      <formula1>M340:M344</formula1>
    </dataValidation>
    <dataValidation type="list" allowBlank="1" showInputMessage="1" showErrorMessage="1" sqref="Q391 Q1026" xr:uid="{8997DE2F-1954-438E-8412-4379A794422F}">
      <formula1>M340:M344</formula1>
    </dataValidation>
    <dataValidation type="list" allowBlank="1" showInputMessage="1" showErrorMessage="1" sqref="Q392 Q1027" xr:uid="{9BCF776F-C634-4E19-8BBC-6EA777853EF6}">
      <formula1>M340:M344</formula1>
    </dataValidation>
    <dataValidation type="list" allowBlank="1" showInputMessage="1" showErrorMessage="1" sqref="Q393 Q1028" xr:uid="{D7FC9B42-5C83-43D6-A1B1-72C9516BC9E0}">
      <formula1>M340:M344</formula1>
    </dataValidation>
    <dataValidation type="list" allowBlank="1" showInputMessage="1" showErrorMessage="1" sqref="Q394 Q1029" xr:uid="{29765643-8E36-47AA-B977-0FE4CD64D718}">
      <formula1>M340:M344</formula1>
    </dataValidation>
    <dataValidation type="list" allowBlank="1" showInputMessage="1" showErrorMessage="1" sqref="Q395 Q1030" xr:uid="{B0E9BCA6-69E7-43CC-87AE-BDD2B48F89DC}">
      <formula1>M340:M344</formula1>
    </dataValidation>
    <dataValidation type="list" allowBlank="1" showInputMessage="1" showErrorMessage="1" sqref="Q396 Q1031" xr:uid="{DC84FDA5-ADCF-422D-B544-D30DCA50DE25}">
      <formula1>M340:M344</formula1>
    </dataValidation>
    <dataValidation type="list" allowBlank="1" showInputMessage="1" showErrorMessage="1" sqref="Q397 Q1032" xr:uid="{93F8D7B5-E999-472D-AE49-1BC4C9511AA2}">
      <formula1>M340:M344</formula1>
    </dataValidation>
    <dataValidation type="list" allowBlank="1" showInputMessage="1" showErrorMessage="1" sqref="Q398 Q1033" xr:uid="{2E574001-640F-423F-9D3B-0D04FCD91D48}">
      <formula1>M340:M344</formula1>
    </dataValidation>
    <dataValidation type="list" allowBlank="1" showInputMessage="1" showErrorMessage="1" sqref="Q399 Q1034" xr:uid="{14AF3528-0B1F-40B7-8CC5-6411427E2244}">
      <formula1>M340:M344</formula1>
    </dataValidation>
    <dataValidation type="list" allowBlank="1" showInputMessage="1" showErrorMessage="1" sqref="Q400 Q1035" xr:uid="{5CD4D7D0-04DF-4025-97A6-B239BE9DD8B5}">
      <formula1>M340:M344</formula1>
    </dataValidation>
    <dataValidation type="list" allowBlank="1" showInputMessage="1" showErrorMessage="1" sqref="Q401 Q1036" xr:uid="{4BDBD21C-0C66-4F3C-A996-EDFFA72F073B}">
      <formula1>M340:M344</formula1>
    </dataValidation>
    <dataValidation type="list" allowBlank="1" showInputMessage="1" showErrorMessage="1" sqref="R224 R859" xr:uid="{531E866A-9B6C-46E5-85CA-7594025A15BF}">
      <formula1>"Horizontal,Inclinado"</formula1>
    </dataValidation>
    <dataValidation type="whole" operator="lessThanOrEqual" allowBlank="1" showInputMessage="1" showErrorMessage="1" sqref="Q416 Q1051" xr:uid="{F13AFBF0-24EA-4816-9A65-424BD50E9D66}">
      <formula1>50</formula1>
    </dataValidation>
    <dataValidation type="list" allowBlank="1" showInputMessage="1" showErrorMessage="1" sqref="AB2" xr:uid="{AD66EE15-08D8-449A-859F-9AC177EE5C13}">
      <formula1>"150 - STEEL LADLE"</formula1>
    </dataValidation>
  </dataValidations>
  <pageMargins left="0.39370078740157483" right="0.39370078740157483" top="0.39370078740157483" bottom="0.39370078740157483" header="0" footer="0"/>
  <pageSetup paperSize="9" scale="36" fitToHeight="0" orientation="portrait" r:id="rId1"/>
  <headerFooter alignWithMargins="0"/>
  <drawing r:id="rId2"/>
  <legacyDrawing r:id="rId3"/>
  <controls>
    <mc:AlternateContent xmlns:mc="http://schemas.openxmlformats.org/markup-compatibility/2006">
      <mc:Choice Requires="x14">
        <control shapeId="97537" r:id="rId4" name="TempCombo">
          <controlPr defaultSize="0" autoLine="0" r:id="rId5">
            <anchor moveWithCells="1">
              <from>
                <xdr:col>12</xdr:col>
                <xdr:colOff>0</xdr:colOff>
                <xdr:row>591</xdr:row>
                <xdr:rowOff>0</xdr:rowOff>
              </from>
              <to>
                <xdr:col>13</xdr:col>
                <xdr:colOff>38100</xdr:colOff>
                <xdr:row>592</xdr:row>
                <xdr:rowOff>68580</xdr:rowOff>
              </to>
            </anchor>
          </controlPr>
        </control>
      </mc:Choice>
      <mc:Fallback>
        <control shapeId="97537" r:id="rId4" name="TempCombo"/>
      </mc:Fallback>
    </mc:AlternateContent>
    <mc:AlternateContent xmlns:mc="http://schemas.openxmlformats.org/markup-compatibility/2006">
      <mc:Choice Requires="x14">
        <control shapeId="88216" r:id="rId6" name="Button 152">
          <controlPr defaultSize="0" print="0" autoFill="0" autoPict="0" macro="[0]!ListaMaterial_TOTAL">
            <anchor moveWithCells="1" sizeWithCells="1">
              <from>
                <xdr:col>24</xdr:col>
                <xdr:colOff>60960</xdr:colOff>
                <xdr:row>0</xdr:row>
                <xdr:rowOff>38100</xdr:rowOff>
              </from>
              <to>
                <xdr:col>24</xdr:col>
                <xdr:colOff>1623060</xdr:colOff>
                <xdr:row>0</xdr:row>
                <xdr:rowOff>373380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1E0660E3-06F7-466D-A7A5-1EDD8AFFE7F6}">
          <x14:formula1>
            <xm:f>Densidades!$A:$A</xm:f>
          </x14:formula1>
          <xm:sqref>X25 X519 X582 X587 X608 X494 X508 X513 X213 X218 X60 X49 X35 X30 X114 X107 X119 X150 X628 X593 X601 X67 X639 X76 X84 X88 X298 X405 X410 X99 X224 X633 X287 X41 X292 X125 X139 X144 X616 X18 X416 X483 X488 X660 X1154 X1217 X1222 X1243 X1129 X1143 X1148 X848 X853 X695 X684 X670 X665 X749 X742 X754 X785 X1263 X1228 X1236 X702 X1274 X711 X719 X723 X933 X1040 X1045 X734 X859 X1268 X922 X676 X927 X760 X774 X779 X1251 X653 X1051 X1118 X1123</xm:sqref>
        </x14:dataValidation>
        <x14:dataValidation type="list" allowBlank="1" showDropDown="1" showInputMessage="1" showErrorMessage="1" xr:uid="{CAC9C81D-98A7-49BB-B647-F44A34ACB9CB}">
          <x14:formula1>
            <xm:f>Densidades!$A:$A</xm:f>
          </x14:formula1>
          <xm:sqref>X93 X728</xm:sqref>
        </x14:dataValidation>
        <x14:dataValidation type="list" allowBlank="1" showInputMessage="1" showErrorMessage="1" xr:uid="{89EF7D1B-D40B-41E0-AC05-647264DEC157}">
          <x14:formula1>
            <xm:f>Formatos!$A:$A</xm:f>
          </x14:formula1>
          <xm:sqref>X94 R340:R344 X108 X609 X640 X602 B525 X19 X89 X85 X77 X68 M340:M344 X100 B131:B132 B156:B157 B230:B231 B500:B501 X594 O422:O424 X729 R975:R979 X743 X1244 X1275 X1237 B1160 X654 X724 X720 X712 X703 M975:M979 X735 B766:B767 B791:B792 B865:B866 B1135:B1136 X1229 O1057:O1059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3"/>
  <dimension ref="A1:AV353"/>
  <sheetViews>
    <sheetView showGridLines="0" workbookViewId="0">
      <selection activeCell="AI3" sqref="AI3"/>
    </sheetView>
  </sheetViews>
  <sheetFormatPr defaultColWidth="11.44140625" defaultRowHeight="18.75" customHeight="1"/>
  <cols>
    <col min="1" max="1" width="4.6640625" style="11" customWidth="1"/>
    <col min="2" max="4" width="5.6640625" style="11" customWidth="1"/>
    <col min="5" max="5" width="11.6640625" style="11" customWidth="1"/>
    <col min="6" max="6" width="4.6640625" style="11" customWidth="1"/>
    <col min="7" max="7" width="3.6640625" style="11" customWidth="1"/>
    <col min="8" max="8" width="4.6640625" style="11" customWidth="1"/>
    <col min="9" max="9" width="4" style="11" customWidth="1"/>
    <col min="10" max="10" width="15.5546875" style="11" customWidth="1"/>
    <col min="11" max="13" width="5.6640625" style="11" customWidth="1"/>
    <col min="14" max="15" width="12.6640625" style="11" customWidth="1"/>
    <col min="16" max="16" width="4.33203125" style="11" customWidth="1"/>
    <col min="17" max="17" width="3.6640625" style="11" customWidth="1"/>
    <col min="18" max="18" width="0.44140625" style="11" customWidth="1"/>
    <col min="19" max="19" width="7.6640625" style="11" customWidth="1"/>
    <col min="20" max="22" width="7.6640625" style="11" hidden="1" customWidth="1"/>
    <col min="23" max="23" width="7.6640625" style="11" customWidth="1"/>
    <col min="24" max="28" width="7.6640625" style="11" hidden="1" customWidth="1"/>
    <col min="29" max="33" width="2.6640625" style="11" hidden="1" customWidth="1"/>
    <col min="34" max="34" width="9.6640625" style="11" customWidth="1"/>
    <col min="35" max="35" width="33.6640625" style="11" bestFit="1" customWidth="1"/>
    <col min="36" max="36" width="1" style="11" customWidth="1"/>
    <col min="37" max="37" width="38.44140625" style="11" customWidth="1"/>
    <col min="38" max="38" width="22.33203125" style="11" customWidth="1"/>
    <col min="39" max="16384" width="11.44140625" style="11"/>
  </cols>
  <sheetData>
    <row r="1" spans="1:48" ht="18.75" customHeight="1" thickBot="1">
      <c r="A1" s="812" t="s">
        <v>28</v>
      </c>
      <c r="B1" s="813"/>
      <c r="C1" s="813"/>
      <c r="D1" s="813"/>
      <c r="E1" s="813"/>
      <c r="F1" s="813"/>
      <c r="G1" s="813"/>
      <c r="H1" s="813"/>
      <c r="I1" s="813"/>
      <c r="J1" s="813"/>
      <c r="K1" s="814"/>
      <c r="L1" s="814"/>
      <c r="M1" s="814"/>
      <c r="N1" s="814"/>
      <c r="O1" s="814"/>
      <c r="P1" s="814"/>
      <c r="Q1" s="815"/>
      <c r="R1" s="18"/>
      <c r="S1" s="18"/>
      <c r="T1" s="18"/>
      <c r="U1" s="18"/>
      <c r="V1" s="18"/>
      <c r="W1" s="18"/>
    </row>
    <row r="2" spans="1:48" s="12" customFormat="1" ht="27" customHeight="1">
      <c r="A2" s="55" t="s">
        <v>96</v>
      </c>
      <c r="B2" s="56" t="s">
        <v>97</v>
      </c>
      <c r="C2" s="57"/>
      <c r="D2" s="57"/>
      <c r="E2" s="57"/>
      <c r="F2" s="816" t="s">
        <v>0</v>
      </c>
      <c r="G2" s="817"/>
      <c r="H2" s="817"/>
      <c r="I2" s="817"/>
      <c r="J2" s="818"/>
      <c r="K2" s="46" t="s">
        <v>103</v>
      </c>
      <c r="L2" s="47" t="s">
        <v>101</v>
      </c>
      <c r="M2" s="47" t="s">
        <v>100</v>
      </c>
      <c r="N2" s="48"/>
      <c r="O2" s="48"/>
      <c r="P2" s="49" t="s">
        <v>98</v>
      </c>
      <c r="Q2" s="50" t="s">
        <v>99</v>
      </c>
      <c r="S2" s="51" t="s">
        <v>95</v>
      </c>
      <c r="W2" s="52" t="s">
        <v>102</v>
      </c>
      <c r="AH2" s="53" t="s">
        <v>110</v>
      </c>
      <c r="AI2" s="54" t="s">
        <v>66</v>
      </c>
      <c r="AK2" s="819" t="s">
        <v>421</v>
      </c>
      <c r="AL2" s="819"/>
    </row>
    <row r="3" spans="1:48" s="12" customFormat="1" ht="18.75" customHeight="1">
      <c r="A3" s="123" t="str">
        <f>AI3</f>
        <v>REGIÃO DO EQUIPAMENTO</v>
      </c>
      <c r="B3" s="110"/>
      <c r="C3" s="111"/>
      <c r="D3" s="111"/>
      <c r="E3" s="111"/>
      <c r="F3" s="110"/>
      <c r="G3" s="111"/>
      <c r="H3" s="111"/>
      <c r="I3" s="111"/>
      <c r="J3" s="112"/>
      <c r="K3" s="113"/>
      <c r="L3" s="114"/>
      <c r="M3" s="114"/>
      <c r="N3" s="115"/>
      <c r="O3" s="115"/>
      <c r="P3" s="116"/>
      <c r="Q3" s="117"/>
      <c r="R3" s="118"/>
      <c r="S3" s="119"/>
      <c r="T3" s="115"/>
      <c r="U3" s="120"/>
      <c r="V3" s="120"/>
      <c r="W3" s="114"/>
      <c r="X3" s="114"/>
      <c r="Y3" s="114"/>
      <c r="Z3" s="114"/>
      <c r="AA3" s="114"/>
      <c r="AB3" s="114"/>
      <c r="AC3" s="121"/>
      <c r="AD3" s="121"/>
      <c r="AE3" s="121"/>
      <c r="AF3" s="121"/>
      <c r="AG3" s="121"/>
      <c r="AH3" s="122"/>
      <c r="AI3" s="114" t="str">
        <f>IF('Memória TOTAL'!Y3="","",'Memória TOTAL'!Y3)</f>
        <v>REGIÃO DO EQUIPAMENTO</v>
      </c>
      <c r="AK3" s="820" t="s">
        <v>1898</v>
      </c>
      <c r="AL3" s="821"/>
      <c r="AV3" s="12" t="s">
        <v>426</v>
      </c>
    </row>
    <row r="4" spans="1:48" ht="18.75" customHeight="1">
      <c r="A4" s="11" t="e">
        <v>#DIV/0!</v>
      </c>
      <c r="K4" s="11">
        <v>0</v>
      </c>
      <c r="L4" s="11">
        <v>0</v>
      </c>
      <c r="M4" s="11">
        <v>0</v>
      </c>
      <c r="N4" s="11">
        <v>0</v>
      </c>
      <c r="V4" s="11">
        <v>0</v>
      </c>
      <c r="W4" s="11">
        <v>0</v>
      </c>
    </row>
    <row r="5" spans="1:48" ht="18.75" customHeight="1">
      <c r="A5" s="11" t="e">
        <v>#DIV/0!</v>
      </c>
      <c r="K5" s="11">
        <v>0</v>
      </c>
      <c r="L5" s="11">
        <v>0</v>
      </c>
      <c r="M5" s="11">
        <v>0</v>
      </c>
      <c r="N5" s="11">
        <v>0</v>
      </c>
      <c r="V5" s="11">
        <v>0</v>
      </c>
      <c r="W5" s="11">
        <v>0</v>
      </c>
    </row>
    <row r="6" spans="1:48" ht="18.75" customHeight="1">
      <c r="A6" s="11" t="e">
        <v>#DIV/0!</v>
      </c>
      <c r="K6" s="11">
        <v>0</v>
      </c>
      <c r="L6" s="11">
        <v>0</v>
      </c>
      <c r="M6" s="11">
        <v>0</v>
      </c>
      <c r="N6" s="11">
        <v>0</v>
      </c>
      <c r="V6" s="11">
        <v>0</v>
      </c>
      <c r="W6" s="11">
        <v>0</v>
      </c>
    </row>
    <row r="7" spans="1:48" ht="18.75" customHeight="1">
      <c r="A7" s="11" t="e">
        <v>#DIV/0!</v>
      </c>
      <c r="K7" s="11">
        <v>0</v>
      </c>
      <c r="L7" s="11">
        <v>0</v>
      </c>
      <c r="M7" s="11">
        <v>0</v>
      </c>
      <c r="N7" s="11">
        <v>0</v>
      </c>
      <c r="V7" s="11">
        <v>0</v>
      </c>
      <c r="W7" s="11">
        <v>0</v>
      </c>
    </row>
    <row r="8" spans="1:48" ht="18.75" customHeight="1">
      <c r="A8" s="11" t="e">
        <v>#DIV/0!</v>
      </c>
      <c r="K8" s="11">
        <v>0</v>
      </c>
      <c r="L8" s="11">
        <v>0</v>
      </c>
      <c r="M8" s="11">
        <v>0</v>
      </c>
      <c r="N8" s="11">
        <v>0</v>
      </c>
      <c r="V8" s="11">
        <v>0</v>
      </c>
      <c r="W8" s="11">
        <v>0</v>
      </c>
    </row>
    <row r="9" spans="1:48" ht="18.75" customHeight="1">
      <c r="A9" s="11" t="e">
        <v>#DIV/0!</v>
      </c>
      <c r="K9" s="11">
        <v>0</v>
      </c>
      <c r="L9" s="11">
        <v>0</v>
      </c>
      <c r="M9" s="11">
        <v>0</v>
      </c>
      <c r="N9" s="11">
        <v>0</v>
      </c>
      <c r="V9" s="11">
        <v>0</v>
      </c>
      <c r="W9" s="11">
        <v>0</v>
      </c>
    </row>
    <row r="10" spans="1:48" ht="18.75" customHeight="1">
      <c r="A10" s="11" t="e">
        <v>#DIV/0!</v>
      </c>
      <c r="K10" s="11">
        <v>0</v>
      </c>
      <c r="L10" s="11">
        <v>0</v>
      </c>
      <c r="M10" s="11">
        <v>0</v>
      </c>
      <c r="N10" s="11">
        <v>0</v>
      </c>
      <c r="V10" s="11">
        <v>0</v>
      </c>
      <c r="W10" s="11">
        <v>0</v>
      </c>
    </row>
    <row r="11" spans="1:48" ht="18.75" customHeight="1">
      <c r="A11" s="11" t="e">
        <v>#DIV/0!</v>
      </c>
      <c r="K11" s="11">
        <v>0</v>
      </c>
      <c r="L11" s="11">
        <v>0</v>
      </c>
      <c r="M11" s="11">
        <v>0</v>
      </c>
      <c r="N11" s="11">
        <v>0</v>
      </c>
      <c r="V11" s="11">
        <v>0</v>
      </c>
      <c r="W11" s="11">
        <v>0</v>
      </c>
    </row>
    <row r="12" spans="1:48" ht="18.75" customHeight="1">
      <c r="A12" s="11" t="e">
        <v>#DIV/0!</v>
      </c>
      <c r="K12" s="11">
        <v>0</v>
      </c>
      <c r="L12" s="11">
        <v>0</v>
      </c>
      <c r="M12" s="11">
        <v>0</v>
      </c>
      <c r="N12" s="11">
        <v>0</v>
      </c>
      <c r="V12" s="11">
        <v>0</v>
      </c>
      <c r="W12" s="11">
        <v>0</v>
      </c>
    </row>
    <row r="13" spans="1:48" ht="18.75" customHeight="1">
      <c r="A13" s="11" t="e">
        <v>#DIV/0!</v>
      </c>
      <c r="K13" s="11">
        <v>0</v>
      </c>
      <c r="L13" s="11">
        <v>0</v>
      </c>
      <c r="M13" s="11">
        <v>0</v>
      </c>
      <c r="N13" s="11">
        <v>0</v>
      </c>
      <c r="V13" s="11">
        <v>0</v>
      </c>
      <c r="W13" s="11">
        <v>0</v>
      </c>
    </row>
    <row r="14" spans="1:48" ht="18.75" customHeight="1">
      <c r="A14" s="11" t="e">
        <v>#DIV/0!</v>
      </c>
      <c r="K14" s="11">
        <v>0</v>
      </c>
      <c r="L14" s="11">
        <v>0</v>
      </c>
      <c r="M14" s="11">
        <v>0</v>
      </c>
      <c r="N14" s="11">
        <v>0</v>
      </c>
      <c r="V14" s="11">
        <v>0</v>
      </c>
      <c r="W14" s="11">
        <v>0</v>
      </c>
    </row>
    <row r="15" spans="1:48" ht="18.75" customHeight="1">
      <c r="A15" s="11" t="e">
        <v>#DIV/0!</v>
      </c>
      <c r="K15" s="11">
        <v>0</v>
      </c>
      <c r="L15" s="11">
        <v>0</v>
      </c>
      <c r="M15" s="11">
        <v>0</v>
      </c>
      <c r="N15" s="11">
        <v>0</v>
      </c>
      <c r="V15" s="11">
        <v>0</v>
      </c>
      <c r="W15" s="11">
        <v>0</v>
      </c>
    </row>
    <row r="16" spans="1:48" ht="18.75" customHeight="1">
      <c r="A16" s="11" t="e">
        <v>#DIV/0!</v>
      </c>
      <c r="K16" s="11">
        <v>0</v>
      </c>
      <c r="L16" s="11">
        <v>0</v>
      </c>
      <c r="M16" s="11">
        <v>0</v>
      </c>
      <c r="N16" s="11">
        <v>0</v>
      </c>
      <c r="V16" s="11">
        <v>0</v>
      </c>
      <c r="W16" s="11">
        <v>0</v>
      </c>
    </row>
    <row r="17" spans="1:23" ht="18.75" customHeight="1">
      <c r="A17" s="11" t="e">
        <v>#DIV/0!</v>
      </c>
      <c r="K17" s="11">
        <v>0</v>
      </c>
      <c r="L17" s="11">
        <v>0</v>
      </c>
      <c r="M17" s="11">
        <v>0</v>
      </c>
      <c r="N17" s="11">
        <v>0</v>
      </c>
      <c r="V17" s="11">
        <v>0</v>
      </c>
      <c r="W17" s="11">
        <v>0</v>
      </c>
    </row>
    <row r="18" spans="1:23" ht="18.75" customHeight="1">
      <c r="A18" s="11" t="e">
        <v>#DIV/0!</v>
      </c>
      <c r="K18" s="11">
        <v>0</v>
      </c>
      <c r="L18" s="11">
        <v>0</v>
      </c>
      <c r="M18" s="11">
        <v>0</v>
      </c>
      <c r="N18" s="11">
        <v>0</v>
      </c>
      <c r="V18" s="11">
        <v>0</v>
      </c>
      <c r="W18" s="11">
        <v>0</v>
      </c>
    </row>
    <row r="19" spans="1:23" ht="18.75" customHeight="1">
      <c r="A19" s="11" t="e">
        <v>#DIV/0!</v>
      </c>
      <c r="K19" s="11">
        <v>0</v>
      </c>
      <c r="L19" s="11">
        <v>0</v>
      </c>
      <c r="M19" s="11">
        <v>0</v>
      </c>
      <c r="N19" s="11">
        <v>0</v>
      </c>
      <c r="V19" s="11">
        <v>0</v>
      </c>
      <c r="W19" s="11">
        <v>0</v>
      </c>
    </row>
    <row r="20" spans="1:23" ht="18.75" customHeight="1">
      <c r="A20" s="11" t="e">
        <v>#DIV/0!</v>
      </c>
      <c r="K20" s="11">
        <v>0</v>
      </c>
      <c r="L20" s="11">
        <v>0</v>
      </c>
      <c r="M20" s="11">
        <v>0</v>
      </c>
      <c r="N20" s="11">
        <v>0</v>
      </c>
      <c r="V20" s="11">
        <v>0</v>
      </c>
      <c r="W20" s="11">
        <v>0</v>
      </c>
    </row>
    <row r="21" spans="1:23" ht="18.75" customHeight="1">
      <c r="A21" s="11" t="e">
        <v>#DIV/0!</v>
      </c>
      <c r="K21" s="11">
        <v>0</v>
      </c>
      <c r="L21" s="11">
        <v>0</v>
      </c>
      <c r="M21" s="11">
        <v>0</v>
      </c>
      <c r="N21" s="11">
        <v>0</v>
      </c>
      <c r="V21" s="11">
        <v>0</v>
      </c>
      <c r="W21" s="11">
        <v>0</v>
      </c>
    </row>
    <row r="22" spans="1:23" ht="18.75" customHeight="1">
      <c r="A22" s="11" t="e">
        <v>#DIV/0!</v>
      </c>
      <c r="K22" s="11">
        <v>0</v>
      </c>
      <c r="L22" s="11">
        <v>0</v>
      </c>
      <c r="M22" s="11">
        <v>0</v>
      </c>
      <c r="N22" s="11">
        <v>0</v>
      </c>
      <c r="V22" s="11">
        <v>0</v>
      </c>
      <c r="W22" s="11">
        <v>0</v>
      </c>
    </row>
    <row r="23" spans="1:23" ht="18.75" customHeight="1">
      <c r="A23" s="11" t="e">
        <v>#DIV/0!</v>
      </c>
      <c r="K23" s="11">
        <v>0</v>
      </c>
      <c r="L23" s="11">
        <v>0</v>
      </c>
      <c r="M23" s="11">
        <v>0</v>
      </c>
      <c r="N23" s="11">
        <v>0</v>
      </c>
      <c r="V23" s="11">
        <v>0</v>
      </c>
      <c r="W23" s="11">
        <v>0</v>
      </c>
    </row>
    <row r="24" spans="1:23" ht="18.75" customHeight="1">
      <c r="A24" s="11" t="e">
        <v>#DIV/0!</v>
      </c>
      <c r="K24" s="11">
        <v>0</v>
      </c>
      <c r="L24" s="11">
        <v>0</v>
      </c>
      <c r="M24" s="11">
        <v>0</v>
      </c>
      <c r="N24" s="11">
        <v>0</v>
      </c>
      <c r="V24" s="11">
        <v>0</v>
      </c>
      <c r="W24" s="11">
        <v>0</v>
      </c>
    </row>
    <row r="25" spans="1:23" ht="18.75" customHeight="1">
      <c r="A25" s="11" t="e">
        <v>#DIV/0!</v>
      </c>
      <c r="K25" s="11">
        <v>0</v>
      </c>
      <c r="L25" s="11">
        <v>0</v>
      </c>
      <c r="M25" s="11">
        <v>0</v>
      </c>
      <c r="N25" s="11">
        <v>0</v>
      </c>
      <c r="V25" s="11">
        <v>0</v>
      </c>
      <c r="W25" s="11">
        <v>0</v>
      </c>
    </row>
    <row r="26" spans="1:23" ht="18.75" customHeight="1">
      <c r="A26" s="11" t="e">
        <v>#DIV/0!</v>
      </c>
      <c r="K26" s="11">
        <v>0</v>
      </c>
      <c r="L26" s="11">
        <v>0</v>
      </c>
      <c r="M26" s="11">
        <v>0</v>
      </c>
      <c r="N26" s="11">
        <v>0</v>
      </c>
      <c r="V26" s="11">
        <v>0</v>
      </c>
      <c r="W26" s="11">
        <v>0</v>
      </c>
    </row>
    <row r="27" spans="1:23" ht="18.75" customHeight="1">
      <c r="A27" s="11" t="e">
        <v>#DIV/0!</v>
      </c>
      <c r="K27" s="11">
        <v>0</v>
      </c>
      <c r="L27" s="11">
        <v>0</v>
      </c>
      <c r="M27" s="11">
        <v>0</v>
      </c>
      <c r="N27" s="11">
        <v>0</v>
      </c>
      <c r="V27" s="11">
        <v>0</v>
      </c>
      <c r="W27" s="11">
        <v>0</v>
      </c>
    </row>
    <row r="28" spans="1:23" ht="18.75" customHeight="1">
      <c r="A28" s="11" t="e">
        <v>#DIV/0!</v>
      </c>
      <c r="K28" s="11">
        <v>0</v>
      </c>
      <c r="L28" s="11">
        <v>0</v>
      </c>
      <c r="M28" s="11">
        <v>0</v>
      </c>
      <c r="N28" s="11">
        <v>0</v>
      </c>
      <c r="V28" s="11">
        <v>0</v>
      </c>
      <c r="W28" s="11">
        <v>0</v>
      </c>
    </row>
    <row r="29" spans="1:23" ht="18.75" customHeight="1">
      <c r="A29" s="11" t="e">
        <v>#DIV/0!</v>
      </c>
      <c r="K29" s="11">
        <v>0</v>
      </c>
      <c r="L29" s="11">
        <v>0</v>
      </c>
      <c r="M29" s="11">
        <v>0</v>
      </c>
      <c r="N29" s="11">
        <v>0</v>
      </c>
      <c r="V29" s="11">
        <v>0</v>
      </c>
      <c r="W29" s="11">
        <v>0</v>
      </c>
    </row>
    <row r="30" spans="1:23" ht="18.75" customHeight="1">
      <c r="A30" s="11" t="e">
        <v>#DIV/0!</v>
      </c>
      <c r="K30" s="11">
        <v>0</v>
      </c>
      <c r="L30" s="11">
        <v>0</v>
      </c>
      <c r="M30" s="11">
        <v>0</v>
      </c>
      <c r="N30" s="11">
        <v>0</v>
      </c>
      <c r="V30" s="11">
        <v>0</v>
      </c>
      <c r="W30" s="11">
        <v>0</v>
      </c>
    </row>
    <row r="31" spans="1:23" ht="18.75" customHeight="1">
      <c r="A31" s="11" t="e">
        <v>#DIV/0!</v>
      </c>
      <c r="K31" s="11">
        <v>0</v>
      </c>
      <c r="L31" s="11">
        <v>0</v>
      </c>
      <c r="M31" s="11">
        <v>0</v>
      </c>
      <c r="N31" s="11">
        <v>0</v>
      </c>
      <c r="V31" s="11">
        <v>0</v>
      </c>
      <c r="W31" s="11">
        <v>0</v>
      </c>
    </row>
    <row r="32" spans="1:23" ht="18.75" customHeight="1">
      <c r="A32" s="11" t="e">
        <v>#DIV/0!</v>
      </c>
      <c r="K32" s="11">
        <v>0</v>
      </c>
      <c r="L32" s="11">
        <v>0</v>
      </c>
      <c r="M32" s="11">
        <v>0</v>
      </c>
      <c r="N32" s="11">
        <v>0</v>
      </c>
      <c r="V32" s="11">
        <v>0</v>
      </c>
      <c r="W32" s="11">
        <v>0</v>
      </c>
    </row>
    <row r="33" spans="1:23" ht="18.75" customHeight="1">
      <c r="A33" s="11" t="e">
        <v>#DIV/0!</v>
      </c>
      <c r="K33" s="11">
        <v>0</v>
      </c>
      <c r="L33" s="11">
        <v>0</v>
      </c>
      <c r="M33" s="11">
        <v>0</v>
      </c>
      <c r="N33" s="11">
        <v>0</v>
      </c>
      <c r="V33" s="11">
        <v>0</v>
      </c>
      <c r="W33" s="11">
        <v>0</v>
      </c>
    </row>
    <row r="34" spans="1:23" ht="18.75" customHeight="1">
      <c r="A34" s="11" t="e">
        <v>#DIV/0!</v>
      </c>
      <c r="K34" s="11">
        <v>0</v>
      </c>
      <c r="L34" s="11">
        <v>0</v>
      </c>
      <c r="M34" s="11">
        <v>0</v>
      </c>
      <c r="N34" s="11">
        <v>0</v>
      </c>
      <c r="V34" s="11">
        <v>0</v>
      </c>
      <c r="W34" s="11">
        <v>0</v>
      </c>
    </row>
    <row r="35" spans="1:23" ht="18.75" customHeight="1">
      <c r="A35" s="11" t="e">
        <v>#DIV/0!</v>
      </c>
      <c r="K35" s="11">
        <v>0</v>
      </c>
      <c r="L35" s="11">
        <v>0</v>
      </c>
      <c r="M35" s="11">
        <v>0</v>
      </c>
      <c r="N35" s="11">
        <v>0</v>
      </c>
      <c r="V35" s="11">
        <v>0</v>
      </c>
      <c r="W35" s="11">
        <v>0</v>
      </c>
    </row>
    <row r="36" spans="1:23" ht="18.75" customHeight="1">
      <c r="A36" s="11" t="e">
        <v>#DIV/0!</v>
      </c>
      <c r="K36" s="11">
        <v>0</v>
      </c>
      <c r="L36" s="11">
        <v>0</v>
      </c>
      <c r="M36" s="11">
        <v>0</v>
      </c>
      <c r="N36" s="11">
        <v>0</v>
      </c>
      <c r="V36" s="11">
        <v>0</v>
      </c>
      <c r="W36" s="11">
        <v>0</v>
      </c>
    </row>
    <row r="37" spans="1:23" ht="18.75" customHeight="1">
      <c r="A37" s="11" t="e">
        <v>#DIV/0!</v>
      </c>
      <c r="K37" s="11">
        <v>0</v>
      </c>
      <c r="L37" s="11">
        <v>0</v>
      </c>
      <c r="M37" s="11">
        <v>0</v>
      </c>
      <c r="N37" s="11">
        <v>0</v>
      </c>
      <c r="V37" s="11">
        <v>0</v>
      </c>
      <c r="W37" s="11">
        <v>0</v>
      </c>
    </row>
    <row r="38" spans="1:23" ht="18.75" customHeight="1">
      <c r="A38" s="11" t="e">
        <v>#DIV/0!</v>
      </c>
      <c r="K38" s="11">
        <v>0</v>
      </c>
      <c r="L38" s="11">
        <v>0</v>
      </c>
      <c r="M38" s="11">
        <v>0</v>
      </c>
      <c r="N38" s="11">
        <v>0</v>
      </c>
      <c r="V38" s="11">
        <v>0</v>
      </c>
      <c r="W38" s="11">
        <v>0</v>
      </c>
    </row>
    <row r="39" spans="1:23" ht="18.75" customHeight="1">
      <c r="A39" s="11" t="e">
        <v>#DIV/0!</v>
      </c>
      <c r="K39" s="11">
        <v>0</v>
      </c>
      <c r="L39" s="11">
        <v>0</v>
      </c>
      <c r="M39" s="11">
        <v>0</v>
      </c>
      <c r="N39" s="11">
        <v>0</v>
      </c>
      <c r="V39" s="11">
        <v>0</v>
      </c>
      <c r="W39" s="11">
        <v>0</v>
      </c>
    </row>
    <row r="40" spans="1:23" ht="18.75" customHeight="1">
      <c r="A40" s="11" t="e">
        <v>#DIV/0!</v>
      </c>
      <c r="K40" s="11">
        <v>0</v>
      </c>
      <c r="L40" s="11">
        <v>0</v>
      </c>
      <c r="M40" s="11">
        <v>0</v>
      </c>
      <c r="N40" s="11">
        <v>0</v>
      </c>
      <c r="V40" s="11">
        <v>0</v>
      </c>
      <c r="W40" s="11">
        <v>0</v>
      </c>
    </row>
    <row r="41" spans="1:23" ht="18.75" customHeight="1">
      <c r="A41" s="11" t="e">
        <v>#DIV/0!</v>
      </c>
      <c r="K41" s="11">
        <v>0</v>
      </c>
      <c r="L41" s="11">
        <v>0</v>
      </c>
      <c r="M41" s="11">
        <v>0</v>
      </c>
      <c r="N41" s="11">
        <v>0</v>
      </c>
      <c r="V41" s="11">
        <v>0</v>
      </c>
      <c r="W41" s="11">
        <v>0</v>
      </c>
    </row>
    <row r="42" spans="1:23" ht="18.75" customHeight="1">
      <c r="A42" s="11" t="e">
        <v>#DIV/0!</v>
      </c>
      <c r="K42" s="11">
        <v>0</v>
      </c>
      <c r="L42" s="11">
        <v>0</v>
      </c>
      <c r="M42" s="11">
        <v>0</v>
      </c>
      <c r="N42" s="11">
        <v>0</v>
      </c>
      <c r="V42" s="11">
        <v>0</v>
      </c>
      <c r="W42" s="11">
        <v>0</v>
      </c>
    </row>
    <row r="43" spans="1:23" ht="18.75" customHeight="1">
      <c r="A43" s="11" t="e">
        <v>#DIV/0!</v>
      </c>
      <c r="K43" s="11">
        <v>0</v>
      </c>
      <c r="L43" s="11">
        <v>0</v>
      </c>
      <c r="M43" s="11">
        <v>0</v>
      </c>
      <c r="N43" s="11">
        <v>0</v>
      </c>
      <c r="V43" s="11">
        <v>0</v>
      </c>
      <c r="W43" s="11">
        <v>0</v>
      </c>
    </row>
    <row r="44" spans="1:23" ht="18.75" customHeight="1">
      <c r="A44" s="11" t="e">
        <v>#DIV/0!</v>
      </c>
      <c r="K44" s="11">
        <v>0</v>
      </c>
      <c r="L44" s="11">
        <v>0</v>
      </c>
      <c r="M44" s="11">
        <v>0</v>
      </c>
      <c r="N44" s="11">
        <v>0</v>
      </c>
      <c r="V44" s="11">
        <v>0</v>
      </c>
      <c r="W44" s="11">
        <v>0</v>
      </c>
    </row>
    <row r="45" spans="1:23" ht="18.75" customHeight="1">
      <c r="A45" s="11" t="e">
        <v>#DIV/0!</v>
      </c>
      <c r="K45" s="11">
        <v>0</v>
      </c>
      <c r="L45" s="11">
        <v>0</v>
      </c>
      <c r="M45" s="11">
        <v>0</v>
      </c>
      <c r="N45" s="11">
        <v>0</v>
      </c>
      <c r="V45" s="11">
        <v>0</v>
      </c>
      <c r="W45" s="11">
        <v>0</v>
      </c>
    </row>
    <row r="46" spans="1:23" ht="18.75" customHeight="1">
      <c r="A46" s="11" t="e">
        <v>#DIV/0!</v>
      </c>
      <c r="K46" s="11">
        <v>0</v>
      </c>
      <c r="L46" s="11">
        <v>0</v>
      </c>
      <c r="M46" s="11">
        <v>0</v>
      </c>
      <c r="N46" s="11">
        <v>0</v>
      </c>
      <c r="V46" s="11">
        <v>0</v>
      </c>
      <c r="W46" s="11">
        <v>0</v>
      </c>
    </row>
    <row r="47" spans="1:23" ht="18.75" customHeight="1">
      <c r="A47" s="11" t="e">
        <v>#DIV/0!</v>
      </c>
      <c r="K47" s="11">
        <v>0</v>
      </c>
      <c r="L47" s="11">
        <v>0</v>
      </c>
      <c r="M47" s="11">
        <v>0</v>
      </c>
      <c r="N47" s="11">
        <v>0</v>
      </c>
      <c r="V47" s="11">
        <v>0</v>
      </c>
      <c r="W47" s="11">
        <v>0</v>
      </c>
    </row>
    <row r="48" spans="1:23" ht="18.75" customHeight="1">
      <c r="A48" s="11" t="e">
        <v>#DIV/0!</v>
      </c>
      <c r="K48" s="11">
        <v>0</v>
      </c>
      <c r="L48" s="11">
        <v>0</v>
      </c>
      <c r="M48" s="11">
        <v>0</v>
      </c>
      <c r="N48" s="11">
        <v>0</v>
      </c>
      <c r="V48" s="11">
        <v>0</v>
      </c>
      <c r="W48" s="11">
        <v>0</v>
      </c>
    </row>
    <row r="49" spans="1:23" ht="18.75" customHeight="1">
      <c r="A49" s="11" t="e">
        <v>#DIV/0!</v>
      </c>
      <c r="K49" s="11">
        <v>0</v>
      </c>
      <c r="L49" s="11">
        <v>0</v>
      </c>
      <c r="M49" s="11">
        <v>0</v>
      </c>
      <c r="N49" s="11">
        <v>0</v>
      </c>
      <c r="V49" s="11">
        <v>0</v>
      </c>
      <c r="W49" s="11">
        <v>0</v>
      </c>
    </row>
    <row r="50" spans="1:23" ht="18.75" customHeight="1">
      <c r="A50" s="11" t="e">
        <v>#DIV/0!</v>
      </c>
      <c r="K50" s="11">
        <v>0</v>
      </c>
      <c r="L50" s="11">
        <v>0</v>
      </c>
      <c r="M50" s="11">
        <v>0</v>
      </c>
      <c r="N50" s="11">
        <v>0</v>
      </c>
      <c r="V50" s="11">
        <v>0</v>
      </c>
      <c r="W50" s="11">
        <v>0</v>
      </c>
    </row>
    <row r="51" spans="1:23" ht="18.75" customHeight="1">
      <c r="A51" s="11" t="e">
        <v>#DIV/0!</v>
      </c>
      <c r="K51" s="11">
        <v>0</v>
      </c>
      <c r="L51" s="11">
        <v>0</v>
      </c>
      <c r="M51" s="11">
        <v>0</v>
      </c>
      <c r="N51" s="11">
        <v>0</v>
      </c>
      <c r="V51" s="11">
        <v>0</v>
      </c>
      <c r="W51" s="11">
        <v>0</v>
      </c>
    </row>
    <row r="52" spans="1:23" ht="18.75" customHeight="1">
      <c r="A52" s="11" t="e">
        <v>#DIV/0!</v>
      </c>
      <c r="K52" s="11">
        <v>0</v>
      </c>
      <c r="L52" s="11">
        <v>0</v>
      </c>
      <c r="M52" s="11">
        <v>0</v>
      </c>
      <c r="N52" s="11">
        <v>0</v>
      </c>
      <c r="V52" s="11">
        <v>0</v>
      </c>
      <c r="W52" s="11">
        <v>0</v>
      </c>
    </row>
    <row r="53" spans="1:23" ht="18.75" customHeight="1">
      <c r="A53" s="11" t="e">
        <v>#DIV/0!</v>
      </c>
      <c r="K53" s="11">
        <v>0</v>
      </c>
      <c r="L53" s="11">
        <v>0</v>
      </c>
      <c r="M53" s="11">
        <v>0</v>
      </c>
      <c r="N53" s="11">
        <v>0</v>
      </c>
      <c r="V53" s="11">
        <v>0</v>
      </c>
      <c r="W53" s="11">
        <v>0</v>
      </c>
    </row>
    <row r="54" spans="1:23" ht="18.75" customHeight="1">
      <c r="A54" s="11">
        <v>0</v>
      </c>
      <c r="M54" s="11">
        <v>0</v>
      </c>
      <c r="N54" s="11">
        <v>0</v>
      </c>
    </row>
    <row r="55" spans="1:23" ht="18.75" customHeight="1">
      <c r="A55" s="11">
        <v>0</v>
      </c>
      <c r="M55" s="11">
        <v>0</v>
      </c>
      <c r="N55" s="11">
        <v>0</v>
      </c>
      <c r="P55" s="11" t="s">
        <v>16</v>
      </c>
    </row>
    <row r="56" spans="1:23" ht="18.75" customHeight="1">
      <c r="A56" s="11">
        <v>0</v>
      </c>
      <c r="F56" s="11" t="s">
        <v>16</v>
      </c>
      <c r="K56" s="11">
        <v>0</v>
      </c>
      <c r="L56" s="11">
        <v>0</v>
      </c>
      <c r="M56" s="11">
        <v>0</v>
      </c>
      <c r="N56" s="11">
        <v>0</v>
      </c>
      <c r="P56" s="11" t="s">
        <v>2</v>
      </c>
      <c r="V56" s="11">
        <v>0</v>
      </c>
      <c r="W56" s="11">
        <v>0</v>
      </c>
    </row>
    <row r="57" spans="1:23" ht="18.75" customHeight="1">
      <c r="A57" s="11">
        <v>0</v>
      </c>
      <c r="B57" s="11" t="s">
        <v>16</v>
      </c>
      <c r="F57" s="11" t="s">
        <v>2</v>
      </c>
      <c r="M57" s="11">
        <v>0</v>
      </c>
      <c r="N57" s="11">
        <v>0</v>
      </c>
    </row>
    <row r="58" spans="1:23" ht="18.75" customHeight="1">
      <c r="A58" s="11">
        <v>0</v>
      </c>
      <c r="B58" s="11" t="s">
        <v>2</v>
      </c>
      <c r="M58" s="11">
        <v>0</v>
      </c>
      <c r="N58" s="11">
        <v>0</v>
      </c>
    </row>
    <row r="59" spans="1:23" ht="18.75" customHeight="1">
      <c r="A59" s="11">
        <v>0</v>
      </c>
      <c r="M59" s="11">
        <v>0</v>
      </c>
      <c r="N59" s="11">
        <v>0</v>
      </c>
    </row>
    <row r="60" spans="1:23" ht="18.75" customHeight="1">
      <c r="A60" s="11">
        <v>0</v>
      </c>
      <c r="M60" s="11">
        <v>0</v>
      </c>
      <c r="N60" s="11">
        <v>0</v>
      </c>
      <c r="P60" s="11" t="s">
        <v>16</v>
      </c>
    </row>
    <row r="61" spans="1:23" ht="18.75" customHeight="1">
      <c r="A61" s="11">
        <v>0</v>
      </c>
      <c r="F61" s="11" t="s">
        <v>16</v>
      </c>
      <c r="K61" s="11">
        <v>0</v>
      </c>
      <c r="L61" s="11">
        <v>0</v>
      </c>
      <c r="M61" s="11">
        <v>0</v>
      </c>
      <c r="N61" s="11">
        <v>0</v>
      </c>
      <c r="P61" s="11" t="s">
        <v>2</v>
      </c>
      <c r="V61" s="11">
        <v>0</v>
      </c>
      <c r="W61" s="11">
        <v>0</v>
      </c>
    </row>
    <row r="62" spans="1:23" ht="18.75" customHeight="1">
      <c r="A62" s="11">
        <v>0</v>
      </c>
      <c r="B62" s="11" t="s">
        <v>16</v>
      </c>
      <c r="F62" s="11" t="s">
        <v>2</v>
      </c>
      <c r="M62" s="11">
        <v>0</v>
      </c>
      <c r="N62" s="11">
        <v>0</v>
      </c>
    </row>
    <row r="63" spans="1:23" ht="18.75" customHeight="1">
      <c r="A63" s="11">
        <v>0</v>
      </c>
      <c r="B63" s="11" t="s">
        <v>2</v>
      </c>
      <c r="M63" s="11">
        <v>0</v>
      </c>
      <c r="N63" s="11">
        <v>0</v>
      </c>
    </row>
    <row r="64" spans="1:23" ht="18.75" customHeight="1">
      <c r="A64" s="11">
        <v>0</v>
      </c>
      <c r="M64" s="11">
        <v>0</v>
      </c>
      <c r="N64" s="11">
        <v>0</v>
      </c>
    </row>
    <row r="65" spans="1:24" ht="18.75" customHeight="1">
      <c r="A65" s="11">
        <v>0</v>
      </c>
      <c r="M65" s="11">
        <v>0</v>
      </c>
      <c r="N65" s="11">
        <v>0</v>
      </c>
    </row>
    <row r="66" spans="1:24" ht="18.75" customHeight="1">
      <c r="A66" s="11" t="s">
        <v>37</v>
      </c>
      <c r="K66" s="11" t="s">
        <v>103</v>
      </c>
      <c r="L66" s="11" t="s">
        <v>101</v>
      </c>
      <c r="N66" s="11">
        <v>0</v>
      </c>
      <c r="V66" s="11" t="s">
        <v>39</v>
      </c>
      <c r="W66" s="11" t="s">
        <v>102</v>
      </c>
    </row>
    <row r="67" spans="1:24" ht="18.75" customHeight="1">
      <c r="A67" s="11">
        <v>0</v>
      </c>
      <c r="K67" s="11">
        <v>4.1130000000000004</v>
      </c>
      <c r="L67" s="11">
        <v>0</v>
      </c>
      <c r="M67" s="11">
        <v>0</v>
      </c>
      <c r="N67" s="11">
        <v>0</v>
      </c>
      <c r="P67" s="11" t="s">
        <v>524</v>
      </c>
      <c r="V67" s="11">
        <v>0</v>
      </c>
      <c r="W67" s="11">
        <v>0</v>
      </c>
    </row>
    <row r="68" spans="1:24" ht="18.75" customHeight="1">
      <c r="A68" s="11">
        <v>0</v>
      </c>
      <c r="F68" s="11" t="s">
        <v>524</v>
      </c>
      <c r="M68" s="11">
        <v>0</v>
      </c>
      <c r="N68" s="11">
        <v>0</v>
      </c>
    </row>
    <row r="69" spans="1:24" ht="18.75" customHeight="1">
      <c r="A69" s="11">
        <v>0</v>
      </c>
      <c r="B69" s="11" t="s">
        <v>524</v>
      </c>
      <c r="M69" s="11">
        <v>0</v>
      </c>
      <c r="N69" s="11">
        <v>0</v>
      </c>
    </row>
    <row r="70" spans="1:24" ht="18.75" customHeight="1">
      <c r="A70" s="11" t="s">
        <v>37</v>
      </c>
      <c r="K70" s="11" t="s">
        <v>103</v>
      </c>
      <c r="L70" s="11" t="s">
        <v>101</v>
      </c>
      <c r="N70" s="11">
        <v>0</v>
      </c>
      <c r="V70" s="11" t="s">
        <v>39</v>
      </c>
      <c r="W70" s="11" t="s">
        <v>102</v>
      </c>
    </row>
    <row r="71" spans="1:24" ht="18.75" customHeight="1">
      <c r="A71" s="11">
        <v>29</v>
      </c>
      <c r="K71" s="11">
        <v>4.1130000000000004</v>
      </c>
      <c r="L71" s="11">
        <v>0</v>
      </c>
      <c r="M71" s="11">
        <v>0</v>
      </c>
      <c r="N71" s="11">
        <v>0</v>
      </c>
      <c r="P71" s="11" t="s">
        <v>524</v>
      </c>
      <c r="V71" s="11">
        <v>0</v>
      </c>
      <c r="W71" s="11">
        <v>309</v>
      </c>
      <c r="X71" s="11">
        <v>0</v>
      </c>
    </row>
    <row r="72" spans="1:24" ht="18.75" customHeight="1">
      <c r="A72" s="11">
        <v>0</v>
      </c>
      <c r="F72" s="11" t="s">
        <v>524</v>
      </c>
      <c r="M72" s="11">
        <v>0</v>
      </c>
      <c r="N72" s="11">
        <v>0</v>
      </c>
    </row>
    <row r="73" spans="1:24" ht="18.75" customHeight="1">
      <c r="A73" s="11">
        <v>0</v>
      </c>
      <c r="B73" s="11" t="s">
        <v>524</v>
      </c>
      <c r="M73" s="11">
        <v>0</v>
      </c>
      <c r="N73" s="11">
        <v>0</v>
      </c>
    </row>
    <row r="74" spans="1:24" ht="18.75" customHeight="1">
      <c r="A74" s="11" t="s">
        <v>37</v>
      </c>
      <c r="K74" s="11" t="s">
        <v>103</v>
      </c>
      <c r="L74" s="11" t="s">
        <v>101</v>
      </c>
      <c r="N74" s="11">
        <v>0</v>
      </c>
      <c r="V74" s="11" t="s">
        <v>39</v>
      </c>
      <c r="W74" s="11" t="s">
        <v>102</v>
      </c>
    </row>
    <row r="75" spans="1:24" ht="18.75" customHeight="1">
      <c r="A75" s="11">
        <v>29</v>
      </c>
      <c r="K75" s="11">
        <v>4.1130000000000004</v>
      </c>
      <c r="L75" s="11">
        <v>0</v>
      </c>
      <c r="M75" s="11">
        <v>0</v>
      </c>
      <c r="N75" s="11">
        <v>0</v>
      </c>
      <c r="P75" s="11" t="s">
        <v>524</v>
      </c>
      <c r="V75" s="11">
        <v>0</v>
      </c>
      <c r="W75" s="11">
        <v>309</v>
      </c>
      <c r="X75" s="11">
        <v>0</v>
      </c>
    </row>
    <row r="76" spans="1:24" ht="18.75" customHeight="1">
      <c r="A76" s="11">
        <v>0</v>
      </c>
      <c r="F76" s="11" t="s">
        <v>524</v>
      </c>
      <c r="M76" s="11">
        <v>0</v>
      </c>
      <c r="N76" s="11">
        <v>0</v>
      </c>
    </row>
    <row r="77" spans="1:24" ht="18.75" customHeight="1">
      <c r="A77" s="11">
        <v>0</v>
      </c>
      <c r="B77" s="11" t="s">
        <v>524</v>
      </c>
      <c r="M77" s="11">
        <v>0</v>
      </c>
      <c r="N77" s="11">
        <v>0</v>
      </c>
    </row>
    <row r="78" spans="1:24" ht="18.75" customHeight="1">
      <c r="A78" s="11" t="s">
        <v>37</v>
      </c>
      <c r="K78" s="11" t="s">
        <v>103</v>
      </c>
      <c r="L78" s="11" t="s">
        <v>101</v>
      </c>
      <c r="N78" s="11">
        <v>0</v>
      </c>
      <c r="V78" s="11" t="s">
        <v>39</v>
      </c>
      <c r="W78" s="11" t="s">
        <v>102</v>
      </c>
    </row>
    <row r="79" spans="1:24" ht="18.75" customHeight="1">
      <c r="A79" s="11">
        <v>29</v>
      </c>
      <c r="K79" s="11">
        <v>4.1130000000000004</v>
      </c>
      <c r="L79" s="11">
        <v>0</v>
      </c>
      <c r="M79" s="11">
        <v>0</v>
      </c>
      <c r="N79" s="11">
        <v>0</v>
      </c>
      <c r="P79" s="11" t="s">
        <v>524</v>
      </c>
      <c r="V79" s="11">
        <v>0</v>
      </c>
      <c r="W79" s="11">
        <v>309</v>
      </c>
      <c r="X79" s="11">
        <v>0</v>
      </c>
    </row>
    <row r="80" spans="1:24" ht="18.75" customHeight="1">
      <c r="A80" s="11">
        <v>0</v>
      </c>
      <c r="F80" s="11" t="s">
        <v>524</v>
      </c>
      <c r="M80" s="11">
        <v>0</v>
      </c>
      <c r="N80" s="11">
        <v>0</v>
      </c>
    </row>
    <row r="81" spans="1:24" ht="18.75" customHeight="1">
      <c r="A81" s="11">
        <v>0</v>
      </c>
      <c r="B81" s="11" t="s">
        <v>524</v>
      </c>
      <c r="M81" s="11">
        <v>0</v>
      </c>
      <c r="N81" s="11">
        <v>0</v>
      </c>
    </row>
    <row r="82" spans="1:24" ht="18.75" customHeight="1">
      <c r="A82" s="11" t="s">
        <v>37</v>
      </c>
      <c r="K82" s="11" t="s">
        <v>103</v>
      </c>
      <c r="L82" s="11" t="s">
        <v>101</v>
      </c>
      <c r="N82" s="11">
        <v>0</v>
      </c>
      <c r="V82" s="11" t="s">
        <v>39</v>
      </c>
      <c r="W82" s="11" t="s">
        <v>102</v>
      </c>
    </row>
    <row r="83" spans="1:24" ht="18.75" customHeight="1">
      <c r="A83" s="11">
        <v>29</v>
      </c>
      <c r="K83" s="11">
        <v>4.1130000000000004</v>
      </c>
      <c r="L83" s="11">
        <v>0</v>
      </c>
      <c r="M83" s="11">
        <v>0</v>
      </c>
      <c r="N83" s="11">
        <v>0</v>
      </c>
      <c r="P83" s="11" t="s">
        <v>524</v>
      </c>
      <c r="V83" s="11">
        <v>0</v>
      </c>
      <c r="W83" s="11">
        <v>309</v>
      </c>
      <c r="X83" s="11">
        <v>0</v>
      </c>
    </row>
    <row r="84" spans="1:24" ht="18.75" customHeight="1">
      <c r="A84" s="11">
        <v>0</v>
      </c>
      <c r="F84" s="11" t="s">
        <v>524</v>
      </c>
      <c r="M84" s="11">
        <v>0</v>
      </c>
      <c r="N84" s="11">
        <v>0</v>
      </c>
    </row>
    <row r="85" spans="1:24" ht="18.75" customHeight="1">
      <c r="A85" s="11">
        <v>0</v>
      </c>
      <c r="B85" s="11" t="s">
        <v>524</v>
      </c>
      <c r="M85" s="11">
        <v>0</v>
      </c>
      <c r="N85" s="11">
        <v>0</v>
      </c>
    </row>
    <row r="86" spans="1:24" ht="18.75" customHeight="1">
      <c r="A86" s="11" t="s">
        <v>37</v>
      </c>
      <c r="K86" s="11" t="s">
        <v>103</v>
      </c>
      <c r="L86" s="11" t="s">
        <v>101</v>
      </c>
      <c r="N86" s="11">
        <v>0</v>
      </c>
      <c r="V86" s="11" t="s">
        <v>39</v>
      </c>
      <c r="W86" s="11" t="s">
        <v>102</v>
      </c>
    </row>
    <row r="87" spans="1:24" ht="18.75" customHeight="1">
      <c r="A87" s="11">
        <v>29</v>
      </c>
      <c r="K87" s="11">
        <v>4.1130000000000004</v>
      </c>
      <c r="L87" s="11">
        <v>0</v>
      </c>
      <c r="M87" s="11">
        <v>0</v>
      </c>
      <c r="N87" s="11">
        <v>0</v>
      </c>
      <c r="P87" s="11" t="s">
        <v>524</v>
      </c>
      <c r="V87" s="11">
        <v>0</v>
      </c>
      <c r="W87" s="11">
        <v>309</v>
      </c>
      <c r="X87" s="11">
        <v>0</v>
      </c>
    </row>
    <row r="88" spans="1:24" ht="18.75" customHeight="1">
      <c r="A88" s="11">
        <v>0</v>
      </c>
      <c r="F88" s="11" t="s">
        <v>524</v>
      </c>
      <c r="M88" s="11">
        <v>0</v>
      </c>
      <c r="N88" s="11">
        <v>0</v>
      </c>
    </row>
    <row r="89" spans="1:24" ht="18.75" customHeight="1">
      <c r="A89" s="11">
        <v>0</v>
      </c>
      <c r="B89" s="11" t="s">
        <v>524</v>
      </c>
      <c r="M89" s="11">
        <v>0</v>
      </c>
      <c r="N89" s="11">
        <v>0</v>
      </c>
    </row>
    <row r="90" spans="1:24" ht="18.75" customHeight="1">
      <c r="A90" s="11" t="s">
        <v>37</v>
      </c>
      <c r="K90" s="11" t="s">
        <v>103</v>
      </c>
      <c r="L90" s="11" t="s">
        <v>101</v>
      </c>
      <c r="N90" s="11">
        <v>0</v>
      </c>
      <c r="V90" s="11" t="s">
        <v>39</v>
      </c>
      <c r="W90" s="11" t="s">
        <v>102</v>
      </c>
    </row>
    <row r="91" spans="1:24" ht="18.75" customHeight="1">
      <c r="A91" s="11">
        <v>29</v>
      </c>
      <c r="K91" s="11">
        <v>4.1130000000000004</v>
      </c>
      <c r="L91" s="11">
        <v>0</v>
      </c>
      <c r="M91" s="11">
        <v>0</v>
      </c>
      <c r="N91" s="11">
        <v>0</v>
      </c>
      <c r="P91" s="11" t="s">
        <v>524</v>
      </c>
      <c r="V91" s="11">
        <v>0</v>
      </c>
      <c r="W91" s="11">
        <v>309</v>
      </c>
      <c r="X91" s="11">
        <v>0</v>
      </c>
    </row>
    <row r="92" spans="1:24" ht="18.75" customHeight="1">
      <c r="A92" s="11">
        <v>0</v>
      </c>
      <c r="F92" s="11" t="s">
        <v>524</v>
      </c>
      <c r="M92" s="11">
        <v>0</v>
      </c>
      <c r="N92" s="11">
        <v>0</v>
      </c>
    </row>
    <row r="93" spans="1:24" ht="18.75" customHeight="1">
      <c r="A93" s="11">
        <v>0</v>
      </c>
      <c r="B93" s="11" t="s">
        <v>524</v>
      </c>
      <c r="M93" s="11">
        <v>0</v>
      </c>
      <c r="N93" s="11">
        <v>0</v>
      </c>
    </row>
    <row r="94" spans="1:24" ht="18.75" customHeight="1">
      <c r="A94" s="11" t="s">
        <v>37</v>
      </c>
      <c r="K94" s="11" t="s">
        <v>103</v>
      </c>
      <c r="L94" s="11" t="s">
        <v>101</v>
      </c>
      <c r="N94" s="11">
        <v>0</v>
      </c>
      <c r="V94" s="11" t="s">
        <v>39</v>
      </c>
      <c r="W94" s="11" t="s">
        <v>102</v>
      </c>
    </row>
    <row r="95" spans="1:24" ht="18.75" customHeight="1">
      <c r="A95" s="11">
        <v>29</v>
      </c>
      <c r="K95" s="11">
        <v>4.1130000000000004</v>
      </c>
      <c r="L95" s="11">
        <v>0</v>
      </c>
      <c r="M95" s="11">
        <v>0</v>
      </c>
      <c r="N95" s="11">
        <v>0</v>
      </c>
      <c r="P95" s="11" t="s">
        <v>524</v>
      </c>
      <c r="V95" s="11">
        <v>0</v>
      </c>
      <c r="W95" s="11">
        <v>309</v>
      </c>
      <c r="X95" s="11">
        <v>0</v>
      </c>
    </row>
    <row r="96" spans="1:24" ht="18.75" customHeight="1">
      <c r="A96" s="11">
        <v>0</v>
      </c>
      <c r="F96" s="11" t="s">
        <v>524</v>
      </c>
      <c r="M96" s="11">
        <v>0</v>
      </c>
      <c r="N96" s="11">
        <v>0</v>
      </c>
    </row>
    <row r="97" spans="1:24" ht="18.75" customHeight="1">
      <c r="A97" s="11">
        <v>0</v>
      </c>
      <c r="B97" s="11" t="s">
        <v>524</v>
      </c>
      <c r="M97" s="11">
        <v>0</v>
      </c>
      <c r="N97" s="11">
        <v>0</v>
      </c>
    </row>
    <row r="98" spans="1:24" ht="18.75" customHeight="1">
      <c r="A98" s="11" t="s">
        <v>37</v>
      </c>
      <c r="K98" s="11" t="s">
        <v>103</v>
      </c>
      <c r="L98" s="11" t="s">
        <v>101</v>
      </c>
      <c r="N98" s="11">
        <v>0</v>
      </c>
      <c r="V98" s="11" t="s">
        <v>39</v>
      </c>
      <c r="W98" s="11" t="s">
        <v>102</v>
      </c>
    </row>
    <row r="99" spans="1:24" ht="18.75" customHeight="1">
      <c r="A99" s="11">
        <v>29</v>
      </c>
      <c r="K99" s="11">
        <v>4.1130000000000004</v>
      </c>
      <c r="L99" s="11">
        <v>0</v>
      </c>
      <c r="M99" s="11">
        <v>0</v>
      </c>
      <c r="N99" s="11">
        <v>0</v>
      </c>
      <c r="P99" s="11" t="s">
        <v>524</v>
      </c>
      <c r="V99" s="11">
        <v>0</v>
      </c>
      <c r="W99" s="11">
        <v>309</v>
      </c>
      <c r="X99" s="11">
        <v>0</v>
      </c>
    </row>
    <row r="100" spans="1:24" ht="18.75" customHeight="1">
      <c r="A100" s="11">
        <v>0</v>
      </c>
      <c r="F100" s="11" t="s">
        <v>524</v>
      </c>
      <c r="M100" s="11">
        <v>0</v>
      </c>
      <c r="N100" s="11">
        <v>0</v>
      </c>
    </row>
    <row r="101" spans="1:24" ht="18.75" customHeight="1">
      <c r="A101" s="11">
        <v>0</v>
      </c>
      <c r="B101" s="11" t="s">
        <v>524</v>
      </c>
      <c r="M101" s="11">
        <v>0</v>
      </c>
      <c r="N101" s="11">
        <v>0</v>
      </c>
    </row>
    <row r="102" spans="1:24" ht="18.75" customHeight="1">
      <c r="A102" s="11" t="s">
        <v>37</v>
      </c>
      <c r="K102" s="11" t="s">
        <v>103</v>
      </c>
      <c r="L102" s="11" t="s">
        <v>101</v>
      </c>
      <c r="N102" s="11">
        <v>0</v>
      </c>
      <c r="V102" s="11" t="s">
        <v>39</v>
      </c>
      <c r="W102" s="11" t="s">
        <v>102</v>
      </c>
    </row>
    <row r="103" spans="1:24" ht="18.75" customHeight="1">
      <c r="A103" s="11">
        <v>29</v>
      </c>
      <c r="K103" s="11">
        <v>4.1130000000000004</v>
      </c>
      <c r="L103" s="11">
        <v>0</v>
      </c>
      <c r="M103" s="11">
        <v>0</v>
      </c>
      <c r="N103" s="11">
        <v>0</v>
      </c>
      <c r="P103" s="11" t="s">
        <v>524</v>
      </c>
      <c r="V103" s="11">
        <v>0</v>
      </c>
      <c r="W103" s="11">
        <v>309</v>
      </c>
      <c r="X103" s="11">
        <v>0</v>
      </c>
    </row>
    <row r="104" spans="1:24" ht="18.75" customHeight="1">
      <c r="A104" s="11">
        <v>0</v>
      </c>
      <c r="F104" s="11" t="s">
        <v>524</v>
      </c>
      <c r="M104" s="11">
        <v>0</v>
      </c>
      <c r="N104" s="11">
        <v>0</v>
      </c>
    </row>
    <row r="105" spans="1:24" ht="18.75" customHeight="1">
      <c r="A105" s="11">
        <v>0</v>
      </c>
      <c r="B105" s="11" t="s">
        <v>524</v>
      </c>
      <c r="M105" s="11">
        <v>0</v>
      </c>
      <c r="N105" s="11">
        <v>0</v>
      </c>
    </row>
    <row r="106" spans="1:24" ht="18.75" customHeight="1">
      <c r="A106" s="11">
        <v>0</v>
      </c>
      <c r="M106" s="11">
        <v>0</v>
      </c>
      <c r="N106" s="11">
        <v>0</v>
      </c>
    </row>
    <row r="107" spans="1:24" ht="18.75" customHeight="1">
      <c r="A107" s="11">
        <v>0</v>
      </c>
      <c r="M107" s="11">
        <v>0</v>
      </c>
      <c r="N107" s="11">
        <v>0</v>
      </c>
    </row>
    <row r="108" spans="1:24" ht="18.75" customHeight="1">
      <c r="A108" s="11">
        <v>0</v>
      </c>
      <c r="L108" s="11" t="s">
        <v>989</v>
      </c>
      <c r="N108" s="11">
        <v>0</v>
      </c>
      <c r="V108" s="11" t="s">
        <v>1078</v>
      </c>
    </row>
    <row r="109" spans="1:24" ht="18.75" customHeight="1">
      <c r="A109" s="11">
        <v>0</v>
      </c>
      <c r="M109" s="11">
        <v>0</v>
      </c>
      <c r="N109" s="11">
        <v>0</v>
      </c>
      <c r="V109" s="11" t="e">
        <v>#DIV/0!</v>
      </c>
    </row>
    <row r="110" spans="1:24" ht="18.75" customHeight="1">
      <c r="A110" s="11">
        <v>0</v>
      </c>
      <c r="M110" s="11">
        <v>0</v>
      </c>
      <c r="N110" s="11">
        <v>0</v>
      </c>
      <c r="V110" s="11" t="e">
        <v>#DIV/0!</v>
      </c>
    </row>
    <row r="111" spans="1:24" ht="18.75" customHeight="1">
      <c r="A111" s="11">
        <v>0</v>
      </c>
      <c r="L111" s="11" t="s">
        <v>46</v>
      </c>
      <c r="N111" s="11">
        <v>0</v>
      </c>
    </row>
    <row r="112" spans="1:24" ht="18.75" customHeight="1">
      <c r="A112" s="11">
        <v>0</v>
      </c>
      <c r="M112" s="11">
        <v>0</v>
      </c>
      <c r="N112" s="11">
        <v>0</v>
      </c>
    </row>
    <row r="113" spans="1:24" ht="18.75" customHeight="1">
      <c r="A113" s="11">
        <v>0</v>
      </c>
      <c r="M113" s="11">
        <v>0</v>
      </c>
      <c r="N113" s="11">
        <v>0</v>
      </c>
    </row>
    <row r="114" spans="1:24" ht="18.75" customHeight="1">
      <c r="A114" s="11">
        <v>0</v>
      </c>
      <c r="L114" s="11" t="s">
        <v>53</v>
      </c>
      <c r="N114" s="11">
        <v>0</v>
      </c>
    </row>
    <row r="115" spans="1:24" ht="18.75" customHeight="1">
      <c r="A115" s="11">
        <v>0</v>
      </c>
      <c r="M115" s="11">
        <v>0</v>
      </c>
      <c r="N115" s="11">
        <v>0</v>
      </c>
    </row>
    <row r="116" spans="1:24" ht="18.75" customHeight="1">
      <c r="A116" s="11">
        <v>0</v>
      </c>
      <c r="M116" s="11">
        <v>0</v>
      </c>
      <c r="N116" s="11">
        <v>0</v>
      </c>
    </row>
    <row r="117" spans="1:24" ht="18.75" customHeight="1">
      <c r="A117" s="11">
        <v>0</v>
      </c>
      <c r="M117" s="11">
        <v>0</v>
      </c>
      <c r="N117" s="11">
        <v>0</v>
      </c>
    </row>
    <row r="118" spans="1:24" ht="18.75" customHeight="1">
      <c r="A118" s="11">
        <v>0</v>
      </c>
      <c r="M118" s="11">
        <v>0</v>
      </c>
      <c r="N118" s="11">
        <v>0</v>
      </c>
    </row>
    <row r="119" spans="1:24" ht="18.75" customHeight="1">
      <c r="A119" s="11">
        <v>0</v>
      </c>
      <c r="M119" s="11">
        <v>0</v>
      </c>
      <c r="N119" s="11">
        <v>0</v>
      </c>
    </row>
    <row r="120" spans="1:24" ht="18.75" customHeight="1">
      <c r="A120" s="11" t="s">
        <v>540</v>
      </c>
      <c r="K120" s="11" t="s">
        <v>539</v>
      </c>
      <c r="L120" s="11" t="s">
        <v>989</v>
      </c>
      <c r="N120" s="11">
        <v>0</v>
      </c>
      <c r="V120" s="11" t="s">
        <v>1020</v>
      </c>
      <c r="W120" s="11" t="s">
        <v>1017</v>
      </c>
    </row>
    <row r="121" spans="1:24" ht="18.75" customHeight="1">
      <c r="A121" s="11" t="e">
        <v>#N/A</v>
      </c>
      <c r="K121" s="11" t="e">
        <v>#N/A</v>
      </c>
      <c r="L121" s="11">
        <v>0</v>
      </c>
      <c r="N121" s="11">
        <v>0</v>
      </c>
      <c r="V121" s="11">
        <v>-8.3994160670108293</v>
      </c>
      <c r="W121" s="11">
        <v>-25.198248201032488</v>
      </c>
      <c r="X121" s="11">
        <v>0</v>
      </c>
    </row>
    <row r="122" spans="1:24" ht="18.75" customHeight="1">
      <c r="A122" s="11" t="e">
        <v>#N/A</v>
      </c>
      <c r="K122" s="11" t="e">
        <v>#N/A</v>
      </c>
      <c r="L122" s="11">
        <v>194.40440040072176</v>
      </c>
      <c r="N122" s="11">
        <v>0</v>
      </c>
      <c r="V122" s="11">
        <v>-0.25622358535168066</v>
      </c>
      <c r="W122" s="11">
        <v>-0.76867075605504198</v>
      </c>
      <c r="X122" s="11">
        <v>0</v>
      </c>
    </row>
    <row r="123" spans="1:24" ht="18.75" customHeight="1">
      <c r="A123" s="11" t="e">
        <v>#N/A</v>
      </c>
      <c r="K123" s="11" t="e">
        <v>#N/A</v>
      </c>
      <c r="L123" s="11">
        <v>388.80880080144351</v>
      </c>
      <c r="N123" s="11">
        <v>0</v>
      </c>
      <c r="V123" s="11">
        <v>7.886968896307466</v>
      </c>
      <c r="W123" s="11">
        <v>23.660906688922399</v>
      </c>
      <c r="X123" s="11">
        <v>0</v>
      </c>
    </row>
    <row r="124" spans="1:24" ht="18.75" customHeight="1">
      <c r="A124" s="11" t="e">
        <v>#N/A</v>
      </c>
      <c r="K124" s="11" t="e">
        <v>#N/A</v>
      </c>
      <c r="L124" s="11">
        <v>583.21320120216524</v>
      </c>
      <c r="N124" s="11">
        <v>0</v>
      </c>
      <c r="V124" s="11">
        <v>16.030161377966614</v>
      </c>
      <c r="W124" s="11">
        <v>48.090484133899842</v>
      </c>
      <c r="X124" s="11">
        <v>0</v>
      </c>
    </row>
    <row r="125" spans="1:24" ht="18.75" customHeight="1">
      <c r="A125" s="11" t="e">
        <v>#N/A</v>
      </c>
      <c r="K125" s="11" t="e">
        <v>#N/A</v>
      </c>
      <c r="L125" s="11">
        <v>777.61760160288702</v>
      </c>
      <c r="N125" s="11">
        <v>0</v>
      </c>
      <c r="V125" s="11">
        <v>24.173353859625763</v>
      </c>
      <c r="W125" s="11">
        <v>72.520061578877289</v>
      </c>
      <c r="X125" s="11">
        <v>0</v>
      </c>
    </row>
    <row r="126" spans="1:24" ht="18.75" customHeight="1">
      <c r="A126" s="11" t="e">
        <v>#N/A</v>
      </c>
      <c r="K126" s="11" t="e">
        <v>#N/A</v>
      </c>
      <c r="L126" s="11">
        <v>972.0220020036088</v>
      </c>
      <c r="N126" s="11">
        <v>0</v>
      </c>
      <c r="V126" s="11">
        <v>32.316546341284912</v>
      </c>
      <c r="W126" s="11">
        <v>96.949639023854743</v>
      </c>
      <c r="X126" s="11">
        <v>0</v>
      </c>
    </row>
    <row r="127" spans="1:24" ht="18.75" customHeight="1">
      <c r="A127" s="11" t="e">
        <v>#N/A</v>
      </c>
      <c r="K127" s="11" t="e">
        <v>#N/A</v>
      </c>
      <c r="L127" s="11">
        <v>1166.4264024043305</v>
      </c>
      <c r="N127" s="11">
        <v>0</v>
      </c>
      <c r="V127" s="11">
        <v>40.459738822944054</v>
      </c>
      <c r="W127" s="11">
        <v>121.37921646883217</v>
      </c>
      <c r="X127" s="11">
        <v>0</v>
      </c>
    </row>
    <row r="128" spans="1:24" ht="18.75" customHeight="1">
      <c r="A128" s="11" t="e">
        <v>#N/A</v>
      </c>
      <c r="K128" s="11" t="e">
        <v>#N/A</v>
      </c>
      <c r="L128" s="11">
        <v>1360.8308028050521</v>
      </c>
      <c r="N128" s="11">
        <v>0</v>
      </c>
      <c r="V128" s="11">
        <v>48.602931304603203</v>
      </c>
      <c r="W128" s="11">
        <v>145.80879391380961</v>
      </c>
      <c r="X128" s="11">
        <v>0</v>
      </c>
    </row>
    <row r="129" spans="1:24" ht="18.75" customHeight="1">
      <c r="A129" s="11" t="e">
        <v>#N/A</v>
      </c>
      <c r="K129" s="11" t="e">
        <v>#N/A</v>
      </c>
      <c r="L129" s="11">
        <v>1555.2352032057738</v>
      </c>
      <c r="N129" s="11">
        <v>0</v>
      </c>
      <c r="V129" s="11">
        <v>56.746123786262338</v>
      </c>
      <c r="W129" s="11">
        <v>170.23837135878702</v>
      </c>
      <c r="X129" s="11">
        <v>0</v>
      </c>
    </row>
    <row r="130" spans="1:24" ht="18.75" customHeight="1">
      <c r="A130" s="11" t="e">
        <v>#N/A</v>
      </c>
      <c r="K130" s="11" t="e">
        <v>#N/A</v>
      </c>
      <c r="L130" s="11">
        <v>1749.6396036064955</v>
      </c>
      <c r="N130" s="11">
        <v>0</v>
      </c>
      <c r="V130" s="11">
        <v>64.889316267921501</v>
      </c>
      <c r="W130" s="11">
        <v>194.66794880376449</v>
      </c>
      <c r="X130" s="11">
        <v>0</v>
      </c>
    </row>
    <row r="131" spans="1:24" ht="18.75" customHeight="1">
      <c r="A131" s="11" t="e">
        <v>#N/A</v>
      </c>
      <c r="K131" s="11" t="e">
        <v>#N/A</v>
      </c>
      <c r="L131" s="11">
        <v>1944.0440040072172</v>
      </c>
      <c r="N131" s="11">
        <v>0</v>
      </c>
      <c r="V131" s="11">
        <v>73.032508749580629</v>
      </c>
      <c r="W131" s="11">
        <v>219.0975262487419</v>
      </c>
      <c r="X131" s="11">
        <v>0</v>
      </c>
    </row>
    <row r="132" spans="1:24" ht="18.75" customHeight="1">
      <c r="A132" s="11" t="e">
        <v>#N/A</v>
      </c>
      <c r="K132" s="11" t="e">
        <v>#N/A</v>
      </c>
      <c r="L132" s="11">
        <v>2138.4484044079391</v>
      </c>
      <c r="N132" s="11">
        <v>0</v>
      </c>
      <c r="V132" s="11">
        <v>81.175701231239785</v>
      </c>
      <c r="W132" s="11">
        <v>243.52710369371934</v>
      </c>
      <c r="X132" s="11">
        <v>0</v>
      </c>
    </row>
    <row r="133" spans="1:24" ht="18.75" customHeight="1">
      <c r="A133" s="11" t="e">
        <v>#N/A</v>
      </c>
      <c r="K133" s="11" t="e">
        <v>#N/A</v>
      </c>
      <c r="L133" s="11">
        <v>2332.8528048086609</v>
      </c>
      <c r="N133" s="11">
        <v>0</v>
      </c>
      <c r="V133" s="11">
        <v>89.318893712898941</v>
      </c>
      <c r="W133" s="11">
        <v>267.95668113869681</v>
      </c>
      <c r="X133" s="11">
        <v>0</v>
      </c>
    </row>
    <row r="134" spans="1:24" ht="18.75" customHeight="1">
      <c r="A134" s="11" t="e">
        <v>#N/A</v>
      </c>
      <c r="K134" s="11" t="e">
        <v>#N/A</v>
      </c>
      <c r="L134" s="11">
        <v>2527.2572052093828</v>
      </c>
      <c r="N134" s="11">
        <v>0</v>
      </c>
      <c r="V134" s="11">
        <v>97.462086194558097</v>
      </c>
      <c r="W134" s="11">
        <v>292.38625858367431</v>
      </c>
      <c r="X134" s="11">
        <v>0</v>
      </c>
    </row>
    <row r="135" spans="1:24" ht="18.75" customHeight="1">
      <c r="A135" s="11" t="e">
        <v>#N/A</v>
      </c>
      <c r="K135" s="11" t="e">
        <v>#N/A</v>
      </c>
      <c r="L135" s="11">
        <v>2721.6616056101047</v>
      </c>
      <c r="N135" s="11">
        <v>0</v>
      </c>
      <c r="V135" s="11">
        <v>105.60527867621725</v>
      </c>
      <c r="W135" s="11">
        <v>316.81583602865174</v>
      </c>
      <c r="X135" s="11">
        <v>0</v>
      </c>
    </row>
    <row r="136" spans="1:24" ht="18.75" customHeight="1">
      <c r="A136" s="11" t="e">
        <v>#N/A</v>
      </c>
      <c r="K136" s="11" t="e">
        <v>#N/A</v>
      </c>
      <c r="L136" s="11">
        <v>2916.0660060108266</v>
      </c>
      <c r="N136" s="11">
        <v>0</v>
      </c>
      <c r="V136" s="11">
        <v>113.74847115787639</v>
      </c>
      <c r="W136" s="11">
        <v>341.24541347362918</v>
      </c>
      <c r="X136" s="11">
        <v>0</v>
      </c>
    </row>
    <row r="137" spans="1:24" ht="18.75" customHeight="1">
      <c r="A137" s="11" t="e">
        <v>#N/A</v>
      </c>
      <c r="K137" s="11" t="e">
        <v>#N/A</v>
      </c>
      <c r="L137" s="11">
        <v>3110.4704064115485</v>
      </c>
      <c r="N137" s="11">
        <v>0</v>
      </c>
      <c r="V137" s="11">
        <v>121.89166363953554</v>
      </c>
      <c r="W137" s="11">
        <v>365.67499091860662</v>
      </c>
      <c r="X137" s="11">
        <v>0</v>
      </c>
    </row>
    <row r="138" spans="1:24" ht="18.75" customHeight="1">
      <c r="A138" s="11" t="e">
        <v>#N/A</v>
      </c>
      <c r="K138" s="11" t="e">
        <v>#N/A</v>
      </c>
      <c r="L138" s="11">
        <v>3304.8748068122704</v>
      </c>
      <c r="N138" s="11">
        <v>0</v>
      </c>
      <c r="V138" s="11">
        <v>130.03485612119471</v>
      </c>
      <c r="W138" s="11">
        <v>390.10456836358412</v>
      </c>
      <c r="X138" s="11">
        <v>0</v>
      </c>
    </row>
    <row r="139" spans="1:24" ht="18.75" customHeight="1">
      <c r="A139" s="11" t="e">
        <v>#N/A</v>
      </c>
      <c r="K139" s="11" t="e">
        <v>#N/A</v>
      </c>
      <c r="L139" s="11">
        <v>3499.2792072129923</v>
      </c>
      <c r="N139" s="11">
        <v>0</v>
      </c>
      <c r="V139" s="11">
        <v>138.17804860285386</v>
      </c>
      <c r="W139" s="11">
        <v>414.53414580856156</v>
      </c>
      <c r="X139" s="11">
        <v>0</v>
      </c>
    </row>
    <row r="140" spans="1:24" ht="18.75" customHeight="1">
      <c r="A140" s="11" t="e">
        <v>#N/A</v>
      </c>
      <c r="K140" s="11" t="e">
        <v>#N/A</v>
      </c>
      <c r="L140" s="11">
        <v>3693.6836076137142</v>
      </c>
      <c r="N140" s="11">
        <v>0</v>
      </c>
      <c r="V140" s="11">
        <v>146.32124108451302</v>
      </c>
      <c r="W140" s="11">
        <v>438.96372325353906</v>
      </c>
      <c r="X140" s="11">
        <v>0</v>
      </c>
    </row>
    <row r="141" spans="1:24" ht="18.75" customHeight="1">
      <c r="A141" s="11" t="e">
        <v>#N/A</v>
      </c>
      <c r="K141" s="11" t="e">
        <v>#N/A</v>
      </c>
      <c r="L141" s="11">
        <v>3888.0880080144361</v>
      </c>
      <c r="N141" s="11">
        <v>0</v>
      </c>
      <c r="V141" s="11">
        <v>154.46443356617215</v>
      </c>
      <c r="W141" s="11">
        <v>463.39330069851644</v>
      </c>
      <c r="X141" s="11">
        <v>0</v>
      </c>
    </row>
    <row r="142" spans="1:24" ht="18.75" customHeight="1">
      <c r="A142" s="11" t="e">
        <v>#N/A</v>
      </c>
      <c r="K142" s="11" t="e">
        <v>#N/A</v>
      </c>
      <c r="L142" s="11">
        <v>4082.492408415158</v>
      </c>
      <c r="N142" s="11">
        <v>0</v>
      </c>
      <c r="V142" s="11">
        <v>162.6076260478313</v>
      </c>
      <c r="W142" s="11">
        <v>487.82287814349394</v>
      </c>
      <c r="X142" s="11">
        <v>0</v>
      </c>
    </row>
    <row r="143" spans="1:24" ht="18.75" customHeight="1">
      <c r="A143" s="11" t="e">
        <v>#N/A</v>
      </c>
      <c r="K143" s="11" t="e">
        <v>#N/A</v>
      </c>
      <c r="L143" s="11">
        <v>4276.8968088158799</v>
      </c>
      <c r="N143" s="11">
        <v>0</v>
      </c>
      <c r="V143" s="11">
        <v>170.75081852949052</v>
      </c>
      <c r="W143" s="11">
        <v>512.25245558847155</v>
      </c>
      <c r="X143" s="11">
        <v>0</v>
      </c>
    </row>
    <row r="144" spans="1:24" ht="18.75" customHeight="1">
      <c r="A144" s="11" t="e">
        <v>#N/A</v>
      </c>
      <c r="K144" s="11" t="e">
        <v>#N/A</v>
      </c>
      <c r="L144" s="11">
        <v>4471.3012092166018</v>
      </c>
      <c r="N144" s="11">
        <v>0</v>
      </c>
      <c r="V144" s="11">
        <v>178.89401101114967</v>
      </c>
      <c r="W144" s="11">
        <v>536.68203303344899</v>
      </c>
      <c r="X144" s="11">
        <v>0</v>
      </c>
    </row>
    <row r="145" spans="1:24" ht="18.75" customHeight="1">
      <c r="A145" s="11" t="e">
        <v>#N/A</v>
      </c>
      <c r="K145" s="11" t="e">
        <v>#N/A</v>
      </c>
      <c r="L145" s="11">
        <v>4665.7056096173237</v>
      </c>
      <c r="N145" s="11">
        <v>0</v>
      </c>
      <c r="V145" s="11">
        <v>187.0372034928088</v>
      </c>
      <c r="W145" s="11">
        <v>561.11161047842643</v>
      </c>
      <c r="X145" s="11">
        <v>0</v>
      </c>
    </row>
    <row r="146" spans="1:24" ht="18.75" customHeight="1">
      <c r="A146" s="11" t="e">
        <v>#N/A</v>
      </c>
      <c r="K146" s="11" t="e">
        <v>#N/A</v>
      </c>
      <c r="L146" s="11">
        <v>4860.1100100180456</v>
      </c>
      <c r="N146" s="11">
        <v>0</v>
      </c>
      <c r="V146" s="11">
        <v>195.18039597446796</v>
      </c>
      <c r="W146" s="11">
        <v>585.54118792340387</v>
      </c>
      <c r="X146" s="11">
        <v>0</v>
      </c>
    </row>
    <row r="147" spans="1:24" ht="18.75" customHeight="1">
      <c r="A147" s="11" t="e">
        <v>#N/A</v>
      </c>
      <c r="K147" s="11" t="e">
        <v>#N/A</v>
      </c>
      <c r="L147" s="11">
        <v>5054.5144104187675</v>
      </c>
      <c r="N147" s="11">
        <v>0</v>
      </c>
      <c r="V147" s="11">
        <v>203.32358845612714</v>
      </c>
      <c r="W147" s="11">
        <v>609.97076536838142</v>
      </c>
      <c r="X147" s="11">
        <v>0</v>
      </c>
    </row>
    <row r="148" spans="1:24" ht="18.75" customHeight="1">
      <c r="A148" s="11" t="e">
        <v>#N/A</v>
      </c>
      <c r="K148" s="11" t="e">
        <v>#N/A</v>
      </c>
      <c r="L148" s="11">
        <v>5248.9188108194894</v>
      </c>
      <c r="N148" s="11">
        <v>0</v>
      </c>
      <c r="V148" s="11">
        <v>211.4667809377863</v>
      </c>
      <c r="W148" s="11">
        <v>634.40034281335886</v>
      </c>
      <c r="X148" s="11">
        <v>0</v>
      </c>
    </row>
    <row r="149" spans="1:24" ht="18.75" customHeight="1">
      <c r="A149" s="11" t="e">
        <v>#N/A</v>
      </c>
      <c r="K149" s="11" t="e">
        <v>#N/A</v>
      </c>
      <c r="L149" s="11">
        <v>5443.3232112202113</v>
      </c>
      <c r="N149" s="11">
        <v>0</v>
      </c>
      <c r="V149" s="11">
        <v>219.60997341944542</v>
      </c>
      <c r="W149" s="11">
        <v>658.8299202583363</v>
      </c>
      <c r="X149" s="11">
        <v>0</v>
      </c>
    </row>
    <row r="150" spans="1:24" ht="18.75" customHeight="1">
      <c r="A150" s="11" t="e">
        <v>#N/A</v>
      </c>
      <c r="K150" s="11" t="e">
        <v>#N/A</v>
      </c>
      <c r="L150" s="11">
        <v>5637.7276116209332</v>
      </c>
      <c r="N150" s="11">
        <v>0</v>
      </c>
      <c r="V150" s="11">
        <v>227.75316590110461</v>
      </c>
      <c r="W150" s="11">
        <v>683.25949770331385</v>
      </c>
      <c r="X150" s="11">
        <v>0</v>
      </c>
    </row>
    <row r="151" spans="1:24" ht="18.75" customHeight="1">
      <c r="A151" s="11" t="e">
        <v>#N/A</v>
      </c>
      <c r="K151" s="11" t="e">
        <v>#N/A</v>
      </c>
      <c r="L151" s="11">
        <v>5832.1320120216551</v>
      </c>
      <c r="N151" s="11">
        <v>0</v>
      </c>
      <c r="V151" s="11">
        <v>235.89635838276376</v>
      </c>
      <c r="W151" s="11">
        <v>707.68907514829129</v>
      </c>
      <c r="X151" s="11">
        <v>0</v>
      </c>
    </row>
    <row r="152" spans="1:24" ht="18.75" customHeight="1">
      <c r="A152" s="11" t="e">
        <v>#N/A</v>
      </c>
      <c r="K152" s="11" t="e">
        <v>#N/A</v>
      </c>
      <c r="L152" s="11">
        <v>6026.536412422377</v>
      </c>
      <c r="N152" s="11">
        <v>0</v>
      </c>
      <c r="V152" s="11">
        <v>244.03955086442286</v>
      </c>
      <c r="W152" s="11">
        <v>732.11865259326862</v>
      </c>
      <c r="X152" s="11">
        <v>0</v>
      </c>
    </row>
    <row r="153" spans="1:24" ht="18.75" customHeight="1">
      <c r="A153" s="11" t="e">
        <v>#N/A</v>
      </c>
      <c r="K153" s="11" t="e">
        <v>#N/A</v>
      </c>
      <c r="L153" s="11">
        <v>6220.9408128230989</v>
      </c>
      <c r="N153" s="11">
        <v>0</v>
      </c>
      <c r="V153" s="11">
        <v>252.18274334608202</v>
      </c>
      <c r="W153" s="11">
        <v>756.54823003824606</v>
      </c>
      <c r="X153" s="11">
        <v>0</v>
      </c>
    </row>
    <row r="154" spans="1:24" ht="18.75" customHeight="1">
      <c r="A154" s="11" t="e">
        <v>#N/A</v>
      </c>
      <c r="K154" s="11" t="e">
        <v>#N/A</v>
      </c>
      <c r="L154" s="11">
        <v>6415.3452132238208</v>
      </c>
      <c r="N154" s="11">
        <v>0</v>
      </c>
      <c r="V154" s="11">
        <v>260.3259358277412</v>
      </c>
      <c r="W154" s="11">
        <v>780.97780748322361</v>
      </c>
      <c r="X154" s="11">
        <v>0</v>
      </c>
    </row>
    <row r="155" spans="1:24" ht="18.75" customHeight="1">
      <c r="A155" s="11" t="e">
        <v>#N/A</v>
      </c>
      <c r="K155" s="11" t="e">
        <v>#N/A</v>
      </c>
      <c r="L155" s="11">
        <v>6609.7496136245427</v>
      </c>
      <c r="N155" s="11">
        <v>0</v>
      </c>
      <c r="V155" s="11">
        <v>268.46912830940033</v>
      </c>
      <c r="W155" s="11">
        <v>805.40738492820105</v>
      </c>
      <c r="X155" s="11">
        <v>0</v>
      </c>
    </row>
    <row r="156" spans="1:24" ht="18.75" customHeight="1">
      <c r="A156" s="11" t="e">
        <v>#N/A</v>
      </c>
      <c r="K156" s="11" t="e">
        <v>#N/A</v>
      </c>
      <c r="L156" s="11">
        <v>6804.1540140252646</v>
      </c>
      <c r="N156" s="11">
        <v>0</v>
      </c>
      <c r="V156" s="11">
        <v>276.61232079105952</v>
      </c>
      <c r="W156" s="11">
        <v>829.83696237317849</v>
      </c>
      <c r="X156" s="11">
        <v>0</v>
      </c>
    </row>
    <row r="157" spans="1:24" ht="18.75" customHeight="1">
      <c r="A157" s="11" t="e">
        <v>#N/A</v>
      </c>
      <c r="K157" s="11" t="e">
        <v>#N/A</v>
      </c>
      <c r="L157" s="11">
        <v>6998.5584144259865</v>
      </c>
      <c r="N157" s="11">
        <v>0</v>
      </c>
      <c r="V157" s="11">
        <v>284.7555132727187</v>
      </c>
      <c r="W157" s="11">
        <v>854.26653981815605</v>
      </c>
      <c r="X157" s="11">
        <v>0</v>
      </c>
    </row>
    <row r="158" spans="1:24" ht="18.75" customHeight="1">
      <c r="A158" s="11" t="e">
        <v>#N/A</v>
      </c>
      <c r="K158" s="11" t="e">
        <v>#N/A</v>
      </c>
      <c r="L158" s="11">
        <v>7192.9628148267084</v>
      </c>
      <c r="N158" s="11">
        <v>0</v>
      </c>
      <c r="V158" s="11">
        <v>292.89870575437783</v>
      </c>
      <c r="W158" s="11">
        <v>878.69611726313349</v>
      </c>
      <c r="X158" s="11">
        <v>0</v>
      </c>
    </row>
    <row r="159" spans="1:24" ht="18.75" customHeight="1">
      <c r="A159" s="11" t="e">
        <v>#N/A</v>
      </c>
      <c r="K159" s="11" t="e">
        <v>#N/A</v>
      </c>
      <c r="L159" s="11">
        <v>7387.3672152274303</v>
      </c>
      <c r="N159" s="11">
        <v>0</v>
      </c>
      <c r="V159" s="11">
        <v>301.04189823603696</v>
      </c>
      <c r="W159" s="11">
        <v>903.12569470811093</v>
      </c>
      <c r="X159" s="11">
        <v>0</v>
      </c>
    </row>
    <row r="160" spans="1:24" ht="18.75" customHeight="1">
      <c r="A160" s="11" t="e">
        <v>#N/A</v>
      </c>
      <c r="K160" s="11" t="e">
        <v>#N/A</v>
      </c>
      <c r="L160" s="11">
        <v>7581.7716156281522</v>
      </c>
      <c r="N160" s="11">
        <v>0</v>
      </c>
      <c r="V160" s="11">
        <v>309.18509071769614</v>
      </c>
      <c r="W160" s="11">
        <v>927.55527215308848</v>
      </c>
      <c r="X160" s="11">
        <v>0</v>
      </c>
    </row>
    <row r="161" spans="1:24" ht="18.75" customHeight="1">
      <c r="A161" s="11" t="e">
        <v>#N/A</v>
      </c>
      <c r="K161" s="11" t="e">
        <v>#N/A</v>
      </c>
      <c r="L161" s="11">
        <v>7776.1760160288741</v>
      </c>
      <c r="N161" s="11">
        <v>0</v>
      </c>
      <c r="V161" s="11">
        <v>317.32828319935533</v>
      </c>
      <c r="W161" s="11">
        <v>951.98484959806592</v>
      </c>
      <c r="X161" s="11">
        <v>0</v>
      </c>
    </row>
    <row r="162" spans="1:24" ht="18.75" customHeight="1">
      <c r="A162" s="11" t="e">
        <v>#N/A</v>
      </c>
      <c r="K162" s="11" t="e">
        <v>#N/A</v>
      </c>
      <c r="L162" s="11">
        <v>7970.580416429596</v>
      </c>
      <c r="N162" s="11">
        <v>0</v>
      </c>
      <c r="V162" s="11">
        <v>325.4714756810144</v>
      </c>
      <c r="W162" s="11">
        <v>976.41442704304325</v>
      </c>
      <c r="X162" s="11">
        <v>0</v>
      </c>
    </row>
    <row r="163" spans="1:24" ht="18.75" customHeight="1">
      <c r="A163" s="11" t="e">
        <v>#N/A</v>
      </c>
      <c r="K163" s="11" t="e">
        <v>#N/A</v>
      </c>
      <c r="L163" s="11">
        <v>8164.9848168303179</v>
      </c>
      <c r="N163" s="11">
        <v>0</v>
      </c>
      <c r="V163" s="11">
        <v>333.61466816267358</v>
      </c>
      <c r="W163" s="11">
        <v>1000.8440044880207</v>
      </c>
      <c r="X163" s="11">
        <v>0</v>
      </c>
    </row>
    <row r="164" spans="1:24" ht="18.75" customHeight="1">
      <c r="A164" s="11" t="e">
        <v>#N/A</v>
      </c>
      <c r="K164" s="11" t="e">
        <v>#N/A</v>
      </c>
      <c r="L164" s="11">
        <v>8359.3892172310389</v>
      </c>
      <c r="N164" s="11">
        <v>0</v>
      </c>
      <c r="V164" s="11">
        <v>341.75786064433265</v>
      </c>
      <c r="W164" s="11">
        <v>1025.273581932998</v>
      </c>
      <c r="X164" s="11">
        <v>0</v>
      </c>
    </row>
    <row r="165" spans="1:24" ht="18.75" customHeight="1">
      <c r="A165" s="11" t="e">
        <v>#N/A</v>
      </c>
      <c r="K165" s="11" t="e">
        <v>#N/A</v>
      </c>
      <c r="L165" s="11">
        <v>8553.7936176317598</v>
      </c>
      <c r="N165" s="11">
        <v>0</v>
      </c>
      <c r="V165" s="11">
        <v>349.90105312599172</v>
      </c>
      <c r="W165" s="11">
        <v>1049.7031593779752</v>
      </c>
      <c r="X165" s="11">
        <v>0</v>
      </c>
    </row>
    <row r="166" spans="1:24" ht="18.75" customHeight="1">
      <c r="A166" s="11" t="e">
        <v>#N/A</v>
      </c>
      <c r="K166" s="11" t="e">
        <v>#N/A</v>
      </c>
      <c r="L166" s="11">
        <v>8748.1980180324808</v>
      </c>
      <c r="N166" s="11">
        <v>0</v>
      </c>
      <c r="V166" s="11">
        <v>358.04424560765091</v>
      </c>
      <c r="W166" s="11">
        <v>1074.1327368229527</v>
      </c>
      <c r="X166" s="11">
        <v>0</v>
      </c>
    </row>
    <row r="167" spans="1:24" ht="18.75" customHeight="1">
      <c r="A167" s="11" t="e">
        <v>#N/A</v>
      </c>
      <c r="K167" s="11" t="e">
        <v>#N/A</v>
      </c>
      <c r="L167" s="11">
        <v>8942.6024184332018</v>
      </c>
      <c r="N167" s="11">
        <v>0</v>
      </c>
      <c r="V167" s="11">
        <v>366.18743808930998</v>
      </c>
      <c r="W167" s="11">
        <v>1098.5623142679299</v>
      </c>
      <c r="X167" s="11">
        <v>0</v>
      </c>
    </row>
    <row r="168" spans="1:24" ht="18.75" customHeight="1">
      <c r="A168" s="11" t="e">
        <v>#N/A</v>
      </c>
      <c r="K168" s="11" t="e">
        <v>#N/A</v>
      </c>
      <c r="L168" s="11">
        <v>9137.0068188339228</v>
      </c>
      <c r="N168" s="11">
        <v>0</v>
      </c>
      <c r="V168" s="11">
        <v>374.33063057096911</v>
      </c>
      <c r="W168" s="11">
        <v>1122.9918917129073</v>
      </c>
      <c r="X168" s="11">
        <v>0</v>
      </c>
    </row>
    <row r="169" spans="1:24" ht="18.75" customHeight="1">
      <c r="A169" s="11" t="e">
        <v>#N/A</v>
      </c>
      <c r="K169" s="11" t="e">
        <v>#N/A</v>
      </c>
      <c r="L169" s="11">
        <v>9331.4112192346438</v>
      </c>
      <c r="N169" s="11">
        <v>0</v>
      </c>
      <c r="V169" s="11">
        <v>382.47382305262818</v>
      </c>
      <c r="W169" s="11">
        <v>1147.4214691578845</v>
      </c>
      <c r="X169" s="11">
        <v>0</v>
      </c>
    </row>
    <row r="170" spans="1:24" ht="18.75" customHeight="1">
      <c r="A170" s="11" t="e">
        <v>#N/A</v>
      </c>
      <c r="K170" s="11" t="e">
        <v>#N/A</v>
      </c>
      <c r="L170" s="11">
        <v>9525.8156196353648</v>
      </c>
      <c r="N170" s="11">
        <v>0</v>
      </c>
      <c r="V170" s="11">
        <v>390.6170155342873</v>
      </c>
      <c r="W170" s="11">
        <v>1171.851046602862</v>
      </c>
      <c r="X170" s="11">
        <v>0</v>
      </c>
    </row>
    <row r="171" spans="1:24" ht="18.75" customHeight="1">
      <c r="A171" s="11">
        <v>0</v>
      </c>
      <c r="M171" s="11">
        <v>0</v>
      </c>
      <c r="N171" s="11">
        <v>0</v>
      </c>
    </row>
    <row r="172" spans="1:24" ht="18.75" customHeight="1">
      <c r="A172" s="11">
        <v>0</v>
      </c>
      <c r="M172" s="11">
        <v>0</v>
      </c>
      <c r="N172" s="11">
        <v>0</v>
      </c>
    </row>
    <row r="173" spans="1:24" ht="18.75" customHeight="1">
      <c r="A173" s="11">
        <v>0</v>
      </c>
      <c r="M173" s="11">
        <v>0</v>
      </c>
      <c r="N173" s="11">
        <v>0</v>
      </c>
      <c r="P173" s="11" t="s">
        <v>16</v>
      </c>
    </row>
    <row r="174" spans="1:24" ht="18.75" customHeight="1">
      <c r="A174" s="11">
        <v>0</v>
      </c>
      <c r="F174" s="11" t="s">
        <v>16</v>
      </c>
      <c r="K174" s="11">
        <v>0</v>
      </c>
      <c r="L174" s="11">
        <v>0</v>
      </c>
      <c r="M174" s="11">
        <v>0</v>
      </c>
      <c r="N174" s="11">
        <v>0</v>
      </c>
      <c r="P174" s="11" t="s">
        <v>2</v>
      </c>
      <c r="V174" s="11">
        <v>0</v>
      </c>
      <c r="W174" s="11">
        <v>0</v>
      </c>
    </row>
    <row r="175" spans="1:24" ht="18.75" customHeight="1">
      <c r="A175" s="11">
        <v>0</v>
      </c>
      <c r="B175" s="11" t="s">
        <v>16</v>
      </c>
      <c r="F175" s="11" t="s">
        <v>2</v>
      </c>
      <c r="M175" s="11">
        <v>0</v>
      </c>
      <c r="N175" s="11">
        <v>0</v>
      </c>
    </row>
    <row r="176" spans="1:24" ht="18.75" customHeight="1">
      <c r="A176" s="11">
        <v>0</v>
      </c>
      <c r="B176" s="11" t="s">
        <v>2</v>
      </c>
      <c r="M176" s="11">
        <v>0</v>
      </c>
      <c r="N176" s="11">
        <v>0</v>
      </c>
    </row>
    <row r="177" spans="1:23" ht="18.75" customHeight="1">
      <c r="A177" s="11">
        <v>0</v>
      </c>
      <c r="M177" s="11">
        <v>0</v>
      </c>
      <c r="N177" s="11">
        <v>0</v>
      </c>
    </row>
    <row r="178" spans="1:23" ht="18.75" customHeight="1">
      <c r="A178" s="11">
        <v>0</v>
      </c>
      <c r="M178" s="11">
        <v>0</v>
      </c>
      <c r="N178" s="11">
        <v>0</v>
      </c>
      <c r="P178" s="11" t="s">
        <v>16</v>
      </c>
    </row>
    <row r="179" spans="1:23" ht="18.75" customHeight="1">
      <c r="A179" s="11">
        <v>0</v>
      </c>
      <c r="F179" s="11" t="s">
        <v>16</v>
      </c>
      <c r="K179" s="11">
        <v>0</v>
      </c>
      <c r="L179" s="11">
        <v>0</v>
      </c>
      <c r="M179" s="11">
        <v>0</v>
      </c>
      <c r="N179" s="11">
        <v>0</v>
      </c>
      <c r="P179" s="11" t="s">
        <v>2</v>
      </c>
      <c r="V179" s="11">
        <v>0</v>
      </c>
      <c r="W179" s="11">
        <v>0</v>
      </c>
    </row>
    <row r="180" spans="1:23" ht="18.75" customHeight="1">
      <c r="A180" s="11">
        <v>0</v>
      </c>
      <c r="B180" s="11" t="s">
        <v>16</v>
      </c>
      <c r="F180" s="11" t="s">
        <v>2</v>
      </c>
      <c r="M180" s="11">
        <v>0</v>
      </c>
      <c r="N180" s="11">
        <v>0</v>
      </c>
    </row>
    <row r="181" spans="1:23" ht="18.75" customHeight="1">
      <c r="A181" s="11">
        <v>0</v>
      </c>
      <c r="B181" s="11" t="s">
        <v>2</v>
      </c>
      <c r="M181" s="11">
        <v>0</v>
      </c>
      <c r="N181" s="11">
        <v>0</v>
      </c>
    </row>
    <row r="182" spans="1:23" ht="18.75" customHeight="1">
      <c r="A182" s="11">
        <v>0</v>
      </c>
      <c r="M182" s="11">
        <v>0</v>
      </c>
      <c r="N182" s="11">
        <v>0</v>
      </c>
    </row>
    <row r="183" spans="1:23" ht="18.75" customHeight="1">
      <c r="A183" s="11">
        <v>0</v>
      </c>
      <c r="M183" s="11">
        <v>0</v>
      </c>
      <c r="N183" s="11">
        <v>0</v>
      </c>
    </row>
    <row r="184" spans="1:23" ht="18.75" customHeight="1">
      <c r="A184" s="11" t="s">
        <v>37</v>
      </c>
      <c r="K184" s="11" t="s">
        <v>103</v>
      </c>
      <c r="L184" s="11" t="s">
        <v>101</v>
      </c>
      <c r="N184" s="11">
        <v>0</v>
      </c>
      <c r="V184" s="11" t="s">
        <v>39</v>
      </c>
      <c r="W184" s="11" t="s">
        <v>102</v>
      </c>
    </row>
    <row r="185" spans="1:23" ht="18.75" customHeight="1">
      <c r="A185" s="11">
        <v>0</v>
      </c>
      <c r="K185" s="11">
        <v>4.1130000000000004</v>
      </c>
      <c r="L185" s="11">
        <v>0</v>
      </c>
      <c r="M185" s="11">
        <v>0</v>
      </c>
      <c r="N185" s="11">
        <v>0</v>
      </c>
      <c r="P185" s="11" t="s">
        <v>524</v>
      </c>
      <c r="V185" s="11">
        <v>0</v>
      </c>
      <c r="W185" s="11">
        <v>0</v>
      </c>
    </row>
    <row r="186" spans="1:23" ht="18.75" customHeight="1">
      <c r="A186" s="11">
        <v>0</v>
      </c>
      <c r="F186" s="11" t="s">
        <v>524</v>
      </c>
      <c r="M186" s="11">
        <v>0</v>
      </c>
      <c r="N186" s="11">
        <v>0</v>
      </c>
    </row>
    <row r="187" spans="1:23" ht="18.75" customHeight="1">
      <c r="A187" s="11">
        <v>0</v>
      </c>
      <c r="B187" s="11" t="s">
        <v>524</v>
      </c>
      <c r="M187" s="11">
        <v>0</v>
      </c>
      <c r="N187" s="11">
        <v>0</v>
      </c>
    </row>
    <row r="188" spans="1:23" ht="18.75" customHeight="1">
      <c r="A188" s="11" t="s">
        <v>37</v>
      </c>
      <c r="K188" s="11" t="s">
        <v>103</v>
      </c>
      <c r="L188" s="11" t="s">
        <v>101</v>
      </c>
      <c r="N188" s="11">
        <v>0</v>
      </c>
      <c r="V188" s="11" t="s">
        <v>39</v>
      </c>
      <c r="W188" s="11" t="s">
        <v>102</v>
      </c>
    </row>
    <row r="189" spans="1:23" ht="18.75" customHeight="1">
      <c r="A189" s="11">
        <v>0</v>
      </c>
      <c r="K189" s="11">
        <v>0</v>
      </c>
      <c r="L189" s="11">
        <v>0</v>
      </c>
      <c r="M189" s="11">
        <v>0</v>
      </c>
      <c r="N189" s="11">
        <v>0</v>
      </c>
      <c r="V189" s="11">
        <v>0</v>
      </c>
      <c r="W189" s="11">
        <v>0</v>
      </c>
    </row>
    <row r="190" spans="1:23" ht="18.75" customHeight="1">
      <c r="A190" s="11">
        <v>0</v>
      </c>
      <c r="M190" s="11">
        <v>0</v>
      </c>
      <c r="N190" s="11">
        <v>0</v>
      </c>
    </row>
    <row r="191" spans="1:23" ht="18.75" customHeight="1">
      <c r="A191" s="11">
        <v>0</v>
      </c>
      <c r="L191" s="11" t="s">
        <v>54</v>
      </c>
      <c r="N191" s="11">
        <v>0</v>
      </c>
    </row>
    <row r="192" spans="1:23" ht="18.75" customHeight="1">
      <c r="A192" s="11">
        <v>0</v>
      </c>
      <c r="L192" s="11" t="s">
        <v>55</v>
      </c>
      <c r="N192" s="11">
        <v>0</v>
      </c>
    </row>
    <row r="193" spans="1:23" ht="18.75" customHeight="1">
      <c r="A193" s="11">
        <v>0</v>
      </c>
      <c r="M193" s="11">
        <v>0</v>
      </c>
      <c r="N193" s="11">
        <v>0</v>
      </c>
    </row>
    <row r="194" spans="1:23" ht="18.75" customHeight="1">
      <c r="A194" s="11">
        <v>0</v>
      </c>
      <c r="M194" s="11">
        <v>0</v>
      </c>
      <c r="N194" s="11">
        <v>0</v>
      </c>
    </row>
    <row r="195" spans="1:23" ht="18.75" customHeight="1">
      <c r="A195" s="11">
        <v>0</v>
      </c>
      <c r="M195" s="11">
        <v>0</v>
      </c>
      <c r="N195" s="11">
        <v>0</v>
      </c>
    </row>
    <row r="196" spans="1:23" ht="18.75" customHeight="1">
      <c r="A196" s="11">
        <v>0</v>
      </c>
      <c r="M196" s="11">
        <v>0</v>
      </c>
      <c r="N196" s="11">
        <v>0</v>
      </c>
    </row>
    <row r="197" spans="1:23" ht="18.75" customHeight="1">
      <c r="A197" s="11">
        <v>0</v>
      </c>
      <c r="M197" s="11">
        <v>0</v>
      </c>
      <c r="N197" s="11">
        <v>0</v>
      </c>
    </row>
    <row r="198" spans="1:23" ht="18.75" customHeight="1">
      <c r="A198" s="11">
        <v>0</v>
      </c>
      <c r="M198" s="11">
        <v>0</v>
      </c>
      <c r="N198" s="11">
        <v>0</v>
      </c>
      <c r="P198" s="11" t="s">
        <v>16</v>
      </c>
    </row>
    <row r="199" spans="1:23" ht="18.75" customHeight="1">
      <c r="A199" s="11">
        <v>0</v>
      </c>
      <c r="F199" s="11" t="s">
        <v>16</v>
      </c>
      <c r="K199" s="11">
        <v>0</v>
      </c>
      <c r="L199" s="11">
        <v>0</v>
      </c>
      <c r="M199" s="11">
        <v>0</v>
      </c>
      <c r="N199" s="11">
        <v>0</v>
      </c>
      <c r="P199" s="11" t="s">
        <v>2</v>
      </c>
      <c r="V199" s="11">
        <v>0</v>
      </c>
      <c r="W199" s="11">
        <v>0</v>
      </c>
    </row>
    <row r="200" spans="1:23" ht="18.75" customHeight="1">
      <c r="A200" s="11">
        <v>0</v>
      </c>
      <c r="B200" s="11" t="s">
        <v>16</v>
      </c>
      <c r="F200" s="11" t="s">
        <v>2</v>
      </c>
      <c r="M200" s="11">
        <v>0</v>
      </c>
      <c r="N200" s="11">
        <v>0</v>
      </c>
    </row>
    <row r="201" spans="1:23" ht="18.75" customHeight="1">
      <c r="A201" s="11">
        <v>0</v>
      </c>
      <c r="B201" s="11" t="s">
        <v>2</v>
      </c>
      <c r="M201" s="11">
        <v>0</v>
      </c>
      <c r="N201" s="11">
        <v>0</v>
      </c>
    </row>
    <row r="202" spans="1:23" ht="18.75" customHeight="1">
      <c r="A202" s="11">
        <v>0</v>
      </c>
      <c r="M202" s="11">
        <v>0</v>
      </c>
      <c r="N202" s="11">
        <v>0</v>
      </c>
    </row>
    <row r="203" spans="1:23" ht="18.75" customHeight="1">
      <c r="A203" s="11">
        <v>0</v>
      </c>
      <c r="M203" s="11">
        <v>0</v>
      </c>
      <c r="N203" s="11">
        <v>0</v>
      </c>
      <c r="P203" s="11" t="s">
        <v>16</v>
      </c>
    </row>
    <row r="204" spans="1:23" ht="18.75" customHeight="1">
      <c r="A204" s="11">
        <v>0</v>
      </c>
      <c r="F204" s="11" t="s">
        <v>16</v>
      </c>
      <c r="K204" s="11">
        <v>0</v>
      </c>
      <c r="L204" s="11">
        <v>0</v>
      </c>
      <c r="M204" s="11">
        <v>0</v>
      </c>
      <c r="N204" s="11">
        <v>0</v>
      </c>
      <c r="P204" s="11" t="s">
        <v>2</v>
      </c>
      <c r="V204" s="11">
        <v>0</v>
      </c>
      <c r="W204" s="11">
        <v>0</v>
      </c>
    </row>
    <row r="205" spans="1:23" ht="18.75" customHeight="1">
      <c r="A205" s="11">
        <v>0</v>
      </c>
      <c r="B205" s="11" t="s">
        <v>16</v>
      </c>
      <c r="F205" s="11" t="s">
        <v>2</v>
      </c>
      <c r="M205" s="11">
        <v>0</v>
      </c>
      <c r="N205" s="11">
        <v>0</v>
      </c>
    </row>
    <row r="206" spans="1:23" ht="18.75" customHeight="1">
      <c r="A206" s="11">
        <v>0</v>
      </c>
      <c r="B206" s="11" t="s">
        <v>2</v>
      </c>
      <c r="M206" s="11">
        <v>0</v>
      </c>
      <c r="N206" s="11">
        <v>0</v>
      </c>
    </row>
    <row r="207" spans="1:23" ht="18.75" customHeight="1">
      <c r="A207" s="11">
        <v>0</v>
      </c>
      <c r="M207" s="11">
        <v>0</v>
      </c>
      <c r="N207" s="11">
        <v>0</v>
      </c>
    </row>
    <row r="208" spans="1:23" ht="18.75" customHeight="1">
      <c r="A208" s="11">
        <v>0</v>
      </c>
      <c r="M208" s="11">
        <v>0</v>
      </c>
      <c r="N208" s="11">
        <v>0</v>
      </c>
    </row>
    <row r="209" spans="1:23" ht="18.75" customHeight="1">
      <c r="A209" s="11" t="s">
        <v>37</v>
      </c>
      <c r="K209" s="11" t="s">
        <v>103</v>
      </c>
      <c r="L209" s="11" t="s">
        <v>101</v>
      </c>
      <c r="N209" s="11">
        <v>0</v>
      </c>
      <c r="V209" s="11" t="s">
        <v>39</v>
      </c>
      <c r="W209" s="11" t="s">
        <v>102</v>
      </c>
    </row>
    <row r="210" spans="1:23" ht="18.75" customHeight="1">
      <c r="A210" s="11">
        <v>0</v>
      </c>
      <c r="K210" s="11">
        <v>4.1130000000000004</v>
      </c>
      <c r="L210" s="11">
        <v>0</v>
      </c>
      <c r="M210" s="11">
        <v>0</v>
      </c>
      <c r="N210" s="11">
        <v>0</v>
      </c>
      <c r="P210" s="11" t="s">
        <v>524</v>
      </c>
      <c r="V210" s="11">
        <v>0</v>
      </c>
      <c r="W210" s="11">
        <v>0</v>
      </c>
    </row>
    <row r="211" spans="1:23" ht="18.75" customHeight="1">
      <c r="A211" s="11">
        <v>0</v>
      </c>
      <c r="F211" s="11" t="s">
        <v>524</v>
      </c>
      <c r="M211" s="11">
        <v>0</v>
      </c>
      <c r="N211" s="11">
        <v>0</v>
      </c>
    </row>
    <row r="212" spans="1:23" ht="18.75" customHeight="1">
      <c r="A212" s="11">
        <v>0</v>
      </c>
      <c r="B212" s="11" t="s">
        <v>524</v>
      </c>
      <c r="M212" s="11">
        <v>0</v>
      </c>
      <c r="N212" s="11">
        <v>0</v>
      </c>
    </row>
    <row r="213" spans="1:23" ht="18.75" customHeight="1">
      <c r="A213" s="11" t="s">
        <v>37</v>
      </c>
      <c r="K213" s="11" t="s">
        <v>103</v>
      </c>
      <c r="L213" s="11" t="s">
        <v>101</v>
      </c>
      <c r="N213" s="11">
        <v>0</v>
      </c>
      <c r="V213" s="11" t="s">
        <v>39</v>
      </c>
      <c r="W213" s="11" t="s">
        <v>102</v>
      </c>
    </row>
    <row r="214" spans="1:23" ht="18.75" customHeight="1">
      <c r="A214" s="11">
        <v>0</v>
      </c>
      <c r="K214" s="11">
        <v>0</v>
      </c>
      <c r="L214" s="11">
        <v>0</v>
      </c>
      <c r="M214" s="11">
        <v>0</v>
      </c>
      <c r="N214" s="11">
        <v>0</v>
      </c>
      <c r="V214" s="11">
        <v>0</v>
      </c>
      <c r="W214" s="11">
        <v>0</v>
      </c>
    </row>
    <row r="215" spans="1:23" ht="18.75" customHeight="1">
      <c r="A215" s="11">
        <v>0</v>
      </c>
      <c r="M215" s="11">
        <v>0</v>
      </c>
      <c r="N215" s="11">
        <v>0</v>
      </c>
    </row>
    <row r="216" spans="1:23" ht="18.75" customHeight="1">
      <c r="A216" s="11">
        <v>0</v>
      </c>
      <c r="L216" s="11" t="s">
        <v>54</v>
      </c>
      <c r="N216" s="11">
        <v>0</v>
      </c>
    </row>
    <row r="217" spans="1:23" ht="18.75" customHeight="1">
      <c r="A217" s="11">
        <v>0</v>
      </c>
      <c r="L217" s="11" t="s">
        <v>55</v>
      </c>
      <c r="N217" s="11">
        <v>0</v>
      </c>
    </row>
    <row r="218" spans="1:23" ht="18.75" customHeight="1">
      <c r="A218" s="11">
        <v>0</v>
      </c>
      <c r="M218" s="11">
        <v>0</v>
      </c>
      <c r="N218" s="11">
        <v>0</v>
      </c>
    </row>
    <row r="219" spans="1:23" ht="18.75" customHeight="1">
      <c r="A219" s="11">
        <v>0</v>
      </c>
      <c r="M219" s="11">
        <v>0</v>
      </c>
      <c r="N219" s="11">
        <v>0</v>
      </c>
    </row>
    <row r="220" spans="1:23" ht="18.75" customHeight="1">
      <c r="A220" s="11" t="s">
        <v>55</v>
      </c>
      <c r="K220" s="11" t="s">
        <v>46</v>
      </c>
      <c r="L220" s="11" t="s">
        <v>989</v>
      </c>
      <c r="N220" s="11">
        <v>0</v>
      </c>
      <c r="V220" s="11" t="s">
        <v>985</v>
      </c>
      <c r="W220" s="11" t="s">
        <v>988</v>
      </c>
    </row>
    <row r="221" spans="1:23" ht="18.75" customHeight="1">
      <c r="A221" s="11">
        <v>0</v>
      </c>
      <c r="K221" s="11">
        <v>0</v>
      </c>
      <c r="L221" s="11">
        <v>0</v>
      </c>
      <c r="M221" s="11">
        <v>0</v>
      </c>
      <c r="N221" s="11">
        <v>0</v>
      </c>
      <c r="V221" s="11">
        <v>0</v>
      </c>
      <c r="W221" s="11">
        <v>0</v>
      </c>
    </row>
    <row r="222" spans="1:23" ht="18.75" customHeight="1">
      <c r="A222" s="11">
        <v>0</v>
      </c>
      <c r="K222" s="11">
        <v>0</v>
      </c>
      <c r="L222" s="11">
        <v>0</v>
      </c>
      <c r="M222" s="11">
        <v>0</v>
      </c>
      <c r="N222" s="11">
        <v>0</v>
      </c>
      <c r="V222" s="11">
        <v>0</v>
      </c>
      <c r="W222" s="11">
        <v>0</v>
      </c>
    </row>
    <row r="223" spans="1:23" ht="18.75" customHeight="1">
      <c r="A223" s="11">
        <v>0</v>
      </c>
      <c r="K223" s="11">
        <v>0</v>
      </c>
      <c r="L223" s="11">
        <v>0</v>
      </c>
      <c r="M223" s="11">
        <v>0</v>
      </c>
      <c r="N223" s="11">
        <v>0</v>
      </c>
      <c r="V223" s="11">
        <v>0</v>
      </c>
      <c r="W223" s="11">
        <v>0</v>
      </c>
    </row>
    <row r="224" spans="1:23" ht="18.75" customHeight="1">
      <c r="A224" s="11">
        <v>0</v>
      </c>
      <c r="K224" s="11">
        <v>0</v>
      </c>
      <c r="L224" s="11">
        <v>0</v>
      </c>
      <c r="M224" s="11">
        <v>0</v>
      </c>
      <c r="N224" s="11">
        <v>0</v>
      </c>
      <c r="V224" s="11">
        <v>0</v>
      </c>
      <c r="W224" s="11">
        <v>0</v>
      </c>
    </row>
    <row r="225" spans="1:23" ht="18.75" customHeight="1">
      <c r="A225" s="11">
        <v>0</v>
      </c>
      <c r="K225" s="11">
        <v>0</v>
      </c>
      <c r="L225" s="11">
        <v>0</v>
      </c>
      <c r="M225" s="11">
        <v>0</v>
      </c>
      <c r="N225" s="11">
        <v>0</v>
      </c>
      <c r="V225" s="11">
        <v>0</v>
      </c>
      <c r="W225" s="11">
        <v>0</v>
      </c>
    </row>
    <row r="226" spans="1:23" ht="18.75" customHeight="1">
      <c r="A226" s="11">
        <v>0</v>
      </c>
      <c r="K226" s="11">
        <v>0</v>
      </c>
      <c r="L226" s="11">
        <v>0</v>
      </c>
      <c r="M226" s="11">
        <v>0</v>
      </c>
      <c r="N226" s="11">
        <v>0</v>
      </c>
      <c r="V226" s="11">
        <v>0</v>
      </c>
      <c r="W226" s="11">
        <v>0</v>
      </c>
    </row>
    <row r="227" spans="1:23" ht="18.75" customHeight="1">
      <c r="A227" s="11">
        <v>0</v>
      </c>
      <c r="K227" s="11">
        <v>0</v>
      </c>
      <c r="L227" s="11">
        <v>0</v>
      </c>
      <c r="M227" s="11">
        <v>0</v>
      </c>
      <c r="N227" s="11">
        <v>0</v>
      </c>
      <c r="V227" s="11">
        <v>0</v>
      </c>
      <c r="W227" s="11">
        <v>0</v>
      </c>
    </row>
    <row r="228" spans="1:23" ht="18.75" customHeight="1">
      <c r="A228" s="11">
        <v>0</v>
      </c>
      <c r="K228" s="11">
        <v>0</v>
      </c>
      <c r="L228" s="11">
        <v>0</v>
      </c>
      <c r="M228" s="11">
        <v>0</v>
      </c>
      <c r="N228" s="11">
        <v>0</v>
      </c>
      <c r="V228" s="11">
        <v>0</v>
      </c>
      <c r="W228" s="11">
        <v>0</v>
      </c>
    </row>
    <row r="229" spans="1:23" ht="18.75" customHeight="1">
      <c r="A229" s="11">
        <v>0</v>
      </c>
      <c r="K229" s="11">
        <v>0</v>
      </c>
      <c r="L229" s="11">
        <v>0</v>
      </c>
      <c r="M229" s="11">
        <v>0</v>
      </c>
      <c r="N229" s="11">
        <v>0</v>
      </c>
      <c r="V229" s="11">
        <v>0</v>
      </c>
      <c r="W229" s="11">
        <v>0</v>
      </c>
    </row>
    <row r="230" spans="1:23" ht="18.75" customHeight="1">
      <c r="A230" s="11">
        <v>0</v>
      </c>
      <c r="K230" s="11">
        <v>0</v>
      </c>
      <c r="L230" s="11">
        <v>0</v>
      </c>
      <c r="M230" s="11">
        <v>0</v>
      </c>
      <c r="N230" s="11">
        <v>0</v>
      </c>
      <c r="V230" s="11">
        <v>0</v>
      </c>
      <c r="W230" s="11">
        <v>0</v>
      </c>
    </row>
    <row r="231" spans="1:23" ht="18.75" customHeight="1">
      <c r="A231" s="11">
        <v>0</v>
      </c>
      <c r="K231" s="11">
        <v>0</v>
      </c>
      <c r="L231" s="11">
        <v>0</v>
      </c>
      <c r="M231" s="11">
        <v>0</v>
      </c>
      <c r="N231" s="11">
        <v>0</v>
      </c>
      <c r="V231" s="11">
        <v>0</v>
      </c>
      <c r="W231" s="11">
        <v>0</v>
      </c>
    </row>
    <row r="232" spans="1:23" ht="18.75" customHeight="1">
      <c r="A232" s="11">
        <v>0</v>
      </c>
      <c r="K232" s="11">
        <v>0</v>
      </c>
      <c r="L232" s="11">
        <v>0</v>
      </c>
      <c r="M232" s="11">
        <v>0</v>
      </c>
      <c r="N232" s="11">
        <v>0</v>
      </c>
      <c r="V232" s="11">
        <v>0</v>
      </c>
      <c r="W232" s="11">
        <v>0</v>
      </c>
    </row>
    <row r="233" spans="1:23" ht="18.75" customHeight="1">
      <c r="A233" s="11">
        <v>0</v>
      </c>
      <c r="K233" s="11">
        <v>0</v>
      </c>
      <c r="L233" s="11">
        <v>0</v>
      </c>
      <c r="M233" s="11">
        <v>0</v>
      </c>
      <c r="N233" s="11">
        <v>0</v>
      </c>
      <c r="V233" s="11">
        <v>0</v>
      </c>
      <c r="W233" s="11">
        <v>0</v>
      </c>
    </row>
    <row r="234" spans="1:23" ht="18.75" customHeight="1">
      <c r="A234" s="11">
        <v>0</v>
      </c>
      <c r="K234" s="11">
        <v>0</v>
      </c>
      <c r="L234" s="11">
        <v>0</v>
      </c>
      <c r="M234" s="11">
        <v>0</v>
      </c>
      <c r="N234" s="11">
        <v>0</v>
      </c>
      <c r="V234" s="11">
        <v>0</v>
      </c>
      <c r="W234" s="11">
        <v>0</v>
      </c>
    </row>
    <row r="235" spans="1:23" ht="18.75" customHeight="1">
      <c r="A235" s="11">
        <v>0</v>
      </c>
      <c r="K235" s="11">
        <v>0</v>
      </c>
      <c r="L235" s="11">
        <v>0</v>
      </c>
      <c r="M235" s="11">
        <v>0</v>
      </c>
      <c r="N235" s="11">
        <v>0</v>
      </c>
      <c r="V235" s="11">
        <v>0</v>
      </c>
      <c r="W235" s="11">
        <v>0</v>
      </c>
    </row>
    <row r="236" spans="1:23" ht="18.75" customHeight="1">
      <c r="A236" s="11">
        <v>0</v>
      </c>
      <c r="K236" s="11">
        <v>0</v>
      </c>
      <c r="L236" s="11">
        <v>0</v>
      </c>
      <c r="M236" s="11">
        <v>0</v>
      </c>
      <c r="N236" s="11">
        <v>0</v>
      </c>
      <c r="V236" s="11">
        <v>0</v>
      </c>
      <c r="W236" s="11">
        <v>0</v>
      </c>
    </row>
    <row r="237" spans="1:23" ht="18.75" customHeight="1">
      <c r="A237" s="11">
        <v>0</v>
      </c>
      <c r="K237" s="11">
        <v>0</v>
      </c>
      <c r="L237" s="11">
        <v>0</v>
      </c>
      <c r="M237" s="11">
        <v>0</v>
      </c>
      <c r="N237" s="11">
        <v>0</v>
      </c>
      <c r="V237" s="11">
        <v>0</v>
      </c>
      <c r="W237" s="11">
        <v>0</v>
      </c>
    </row>
    <row r="238" spans="1:23" ht="18.75" customHeight="1">
      <c r="A238" s="11">
        <v>0</v>
      </c>
      <c r="K238" s="11">
        <v>0</v>
      </c>
      <c r="L238" s="11">
        <v>0</v>
      </c>
      <c r="M238" s="11">
        <v>0</v>
      </c>
      <c r="N238" s="11">
        <v>0</v>
      </c>
      <c r="V238" s="11">
        <v>0</v>
      </c>
      <c r="W238" s="11">
        <v>0</v>
      </c>
    </row>
    <row r="239" spans="1:23" ht="18.75" customHeight="1">
      <c r="A239" s="11">
        <v>0</v>
      </c>
      <c r="K239" s="11">
        <v>0</v>
      </c>
      <c r="L239" s="11">
        <v>0</v>
      </c>
      <c r="M239" s="11">
        <v>0</v>
      </c>
      <c r="N239" s="11">
        <v>0</v>
      </c>
      <c r="V239" s="11">
        <v>0</v>
      </c>
      <c r="W239" s="11">
        <v>0</v>
      </c>
    </row>
    <row r="240" spans="1:23" ht="18.75" customHeight="1">
      <c r="A240" s="11">
        <v>0</v>
      </c>
      <c r="K240" s="11">
        <v>0</v>
      </c>
      <c r="L240" s="11">
        <v>0</v>
      </c>
      <c r="M240" s="11">
        <v>0</v>
      </c>
      <c r="N240" s="11">
        <v>0</v>
      </c>
      <c r="V240" s="11">
        <v>0</v>
      </c>
      <c r="W240" s="11">
        <v>0</v>
      </c>
    </row>
    <row r="241" spans="1:23" ht="18.75" customHeight="1">
      <c r="A241" s="11">
        <v>0</v>
      </c>
      <c r="K241" s="11">
        <v>0</v>
      </c>
      <c r="L241" s="11">
        <v>0</v>
      </c>
      <c r="M241" s="11">
        <v>0</v>
      </c>
      <c r="N241" s="11">
        <v>0</v>
      </c>
      <c r="V241" s="11">
        <v>0</v>
      </c>
      <c r="W241" s="11">
        <v>0</v>
      </c>
    </row>
    <row r="242" spans="1:23" ht="18.75" customHeight="1">
      <c r="A242" s="11">
        <v>0</v>
      </c>
      <c r="K242" s="11">
        <v>0</v>
      </c>
      <c r="L242" s="11">
        <v>0</v>
      </c>
      <c r="M242" s="11">
        <v>0</v>
      </c>
      <c r="N242" s="11">
        <v>0</v>
      </c>
      <c r="V242" s="11">
        <v>0</v>
      </c>
      <c r="W242" s="11">
        <v>0</v>
      </c>
    </row>
    <row r="243" spans="1:23" ht="18.75" customHeight="1">
      <c r="A243" s="11">
        <v>0</v>
      </c>
      <c r="K243" s="11">
        <v>0</v>
      </c>
      <c r="L243" s="11">
        <v>0</v>
      </c>
      <c r="M243" s="11">
        <v>0</v>
      </c>
      <c r="N243" s="11">
        <v>0</v>
      </c>
      <c r="V243" s="11">
        <v>0</v>
      </c>
      <c r="W243" s="11">
        <v>0</v>
      </c>
    </row>
    <row r="244" spans="1:23" ht="18.75" customHeight="1">
      <c r="A244" s="11">
        <v>0</v>
      </c>
      <c r="K244" s="11">
        <v>0</v>
      </c>
      <c r="L244" s="11">
        <v>0</v>
      </c>
      <c r="M244" s="11">
        <v>0</v>
      </c>
      <c r="N244" s="11">
        <v>0</v>
      </c>
      <c r="V244" s="11">
        <v>0</v>
      </c>
      <c r="W244" s="11">
        <v>0</v>
      </c>
    </row>
    <row r="245" spans="1:23" ht="18.75" customHeight="1">
      <c r="A245" s="11">
        <v>0</v>
      </c>
      <c r="K245" s="11">
        <v>0</v>
      </c>
      <c r="L245" s="11">
        <v>0</v>
      </c>
      <c r="M245" s="11">
        <v>0</v>
      </c>
      <c r="N245" s="11">
        <v>0</v>
      </c>
      <c r="V245" s="11">
        <v>0</v>
      </c>
      <c r="W245" s="11">
        <v>0</v>
      </c>
    </row>
    <row r="246" spans="1:23" ht="18.75" customHeight="1">
      <c r="A246" s="11">
        <v>0</v>
      </c>
      <c r="K246" s="11">
        <v>0</v>
      </c>
      <c r="L246" s="11">
        <v>0</v>
      </c>
      <c r="M246" s="11">
        <v>0</v>
      </c>
      <c r="N246" s="11">
        <v>0</v>
      </c>
      <c r="V246" s="11">
        <v>0</v>
      </c>
      <c r="W246" s="11">
        <v>0</v>
      </c>
    </row>
    <row r="247" spans="1:23" ht="18.75" customHeight="1">
      <c r="A247" s="11">
        <v>0</v>
      </c>
      <c r="K247" s="11">
        <v>0</v>
      </c>
      <c r="L247" s="11">
        <v>0</v>
      </c>
      <c r="M247" s="11">
        <v>0</v>
      </c>
      <c r="N247" s="11">
        <v>0</v>
      </c>
      <c r="V247" s="11">
        <v>0</v>
      </c>
      <c r="W247" s="11">
        <v>0</v>
      </c>
    </row>
    <row r="248" spans="1:23" ht="18.75" customHeight="1">
      <c r="A248" s="11">
        <v>0</v>
      </c>
      <c r="K248" s="11">
        <v>0</v>
      </c>
      <c r="L248" s="11">
        <v>0</v>
      </c>
      <c r="M248" s="11">
        <v>0</v>
      </c>
      <c r="N248" s="11">
        <v>0</v>
      </c>
      <c r="V248" s="11">
        <v>0</v>
      </c>
      <c r="W248" s="11">
        <v>0</v>
      </c>
    </row>
    <row r="249" spans="1:23" ht="18.75" customHeight="1">
      <c r="A249" s="11">
        <v>0</v>
      </c>
      <c r="K249" s="11">
        <v>0</v>
      </c>
      <c r="L249" s="11">
        <v>0</v>
      </c>
      <c r="M249" s="11">
        <v>0</v>
      </c>
      <c r="N249" s="11">
        <v>0</v>
      </c>
      <c r="V249" s="11">
        <v>0</v>
      </c>
      <c r="W249" s="11">
        <v>0</v>
      </c>
    </row>
    <row r="250" spans="1:23" ht="18.75" customHeight="1">
      <c r="A250" s="11">
        <v>0</v>
      </c>
      <c r="K250" s="11">
        <v>0</v>
      </c>
      <c r="L250" s="11">
        <v>0</v>
      </c>
      <c r="M250" s="11">
        <v>0</v>
      </c>
      <c r="N250" s="11">
        <v>0</v>
      </c>
      <c r="V250" s="11">
        <v>0</v>
      </c>
      <c r="W250" s="11">
        <v>0</v>
      </c>
    </row>
    <row r="251" spans="1:23" ht="18.75" customHeight="1">
      <c r="A251" s="11">
        <v>0</v>
      </c>
      <c r="K251" s="11">
        <v>0</v>
      </c>
      <c r="L251" s="11">
        <v>0</v>
      </c>
      <c r="M251" s="11">
        <v>0</v>
      </c>
      <c r="N251" s="11">
        <v>0</v>
      </c>
      <c r="V251" s="11">
        <v>0</v>
      </c>
      <c r="W251" s="11">
        <v>0</v>
      </c>
    </row>
    <row r="252" spans="1:23" ht="18.75" customHeight="1">
      <c r="A252" s="11">
        <v>0</v>
      </c>
      <c r="K252" s="11">
        <v>0</v>
      </c>
      <c r="L252" s="11">
        <v>0</v>
      </c>
      <c r="M252" s="11">
        <v>0</v>
      </c>
      <c r="N252" s="11">
        <v>0</v>
      </c>
      <c r="V252" s="11">
        <v>0</v>
      </c>
      <c r="W252" s="11">
        <v>0</v>
      </c>
    </row>
    <row r="253" spans="1:23" ht="18.75" customHeight="1">
      <c r="A253" s="11">
        <v>0</v>
      </c>
      <c r="K253" s="11">
        <v>0</v>
      </c>
      <c r="L253" s="11">
        <v>0</v>
      </c>
      <c r="M253" s="11">
        <v>0</v>
      </c>
      <c r="N253" s="11">
        <v>0</v>
      </c>
      <c r="V253" s="11">
        <v>0</v>
      </c>
      <c r="W253" s="11">
        <v>0</v>
      </c>
    </row>
    <row r="254" spans="1:23" ht="18.75" customHeight="1">
      <c r="A254" s="11">
        <v>0</v>
      </c>
      <c r="K254" s="11">
        <v>0</v>
      </c>
      <c r="L254" s="11">
        <v>0</v>
      </c>
      <c r="M254" s="11">
        <v>0</v>
      </c>
      <c r="N254" s="11">
        <v>0</v>
      </c>
      <c r="V254" s="11">
        <v>0</v>
      </c>
      <c r="W254" s="11">
        <v>0</v>
      </c>
    </row>
    <row r="255" spans="1:23" ht="18.75" customHeight="1">
      <c r="A255" s="11">
        <v>0</v>
      </c>
      <c r="K255" s="11">
        <v>0</v>
      </c>
      <c r="L255" s="11">
        <v>0</v>
      </c>
      <c r="M255" s="11">
        <v>0</v>
      </c>
      <c r="N255" s="11">
        <v>0</v>
      </c>
      <c r="V255" s="11">
        <v>0</v>
      </c>
      <c r="W255" s="11">
        <v>0</v>
      </c>
    </row>
    <row r="256" spans="1:23" ht="18.75" customHeight="1">
      <c r="A256" s="11">
        <v>0</v>
      </c>
      <c r="K256" s="11">
        <v>0</v>
      </c>
      <c r="L256" s="11">
        <v>0</v>
      </c>
      <c r="M256" s="11">
        <v>0</v>
      </c>
      <c r="N256" s="11">
        <v>0</v>
      </c>
      <c r="V256" s="11">
        <v>0</v>
      </c>
      <c r="W256" s="11">
        <v>0</v>
      </c>
    </row>
    <row r="257" spans="1:23" ht="18.75" customHeight="1">
      <c r="A257" s="11">
        <v>0</v>
      </c>
      <c r="K257" s="11">
        <v>0</v>
      </c>
      <c r="L257" s="11">
        <v>0</v>
      </c>
      <c r="M257" s="11">
        <v>0</v>
      </c>
      <c r="N257" s="11">
        <v>0</v>
      </c>
      <c r="V257" s="11">
        <v>0</v>
      </c>
      <c r="W257" s="11">
        <v>0</v>
      </c>
    </row>
    <row r="258" spans="1:23" ht="18.75" customHeight="1">
      <c r="A258" s="11">
        <v>0</v>
      </c>
      <c r="K258" s="11">
        <v>0</v>
      </c>
      <c r="L258" s="11">
        <v>0</v>
      </c>
      <c r="M258" s="11">
        <v>0</v>
      </c>
      <c r="N258" s="11">
        <v>0</v>
      </c>
      <c r="V258" s="11">
        <v>0</v>
      </c>
      <c r="W258" s="11">
        <v>0</v>
      </c>
    </row>
    <row r="259" spans="1:23" ht="18.75" customHeight="1">
      <c r="A259" s="11">
        <v>0</v>
      </c>
      <c r="K259" s="11">
        <v>0</v>
      </c>
      <c r="L259" s="11">
        <v>0</v>
      </c>
      <c r="M259" s="11">
        <v>0</v>
      </c>
      <c r="N259" s="11">
        <v>0</v>
      </c>
      <c r="V259" s="11">
        <v>0</v>
      </c>
      <c r="W259" s="11">
        <v>0</v>
      </c>
    </row>
    <row r="260" spans="1:23" ht="18.75" customHeight="1">
      <c r="A260" s="11">
        <v>0</v>
      </c>
      <c r="K260" s="11">
        <v>0</v>
      </c>
      <c r="L260" s="11">
        <v>0</v>
      </c>
      <c r="M260" s="11">
        <v>0</v>
      </c>
      <c r="N260" s="11">
        <v>0</v>
      </c>
      <c r="V260" s="11">
        <v>0</v>
      </c>
      <c r="W260" s="11">
        <v>0</v>
      </c>
    </row>
    <row r="261" spans="1:23" ht="18.75" customHeight="1">
      <c r="A261" s="11">
        <v>0</v>
      </c>
      <c r="K261" s="11">
        <v>0</v>
      </c>
      <c r="L261" s="11">
        <v>0</v>
      </c>
      <c r="M261" s="11">
        <v>0</v>
      </c>
      <c r="N261" s="11">
        <v>0</v>
      </c>
      <c r="V261" s="11">
        <v>0</v>
      </c>
      <c r="W261" s="11">
        <v>0</v>
      </c>
    </row>
    <row r="262" spans="1:23" ht="18.75" customHeight="1">
      <c r="A262" s="11">
        <v>0</v>
      </c>
      <c r="K262" s="11">
        <v>0</v>
      </c>
      <c r="L262" s="11">
        <v>0</v>
      </c>
      <c r="M262" s="11">
        <v>0</v>
      </c>
      <c r="N262" s="11">
        <v>0</v>
      </c>
      <c r="V262" s="11">
        <v>0</v>
      </c>
      <c r="W262" s="11">
        <v>0</v>
      </c>
    </row>
    <row r="263" spans="1:23" ht="18.75" customHeight="1">
      <c r="A263" s="11">
        <v>0</v>
      </c>
      <c r="K263" s="11">
        <v>0</v>
      </c>
      <c r="L263" s="11">
        <v>0</v>
      </c>
      <c r="M263" s="11">
        <v>0</v>
      </c>
      <c r="N263" s="11">
        <v>0</v>
      </c>
      <c r="V263" s="11">
        <v>0</v>
      </c>
      <c r="W263" s="11">
        <v>0</v>
      </c>
    </row>
    <row r="264" spans="1:23" ht="18.75" customHeight="1">
      <c r="A264" s="11">
        <v>0</v>
      </c>
      <c r="K264" s="11">
        <v>0</v>
      </c>
      <c r="L264" s="11">
        <v>0</v>
      </c>
      <c r="M264" s="11">
        <v>0</v>
      </c>
      <c r="N264" s="11">
        <v>0</v>
      </c>
      <c r="V264" s="11">
        <v>0</v>
      </c>
      <c r="W264" s="11">
        <v>0</v>
      </c>
    </row>
    <row r="265" spans="1:23" ht="18.75" customHeight="1">
      <c r="A265" s="11">
        <v>0</v>
      </c>
      <c r="K265" s="11">
        <v>0</v>
      </c>
      <c r="L265" s="11">
        <v>0</v>
      </c>
      <c r="M265" s="11">
        <v>0</v>
      </c>
      <c r="N265" s="11">
        <v>0</v>
      </c>
      <c r="V265" s="11">
        <v>0</v>
      </c>
      <c r="W265" s="11">
        <v>0</v>
      </c>
    </row>
    <row r="266" spans="1:23" ht="18.75" customHeight="1">
      <c r="A266" s="11">
        <v>0</v>
      </c>
      <c r="K266" s="11">
        <v>0</v>
      </c>
      <c r="L266" s="11">
        <v>0</v>
      </c>
      <c r="M266" s="11">
        <v>0</v>
      </c>
      <c r="N266" s="11">
        <v>0</v>
      </c>
      <c r="V266" s="11">
        <v>0</v>
      </c>
      <c r="W266" s="11">
        <v>0</v>
      </c>
    </row>
    <row r="267" spans="1:23" ht="18.75" customHeight="1">
      <c r="A267" s="11">
        <v>0</v>
      </c>
      <c r="K267" s="11">
        <v>0</v>
      </c>
      <c r="L267" s="11">
        <v>0</v>
      </c>
      <c r="M267" s="11">
        <v>0</v>
      </c>
      <c r="N267" s="11">
        <v>0</v>
      </c>
      <c r="V267" s="11">
        <v>0</v>
      </c>
      <c r="W267" s="11">
        <v>0</v>
      </c>
    </row>
    <row r="268" spans="1:23" ht="18.75" customHeight="1">
      <c r="A268" s="11">
        <v>0</v>
      </c>
      <c r="K268" s="11">
        <v>0</v>
      </c>
      <c r="L268" s="11">
        <v>0</v>
      </c>
      <c r="M268" s="11">
        <v>0</v>
      </c>
      <c r="N268" s="11">
        <v>0</v>
      </c>
      <c r="V268" s="11">
        <v>0</v>
      </c>
      <c r="W268" s="11">
        <v>0</v>
      </c>
    </row>
    <row r="269" spans="1:23" ht="18.75" customHeight="1">
      <c r="A269" s="11">
        <v>0</v>
      </c>
      <c r="K269" s="11">
        <v>0</v>
      </c>
      <c r="L269" s="11">
        <v>0</v>
      </c>
      <c r="M269" s="11">
        <v>0</v>
      </c>
      <c r="N269" s="11">
        <v>0</v>
      </c>
      <c r="V269" s="11">
        <v>0</v>
      </c>
      <c r="W269" s="11">
        <v>0</v>
      </c>
    </row>
    <row r="270" spans="1:23" ht="18.75" customHeight="1">
      <c r="A270" s="11">
        <v>0</v>
      </c>
      <c r="K270" s="11">
        <v>0</v>
      </c>
      <c r="L270" s="11">
        <v>0</v>
      </c>
      <c r="M270" s="11">
        <v>0</v>
      </c>
      <c r="N270" s="11">
        <v>0</v>
      </c>
      <c r="V270" s="11">
        <v>0</v>
      </c>
      <c r="W270" s="11">
        <v>0</v>
      </c>
    </row>
    <row r="271" spans="1:23" ht="18.75" customHeight="1">
      <c r="A271" s="11">
        <v>0</v>
      </c>
      <c r="M271" s="11">
        <v>0</v>
      </c>
      <c r="N271" s="11">
        <v>0</v>
      </c>
    </row>
    <row r="272" spans="1:23" ht="18.75" customHeight="1">
      <c r="A272" s="11">
        <v>0</v>
      </c>
      <c r="M272" s="11">
        <v>0</v>
      </c>
      <c r="N272" s="11">
        <v>0</v>
      </c>
      <c r="P272" s="11" t="s">
        <v>16</v>
      </c>
    </row>
    <row r="273" spans="1:23" ht="18.75" customHeight="1">
      <c r="A273" s="11">
        <v>0</v>
      </c>
      <c r="F273" s="11" t="s">
        <v>16</v>
      </c>
      <c r="K273" s="11">
        <v>0</v>
      </c>
      <c r="L273" s="11">
        <v>0</v>
      </c>
      <c r="M273" s="11">
        <v>0</v>
      </c>
      <c r="N273" s="11">
        <v>0</v>
      </c>
      <c r="P273" s="11" t="s">
        <v>2</v>
      </c>
      <c r="V273" s="11">
        <v>0</v>
      </c>
      <c r="W273" s="11">
        <v>0</v>
      </c>
    </row>
    <row r="274" spans="1:23" ht="18.75" customHeight="1">
      <c r="A274" s="11">
        <v>0</v>
      </c>
      <c r="B274" s="11" t="s">
        <v>16</v>
      </c>
      <c r="F274" s="11" t="s">
        <v>2</v>
      </c>
      <c r="M274" s="11">
        <v>0</v>
      </c>
      <c r="N274" s="11">
        <v>0</v>
      </c>
    </row>
    <row r="275" spans="1:23" ht="18.75" customHeight="1">
      <c r="A275" s="11">
        <v>0</v>
      </c>
      <c r="B275" s="11" t="s">
        <v>2</v>
      </c>
      <c r="M275" s="11">
        <v>0</v>
      </c>
      <c r="N275" s="11">
        <v>0</v>
      </c>
    </row>
    <row r="276" spans="1:23" ht="18.75" customHeight="1">
      <c r="A276" s="11">
        <v>0</v>
      </c>
      <c r="M276" s="11">
        <v>0</v>
      </c>
      <c r="N276" s="11">
        <v>0</v>
      </c>
    </row>
    <row r="277" spans="1:23" ht="18.75" customHeight="1">
      <c r="A277" s="11">
        <v>0</v>
      </c>
      <c r="M277" s="11">
        <v>0</v>
      </c>
      <c r="N277" s="11">
        <v>0</v>
      </c>
      <c r="P277" s="11" t="s">
        <v>16</v>
      </c>
    </row>
    <row r="278" spans="1:23" ht="18.75" customHeight="1">
      <c r="A278" s="11">
        <v>0</v>
      </c>
      <c r="F278" s="11" t="s">
        <v>16</v>
      </c>
      <c r="K278" s="11">
        <v>0</v>
      </c>
      <c r="L278" s="11">
        <v>0</v>
      </c>
      <c r="M278" s="11">
        <v>0</v>
      </c>
      <c r="N278" s="11">
        <v>0</v>
      </c>
      <c r="P278" s="11" t="s">
        <v>2</v>
      </c>
      <c r="V278" s="11">
        <v>0</v>
      </c>
      <c r="W278" s="11">
        <v>0</v>
      </c>
    </row>
    <row r="279" spans="1:23" ht="18.75" customHeight="1">
      <c r="A279" s="11">
        <v>0</v>
      </c>
      <c r="B279" s="11" t="s">
        <v>16</v>
      </c>
      <c r="F279" s="11" t="s">
        <v>2</v>
      </c>
      <c r="M279" s="11">
        <v>0</v>
      </c>
      <c r="N279" s="11">
        <v>0</v>
      </c>
    </row>
    <row r="280" spans="1:23" ht="18.75" customHeight="1">
      <c r="A280" s="11">
        <v>0</v>
      </c>
      <c r="B280" s="11" t="s">
        <v>2</v>
      </c>
      <c r="M280" s="11">
        <v>0</v>
      </c>
      <c r="N280" s="11">
        <v>0</v>
      </c>
    </row>
    <row r="281" spans="1:23" ht="18.75" customHeight="1">
      <c r="A281" s="11">
        <v>0</v>
      </c>
      <c r="M281" s="11">
        <v>0</v>
      </c>
      <c r="N281" s="11">
        <v>0</v>
      </c>
    </row>
    <row r="282" spans="1:23" ht="18.75" customHeight="1">
      <c r="A282" s="11">
        <v>0</v>
      </c>
      <c r="M282" s="11">
        <v>0</v>
      </c>
      <c r="N282" s="11">
        <v>0</v>
      </c>
    </row>
    <row r="283" spans="1:23" ht="18.75" customHeight="1">
      <c r="A283" s="11" t="s">
        <v>37</v>
      </c>
      <c r="K283" s="11" t="s">
        <v>103</v>
      </c>
      <c r="L283" s="11" t="s">
        <v>101</v>
      </c>
      <c r="N283" s="11">
        <v>0</v>
      </c>
      <c r="V283" s="11" t="s">
        <v>39</v>
      </c>
      <c r="W283" s="11" t="s">
        <v>102</v>
      </c>
    </row>
    <row r="284" spans="1:23" ht="18.75" customHeight="1">
      <c r="A284" s="11">
        <v>0</v>
      </c>
      <c r="K284" s="11">
        <v>0</v>
      </c>
      <c r="L284" s="11">
        <v>0</v>
      </c>
      <c r="M284" s="11">
        <v>0</v>
      </c>
      <c r="N284" s="11">
        <v>0</v>
      </c>
      <c r="P284" s="11" t="s">
        <v>14</v>
      </c>
      <c r="V284" s="11">
        <v>0</v>
      </c>
      <c r="W284" s="11">
        <v>0</v>
      </c>
    </row>
    <row r="285" spans="1:23" ht="18.75" customHeight="1">
      <c r="A285" s="11">
        <v>0</v>
      </c>
      <c r="F285" s="11" t="s">
        <v>14</v>
      </c>
      <c r="M285" s="11">
        <v>0</v>
      </c>
      <c r="N285" s="11">
        <v>0</v>
      </c>
    </row>
    <row r="286" spans="1:23" ht="18.75" customHeight="1">
      <c r="A286" s="11">
        <v>0</v>
      </c>
      <c r="B286" s="11" t="s">
        <v>14</v>
      </c>
      <c r="M286" s="11">
        <v>0</v>
      </c>
      <c r="N286" s="11">
        <v>0</v>
      </c>
    </row>
    <row r="287" spans="1:23" ht="18.75" customHeight="1">
      <c r="A287" s="11">
        <v>0</v>
      </c>
      <c r="M287" s="11">
        <v>0</v>
      </c>
      <c r="N287" s="11">
        <v>0</v>
      </c>
    </row>
    <row r="288" spans="1:23" ht="18.75" customHeight="1">
      <c r="A288" s="11">
        <v>0</v>
      </c>
      <c r="M288" s="11">
        <v>0</v>
      </c>
      <c r="N288" s="11">
        <v>0</v>
      </c>
      <c r="V288" s="11">
        <v>0</v>
      </c>
    </row>
    <row r="289" spans="1:23" ht="18.75" customHeight="1">
      <c r="A289" s="11">
        <v>0</v>
      </c>
      <c r="M289" s="11">
        <v>0</v>
      </c>
      <c r="N289" s="11">
        <v>0</v>
      </c>
      <c r="V289" s="11">
        <v>0</v>
      </c>
    </row>
    <row r="290" spans="1:23" ht="18.75" customHeight="1">
      <c r="A290" s="11">
        <v>0</v>
      </c>
      <c r="M290" s="11">
        <v>0</v>
      </c>
      <c r="N290" s="11">
        <v>0</v>
      </c>
      <c r="V290" s="11">
        <v>0</v>
      </c>
    </row>
    <row r="291" spans="1:23" ht="18.75" customHeight="1">
      <c r="A291" s="11">
        <v>0</v>
      </c>
      <c r="M291" s="11">
        <v>0</v>
      </c>
      <c r="N291" s="11">
        <v>0</v>
      </c>
    </row>
    <row r="292" spans="1:23" ht="18.75" customHeight="1">
      <c r="A292" s="11">
        <v>0</v>
      </c>
      <c r="M292" s="11">
        <v>0</v>
      </c>
      <c r="N292" s="11">
        <v>0</v>
      </c>
    </row>
    <row r="293" spans="1:23" ht="18.75" customHeight="1">
      <c r="A293" s="11" t="s">
        <v>37</v>
      </c>
      <c r="K293" s="11" t="s">
        <v>103</v>
      </c>
      <c r="L293" s="11" t="s">
        <v>101</v>
      </c>
      <c r="N293" s="11">
        <v>0</v>
      </c>
      <c r="V293" s="11" t="s">
        <v>39</v>
      </c>
      <c r="W293" s="11" t="s">
        <v>102</v>
      </c>
    </row>
    <row r="294" spans="1:23" ht="18.75" customHeight="1">
      <c r="A294" s="11">
        <v>0</v>
      </c>
      <c r="K294" s="11">
        <v>0</v>
      </c>
      <c r="L294" s="11">
        <v>0</v>
      </c>
      <c r="M294" s="11">
        <v>0</v>
      </c>
      <c r="N294" s="11">
        <v>0</v>
      </c>
      <c r="P294" s="11" t="s">
        <v>524</v>
      </c>
      <c r="V294" s="11">
        <v>0</v>
      </c>
      <c r="W294" s="11">
        <v>0</v>
      </c>
    </row>
    <row r="295" spans="1:23" ht="18.75" customHeight="1">
      <c r="A295" s="11">
        <v>0</v>
      </c>
      <c r="F295" s="11" t="s">
        <v>524</v>
      </c>
      <c r="K295" s="11">
        <v>0</v>
      </c>
      <c r="M295" s="11">
        <v>0</v>
      </c>
      <c r="N295" s="11">
        <v>0</v>
      </c>
    </row>
    <row r="296" spans="1:23" ht="18.75" customHeight="1">
      <c r="A296" s="11">
        <v>0</v>
      </c>
      <c r="B296" s="11" t="s">
        <v>524</v>
      </c>
      <c r="K296" s="11">
        <v>0</v>
      </c>
      <c r="M296" s="11">
        <v>0</v>
      </c>
      <c r="N296" s="11">
        <v>0</v>
      </c>
    </row>
    <row r="297" spans="1:23" ht="18.75" customHeight="1">
      <c r="A297" s="11">
        <v>0</v>
      </c>
      <c r="K297" s="11">
        <v>0</v>
      </c>
      <c r="M297" s="11">
        <v>0</v>
      </c>
      <c r="N297" s="11">
        <v>0</v>
      </c>
    </row>
    <row r="298" spans="1:23" ht="18.75" customHeight="1">
      <c r="A298" s="11">
        <v>0</v>
      </c>
      <c r="K298" s="11">
        <v>0</v>
      </c>
      <c r="M298" s="11">
        <v>0</v>
      </c>
      <c r="N298" s="11">
        <v>0</v>
      </c>
    </row>
    <row r="299" spans="1:23" ht="18.75" customHeight="1">
      <c r="A299" s="11">
        <v>0</v>
      </c>
      <c r="M299" s="11">
        <v>0</v>
      </c>
      <c r="N299" s="11">
        <v>0</v>
      </c>
    </row>
    <row r="300" spans="1:23" ht="18.75" customHeight="1">
      <c r="A300" s="11">
        <v>0</v>
      </c>
      <c r="M300" s="11">
        <v>0</v>
      </c>
      <c r="N300" s="11">
        <v>0</v>
      </c>
    </row>
    <row r="301" spans="1:23" ht="18.75" customHeight="1">
      <c r="A301" s="11" t="s">
        <v>37</v>
      </c>
      <c r="K301" s="11" t="s">
        <v>103</v>
      </c>
      <c r="L301" s="11" t="s">
        <v>101</v>
      </c>
      <c r="N301" s="11">
        <v>0</v>
      </c>
      <c r="V301" s="11" t="s">
        <v>39</v>
      </c>
      <c r="W301" s="11" t="s">
        <v>102</v>
      </c>
    </row>
    <row r="302" spans="1:23" ht="18.75" customHeight="1">
      <c r="A302" s="11">
        <v>0</v>
      </c>
      <c r="K302" s="11">
        <v>0</v>
      </c>
      <c r="L302" s="11">
        <v>0</v>
      </c>
      <c r="M302" s="11">
        <v>0</v>
      </c>
      <c r="N302" s="11">
        <v>0</v>
      </c>
      <c r="P302" s="11" t="s">
        <v>14</v>
      </c>
      <c r="V302" s="11">
        <v>0</v>
      </c>
      <c r="W302" s="11">
        <v>0</v>
      </c>
    </row>
    <row r="303" spans="1:23" ht="18.75" customHeight="1">
      <c r="A303" s="11">
        <v>0</v>
      </c>
      <c r="F303" s="11" t="s">
        <v>14</v>
      </c>
      <c r="M303" s="11">
        <v>0</v>
      </c>
      <c r="N303" s="11">
        <v>0</v>
      </c>
    </row>
    <row r="304" spans="1:23" ht="18.75" customHeight="1">
      <c r="A304" s="11">
        <v>0</v>
      </c>
      <c r="B304" s="11" t="s">
        <v>14</v>
      </c>
      <c r="M304" s="11">
        <v>0</v>
      </c>
      <c r="N304" s="11">
        <v>0</v>
      </c>
    </row>
    <row r="305" spans="1:24" ht="18.75" customHeight="1">
      <c r="A305" s="11">
        <v>0</v>
      </c>
      <c r="M305" s="11">
        <v>0</v>
      </c>
      <c r="N305" s="11">
        <v>0</v>
      </c>
    </row>
    <row r="306" spans="1:24" ht="18.75" customHeight="1">
      <c r="A306" s="11">
        <v>0</v>
      </c>
      <c r="M306" s="11">
        <v>0</v>
      </c>
      <c r="N306" s="11">
        <v>0</v>
      </c>
      <c r="V306" s="11">
        <v>0</v>
      </c>
    </row>
    <row r="307" spans="1:24" ht="18.75" customHeight="1">
      <c r="A307" s="11">
        <v>0</v>
      </c>
      <c r="M307" s="11">
        <v>0</v>
      </c>
      <c r="N307" s="11">
        <v>0</v>
      </c>
    </row>
    <row r="308" spans="1:24" ht="18.75" customHeight="1">
      <c r="A308" s="11">
        <v>0</v>
      </c>
      <c r="M308" s="11">
        <v>0</v>
      </c>
      <c r="N308" s="11">
        <v>0</v>
      </c>
    </row>
    <row r="309" spans="1:24" ht="18.75" customHeight="1">
      <c r="A309" s="11" t="s">
        <v>37</v>
      </c>
      <c r="K309" s="11" t="s">
        <v>103</v>
      </c>
      <c r="L309" s="11" t="s">
        <v>101</v>
      </c>
      <c r="N309" s="11">
        <v>0</v>
      </c>
      <c r="V309" s="11" t="s">
        <v>39</v>
      </c>
      <c r="W309" s="11" t="s">
        <v>102</v>
      </c>
    </row>
    <row r="310" spans="1:24" ht="18.75" customHeight="1">
      <c r="A310" s="11">
        <v>0</v>
      </c>
      <c r="K310" s="11">
        <v>0</v>
      </c>
      <c r="L310" s="11">
        <v>0</v>
      </c>
      <c r="M310" s="11">
        <v>0</v>
      </c>
      <c r="N310" s="11">
        <v>0</v>
      </c>
      <c r="P310" s="11" t="s">
        <v>524</v>
      </c>
      <c r="V310" s="11">
        <v>0</v>
      </c>
      <c r="W310" s="11">
        <v>0</v>
      </c>
    </row>
    <row r="311" spans="1:24" ht="18.75" customHeight="1">
      <c r="A311" s="11">
        <v>0</v>
      </c>
      <c r="F311" s="11" t="s">
        <v>524</v>
      </c>
      <c r="K311" s="11">
        <v>0</v>
      </c>
      <c r="M311" s="11">
        <v>0</v>
      </c>
      <c r="N311" s="11">
        <v>0</v>
      </c>
    </row>
    <row r="312" spans="1:24" ht="18.75" customHeight="1">
      <c r="A312" s="11">
        <v>0</v>
      </c>
      <c r="B312" s="11" t="s">
        <v>524</v>
      </c>
      <c r="K312" s="11">
        <v>0</v>
      </c>
      <c r="M312" s="11">
        <v>0</v>
      </c>
      <c r="N312" s="11">
        <v>0</v>
      </c>
    </row>
    <row r="313" spans="1:24" ht="18.75" customHeight="1">
      <c r="A313" s="11">
        <v>0</v>
      </c>
      <c r="K313" s="11">
        <v>0</v>
      </c>
      <c r="M313" s="11">
        <v>0</v>
      </c>
      <c r="N313" s="11">
        <v>0</v>
      </c>
    </row>
    <row r="314" spans="1:24" ht="18.75" customHeight="1">
      <c r="A314" s="11">
        <v>0</v>
      </c>
      <c r="M314" s="11">
        <v>0</v>
      </c>
      <c r="N314" s="11">
        <v>0</v>
      </c>
    </row>
    <row r="315" spans="1:24" ht="18.75" customHeight="1">
      <c r="A315" s="11">
        <v>0</v>
      </c>
      <c r="M315" s="11">
        <v>0</v>
      </c>
      <c r="N315" s="11">
        <v>0</v>
      </c>
      <c r="P315" s="11" t="s">
        <v>1811</v>
      </c>
    </row>
    <row r="316" spans="1:24" ht="18.75" customHeight="1">
      <c r="A316" s="11" t="s">
        <v>37</v>
      </c>
      <c r="F316" s="11" t="s">
        <v>1811</v>
      </c>
      <c r="K316" s="11" t="s">
        <v>103</v>
      </c>
      <c r="L316" s="11" t="s">
        <v>101</v>
      </c>
      <c r="N316" s="11">
        <v>0</v>
      </c>
      <c r="P316" s="11" t="s">
        <v>1841</v>
      </c>
      <c r="V316" s="11" t="s">
        <v>39</v>
      </c>
      <c r="W316" s="11" t="s">
        <v>102</v>
      </c>
    </row>
    <row r="317" spans="1:24" ht="18.75" customHeight="1">
      <c r="A317" s="11">
        <v>8</v>
      </c>
      <c r="B317" s="11" t="s">
        <v>1811</v>
      </c>
      <c r="F317" s="11" t="s">
        <v>1841</v>
      </c>
      <c r="K317" s="11">
        <v>1</v>
      </c>
      <c r="L317" s="11">
        <v>9.6000000000000002E-2</v>
      </c>
      <c r="M317" s="11">
        <v>9.6000000000000002E-2</v>
      </c>
      <c r="N317" s="11">
        <v>0</v>
      </c>
      <c r="P317" s="11" t="s">
        <v>2</v>
      </c>
      <c r="V317" s="11">
        <v>0</v>
      </c>
      <c r="W317" s="11">
        <v>1</v>
      </c>
      <c r="X317" s="11">
        <v>0</v>
      </c>
    </row>
    <row r="318" spans="1:24" ht="18.75" customHeight="1">
      <c r="A318" s="11">
        <v>0</v>
      </c>
      <c r="B318" s="11" t="s">
        <v>1841</v>
      </c>
      <c r="F318" s="11" t="s">
        <v>2</v>
      </c>
      <c r="M318" s="11">
        <v>0</v>
      </c>
      <c r="N318" s="11">
        <v>0</v>
      </c>
    </row>
    <row r="319" spans="1:24" ht="18.75" customHeight="1">
      <c r="A319" s="11">
        <v>0</v>
      </c>
      <c r="B319" s="11" t="s">
        <v>2</v>
      </c>
      <c r="M319" s="11">
        <v>0</v>
      </c>
      <c r="N319" s="11">
        <v>0</v>
      </c>
    </row>
    <row r="320" spans="1:24" ht="18.75" customHeight="1">
      <c r="A320" s="11">
        <v>0</v>
      </c>
      <c r="M320" s="11">
        <v>0</v>
      </c>
      <c r="N320" s="11">
        <v>0</v>
      </c>
    </row>
    <row r="321" spans="1:24" ht="18.75" customHeight="1">
      <c r="A321" s="11">
        <v>0</v>
      </c>
      <c r="L321" s="11">
        <v>9.6000000000000002E-2</v>
      </c>
      <c r="M321" s="11">
        <v>0</v>
      </c>
      <c r="N321" s="11">
        <v>0</v>
      </c>
      <c r="V321" s="11">
        <v>0</v>
      </c>
    </row>
    <row r="322" spans="1:24" ht="18.75" customHeight="1">
      <c r="A322" s="11">
        <v>0</v>
      </c>
      <c r="M322" s="11">
        <v>0</v>
      </c>
      <c r="N322" s="11">
        <v>0</v>
      </c>
    </row>
    <row r="323" spans="1:24" ht="18.75" customHeight="1">
      <c r="A323" s="11">
        <v>0</v>
      </c>
      <c r="M323" s="11">
        <v>0</v>
      </c>
      <c r="N323" s="11">
        <v>0</v>
      </c>
    </row>
    <row r="324" spans="1:24" ht="18.75" customHeight="1">
      <c r="A324" s="11" t="s">
        <v>37</v>
      </c>
      <c r="K324" s="11" t="s">
        <v>103</v>
      </c>
      <c r="L324" s="11" t="s">
        <v>101</v>
      </c>
      <c r="N324" s="11">
        <v>0</v>
      </c>
      <c r="V324" s="11" t="s">
        <v>39</v>
      </c>
      <c r="W324" s="11" t="s">
        <v>102</v>
      </c>
    </row>
    <row r="325" spans="1:24" ht="18.75" customHeight="1">
      <c r="A325" s="11">
        <v>0</v>
      </c>
      <c r="K325" s="11">
        <v>4.1130000000000004</v>
      </c>
      <c r="L325" s="11">
        <v>0</v>
      </c>
      <c r="M325" s="11">
        <v>0</v>
      </c>
      <c r="N325" s="11">
        <v>0</v>
      </c>
      <c r="P325" s="11" t="s">
        <v>524</v>
      </c>
      <c r="V325" s="11">
        <v>0</v>
      </c>
      <c r="W325" s="11">
        <v>0</v>
      </c>
    </row>
    <row r="326" spans="1:24" ht="18.75" customHeight="1">
      <c r="A326" s="11">
        <v>0</v>
      </c>
      <c r="F326" s="11" t="s">
        <v>524</v>
      </c>
      <c r="M326" s="11">
        <v>0</v>
      </c>
      <c r="N326" s="11">
        <v>0</v>
      </c>
    </row>
    <row r="327" spans="1:24" ht="18.75" customHeight="1">
      <c r="A327" s="11">
        <v>0</v>
      </c>
      <c r="B327" s="11" t="s">
        <v>524</v>
      </c>
      <c r="M327" s="11">
        <v>0</v>
      </c>
      <c r="N327" s="11">
        <v>0</v>
      </c>
    </row>
    <row r="328" spans="1:24" ht="18.75" customHeight="1">
      <c r="A328" s="11" t="s">
        <v>37</v>
      </c>
      <c r="K328" s="11" t="s">
        <v>103</v>
      </c>
      <c r="L328" s="11" t="s">
        <v>101</v>
      </c>
      <c r="N328" s="11">
        <v>0</v>
      </c>
      <c r="V328" s="11" t="s">
        <v>39</v>
      </c>
      <c r="W328" s="11" t="s">
        <v>102</v>
      </c>
    </row>
    <row r="329" spans="1:24" ht="18.75" customHeight="1">
      <c r="A329" s="11">
        <v>29</v>
      </c>
      <c r="K329" s="11">
        <v>4.1130000000000004</v>
      </c>
      <c r="L329" s="11">
        <v>0</v>
      </c>
      <c r="M329" s="11">
        <v>0</v>
      </c>
      <c r="N329" s="11">
        <v>0</v>
      </c>
      <c r="P329" s="11" t="s">
        <v>524</v>
      </c>
      <c r="V329" s="11">
        <v>0</v>
      </c>
      <c r="W329" s="11">
        <v>309</v>
      </c>
      <c r="X329" s="11">
        <v>0</v>
      </c>
    </row>
    <row r="330" spans="1:24" ht="18.75" customHeight="1">
      <c r="A330" s="11">
        <v>0</v>
      </c>
      <c r="F330" s="11" t="s">
        <v>524</v>
      </c>
      <c r="M330" s="11">
        <v>0</v>
      </c>
      <c r="N330" s="11">
        <v>0</v>
      </c>
    </row>
    <row r="331" spans="1:24" ht="18.75" customHeight="1">
      <c r="A331" s="11" t="s">
        <v>1076</v>
      </c>
      <c r="B331" s="11" t="s">
        <v>524</v>
      </c>
      <c r="L331" s="11" t="s">
        <v>54</v>
      </c>
      <c r="N331" s="11">
        <v>0</v>
      </c>
    </row>
    <row r="332" spans="1:24" ht="18.75" customHeight="1">
      <c r="A332" s="11">
        <v>0</v>
      </c>
      <c r="L332" s="11" t="s">
        <v>55</v>
      </c>
      <c r="N332" s="11">
        <v>0</v>
      </c>
    </row>
    <row r="333" spans="1:24" ht="18.75" customHeight="1">
      <c r="A333" s="11">
        <v>0</v>
      </c>
      <c r="M333" s="11">
        <v>0</v>
      </c>
      <c r="N333" s="11">
        <v>0</v>
      </c>
    </row>
    <row r="334" spans="1:24" ht="18.75" customHeight="1">
      <c r="A334" s="11">
        <v>0</v>
      </c>
      <c r="M334" s="11">
        <v>0</v>
      </c>
      <c r="N334" s="11">
        <v>0</v>
      </c>
    </row>
    <row r="335" spans="1:24" ht="18.75" customHeight="1">
      <c r="A335" s="11">
        <v>0</v>
      </c>
      <c r="M335" s="11">
        <v>0</v>
      </c>
      <c r="N335" s="11">
        <v>0</v>
      </c>
    </row>
    <row r="336" spans="1:24" ht="18.75" customHeight="1">
      <c r="A336" s="11">
        <v>0</v>
      </c>
      <c r="M336" s="11">
        <v>0</v>
      </c>
      <c r="N336" s="11">
        <v>0</v>
      </c>
      <c r="P336" s="11" t="s">
        <v>16</v>
      </c>
    </row>
    <row r="337" spans="1:23" ht="18.75" customHeight="1">
      <c r="A337" s="11">
        <v>0</v>
      </c>
      <c r="F337" s="11" t="s">
        <v>16</v>
      </c>
      <c r="K337" s="11">
        <v>0</v>
      </c>
      <c r="L337" s="11">
        <v>0</v>
      </c>
      <c r="M337" s="11">
        <v>0</v>
      </c>
      <c r="N337" s="11">
        <v>0</v>
      </c>
      <c r="P337" s="11" t="s">
        <v>2</v>
      </c>
      <c r="V337" s="11">
        <v>0</v>
      </c>
      <c r="W337" s="11">
        <v>0</v>
      </c>
    </row>
    <row r="338" spans="1:23" ht="18.75" customHeight="1">
      <c r="A338" s="11">
        <v>0</v>
      </c>
      <c r="B338" s="11" t="s">
        <v>16</v>
      </c>
      <c r="F338" s="11" t="s">
        <v>2</v>
      </c>
      <c r="M338" s="11">
        <v>0</v>
      </c>
      <c r="N338" s="11">
        <v>0</v>
      </c>
    </row>
    <row r="339" spans="1:23" ht="18.75" customHeight="1">
      <c r="A339" s="11">
        <v>0</v>
      </c>
      <c r="B339" s="11" t="s">
        <v>2</v>
      </c>
      <c r="M339" s="11">
        <v>0</v>
      </c>
      <c r="N339" s="11">
        <v>0</v>
      </c>
    </row>
    <row r="340" spans="1:23" ht="18.75" customHeight="1">
      <c r="A340" s="11">
        <v>0</v>
      </c>
      <c r="M340" s="11">
        <v>0</v>
      </c>
      <c r="N340" s="11">
        <v>0</v>
      </c>
    </row>
    <row r="341" spans="1:23" ht="18.75" customHeight="1">
      <c r="A341" s="11">
        <v>0</v>
      </c>
      <c r="M341" s="11">
        <v>0</v>
      </c>
      <c r="N341" s="11">
        <v>0</v>
      </c>
      <c r="P341" s="11" t="s">
        <v>16</v>
      </c>
    </row>
    <row r="342" spans="1:23" ht="18.75" customHeight="1">
      <c r="A342" s="11">
        <v>0</v>
      </c>
      <c r="F342" s="11" t="s">
        <v>16</v>
      </c>
      <c r="K342" s="11">
        <v>0</v>
      </c>
      <c r="L342" s="11">
        <v>0</v>
      </c>
      <c r="M342" s="11">
        <v>0</v>
      </c>
      <c r="N342" s="11">
        <v>0</v>
      </c>
      <c r="P342" s="11" t="s">
        <v>2</v>
      </c>
      <c r="V342" s="11">
        <v>0</v>
      </c>
      <c r="W342" s="11">
        <v>0</v>
      </c>
    </row>
    <row r="343" spans="1:23" ht="18.75" customHeight="1">
      <c r="A343" s="11">
        <v>0</v>
      </c>
      <c r="B343" s="11" t="s">
        <v>16</v>
      </c>
      <c r="F343" s="11" t="s">
        <v>2</v>
      </c>
      <c r="M343" s="11">
        <v>0</v>
      </c>
      <c r="N343" s="11">
        <v>0</v>
      </c>
    </row>
    <row r="344" spans="1:23" ht="18.75" customHeight="1">
      <c r="A344" s="11">
        <v>0</v>
      </c>
      <c r="B344" s="11" t="s">
        <v>2</v>
      </c>
      <c r="M344" s="11">
        <v>0</v>
      </c>
      <c r="N344" s="11">
        <v>0</v>
      </c>
    </row>
    <row r="345" spans="1:23" ht="18.75" customHeight="1">
      <c r="A345" s="11">
        <v>0</v>
      </c>
      <c r="M345" s="11">
        <v>0</v>
      </c>
      <c r="N345" s="11">
        <v>0</v>
      </c>
    </row>
    <row r="346" spans="1:23" ht="18.75" customHeight="1">
      <c r="A346" s="11">
        <v>0</v>
      </c>
      <c r="M346" s="11">
        <v>0</v>
      </c>
      <c r="N346" s="11">
        <v>0</v>
      </c>
    </row>
    <row r="347" spans="1:23" ht="18.75" customHeight="1">
      <c r="A347" s="11" t="s">
        <v>37</v>
      </c>
      <c r="K347" s="11" t="s">
        <v>103</v>
      </c>
      <c r="L347" s="11" t="s">
        <v>101</v>
      </c>
      <c r="N347" s="11">
        <v>0</v>
      </c>
      <c r="V347" s="11" t="s">
        <v>39</v>
      </c>
      <c r="W347" s="11" t="s">
        <v>102</v>
      </c>
    </row>
    <row r="348" spans="1:23" ht="18.75" customHeight="1">
      <c r="A348" s="11">
        <v>0</v>
      </c>
      <c r="K348" s="11">
        <v>0</v>
      </c>
      <c r="L348" s="11">
        <v>0</v>
      </c>
      <c r="M348" s="11">
        <v>0</v>
      </c>
      <c r="N348" s="11">
        <v>0</v>
      </c>
      <c r="P348" s="11" t="s">
        <v>524</v>
      </c>
      <c r="V348" s="11">
        <v>0</v>
      </c>
      <c r="W348" s="11">
        <v>0</v>
      </c>
    </row>
    <row r="349" spans="1:23" ht="18.75" customHeight="1">
      <c r="A349" s="11">
        <v>0</v>
      </c>
      <c r="F349" s="11" t="s">
        <v>524</v>
      </c>
      <c r="M349" s="11">
        <v>0</v>
      </c>
      <c r="N349" s="11">
        <v>0</v>
      </c>
    </row>
    <row r="350" spans="1:23" ht="18.75" customHeight="1">
      <c r="A350" s="11">
        <v>0</v>
      </c>
      <c r="B350" s="11" t="s">
        <v>524</v>
      </c>
      <c r="M350" s="11">
        <v>0</v>
      </c>
      <c r="N350" s="11">
        <v>0</v>
      </c>
    </row>
    <row r="351" spans="1:23" ht="18.75" customHeight="1">
      <c r="A351" s="11">
        <v>0</v>
      </c>
      <c r="M351" s="11">
        <v>0</v>
      </c>
      <c r="N351" s="11">
        <v>0</v>
      </c>
    </row>
    <row r="352" spans="1:23" ht="18.75" customHeight="1">
      <c r="A352" s="11">
        <v>0</v>
      </c>
      <c r="M352" s="11">
        <v>0</v>
      </c>
      <c r="N352" s="11">
        <v>0</v>
      </c>
    </row>
    <row r="353" spans="1:14" ht="18.75" customHeight="1">
      <c r="A353" s="11">
        <v>0</v>
      </c>
      <c r="M353" s="11">
        <v>0</v>
      </c>
      <c r="N353" s="11">
        <v>0</v>
      </c>
    </row>
  </sheetData>
  <mergeCells count="4">
    <mergeCell ref="A1:Q1"/>
    <mergeCell ref="F2:J2"/>
    <mergeCell ref="AK2:AL2"/>
    <mergeCell ref="AK3:AL3"/>
  </mergeCells>
  <phoneticPr fontId="42" type="noConversion"/>
  <conditionalFormatting sqref="A3">
    <cfRule type="expression" dxfId="89" priority="21" stopIfTrue="1">
      <formula>AI3&lt;&gt;""</formula>
    </cfRule>
  </conditionalFormatting>
  <conditionalFormatting sqref="B3">
    <cfRule type="expression" dxfId="88" priority="20" stopIfTrue="1">
      <formula>AI3&lt;&gt;""</formula>
    </cfRule>
  </conditionalFormatting>
  <conditionalFormatting sqref="C3">
    <cfRule type="expression" dxfId="87" priority="19" stopIfTrue="1">
      <formula>AI3&lt;&gt;""</formula>
    </cfRule>
  </conditionalFormatting>
  <conditionalFormatting sqref="D3">
    <cfRule type="expression" dxfId="86" priority="18" stopIfTrue="1">
      <formula>AI3&lt;&gt;""</formula>
    </cfRule>
  </conditionalFormatting>
  <conditionalFormatting sqref="E3">
    <cfRule type="expression" dxfId="85" priority="17" stopIfTrue="1">
      <formula>AI3&lt;&gt;""</formula>
    </cfRule>
  </conditionalFormatting>
  <conditionalFormatting sqref="F3">
    <cfRule type="expression" dxfId="84" priority="16" stopIfTrue="1">
      <formula>AI3&lt;&gt;""</formula>
    </cfRule>
  </conditionalFormatting>
  <conditionalFormatting sqref="G3">
    <cfRule type="expression" dxfId="83" priority="15" stopIfTrue="1">
      <formula>AI3&lt;&gt;""</formula>
    </cfRule>
  </conditionalFormatting>
  <conditionalFormatting sqref="H3">
    <cfRule type="expression" dxfId="82" priority="14" stopIfTrue="1">
      <formula>AI3&lt;&gt;""</formula>
    </cfRule>
  </conditionalFormatting>
  <conditionalFormatting sqref="I3">
    <cfRule type="expression" dxfId="81" priority="13" stopIfTrue="1">
      <formula>AI3&lt;&gt;""</formula>
    </cfRule>
  </conditionalFormatting>
  <conditionalFormatting sqref="J3">
    <cfRule type="expression" dxfId="80" priority="12" stopIfTrue="1">
      <formula>AI3&lt;&gt;""</formula>
    </cfRule>
  </conditionalFormatting>
  <conditionalFormatting sqref="K3">
    <cfRule type="expression" dxfId="79" priority="11" stopIfTrue="1">
      <formula>AI3&lt;&gt;""</formula>
    </cfRule>
  </conditionalFormatting>
  <conditionalFormatting sqref="L3">
    <cfRule type="expression" dxfId="78" priority="10" stopIfTrue="1">
      <formula>AI3&lt;&gt;""</formula>
    </cfRule>
  </conditionalFormatting>
  <conditionalFormatting sqref="M3">
    <cfRule type="expression" dxfId="77" priority="9" stopIfTrue="1">
      <formula>AI3&lt;&gt;""</formula>
    </cfRule>
  </conditionalFormatting>
  <conditionalFormatting sqref="N3">
    <cfRule type="containsErrors" dxfId="76" priority="6" stopIfTrue="1">
      <formula>ISERROR(N3)</formula>
    </cfRule>
    <cfRule type="cellIs" dxfId="75" priority="7" stopIfTrue="1" operator="equal">
      <formula>0</formula>
    </cfRule>
    <cfRule type="expression" dxfId="74" priority="8" stopIfTrue="1">
      <formula>AI3&lt;&gt;""</formula>
    </cfRule>
  </conditionalFormatting>
  <conditionalFormatting sqref="O3">
    <cfRule type="containsErrors" dxfId="73" priority="3" stopIfTrue="1">
      <formula>ISERROR(O3)</formula>
    </cfRule>
    <cfRule type="cellIs" dxfId="72" priority="4" stopIfTrue="1" operator="equal">
      <formula>0</formula>
    </cfRule>
    <cfRule type="expression" dxfId="71" priority="5" stopIfTrue="1">
      <formula>AI3&lt;&gt;""</formula>
    </cfRule>
  </conditionalFormatting>
  <conditionalFormatting sqref="P3">
    <cfRule type="expression" dxfId="70" priority="2" stopIfTrue="1">
      <formula>AI3&lt;&gt;""</formula>
    </cfRule>
  </conditionalFormatting>
  <conditionalFormatting sqref="Q3">
    <cfRule type="expression" dxfId="69" priority="1" stopIfTrue="1">
      <formula>AI3&lt;&gt;""</formula>
    </cfRule>
  </conditionalFormatting>
  <printOptions gridLinesSet="0"/>
  <pageMargins left="0.41" right="0.19" top="0.14000000000000001" bottom="0.56000000000000005" header="0.16" footer="0.49212598499999999"/>
  <pageSetup paperSize="9" orientation="portrait" horizontalDpi="300" verticalDpi="300" r:id="rId1"/>
  <headerFooter alignWithMargins="0">
    <oddFooter>&amp;L
&amp;K808080&amp;"Trebuchet MS"CLASSIFICAÇÃO DO DOCUMENTO: INTERNO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otao_editar_TOTAL">
                <anchor moveWithCells="1" sizeWithCells="1">
                  <from>
                    <xdr:col>38</xdr:col>
                    <xdr:colOff>30480</xdr:colOff>
                    <xdr:row>0</xdr:row>
                    <xdr:rowOff>213360</xdr:rowOff>
                  </from>
                  <to>
                    <xdr:col>40</xdr:col>
                    <xdr:colOff>441960</xdr:colOff>
                    <xdr:row>2</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AS22"/>
  <sheetViews>
    <sheetView showGridLines="0" zoomScaleNormal="100" workbookViewId="0">
      <selection activeCell="AH11" sqref="AH11"/>
    </sheetView>
  </sheetViews>
  <sheetFormatPr defaultColWidth="3.6640625" defaultRowHeight="13.2"/>
  <cols>
    <col min="1" max="1" width="4.5546875" customWidth="1"/>
    <col min="29" max="31" width="0" hidden="1" customWidth="1"/>
    <col min="32" max="32" width="14.44140625" style="1" customWidth="1"/>
    <col min="33" max="62" width="14.44140625" customWidth="1"/>
  </cols>
  <sheetData>
    <row r="1" spans="1:45" ht="12.75" customHeight="1">
      <c r="A1" s="864"/>
      <c r="B1" s="865"/>
      <c r="C1" s="865"/>
      <c r="D1" s="865"/>
      <c r="E1" s="865"/>
      <c r="F1" s="865"/>
      <c r="G1" s="865"/>
      <c r="H1" s="866"/>
      <c r="I1" s="839" t="str">
        <f>AG2&amp;" - "&amp;AH2</f>
        <v xml:space="preserve"> - </v>
      </c>
      <c r="J1" s="840"/>
      <c r="K1" s="840"/>
      <c r="L1" s="840"/>
      <c r="M1" s="840"/>
      <c r="N1" s="840"/>
      <c r="O1" s="840"/>
      <c r="P1" s="840"/>
      <c r="Q1" s="840"/>
      <c r="R1" s="840"/>
      <c r="S1" s="840"/>
      <c r="T1" s="840"/>
      <c r="U1" s="840"/>
      <c r="V1" s="840"/>
      <c r="W1" s="840"/>
      <c r="X1" s="840"/>
      <c r="Y1" s="840"/>
      <c r="Z1" s="840"/>
      <c r="AA1" s="841"/>
      <c r="AF1" s="137" t="s">
        <v>670</v>
      </c>
      <c r="AG1" s="137" t="s">
        <v>680</v>
      </c>
      <c r="AH1" s="137" t="s">
        <v>681</v>
      </c>
      <c r="AI1" s="309" t="s">
        <v>1013</v>
      </c>
      <c r="AJ1" s="137" t="s">
        <v>682</v>
      </c>
    </row>
    <row r="2" spans="1:45" ht="12.75" customHeight="1">
      <c r="A2" s="867"/>
      <c r="B2" s="868"/>
      <c r="C2" s="868"/>
      <c r="D2" s="868"/>
      <c r="E2" s="868"/>
      <c r="F2" s="868"/>
      <c r="G2" s="868"/>
      <c r="H2" s="869"/>
      <c r="I2" s="842"/>
      <c r="J2" s="843"/>
      <c r="K2" s="843"/>
      <c r="L2" s="843"/>
      <c r="M2" s="843"/>
      <c r="N2" s="843"/>
      <c r="O2" s="843"/>
      <c r="P2" s="843"/>
      <c r="Q2" s="843"/>
      <c r="R2" s="843"/>
      <c r="S2" s="843"/>
      <c r="T2" s="843"/>
      <c r="U2" s="843"/>
      <c r="V2" s="843"/>
      <c r="W2" s="843"/>
      <c r="X2" s="843"/>
      <c r="Y2" s="843"/>
      <c r="Z2" s="843"/>
      <c r="AA2" s="844"/>
      <c r="AF2" s="134"/>
      <c r="AG2" s="309"/>
      <c r="AH2" s="309"/>
      <c r="AI2" s="309"/>
      <c r="AJ2" s="309"/>
    </row>
    <row r="3" spans="1:45" ht="12.75" customHeight="1">
      <c r="A3" s="867"/>
      <c r="B3" s="868"/>
      <c r="C3" s="868"/>
      <c r="D3" s="868"/>
      <c r="E3" s="868"/>
      <c r="F3" s="868"/>
      <c r="G3" s="868"/>
      <c r="H3" s="869"/>
      <c r="I3" s="839" t="str">
        <f>AI2&amp;" - "&amp;AJ2&amp;""</f>
        <v xml:space="preserve"> - </v>
      </c>
      <c r="J3" s="856"/>
      <c r="K3" s="856"/>
      <c r="L3" s="856"/>
      <c r="M3" s="856"/>
      <c r="N3" s="856"/>
      <c r="O3" s="856"/>
      <c r="P3" s="856"/>
      <c r="Q3" s="856"/>
      <c r="R3" s="856"/>
      <c r="S3" s="856"/>
      <c r="T3" s="856"/>
      <c r="U3" s="856"/>
      <c r="V3" s="856"/>
      <c r="W3" s="856"/>
      <c r="X3" s="856"/>
      <c r="Y3" s="856"/>
      <c r="Z3" s="856"/>
      <c r="AA3" s="857"/>
      <c r="AF3" s="282"/>
      <c r="AS3" s="58"/>
    </row>
    <row r="4" spans="1:45" ht="12.75" customHeight="1">
      <c r="A4" s="867"/>
      <c r="B4" s="868"/>
      <c r="C4" s="868"/>
      <c r="D4" s="868"/>
      <c r="E4" s="868"/>
      <c r="F4" s="868"/>
      <c r="G4" s="868"/>
      <c r="H4" s="869"/>
      <c r="I4" s="858"/>
      <c r="J4" s="859"/>
      <c r="K4" s="859"/>
      <c r="L4" s="859"/>
      <c r="M4" s="859"/>
      <c r="N4" s="859"/>
      <c r="O4" s="859"/>
      <c r="P4" s="859"/>
      <c r="Q4" s="859"/>
      <c r="R4" s="859"/>
      <c r="S4" s="859"/>
      <c r="T4" s="859"/>
      <c r="U4" s="859"/>
      <c r="V4" s="859"/>
      <c r="W4" s="859"/>
      <c r="X4" s="859"/>
      <c r="Y4" s="859"/>
      <c r="Z4" s="859"/>
      <c r="AA4" s="860"/>
      <c r="AR4" s="58"/>
    </row>
    <row r="5" spans="1:45" ht="5.0999999999999996" customHeight="1">
      <c r="A5" s="867"/>
      <c r="B5" s="868"/>
      <c r="C5" s="868"/>
      <c r="D5" s="868"/>
      <c r="E5" s="868"/>
      <c r="F5" s="868"/>
      <c r="G5" s="868"/>
      <c r="H5" s="869"/>
      <c r="I5" s="861"/>
      <c r="J5" s="862"/>
      <c r="K5" s="862"/>
      <c r="L5" s="862"/>
      <c r="M5" s="862"/>
      <c r="N5" s="862"/>
      <c r="O5" s="862"/>
      <c r="P5" s="862"/>
      <c r="Q5" s="862"/>
      <c r="R5" s="862"/>
      <c r="S5" s="862"/>
      <c r="T5" s="862"/>
      <c r="U5" s="862"/>
      <c r="V5" s="862"/>
      <c r="W5" s="862"/>
      <c r="X5" s="862"/>
      <c r="Y5" s="862"/>
      <c r="Z5" s="862"/>
      <c r="AA5" s="863"/>
    </row>
    <row r="6" spans="1:45" ht="16.5" customHeight="1">
      <c r="A6" s="867"/>
      <c r="B6" s="868"/>
      <c r="C6" s="868"/>
      <c r="D6" s="868"/>
      <c r="E6" s="868"/>
      <c r="F6" s="868"/>
      <c r="G6" s="868"/>
      <c r="H6" s="869"/>
      <c r="I6" s="848" t="s">
        <v>667</v>
      </c>
      <c r="J6" s="849"/>
      <c r="K6" s="849"/>
      <c r="L6" s="849"/>
      <c r="M6" s="849"/>
      <c r="N6" s="849"/>
      <c r="O6" s="849"/>
      <c r="P6" s="849"/>
      <c r="Q6" s="849"/>
      <c r="R6" s="849"/>
      <c r="S6" s="849"/>
      <c r="T6" s="849"/>
      <c r="U6" s="850"/>
      <c r="V6" s="873" t="s">
        <v>668</v>
      </c>
      <c r="W6" s="873"/>
      <c r="X6" s="874"/>
      <c r="Y6" s="848" t="s">
        <v>669</v>
      </c>
      <c r="Z6" s="849"/>
      <c r="AA6" s="850"/>
    </row>
    <row r="7" spans="1:45" ht="16.5" customHeight="1">
      <c r="A7" s="870"/>
      <c r="B7" s="871"/>
      <c r="C7" s="871"/>
      <c r="D7" s="871"/>
      <c r="E7" s="871"/>
      <c r="F7" s="871"/>
      <c r="G7" s="871"/>
      <c r="H7" s="872"/>
      <c r="I7" s="845" t="str">
        <f>"CS"&amp;AF2</f>
        <v>CS</v>
      </c>
      <c r="J7" s="846"/>
      <c r="K7" s="846"/>
      <c r="L7" s="846"/>
      <c r="M7" s="846"/>
      <c r="N7" s="846"/>
      <c r="O7" s="846"/>
      <c r="P7" s="846"/>
      <c r="Q7" s="846"/>
      <c r="R7" s="846"/>
      <c r="S7" s="846"/>
      <c r="T7" s="846"/>
      <c r="U7" s="847"/>
      <c r="V7" s="854" t="s">
        <v>679</v>
      </c>
      <c r="W7" s="855"/>
      <c r="X7" s="855"/>
      <c r="Y7" s="851" t="s">
        <v>1905</v>
      </c>
      <c r="Z7" s="852"/>
      <c r="AA7" s="853"/>
    </row>
    <row r="8" spans="1:45" ht="5.0999999999999996" customHeight="1">
      <c r="A8" s="826"/>
      <c r="B8" s="826"/>
      <c r="C8" s="826"/>
      <c r="D8" s="826"/>
      <c r="E8" s="826"/>
      <c r="F8" s="826"/>
      <c r="G8" s="826"/>
      <c r="H8" s="826"/>
      <c r="I8" s="826"/>
      <c r="J8" s="826"/>
      <c r="K8" s="826"/>
      <c r="L8" s="826"/>
      <c r="M8" s="826"/>
      <c r="N8" s="826"/>
      <c r="O8" s="826"/>
      <c r="P8" s="826"/>
      <c r="Q8" s="826"/>
      <c r="R8" s="826"/>
      <c r="S8" s="826"/>
      <c r="T8" s="826"/>
      <c r="U8" s="826"/>
      <c r="V8" s="826"/>
      <c r="W8" s="826"/>
      <c r="X8" s="826"/>
      <c r="Y8" s="826"/>
      <c r="Z8" s="826"/>
      <c r="AA8" s="826"/>
    </row>
    <row r="9" spans="1:45" ht="15.6">
      <c r="A9" s="6" t="s">
        <v>23</v>
      </c>
      <c r="B9" s="875" t="s">
        <v>501</v>
      </c>
      <c r="C9" s="876"/>
      <c r="D9" s="877"/>
      <c r="E9" s="837" t="s">
        <v>502</v>
      </c>
      <c r="F9" s="837"/>
      <c r="G9" s="837"/>
      <c r="H9" s="838" t="s">
        <v>666</v>
      </c>
      <c r="I9" s="838"/>
      <c r="J9" s="838" t="s">
        <v>500</v>
      </c>
      <c r="K9" s="838"/>
      <c r="L9" s="838"/>
      <c r="M9" s="838"/>
      <c r="N9" s="838"/>
      <c r="O9" s="838"/>
      <c r="P9" s="838"/>
      <c r="Q9" s="838"/>
      <c r="R9" s="838"/>
      <c r="S9" s="838"/>
      <c r="T9" s="838"/>
      <c r="U9" s="838"/>
      <c r="V9" s="838"/>
      <c r="W9" s="838"/>
      <c r="X9" s="838"/>
      <c r="Y9" s="838"/>
      <c r="Z9" s="838"/>
      <c r="AA9" s="838"/>
    </row>
    <row r="10" spans="1:45" ht="25.5" customHeight="1">
      <c r="A10" s="7"/>
      <c r="B10" s="829"/>
      <c r="C10" s="830"/>
      <c r="D10" s="830"/>
      <c r="E10" s="832"/>
      <c r="F10" s="833"/>
      <c r="G10" s="834"/>
      <c r="H10" s="835"/>
      <c r="I10" s="836"/>
      <c r="J10" s="831"/>
      <c r="K10" s="828"/>
      <c r="L10" s="828"/>
      <c r="M10" s="828"/>
      <c r="N10" s="828"/>
      <c r="O10" s="828"/>
      <c r="P10" s="828"/>
      <c r="Q10" s="828"/>
      <c r="R10" s="828"/>
      <c r="S10" s="828"/>
      <c r="T10" s="828"/>
      <c r="U10" s="828"/>
      <c r="V10" s="828"/>
      <c r="W10" s="828"/>
      <c r="X10" s="828"/>
      <c r="Y10" s="828"/>
      <c r="Z10" s="828"/>
      <c r="AA10" s="828"/>
    </row>
    <row r="11" spans="1:45" ht="25.5" customHeight="1">
      <c r="A11" s="7"/>
      <c r="B11" s="822"/>
      <c r="C11" s="823"/>
      <c r="D11" s="824"/>
      <c r="E11" s="825"/>
      <c r="F11" s="826"/>
      <c r="G11" s="827"/>
      <c r="H11" s="828"/>
      <c r="I11" s="828"/>
      <c r="J11" s="828"/>
      <c r="K11" s="828"/>
      <c r="L11" s="828"/>
      <c r="M11" s="828"/>
      <c r="N11" s="828"/>
      <c r="O11" s="828"/>
      <c r="P11" s="828"/>
      <c r="Q11" s="828"/>
      <c r="R11" s="828"/>
      <c r="S11" s="828"/>
      <c r="T11" s="828"/>
      <c r="U11" s="828"/>
      <c r="V11" s="828"/>
      <c r="W11" s="828"/>
      <c r="X11" s="828"/>
      <c r="Y11" s="828"/>
      <c r="Z11" s="828"/>
      <c r="AA11" s="828"/>
    </row>
    <row r="12" spans="1:45" ht="25.5" customHeight="1">
      <c r="A12" s="7"/>
      <c r="B12" s="822"/>
      <c r="C12" s="823"/>
      <c r="D12" s="824"/>
      <c r="E12" s="825"/>
      <c r="F12" s="826"/>
      <c r="G12" s="827"/>
      <c r="H12" s="828"/>
      <c r="I12" s="828"/>
      <c r="J12" s="828"/>
      <c r="K12" s="828"/>
      <c r="L12" s="828"/>
      <c r="M12" s="828"/>
      <c r="N12" s="828"/>
      <c r="O12" s="828"/>
      <c r="P12" s="828"/>
      <c r="Q12" s="828"/>
      <c r="R12" s="828"/>
      <c r="S12" s="828"/>
      <c r="T12" s="828"/>
      <c r="U12" s="828"/>
      <c r="V12" s="828"/>
      <c r="W12" s="828"/>
      <c r="X12" s="828"/>
      <c r="Y12" s="828"/>
      <c r="Z12" s="828"/>
      <c r="AA12" s="828"/>
    </row>
    <row r="13" spans="1:45" ht="25.5" customHeight="1">
      <c r="A13" s="7"/>
      <c r="B13" s="822"/>
      <c r="C13" s="823"/>
      <c r="D13" s="824"/>
      <c r="E13" s="825"/>
      <c r="F13" s="826"/>
      <c r="G13" s="827"/>
      <c r="H13" s="828"/>
      <c r="I13" s="828"/>
      <c r="J13" s="828"/>
      <c r="K13" s="828"/>
      <c r="L13" s="828"/>
      <c r="M13" s="828"/>
      <c r="N13" s="828"/>
      <c r="O13" s="828"/>
      <c r="P13" s="828"/>
      <c r="Q13" s="828"/>
      <c r="R13" s="828"/>
      <c r="S13" s="828"/>
      <c r="T13" s="828"/>
      <c r="U13" s="828"/>
      <c r="V13" s="828"/>
      <c r="W13" s="828"/>
      <c r="X13" s="828"/>
      <c r="Y13" s="828"/>
      <c r="Z13" s="828"/>
      <c r="AA13" s="828"/>
    </row>
    <row r="14" spans="1:45" ht="25.5" customHeight="1">
      <c r="A14" s="7"/>
      <c r="B14" s="822"/>
      <c r="C14" s="823"/>
      <c r="D14" s="824"/>
      <c r="E14" s="825"/>
      <c r="F14" s="826"/>
      <c r="G14" s="827"/>
      <c r="H14" s="828"/>
      <c r="I14" s="828"/>
      <c r="J14" s="828"/>
      <c r="K14" s="828"/>
      <c r="L14" s="828"/>
      <c r="M14" s="828"/>
      <c r="N14" s="828"/>
      <c r="O14" s="828"/>
      <c r="P14" s="828"/>
      <c r="Q14" s="828"/>
      <c r="R14" s="828"/>
      <c r="S14" s="828"/>
      <c r="T14" s="828"/>
      <c r="U14" s="828"/>
      <c r="V14" s="828"/>
      <c r="W14" s="828"/>
      <c r="X14" s="828"/>
      <c r="Y14" s="828"/>
      <c r="Z14" s="828"/>
      <c r="AA14" s="828"/>
    </row>
    <row r="15" spans="1:45" ht="25.5" customHeight="1">
      <c r="A15" s="7"/>
      <c r="B15" s="822"/>
      <c r="C15" s="823"/>
      <c r="D15" s="824"/>
      <c r="E15" s="825"/>
      <c r="F15" s="826"/>
      <c r="G15" s="827"/>
      <c r="H15" s="828"/>
      <c r="I15" s="828"/>
      <c r="J15" s="828"/>
      <c r="K15" s="828"/>
      <c r="L15" s="828"/>
      <c r="M15" s="828"/>
      <c r="N15" s="828"/>
      <c r="O15" s="828"/>
      <c r="P15" s="828"/>
      <c r="Q15" s="828"/>
      <c r="R15" s="828"/>
      <c r="S15" s="828"/>
      <c r="T15" s="828"/>
      <c r="U15" s="828"/>
      <c r="V15" s="828"/>
      <c r="W15" s="828"/>
      <c r="X15" s="828"/>
      <c r="Y15" s="828"/>
      <c r="Z15" s="828"/>
      <c r="AA15" s="828"/>
    </row>
    <row r="16" spans="1:45" ht="25.5" customHeight="1">
      <c r="A16" s="7"/>
      <c r="B16" s="822"/>
      <c r="C16" s="823"/>
      <c r="D16" s="824"/>
      <c r="E16" s="825"/>
      <c r="F16" s="826"/>
      <c r="G16" s="827"/>
      <c r="H16" s="828"/>
      <c r="I16" s="828"/>
      <c r="J16" s="828"/>
      <c r="K16" s="828"/>
      <c r="L16" s="828"/>
      <c r="M16" s="828"/>
      <c r="N16" s="828"/>
      <c r="O16" s="828"/>
      <c r="P16" s="828"/>
      <c r="Q16" s="828"/>
      <c r="R16" s="828"/>
      <c r="S16" s="828"/>
      <c r="T16" s="828"/>
      <c r="U16" s="828"/>
      <c r="V16" s="828"/>
      <c r="W16" s="828"/>
      <c r="X16" s="828"/>
      <c r="Y16" s="828"/>
      <c r="Z16" s="828"/>
      <c r="AA16" s="828"/>
    </row>
    <row r="17" spans="1:27" ht="25.5" customHeight="1">
      <c r="A17" s="7"/>
      <c r="B17" s="822"/>
      <c r="C17" s="823"/>
      <c r="D17" s="824"/>
      <c r="E17" s="825"/>
      <c r="F17" s="826"/>
      <c r="G17" s="827"/>
      <c r="H17" s="828"/>
      <c r="I17" s="828"/>
      <c r="J17" s="828"/>
      <c r="K17" s="828"/>
      <c r="L17" s="828"/>
      <c r="M17" s="828"/>
      <c r="N17" s="828"/>
      <c r="O17" s="828"/>
      <c r="P17" s="828"/>
      <c r="Q17" s="828"/>
      <c r="R17" s="828"/>
      <c r="S17" s="828"/>
      <c r="T17" s="828"/>
      <c r="U17" s="828"/>
      <c r="V17" s="828"/>
      <c r="W17" s="828"/>
      <c r="X17" s="828"/>
      <c r="Y17" s="828"/>
      <c r="Z17" s="828"/>
      <c r="AA17" s="828"/>
    </row>
    <row r="18" spans="1:27" ht="25.5" customHeight="1">
      <c r="A18" s="7"/>
      <c r="B18" s="822"/>
      <c r="C18" s="823"/>
      <c r="D18" s="824"/>
      <c r="E18" s="825"/>
      <c r="F18" s="826"/>
      <c r="G18" s="827"/>
      <c r="H18" s="828"/>
      <c r="I18" s="828"/>
      <c r="J18" s="828"/>
      <c r="K18" s="828"/>
      <c r="L18" s="828"/>
      <c r="M18" s="828"/>
      <c r="N18" s="828"/>
      <c r="O18" s="828"/>
      <c r="P18" s="828"/>
      <c r="Q18" s="828"/>
      <c r="R18" s="828"/>
      <c r="S18" s="828"/>
      <c r="T18" s="828"/>
      <c r="U18" s="828"/>
      <c r="V18" s="828"/>
      <c r="W18" s="828"/>
      <c r="X18" s="828"/>
      <c r="Y18" s="828"/>
      <c r="Z18" s="828"/>
      <c r="AA18" s="828"/>
    </row>
    <row r="19" spans="1:27" ht="25.5" customHeight="1">
      <c r="A19" s="7"/>
      <c r="B19" s="822"/>
      <c r="C19" s="823"/>
      <c r="D19" s="824"/>
      <c r="E19" s="825"/>
      <c r="F19" s="826"/>
      <c r="G19" s="827"/>
      <c r="H19" s="828"/>
      <c r="I19" s="828"/>
      <c r="J19" s="828"/>
      <c r="K19" s="828"/>
      <c r="L19" s="828"/>
      <c r="M19" s="828"/>
      <c r="N19" s="828"/>
      <c r="O19" s="828"/>
      <c r="P19" s="828"/>
      <c r="Q19" s="828"/>
      <c r="R19" s="828"/>
      <c r="S19" s="828"/>
      <c r="T19" s="828"/>
      <c r="U19" s="828"/>
      <c r="V19" s="828"/>
      <c r="W19" s="828"/>
      <c r="X19" s="828"/>
      <c r="Y19" s="828"/>
      <c r="Z19" s="828"/>
      <c r="AA19" s="828"/>
    </row>
    <row r="20" spans="1:27" ht="25.5" customHeight="1">
      <c r="A20" s="7"/>
      <c r="B20" s="822"/>
      <c r="C20" s="823"/>
      <c r="D20" s="824"/>
      <c r="E20" s="825"/>
      <c r="F20" s="826"/>
      <c r="G20" s="827"/>
      <c r="H20" s="828"/>
      <c r="I20" s="828"/>
      <c r="J20" s="828"/>
      <c r="K20" s="828"/>
      <c r="L20" s="828"/>
      <c r="M20" s="828"/>
      <c r="N20" s="828"/>
      <c r="O20" s="828"/>
      <c r="P20" s="828"/>
      <c r="Q20" s="828"/>
      <c r="R20" s="828"/>
      <c r="S20" s="828"/>
      <c r="T20" s="828"/>
      <c r="U20" s="828"/>
      <c r="V20" s="828"/>
      <c r="W20" s="828"/>
      <c r="X20" s="828"/>
      <c r="Y20" s="828"/>
      <c r="Z20" s="828"/>
      <c r="AA20" s="828"/>
    </row>
    <row r="21" spans="1:27" ht="25.5" customHeight="1">
      <c r="A21" s="7"/>
      <c r="B21" s="822"/>
      <c r="C21" s="823"/>
      <c r="D21" s="824"/>
      <c r="E21" s="825"/>
      <c r="F21" s="826"/>
      <c r="G21" s="827"/>
      <c r="H21" s="828"/>
      <c r="I21" s="828"/>
      <c r="J21" s="828"/>
      <c r="K21" s="828"/>
      <c r="L21" s="828"/>
      <c r="M21" s="828"/>
      <c r="N21" s="828"/>
      <c r="O21" s="828"/>
      <c r="P21" s="828"/>
      <c r="Q21" s="828"/>
      <c r="R21" s="828"/>
      <c r="S21" s="828"/>
      <c r="T21" s="828"/>
      <c r="U21" s="828"/>
      <c r="V21" s="828"/>
      <c r="W21" s="828"/>
      <c r="X21" s="828"/>
      <c r="Y21" s="828"/>
      <c r="Z21" s="828"/>
      <c r="AA21" s="828"/>
    </row>
    <row r="22" spans="1:27" ht="25.5" customHeight="1">
      <c r="A22" s="7"/>
      <c r="B22" s="822"/>
      <c r="C22" s="823"/>
      <c r="D22" s="824"/>
      <c r="E22" s="825"/>
      <c r="F22" s="826"/>
      <c r="G22" s="827"/>
      <c r="H22" s="828"/>
      <c r="I22" s="828"/>
      <c r="J22" s="828"/>
      <c r="K22" s="828"/>
      <c r="L22" s="828"/>
      <c r="M22" s="828"/>
      <c r="N22" s="828"/>
      <c r="O22" s="828"/>
      <c r="P22" s="828"/>
      <c r="Q22" s="828"/>
      <c r="R22" s="828"/>
      <c r="S22" s="828"/>
      <c r="T22" s="828"/>
      <c r="U22" s="828"/>
      <c r="V22" s="828"/>
      <c r="W22" s="828"/>
      <c r="X22" s="828"/>
      <c r="Y22" s="828"/>
      <c r="Z22" s="828"/>
      <c r="AA22" s="828"/>
    </row>
  </sheetData>
  <mergeCells count="66">
    <mergeCell ref="E9:G9"/>
    <mergeCell ref="J9:AA9"/>
    <mergeCell ref="I1:AA2"/>
    <mergeCell ref="I7:U7"/>
    <mergeCell ref="H9:I9"/>
    <mergeCell ref="Y6:AA6"/>
    <mergeCell ref="Y7:AA7"/>
    <mergeCell ref="V7:X7"/>
    <mergeCell ref="I3:AA5"/>
    <mergeCell ref="A1:H7"/>
    <mergeCell ref="I6:U6"/>
    <mergeCell ref="V6:X6"/>
    <mergeCell ref="B9:D9"/>
    <mergeCell ref="A8:AA8"/>
    <mergeCell ref="B11:D11"/>
    <mergeCell ref="B10:D10"/>
    <mergeCell ref="B12:D12"/>
    <mergeCell ref="J12:AA12"/>
    <mergeCell ref="E11:G11"/>
    <mergeCell ref="H11:I11"/>
    <mergeCell ref="J11:AA11"/>
    <mergeCell ref="E12:G12"/>
    <mergeCell ref="H12:I12"/>
    <mergeCell ref="J10:AA10"/>
    <mergeCell ref="E10:G10"/>
    <mergeCell ref="H10:I10"/>
    <mergeCell ref="J13:AA13"/>
    <mergeCell ref="B14:D14"/>
    <mergeCell ref="E14:G14"/>
    <mergeCell ref="H14:I14"/>
    <mergeCell ref="J14:AA14"/>
    <mergeCell ref="B13:D13"/>
    <mergeCell ref="E13:G13"/>
    <mergeCell ref="H13:I13"/>
    <mergeCell ref="J17:AA17"/>
    <mergeCell ref="J18:AA18"/>
    <mergeCell ref="H15:I15"/>
    <mergeCell ref="J15:AA15"/>
    <mergeCell ref="E16:G16"/>
    <mergeCell ref="H16:I16"/>
    <mergeCell ref="J16:AA16"/>
    <mergeCell ref="H17:I17"/>
    <mergeCell ref="H18:I18"/>
    <mergeCell ref="J21:AA21"/>
    <mergeCell ref="E22:G22"/>
    <mergeCell ref="H22:I22"/>
    <mergeCell ref="J22:AA22"/>
    <mergeCell ref="E19:G19"/>
    <mergeCell ref="H19:I19"/>
    <mergeCell ref="J19:AA19"/>
    <mergeCell ref="J20:AA20"/>
    <mergeCell ref="H21:I21"/>
    <mergeCell ref="E20:G20"/>
    <mergeCell ref="H20:I20"/>
    <mergeCell ref="B22:D22"/>
    <mergeCell ref="B20:D20"/>
    <mergeCell ref="B19:D19"/>
    <mergeCell ref="B18:D18"/>
    <mergeCell ref="B17:D17"/>
    <mergeCell ref="B16:D16"/>
    <mergeCell ref="B21:D21"/>
    <mergeCell ref="E21:G21"/>
    <mergeCell ref="B15:D15"/>
    <mergeCell ref="E15:G15"/>
    <mergeCell ref="E17:G17"/>
    <mergeCell ref="E18:G18"/>
  </mergeCells>
  <phoneticPr fontId="0" type="noConversion"/>
  <conditionalFormatting sqref="I1 I3">
    <cfRule type="cellIs" dxfId="68" priority="49" stopIfTrue="1" operator="equal">
      <formula>"CLIENTE"</formula>
    </cfRule>
  </conditionalFormatting>
  <conditionalFormatting sqref="I3">
    <cfRule type="cellIs" dxfId="67" priority="48" stopIfTrue="1" operator="equal">
      <formula>"EQUIPAMENTO"</formula>
    </cfRule>
  </conditionalFormatting>
  <conditionalFormatting sqref="E10 H10:I10">
    <cfRule type="cellIs" dxfId="66" priority="43" stopIfTrue="1" operator="equal">
      <formula>"XXXXXX"</formula>
    </cfRule>
  </conditionalFormatting>
  <conditionalFormatting sqref="B10">
    <cfRule type="cellIs" dxfId="65" priority="42" stopIfTrue="1" operator="equal">
      <formula>"XX/XX/20XX"</formula>
    </cfRule>
  </conditionalFormatting>
  <conditionalFormatting sqref="E10">
    <cfRule type="cellIs" dxfId="64" priority="41" stopIfTrue="1" operator="equal">
      <formula>"RP-XX"</formula>
    </cfRule>
  </conditionalFormatting>
  <conditionalFormatting sqref="I3 I1">
    <cfRule type="cellIs" dxfId="63" priority="33" stopIfTrue="1" operator="equal">
      <formula>""</formula>
    </cfRule>
  </conditionalFormatting>
  <conditionalFormatting sqref="I3 V6 I1">
    <cfRule type="cellIs" dxfId="62" priority="24" stopIfTrue="1" operator="equal">
      <formula>"880............."</formula>
    </cfRule>
  </conditionalFormatting>
  <conditionalFormatting sqref="H10">
    <cfRule type="cellIs" dxfId="61" priority="10" stopIfTrue="1" operator="equal">
      <formula>"RP-XX"</formula>
    </cfRule>
  </conditionalFormatting>
  <conditionalFormatting sqref="E10">
    <cfRule type="cellIs" dxfId="60" priority="9" stopIfTrue="1" operator="equal">
      <formula>"CLIENTE"</formula>
    </cfRule>
  </conditionalFormatting>
  <conditionalFormatting sqref="E10">
    <cfRule type="cellIs" dxfId="59" priority="8" stopIfTrue="1" operator="equal">
      <formula>""</formula>
    </cfRule>
  </conditionalFormatting>
  <conditionalFormatting sqref="E10">
    <cfRule type="cellIs" dxfId="58" priority="7" stopIfTrue="1" operator="equal">
      <formula>"880............."</formula>
    </cfRule>
  </conditionalFormatting>
  <conditionalFormatting sqref="H10">
    <cfRule type="cellIs" dxfId="57" priority="6" stopIfTrue="1" operator="equal">
      <formula>"CLIENTE"</formula>
    </cfRule>
  </conditionalFormatting>
  <conditionalFormatting sqref="H10">
    <cfRule type="cellIs" dxfId="56" priority="5" stopIfTrue="1" operator="equal">
      <formula>""</formula>
    </cfRule>
  </conditionalFormatting>
  <conditionalFormatting sqref="H10">
    <cfRule type="cellIs" dxfId="55" priority="4" stopIfTrue="1" operator="equal">
      <formula>"880............."</formula>
    </cfRule>
  </conditionalFormatting>
  <conditionalFormatting sqref="B10">
    <cfRule type="cellIs" dxfId="54" priority="3" stopIfTrue="1" operator="equal">
      <formula>"CLIENTE"</formula>
    </cfRule>
  </conditionalFormatting>
  <conditionalFormatting sqref="B10">
    <cfRule type="cellIs" dxfId="53" priority="2" stopIfTrue="1" operator="equal">
      <formula>""</formula>
    </cfRule>
  </conditionalFormatting>
  <conditionalFormatting sqref="B10">
    <cfRule type="cellIs" dxfId="52" priority="1" stopIfTrue="1" operator="equal">
      <formula>"880............."</formula>
    </cfRule>
  </conditionalFormatting>
  <pageMargins left="0.59055118110236204" right="0.59055118110236204" top="0.78740157480314998" bottom="0.78740157480314998" header="0" footer="0.511811023622047"/>
  <pageSetup paperSize="9" scale="90" orientation="portrait" r:id="rId1"/>
  <headerFooter alignWithMargins="0">
    <oddFooter>&amp;L&amp;D - &amp;T
&amp;K808080&amp;"Trebuchet MS"CLASSIFICAÇÃO DO DOCUMENTO: INTERNO&amp;C&amp;F - &amp;A&amp;RPag.: &amp;P de &amp;N</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AR47"/>
  <sheetViews>
    <sheetView showGridLines="0" zoomScaleNormal="100" workbookViewId="0">
      <selection activeCell="AD20" sqref="AD20:AE20"/>
    </sheetView>
  </sheetViews>
  <sheetFormatPr defaultColWidth="3.6640625" defaultRowHeight="13.2"/>
  <cols>
    <col min="1" max="1" width="4.5546875" customWidth="1"/>
    <col min="2" max="28" width="3.6640625" customWidth="1"/>
    <col min="29" max="29" width="7.6640625" customWidth="1"/>
  </cols>
  <sheetData>
    <row r="1" spans="1:44" ht="12.75" customHeight="1">
      <c r="A1" s="864"/>
      <c r="B1" s="865"/>
      <c r="C1" s="865"/>
      <c r="D1" s="865"/>
      <c r="E1" s="865"/>
      <c r="F1" s="865"/>
      <c r="G1" s="865"/>
      <c r="H1" s="866"/>
      <c r="I1" s="839" t="str">
        <f>'FRONT SHEET'!I1:AA2</f>
        <v xml:space="preserve"> - </v>
      </c>
      <c r="J1" s="840"/>
      <c r="K1" s="840"/>
      <c r="L1" s="840"/>
      <c r="M1" s="840"/>
      <c r="N1" s="840"/>
      <c r="O1" s="840"/>
      <c r="P1" s="840"/>
      <c r="Q1" s="840"/>
      <c r="R1" s="840"/>
      <c r="S1" s="840"/>
      <c r="T1" s="840"/>
      <c r="U1" s="840"/>
      <c r="V1" s="840"/>
      <c r="W1" s="840"/>
      <c r="X1" s="840"/>
      <c r="Y1" s="840"/>
      <c r="Z1" s="840"/>
      <c r="AA1" s="841"/>
    </row>
    <row r="2" spans="1:44" ht="12.75" customHeight="1">
      <c r="A2" s="867"/>
      <c r="B2" s="868"/>
      <c r="C2" s="868"/>
      <c r="D2" s="868"/>
      <c r="E2" s="868"/>
      <c r="F2" s="868"/>
      <c r="G2" s="868"/>
      <c r="H2" s="869"/>
      <c r="I2" s="842"/>
      <c r="J2" s="843"/>
      <c r="K2" s="843"/>
      <c r="L2" s="843"/>
      <c r="M2" s="843"/>
      <c r="N2" s="843"/>
      <c r="O2" s="843"/>
      <c r="P2" s="843"/>
      <c r="Q2" s="843"/>
      <c r="R2" s="843"/>
      <c r="S2" s="843"/>
      <c r="T2" s="843"/>
      <c r="U2" s="843"/>
      <c r="V2" s="843"/>
      <c r="W2" s="843"/>
      <c r="X2" s="843"/>
      <c r="Y2" s="843"/>
      <c r="Z2" s="843"/>
      <c r="AA2" s="844"/>
    </row>
    <row r="3" spans="1:44" ht="12.75" customHeight="1">
      <c r="A3" s="867"/>
      <c r="B3" s="868"/>
      <c r="C3" s="868"/>
      <c r="D3" s="868"/>
      <c r="E3" s="868"/>
      <c r="F3" s="868"/>
      <c r="G3" s="868"/>
      <c r="H3" s="869"/>
      <c r="I3" s="839" t="str">
        <f>'FRONT SHEET'!I3:AA5</f>
        <v xml:space="preserve"> - </v>
      </c>
      <c r="J3" s="856"/>
      <c r="K3" s="856"/>
      <c r="L3" s="856"/>
      <c r="M3" s="856"/>
      <c r="N3" s="856"/>
      <c r="O3" s="856"/>
      <c r="P3" s="856"/>
      <c r="Q3" s="856"/>
      <c r="R3" s="856"/>
      <c r="S3" s="856"/>
      <c r="T3" s="856"/>
      <c r="U3" s="856"/>
      <c r="V3" s="856"/>
      <c r="W3" s="856"/>
      <c r="X3" s="856"/>
      <c r="Y3" s="856"/>
      <c r="Z3" s="856"/>
      <c r="AA3" s="857"/>
      <c r="AR3" s="58"/>
    </row>
    <row r="4" spans="1:44" ht="12.75" customHeight="1">
      <c r="A4" s="867"/>
      <c r="B4" s="868"/>
      <c r="C4" s="868"/>
      <c r="D4" s="868"/>
      <c r="E4" s="868"/>
      <c r="F4" s="868"/>
      <c r="G4" s="868"/>
      <c r="H4" s="869"/>
      <c r="I4" s="858"/>
      <c r="J4" s="859"/>
      <c r="K4" s="859"/>
      <c r="L4" s="859"/>
      <c r="M4" s="859"/>
      <c r="N4" s="859"/>
      <c r="O4" s="859"/>
      <c r="P4" s="859"/>
      <c r="Q4" s="859"/>
      <c r="R4" s="859"/>
      <c r="S4" s="859"/>
      <c r="T4" s="859"/>
      <c r="U4" s="859"/>
      <c r="V4" s="859"/>
      <c r="W4" s="859"/>
      <c r="X4" s="859"/>
      <c r="Y4" s="859"/>
      <c r="Z4" s="859"/>
      <c r="AA4" s="860"/>
      <c r="AF4" s="1"/>
      <c r="AQ4" s="58"/>
    </row>
    <row r="5" spans="1:44" ht="5.0999999999999996" customHeight="1">
      <c r="A5" s="867"/>
      <c r="B5" s="868"/>
      <c r="C5" s="868"/>
      <c r="D5" s="868"/>
      <c r="E5" s="868"/>
      <c r="F5" s="868"/>
      <c r="G5" s="868"/>
      <c r="H5" s="869"/>
      <c r="I5" s="861"/>
      <c r="J5" s="862"/>
      <c r="K5" s="862"/>
      <c r="L5" s="862"/>
      <c r="M5" s="862"/>
      <c r="N5" s="862"/>
      <c r="O5" s="862"/>
      <c r="P5" s="862"/>
      <c r="Q5" s="862"/>
      <c r="R5" s="862"/>
      <c r="S5" s="862"/>
      <c r="T5" s="862"/>
      <c r="U5" s="862"/>
      <c r="V5" s="862"/>
      <c r="W5" s="862"/>
      <c r="X5" s="862"/>
      <c r="Y5" s="862"/>
      <c r="Z5" s="862"/>
      <c r="AA5" s="863"/>
      <c r="AF5" s="1"/>
    </row>
    <row r="6" spans="1:44" ht="16.5" customHeight="1">
      <c r="A6" s="867"/>
      <c r="B6" s="868"/>
      <c r="C6" s="868"/>
      <c r="D6" s="868"/>
      <c r="E6" s="868"/>
      <c r="F6" s="868"/>
      <c r="G6" s="868"/>
      <c r="H6" s="869"/>
      <c r="I6" s="848" t="str">
        <f>'FRONT SHEET'!I6:U6</f>
        <v>Drawing number</v>
      </c>
      <c r="J6" s="849"/>
      <c r="K6" s="849"/>
      <c r="L6" s="849"/>
      <c r="M6" s="849"/>
      <c r="N6" s="849"/>
      <c r="O6" s="849"/>
      <c r="P6" s="849"/>
      <c r="Q6" s="849"/>
      <c r="R6" s="849"/>
      <c r="S6" s="849"/>
      <c r="T6" s="849"/>
      <c r="U6" s="850"/>
      <c r="V6" s="873" t="str">
        <f>'FRONT SHEET'!V6:X6</f>
        <v>Revision</v>
      </c>
      <c r="W6" s="873"/>
      <c r="X6" s="874"/>
      <c r="Y6" s="848" t="str">
        <f>'FRONT SHEET'!Y6:AA6</f>
        <v>State</v>
      </c>
      <c r="Z6" s="849"/>
      <c r="AA6" s="850"/>
      <c r="AF6" s="1"/>
    </row>
    <row r="7" spans="1:44" ht="16.5" customHeight="1">
      <c r="A7" s="870"/>
      <c r="B7" s="871"/>
      <c r="C7" s="871"/>
      <c r="D7" s="871"/>
      <c r="E7" s="871"/>
      <c r="F7" s="871"/>
      <c r="G7" s="871"/>
      <c r="H7" s="872"/>
      <c r="I7" s="845" t="str">
        <f>'FRONT SHEET'!I7:U7</f>
        <v>CS</v>
      </c>
      <c r="J7" s="846"/>
      <c r="K7" s="846"/>
      <c r="L7" s="846"/>
      <c r="M7" s="846"/>
      <c r="N7" s="846"/>
      <c r="O7" s="846"/>
      <c r="P7" s="846"/>
      <c r="Q7" s="846"/>
      <c r="R7" s="846"/>
      <c r="S7" s="846"/>
      <c r="T7" s="846"/>
      <c r="U7" s="847"/>
      <c r="V7" s="854" t="str">
        <f>'FRONT SHEET'!V7:X7</f>
        <v>A00</v>
      </c>
      <c r="W7" s="855"/>
      <c r="X7" s="855"/>
      <c r="Y7" s="851" t="str">
        <f>'FRONT SHEET'!Y7:AA7</f>
        <v>V</v>
      </c>
      <c r="Z7" s="852"/>
      <c r="AA7" s="853"/>
      <c r="AF7" s="1"/>
    </row>
    <row r="8" spans="1:44" ht="5.0999999999999996" customHeight="1">
      <c r="A8" s="896"/>
      <c r="B8" s="896"/>
      <c r="C8" s="896"/>
      <c r="D8" s="896"/>
      <c r="E8" s="896"/>
      <c r="F8" s="896"/>
      <c r="G8" s="896"/>
      <c r="H8" s="896"/>
      <c r="I8" s="896"/>
      <c r="J8" s="896"/>
      <c r="K8" s="896"/>
      <c r="L8" s="896"/>
      <c r="M8" s="896"/>
      <c r="N8" s="896"/>
      <c r="O8" s="896"/>
      <c r="P8" s="896"/>
      <c r="Q8" s="896"/>
      <c r="R8" s="896"/>
      <c r="S8" s="896"/>
      <c r="T8" s="896"/>
      <c r="U8" s="896"/>
      <c r="V8" s="896"/>
      <c r="W8" s="896"/>
      <c r="X8" s="896"/>
      <c r="Y8" s="896"/>
      <c r="Z8" s="896"/>
      <c r="AA8" s="896"/>
    </row>
    <row r="9" spans="1:44" ht="12.75" customHeight="1">
      <c r="A9" s="893" t="s">
        <v>96</v>
      </c>
      <c r="B9" s="828" t="s">
        <v>503</v>
      </c>
      <c r="C9" s="828"/>
      <c r="D9" s="828"/>
      <c r="E9" s="828"/>
      <c r="F9" s="828"/>
      <c r="G9" s="828" t="s">
        <v>504</v>
      </c>
      <c r="H9" s="828"/>
      <c r="I9" s="828"/>
      <c r="J9" s="828"/>
      <c r="K9" s="828"/>
      <c r="L9" s="828"/>
      <c r="M9" s="828"/>
      <c r="N9" s="899" t="s">
        <v>665</v>
      </c>
      <c r="O9" s="900"/>
      <c r="P9" s="828" t="s">
        <v>505</v>
      </c>
      <c r="Q9" s="828"/>
      <c r="R9" s="828"/>
      <c r="S9" s="828"/>
      <c r="T9" s="828" t="s">
        <v>25</v>
      </c>
      <c r="U9" s="831" t="s">
        <v>664</v>
      </c>
      <c r="V9" s="828"/>
      <c r="W9" s="828"/>
      <c r="X9" s="828"/>
      <c r="Y9" s="828"/>
      <c r="Z9" s="828"/>
      <c r="AA9" s="893" t="s">
        <v>507</v>
      </c>
      <c r="AB9" s="889" t="s">
        <v>10</v>
      </c>
      <c r="AC9" s="890"/>
      <c r="AD9" s="889" t="s">
        <v>101</v>
      </c>
      <c r="AE9" s="895"/>
    </row>
    <row r="10" spans="1:44">
      <c r="A10" s="893"/>
      <c r="B10" s="828"/>
      <c r="C10" s="828"/>
      <c r="D10" s="828"/>
      <c r="E10" s="828"/>
      <c r="F10" s="828"/>
      <c r="G10" s="828"/>
      <c r="H10" s="828"/>
      <c r="I10" s="828"/>
      <c r="J10" s="828"/>
      <c r="K10" s="828"/>
      <c r="L10" s="828"/>
      <c r="M10" s="828"/>
      <c r="N10" s="901"/>
      <c r="O10" s="902"/>
      <c r="P10" s="828" t="s">
        <v>506</v>
      </c>
      <c r="Q10" s="828"/>
      <c r="R10" s="828" t="s">
        <v>27</v>
      </c>
      <c r="S10" s="828"/>
      <c r="T10" s="828"/>
      <c r="U10" s="828" t="s">
        <v>506</v>
      </c>
      <c r="V10" s="828"/>
      <c r="W10" s="828"/>
      <c r="X10" s="828" t="s">
        <v>27</v>
      </c>
      <c r="Y10" s="828"/>
      <c r="Z10" s="828"/>
      <c r="AA10" s="893"/>
      <c r="AB10" s="891" t="s">
        <v>29</v>
      </c>
      <c r="AC10" s="892"/>
      <c r="AD10" s="891" t="s">
        <v>56</v>
      </c>
      <c r="AE10" s="894"/>
    </row>
    <row r="11" spans="1:44" ht="5.0999999999999996" customHeight="1">
      <c r="A11" s="896"/>
      <c r="B11" s="896"/>
      <c r="C11" s="896"/>
      <c r="D11" s="896"/>
      <c r="E11" s="896"/>
      <c r="F11" s="896"/>
      <c r="G11" s="896"/>
      <c r="H11" s="896"/>
      <c r="I11" s="896"/>
      <c r="J11" s="896"/>
      <c r="K11" s="896"/>
      <c r="L11" s="896"/>
      <c r="M11" s="896"/>
      <c r="N11" s="896"/>
      <c r="O11" s="896"/>
      <c r="P11" s="896"/>
      <c r="Q11" s="896"/>
      <c r="R11" s="896"/>
      <c r="S11" s="896"/>
      <c r="T11" s="896"/>
      <c r="U11" s="896"/>
      <c r="V11" s="896"/>
      <c r="W11" s="896"/>
      <c r="X11" s="896"/>
      <c r="Y11" s="896"/>
      <c r="Z11" s="896"/>
      <c r="AA11" s="896"/>
    </row>
    <row r="12" spans="1:44" ht="15.6">
      <c r="A12" s="897" t="s">
        <v>983</v>
      </c>
      <c r="B12" s="898"/>
      <c r="C12" s="898"/>
      <c r="D12" s="898"/>
      <c r="E12" s="898"/>
      <c r="F12" s="34" t="s">
        <v>661</v>
      </c>
      <c r="G12" s="34"/>
      <c r="H12" s="34"/>
      <c r="I12" s="34"/>
      <c r="J12" s="34"/>
      <c r="K12" s="34"/>
      <c r="L12" s="34"/>
      <c r="M12" s="34"/>
      <c r="N12" s="34"/>
      <c r="O12" s="34"/>
      <c r="P12" s="8"/>
      <c r="Q12" s="8"/>
      <c r="R12" s="8"/>
      <c r="S12" s="9"/>
      <c r="T12" s="4"/>
      <c r="U12" s="4"/>
      <c r="V12" s="4"/>
      <c r="W12" s="4"/>
      <c r="X12" s="4"/>
      <c r="Y12" s="4"/>
      <c r="Z12" s="4"/>
      <c r="AA12" s="5"/>
    </row>
    <row r="13" spans="1:44" ht="15.75" customHeight="1">
      <c r="A13" s="884" t="s">
        <v>658</v>
      </c>
      <c r="B13" s="884"/>
      <c r="C13" s="884"/>
      <c r="D13" s="884"/>
      <c r="E13" s="884"/>
      <c r="F13" s="885" t="s">
        <v>1898</v>
      </c>
      <c r="G13" s="885"/>
      <c r="H13" s="885"/>
      <c r="I13" s="885"/>
      <c r="J13" s="885"/>
      <c r="K13" s="885"/>
      <c r="L13" s="885"/>
      <c r="M13" s="885"/>
      <c r="N13" s="885"/>
      <c r="O13" s="885"/>
      <c r="P13" s="885"/>
      <c r="Q13" s="885"/>
      <c r="R13" s="885"/>
      <c r="S13" s="885"/>
      <c r="T13" s="885"/>
      <c r="U13" s="885"/>
      <c r="V13" s="885"/>
      <c r="W13" s="885"/>
      <c r="X13" s="885"/>
      <c r="Y13" s="885"/>
      <c r="Z13" s="885"/>
      <c r="AA13" s="885"/>
    </row>
    <row r="14" spans="1:44" s="308" customFormat="1" ht="12.75" customHeight="1">
      <c r="A14" s="534">
        <v>1</v>
      </c>
      <c r="B14" s="881" t="s">
        <v>1892</v>
      </c>
      <c r="C14" s="881"/>
      <c r="D14" s="881"/>
      <c r="E14" s="881"/>
      <c r="F14" s="881"/>
      <c r="G14" s="881">
        <v>1</v>
      </c>
      <c r="H14" s="881"/>
      <c r="I14" s="881"/>
      <c r="J14" s="881"/>
      <c r="K14" s="881"/>
      <c r="L14" s="881"/>
      <c r="M14" s="881"/>
      <c r="N14" s="882">
        <v>4.3963599999999996</v>
      </c>
      <c r="O14" s="882"/>
      <c r="P14" s="881">
        <v>540</v>
      </c>
      <c r="Q14" s="881"/>
      <c r="R14" s="881">
        <v>557</v>
      </c>
      <c r="S14" s="881"/>
      <c r="T14" s="534" t="s">
        <v>524</v>
      </c>
      <c r="U14" s="882">
        <v>2.3740344000000002</v>
      </c>
      <c r="V14" s="882"/>
      <c r="W14" s="882"/>
      <c r="X14" s="882">
        <v>2.4487725199999999</v>
      </c>
      <c r="Y14" s="882"/>
      <c r="Z14" s="882"/>
      <c r="AA14" s="534"/>
      <c r="AB14" s="882">
        <v>1.6779999999999999</v>
      </c>
      <c r="AC14" s="882"/>
      <c r="AD14" s="882">
        <v>2.62</v>
      </c>
      <c r="AE14" s="882"/>
    </row>
    <row r="15" spans="1:44" s="308" customFormat="1" ht="12.75" customHeight="1">
      <c r="A15" s="534">
        <v>2</v>
      </c>
      <c r="B15" s="881" t="s">
        <v>1893</v>
      </c>
      <c r="C15" s="881"/>
      <c r="D15" s="881"/>
      <c r="E15" s="881"/>
      <c r="F15" s="881"/>
      <c r="G15" s="881" t="s">
        <v>16</v>
      </c>
      <c r="H15" s="881"/>
      <c r="I15" s="881"/>
      <c r="J15" s="881"/>
      <c r="K15" s="881"/>
      <c r="L15" s="881"/>
      <c r="M15" s="881"/>
      <c r="N15" s="882">
        <v>1</v>
      </c>
      <c r="O15" s="882"/>
      <c r="P15" s="881">
        <v>925</v>
      </c>
      <c r="Q15" s="881"/>
      <c r="R15" s="881">
        <v>1025</v>
      </c>
      <c r="S15" s="881"/>
      <c r="T15" s="534" t="s">
        <v>2</v>
      </c>
      <c r="U15" s="882">
        <v>0.92500000000000004</v>
      </c>
      <c r="V15" s="882"/>
      <c r="W15" s="882"/>
      <c r="X15" s="882">
        <v>1.0249999999999999</v>
      </c>
      <c r="Y15" s="882"/>
      <c r="Z15" s="882"/>
      <c r="AA15" s="534"/>
      <c r="AB15" s="882">
        <v>0</v>
      </c>
      <c r="AC15" s="882"/>
      <c r="AD15" s="882">
        <v>2.54</v>
      </c>
      <c r="AE15" s="882"/>
    </row>
    <row r="16" spans="1:44" s="308" customFormat="1" ht="12.75" customHeight="1">
      <c r="A16" s="534">
        <v>3</v>
      </c>
      <c r="B16" s="881"/>
      <c r="C16" s="881"/>
      <c r="D16" s="881"/>
      <c r="E16" s="881"/>
      <c r="F16" s="881"/>
      <c r="G16" s="881"/>
      <c r="H16" s="881"/>
      <c r="I16" s="881"/>
      <c r="J16" s="881"/>
      <c r="K16" s="881"/>
      <c r="L16" s="881"/>
      <c r="M16" s="881"/>
      <c r="N16" s="882"/>
      <c r="O16" s="882"/>
      <c r="P16" s="881"/>
      <c r="Q16" s="881"/>
      <c r="R16" s="881"/>
      <c r="S16" s="881"/>
      <c r="T16" s="534"/>
      <c r="U16" s="882"/>
      <c r="V16" s="882"/>
      <c r="W16" s="882"/>
      <c r="X16" s="882"/>
      <c r="Y16" s="882"/>
      <c r="Z16" s="882"/>
      <c r="AA16" s="534"/>
      <c r="AB16" s="882"/>
      <c r="AC16" s="882"/>
      <c r="AD16" s="882"/>
      <c r="AE16" s="882"/>
    </row>
    <row r="17" spans="1:31" s="308" customFormat="1" ht="12.75" customHeight="1">
      <c r="A17" s="534">
        <v>4</v>
      </c>
      <c r="B17" s="881"/>
      <c r="C17" s="881"/>
      <c r="D17" s="881"/>
      <c r="E17" s="881"/>
      <c r="F17" s="881"/>
      <c r="G17" s="881"/>
      <c r="H17" s="881"/>
      <c r="I17" s="881"/>
      <c r="J17" s="881"/>
      <c r="K17" s="881"/>
      <c r="L17" s="881"/>
      <c r="M17" s="881"/>
      <c r="N17" s="882"/>
      <c r="O17" s="882"/>
      <c r="P17" s="881"/>
      <c r="Q17" s="881"/>
      <c r="R17" s="881"/>
      <c r="S17" s="881"/>
      <c r="T17" s="534"/>
      <c r="U17" s="882"/>
      <c r="V17" s="882"/>
      <c r="W17" s="882"/>
      <c r="X17" s="882"/>
      <c r="Y17" s="882"/>
      <c r="Z17" s="882"/>
      <c r="AA17" s="307"/>
      <c r="AB17" s="883"/>
      <c r="AC17" s="883"/>
      <c r="AD17" s="883"/>
      <c r="AE17" s="883"/>
    </row>
    <row r="18" spans="1:31">
      <c r="A18" s="886" t="s">
        <v>298</v>
      </c>
      <c r="B18" s="886"/>
      <c r="C18" s="886"/>
      <c r="D18" s="886"/>
      <c r="E18" s="886"/>
      <c r="F18" s="886"/>
      <c r="G18" s="886"/>
      <c r="H18" s="886"/>
      <c r="I18" s="886"/>
      <c r="J18" s="886"/>
      <c r="K18" s="886"/>
      <c r="L18" s="886"/>
      <c r="M18" s="886"/>
      <c r="N18" s="886"/>
      <c r="O18" s="886"/>
      <c r="P18" s="886"/>
      <c r="Q18" s="886"/>
      <c r="R18" s="886"/>
      <c r="S18" s="886"/>
      <c r="T18" s="886"/>
      <c r="U18" s="887">
        <v>3.2989999999999999</v>
      </c>
      <c r="V18" s="888"/>
      <c r="W18" s="888"/>
      <c r="X18" s="887">
        <v>3.4740000000000002</v>
      </c>
      <c r="Y18" s="888"/>
      <c r="Z18" s="888"/>
    </row>
    <row r="19" spans="1:31" ht="15.75" customHeight="1">
      <c r="A19" s="884" t="s">
        <v>658</v>
      </c>
      <c r="B19" s="884"/>
      <c r="C19" s="884"/>
      <c r="D19" s="884"/>
      <c r="E19" s="884"/>
      <c r="F19" s="885" t="s">
        <v>1899</v>
      </c>
      <c r="G19" s="885"/>
      <c r="H19" s="885"/>
      <c r="I19" s="885"/>
      <c r="J19" s="885"/>
      <c r="K19" s="885"/>
      <c r="L19" s="885"/>
      <c r="M19" s="885"/>
      <c r="N19" s="885"/>
      <c r="O19" s="885"/>
      <c r="P19" s="885"/>
      <c r="Q19" s="885"/>
      <c r="R19" s="885"/>
      <c r="S19" s="885"/>
      <c r="T19" s="885"/>
      <c r="U19" s="885"/>
      <c r="V19" s="885"/>
      <c r="W19" s="885"/>
      <c r="X19" s="885"/>
      <c r="Y19" s="885"/>
      <c r="Z19" s="885"/>
      <c r="AA19" s="885"/>
    </row>
    <row r="20" spans="1:31" s="308" customFormat="1" ht="12.75" customHeight="1">
      <c r="A20" s="534">
        <v>5</v>
      </c>
      <c r="B20" s="881" t="s">
        <v>1892</v>
      </c>
      <c r="C20" s="881"/>
      <c r="D20" s="881"/>
      <c r="E20" s="881"/>
      <c r="F20" s="881"/>
      <c r="G20" s="881">
        <v>1</v>
      </c>
      <c r="H20" s="881"/>
      <c r="I20" s="881"/>
      <c r="J20" s="881"/>
      <c r="K20" s="881"/>
      <c r="L20" s="881"/>
      <c r="M20" s="881"/>
      <c r="N20" s="882">
        <v>4.3963599999999996</v>
      </c>
      <c r="O20" s="882"/>
      <c r="P20" s="881">
        <v>412</v>
      </c>
      <c r="Q20" s="881"/>
      <c r="R20" s="881">
        <v>429</v>
      </c>
      <c r="S20" s="881"/>
      <c r="T20" s="534" t="s">
        <v>524</v>
      </c>
      <c r="U20" s="882">
        <v>1.8113003199999997</v>
      </c>
      <c r="V20" s="882"/>
      <c r="W20" s="882"/>
      <c r="X20" s="882">
        <v>1.8860384399999999</v>
      </c>
      <c r="Y20" s="882"/>
      <c r="Z20" s="882"/>
      <c r="AA20" s="534"/>
      <c r="AB20" s="882">
        <v>1.6779999999999999</v>
      </c>
      <c r="AC20" s="882"/>
      <c r="AD20" s="882">
        <v>2.62</v>
      </c>
      <c r="AE20" s="882"/>
    </row>
    <row r="21" spans="1:31" s="308" customFormat="1" ht="12.75" customHeight="1">
      <c r="A21" s="534">
        <v>6</v>
      </c>
      <c r="B21" s="881" t="s">
        <v>1892</v>
      </c>
      <c r="C21" s="881"/>
      <c r="D21" s="881"/>
      <c r="E21" s="881"/>
      <c r="F21" s="881"/>
      <c r="G21" s="881" t="s">
        <v>1904</v>
      </c>
      <c r="H21" s="881"/>
      <c r="I21" s="881"/>
      <c r="J21" s="881"/>
      <c r="K21" s="881"/>
      <c r="L21" s="881"/>
      <c r="M21" s="881"/>
      <c r="N21" s="882">
        <v>4.2024800000000004</v>
      </c>
      <c r="O21" s="882"/>
      <c r="P21" s="881">
        <v>500</v>
      </c>
      <c r="Q21" s="881"/>
      <c r="R21" s="881">
        <v>520</v>
      </c>
      <c r="S21" s="881"/>
      <c r="T21" s="534" t="s">
        <v>524</v>
      </c>
      <c r="U21" s="882">
        <v>2.1012400000000002</v>
      </c>
      <c r="V21" s="882"/>
      <c r="W21" s="882"/>
      <c r="X21" s="882">
        <v>2.1852895999999999</v>
      </c>
      <c r="Y21" s="882"/>
      <c r="Z21" s="882"/>
      <c r="AA21" s="534"/>
      <c r="AB21" s="882">
        <v>1.6040000000000001</v>
      </c>
      <c r="AC21" s="882"/>
      <c r="AD21" s="882">
        <v>2.62</v>
      </c>
      <c r="AE21" s="882"/>
    </row>
    <row r="22" spans="1:31" s="308" customFormat="1" ht="12.75" customHeight="1">
      <c r="A22" s="534">
        <v>7</v>
      </c>
      <c r="B22" s="881" t="s">
        <v>1894</v>
      </c>
      <c r="C22" s="881"/>
      <c r="D22" s="881"/>
      <c r="E22" s="881"/>
      <c r="F22" s="881"/>
      <c r="G22" s="881" t="s">
        <v>16</v>
      </c>
      <c r="H22" s="881"/>
      <c r="I22" s="881"/>
      <c r="J22" s="881"/>
      <c r="K22" s="881"/>
      <c r="L22" s="881"/>
      <c r="M22" s="881"/>
      <c r="N22" s="882">
        <v>1</v>
      </c>
      <c r="O22" s="882"/>
      <c r="P22" s="881">
        <v>500</v>
      </c>
      <c r="Q22" s="881"/>
      <c r="R22" s="881">
        <v>550</v>
      </c>
      <c r="S22" s="881"/>
      <c r="T22" s="534" t="s">
        <v>2</v>
      </c>
      <c r="U22" s="882">
        <v>0.5</v>
      </c>
      <c r="V22" s="882"/>
      <c r="W22" s="882"/>
      <c r="X22" s="882">
        <v>0.55000000000000004</v>
      </c>
      <c r="Y22" s="882"/>
      <c r="Z22" s="882"/>
      <c r="AA22" s="534"/>
      <c r="AB22" s="882">
        <v>0</v>
      </c>
      <c r="AC22" s="882"/>
      <c r="AD22" s="882">
        <v>1.79</v>
      </c>
      <c r="AE22" s="882"/>
    </row>
    <row r="23" spans="1:31" s="308" customFormat="1" ht="12.75" customHeight="1">
      <c r="A23" s="534">
        <v>8</v>
      </c>
      <c r="B23" s="881" t="s">
        <v>1896</v>
      </c>
      <c r="C23" s="881"/>
      <c r="D23" s="881"/>
      <c r="E23" s="881"/>
      <c r="F23" s="881"/>
      <c r="G23" s="881" t="s">
        <v>1742</v>
      </c>
      <c r="H23" s="881"/>
      <c r="I23" s="881"/>
      <c r="J23" s="881"/>
      <c r="K23" s="881"/>
      <c r="L23" s="881"/>
      <c r="M23" s="881"/>
      <c r="N23" s="882">
        <v>11.049999999999999</v>
      </c>
      <c r="O23" s="882"/>
      <c r="P23" s="881">
        <v>25</v>
      </c>
      <c r="Q23" s="881"/>
      <c r="R23" s="881">
        <v>28</v>
      </c>
      <c r="S23" s="881"/>
      <c r="T23" s="534" t="s">
        <v>14</v>
      </c>
      <c r="U23" s="882">
        <v>0.27625</v>
      </c>
      <c r="V23" s="882"/>
      <c r="W23" s="882"/>
      <c r="X23" s="882">
        <v>0.30939999999999995</v>
      </c>
      <c r="Y23" s="882"/>
      <c r="Z23" s="882"/>
      <c r="AA23" s="534"/>
      <c r="AB23" s="882">
        <v>13</v>
      </c>
      <c r="AC23" s="882"/>
      <c r="AD23" s="882">
        <v>0.85</v>
      </c>
      <c r="AE23" s="882"/>
    </row>
    <row r="24" spans="1:31" s="308" customFormat="1" ht="12.75" customHeight="1">
      <c r="A24" s="534">
        <v>9</v>
      </c>
      <c r="B24" s="881"/>
      <c r="C24" s="881"/>
      <c r="D24" s="881"/>
      <c r="E24" s="881"/>
      <c r="F24" s="881"/>
      <c r="G24" s="881"/>
      <c r="H24" s="881"/>
      <c r="I24" s="881"/>
      <c r="J24" s="881"/>
      <c r="K24" s="881"/>
      <c r="L24" s="881"/>
      <c r="M24" s="881"/>
      <c r="N24" s="882"/>
      <c r="O24" s="882"/>
      <c r="P24" s="881"/>
      <c r="Q24" s="881"/>
      <c r="R24" s="881"/>
      <c r="S24" s="881"/>
      <c r="T24" s="534"/>
      <c r="U24" s="882"/>
      <c r="V24" s="882"/>
      <c r="W24" s="882"/>
      <c r="X24" s="882"/>
      <c r="Y24" s="882"/>
      <c r="Z24" s="882"/>
      <c r="AA24" s="534"/>
      <c r="AB24" s="882"/>
      <c r="AC24" s="882"/>
      <c r="AD24" s="882"/>
      <c r="AE24" s="882"/>
    </row>
    <row r="25" spans="1:31" s="308" customFormat="1" ht="12.75" customHeight="1">
      <c r="A25" s="534">
        <v>10</v>
      </c>
      <c r="B25" s="881"/>
      <c r="C25" s="881"/>
      <c r="D25" s="881"/>
      <c r="E25" s="881"/>
      <c r="F25" s="881"/>
      <c r="G25" s="881"/>
      <c r="H25" s="881"/>
      <c r="I25" s="881"/>
      <c r="J25" s="881"/>
      <c r="K25" s="881"/>
      <c r="L25" s="881"/>
      <c r="M25" s="881"/>
      <c r="N25" s="882"/>
      <c r="O25" s="882"/>
      <c r="P25" s="881"/>
      <c r="Q25" s="881"/>
      <c r="R25" s="881"/>
      <c r="S25" s="881"/>
      <c r="T25" s="534"/>
      <c r="U25" s="882"/>
      <c r="V25" s="882"/>
      <c r="W25" s="882"/>
      <c r="X25" s="882"/>
      <c r="Y25" s="882"/>
      <c r="Z25" s="882"/>
      <c r="AA25" s="307"/>
      <c r="AB25" s="883"/>
      <c r="AC25" s="883"/>
      <c r="AD25" s="883"/>
      <c r="AE25" s="883"/>
    </row>
    <row r="26" spans="1:31">
      <c r="A26" s="886" t="s">
        <v>298</v>
      </c>
      <c r="B26" s="886"/>
      <c r="C26" s="886"/>
      <c r="D26" s="886"/>
      <c r="E26" s="886"/>
      <c r="F26" s="886"/>
      <c r="G26" s="886"/>
      <c r="H26" s="886"/>
      <c r="I26" s="886"/>
      <c r="J26" s="886"/>
      <c r="K26" s="886"/>
      <c r="L26" s="886"/>
      <c r="M26" s="886"/>
      <c r="N26" s="886"/>
      <c r="O26" s="886"/>
      <c r="P26" s="886"/>
      <c r="Q26" s="886"/>
      <c r="R26" s="886"/>
      <c r="S26" s="886"/>
      <c r="T26" s="886"/>
      <c r="U26" s="887">
        <v>4.6890000000000001</v>
      </c>
      <c r="V26" s="888"/>
      <c r="W26" s="888"/>
      <c r="X26" s="887">
        <v>4.931</v>
      </c>
      <c r="Y26" s="888"/>
      <c r="Z26" s="888"/>
    </row>
    <row r="27" spans="1:31" ht="15.75" customHeight="1">
      <c r="A27" s="884" t="s">
        <v>658</v>
      </c>
      <c r="B27" s="884"/>
      <c r="C27" s="884"/>
      <c r="D27" s="884"/>
      <c r="E27" s="884"/>
      <c r="F27" s="885" t="s">
        <v>1901</v>
      </c>
      <c r="G27" s="885"/>
      <c r="H27" s="885"/>
      <c r="I27" s="885"/>
      <c r="J27" s="885"/>
      <c r="K27" s="885"/>
      <c r="L27" s="885"/>
      <c r="M27" s="885"/>
      <c r="N27" s="885"/>
      <c r="O27" s="885"/>
      <c r="P27" s="885"/>
      <c r="Q27" s="885"/>
      <c r="R27" s="885"/>
      <c r="S27" s="885"/>
      <c r="T27" s="885"/>
      <c r="U27" s="885"/>
      <c r="V27" s="885"/>
      <c r="W27" s="885"/>
      <c r="X27" s="885"/>
      <c r="Y27" s="885"/>
      <c r="Z27" s="885"/>
      <c r="AA27" s="885"/>
    </row>
    <row r="28" spans="1:31" s="308" customFormat="1" ht="12.75" customHeight="1">
      <c r="A28" s="534">
        <v>11</v>
      </c>
      <c r="B28" s="881" t="s">
        <v>1890</v>
      </c>
      <c r="C28" s="881"/>
      <c r="D28" s="881"/>
      <c r="E28" s="881"/>
      <c r="F28" s="881"/>
      <c r="G28" s="881" t="s">
        <v>125</v>
      </c>
      <c r="H28" s="881"/>
      <c r="I28" s="881"/>
      <c r="J28" s="881"/>
      <c r="K28" s="881"/>
      <c r="L28" s="881"/>
      <c r="M28" s="881"/>
      <c r="N28" s="882">
        <v>11.175000000000001</v>
      </c>
      <c r="O28" s="882"/>
      <c r="P28" s="881">
        <v>177</v>
      </c>
      <c r="Q28" s="881"/>
      <c r="R28" s="881">
        <v>186</v>
      </c>
      <c r="S28" s="881"/>
      <c r="T28" s="534" t="s">
        <v>524</v>
      </c>
      <c r="U28" s="882">
        <v>1.977975</v>
      </c>
      <c r="V28" s="882"/>
      <c r="W28" s="882"/>
      <c r="X28" s="882">
        <v>2.0785500000000003</v>
      </c>
      <c r="Y28" s="882"/>
      <c r="Z28" s="882"/>
      <c r="AA28" s="534"/>
      <c r="AB28" s="882">
        <v>3.75</v>
      </c>
      <c r="AC28" s="882"/>
      <c r="AD28" s="882">
        <v>2.98</v>
      </c>
      <c r="AE28" s="882"/>
    </row>
    <row r="29" spans="1:31" s="308" customFormat="1" ht="12.75" customHeight="1">
      <c r="A29" s="534">
        <v>12</v>
      </c>
      <c r="B29" s="881" t="s">
        <v>1890</v>
      </c>
      <c r="C29" s="881"/>
      <c r="D29" s="881"/>
      <c r="E29" s="881"/>
      <c r="F29" s="881"/>
      <c r="G29" s="881" t="s">
        <v>1902</v>
      </c>
      <c r="H29" s="881"/>
      <c r="I29" s="881"/>
      <c r="J29" s="881"/>
      <c r="K29" s="881"/>
      <c r="L29" s="881"/>
      <c r="M29" s="881"/>
      <c r="N29" s="882">
        <v>5.5875000000000004</v>
      </c>
      <c r="O29" s="882"/>
      <c r="P29" s="881">
        <v>22</v>
      </c>
      <c r="Q29" s="881"/>
      <c r="R29" s="881">
        <v>25</v>
      </c>
      <c r="S29" s="881"/>
      <c r="T29" s="534" t="s">
        <v>524</v>
      </c>
      <c r="U29" s="882">
        <v>0.12292500000000001</v>
      </c>
      <c r="V29" s="882"/>
      <c r="W29" s="882"/>
      <c r="X29" s="882">
        <v>0.13968749999999999</v>
      </c>
      <c r="Y29" s="882"/>
      <c r="Z29" s="882"/>
      <c r="AA29" s="534"/>
      <c r="AB29" s="882">
        <v>1.875</v>
      </c>
      <c r="AC29" s="882"/>
      <c r="AD29" s="882">
        <v>2.98</v>
      </c>
      <c r="AE29" s="882"/>
    </row>
    <row r="30" spans="1:31" s="308" customFormat="1" ht="12.75" customHeight="1">
      <c r="A30" s="534">
        <v>13</v>
      </c>
      <c r="B30" s="881" t="s">
        <v>1889</v>
      </c>
      <c r="C30" s="881"/>
      <c r="D30" s="881"/>
      <c r="E30" s="881"/>
      <c r="F30" s="881"/>
      <c r="G30" s="881" t="s">
        <v>1903</v>
      </c>
      <c r="H30" s="881"/>
      <c r="I30" s="881"/>
      <c r="J30" s="881"/>
      <c r="K30" s="881"/>
      <c r="L30" s="881"/>
      <c r="M30" s="881"/>
      <c r="N30" s="882">
        <v>15.4160982</v>
      </c>
      <c r="O30" s="882"/>
      <c r="P30" s="881">
        <v>45</v>
      </c>
      <c r="Q30" s="881"/>
      <c r="R30" s="881">
        <v>50</v>
      </c>
      <c r="S30" s="881"/>
      <c r="T30" s="534" t="s">
        <v>524</v>
      </c>
      <c r="U30" s="882">
        <v>0.69372441900000004</v>
      </c>
      <c r="V30" s="882"/>
      <c r="W30" s="882"/>
      <c r="X30" s="882">
        <v>0.77080491000000007</v>
      </c>
      <c r="Y30" s="882"/>
      <c r="Z30" s="882"/>
      <c r="AA30" s="534"/>
      <c r="AB30" s="882">
        <v>5.2257959999999999</v>
      </c>
      <c r="AC30" s="882"/>
      <c r="AD30" s="882">
        <v>2.95</v>
      </c>
      <c r="AE30" s="882"/>
    </row>
    <row r="31" spans="1:31" s="308" customFormat="1" ht="12.75" customHeight="1">
      <c r="A31" s="534">
        <v>14</v>
      </c>
      <c r="B31" s="881" t="s">
        <v>1897</v>
      </c>
      <c r="C31" s="881"/>
      <c r="D31" s="881"/>
      <c r="E31" s="881"/>
      <c r="F31" s="881"/>
      <c r="G31" s="881" t="s">
        <v>16</v>
      </c>
      <c r="H31" s="881"/>
      <c r="I31" s="881"/>
      <c r="J31" s="881"/>
      <c r="K31" s="881"/>
      <c r="L31" s="881"/>
      <c r="M31" s="881"/>
      <c r="N31" s="882">
        <v>1</v>
      </c>
      <c r="O31" s="882"/>
      <c r="P31" s="881">
        <v>850</v>
      </c>
      <c r="Q31" s="881"/>
      <c r="R31" s="881">
        <v>950</v>
      </c>
      <c r="S31" s="881"/>
      <c r="T31" s="534" t="s">
        <v>2</v>
      </c>
      <c r="U31" s="882">
        <v>0.85</v>
      </c>
      <c r="V31" s="882"/>
      <c r="W31" s="882"/>
      <c r="X31" s="882">
        <v>0.95</v>
      </c>
      <c r="Y31" s="882"/>
      <c r="Z31" s="882"/>
      <c r="AA31" s="534"/>
      <c r="AB31" s="882">
        <v>0</v>
      </c>
      <c r="AC31" s="882"/>
      <c r="AD31" s="882">
        <v>2.72</v>
      </c>
      <c r="AE31" s="882"/>
    </row>
    <row r="32" spans="1:31" s="308" customFormat="1" ht="12.75" customHeight="1">
      <c r="A32" s="534">
        <v>15</v>
      </c>
      <c r="B32" s="881"/>
      <c r="C32" s="881"/>
      <c r="D32" s="881"/>
      <c r="E32" s="881"/>
      <c r="F32" s="881"/>
      <c r="G32" s="881"/>
      <c r="H32" s="881"/>
      <c r="I32" s="881"/>
      <c r="J32" s="881"/>
      <c r="K32" s="881"/>
      <c r="L32" s="881"/>
      <c r="M32" s="881"/>
      <c r="N32" s="882"/>
      <c r="O32" s="882"/>
      <c r="P32" s="881"/>
      <c r="Q32" s="881"/>
      <c r="R32" s="881"/>
      <c r="S32" s="881"/>
      <c r="T32" s="534"/>
      <c r="U32" s="882"/>
      <c r="V32" s="882"/>
      <c r="W32" s="882"/>
      <c r="X32" s="882"/>
      <c r="Y32" s="882"/>
      <c r="Z32" s="882"/>
      <c r="AA32" s="534"/>
      <c r="AB32" s="882"/>
      <c r="AC32" s="882"/>
      <c r="AD32" s="882"/>
      <c r="AE32" s="882"/>
    </row>
    <row r="33" spans="1:31" s="308" customFormat="1" ht="12.75" customHeight="1">
      <c r="A33" s="534">
        <v>16</v>
      </c>
      <c r="B33" s="881"/>
      <c r="C33" s="881"/>
      <c r="D33" s="881"/>
      <c r="E33" s="881"/>
      <c r="F33" s="881"/>
      <c r="G33" s="881"/>
      <c r="H33" s="881"/>
      <c r="I33" s="881"/>
      <c r="J33" s="881"/>
      <c r="K33" s="881"/>
      <c r="L33" s="881"/>
      <c r="M33" s="881"/>
      <c r="N33" s="882"/>
      <c r="O33" s="882"/>
      <c r="P33" s="881"/>
      <c r="Q33" s="881"/>
      <c r="R33" s="881"/>
      <c r="S33" s="881"/>
      <c r="T33" s="534"/>
      <c r="U33" s="882"/>
      <c r="V33" s="882"/>
      <c r="W33" s="882"/>
      <c r="X33" s="882"/>
      <c r="Y33" s="882"/>
      <c r="Z33" s="882"/>
      <c r="AA33" s="307"/>
      <c r="AB33" s="883"/>
      <c r="AC33" s="883"/>
      <c r="AD33" s="883"/>
      <c r="AE33" s="883"/>
    </row>
    <row r="34" spans="1:31">
      <c r="A34" s="886" t="s">
        <v>298</v>
      </c>
      <c r="B34" s="886"/>
      <c r="C34" s="886"/>
      <c r="D34" s="886"/>
      <c r="E34" s="886"/>
      <c r="F34" s="886"/>
      <c r="G34" s="886"/>
      <c r="H34" s="886"/>
      <c r="I34" s="886"/>
      <c r="J34" s="886"/>
      <c r="K34" s="886"/>
      <c r="L34" s="886"/>
      <c r="M34" s="886"/>
      <c r="N34" s="886"/>
      <c r="O34" s="886"/>
      <c r="P34" s="886"/>
      <c r="Q34" s="886"/>
      <c r="R34" s="886"/>
      <c r="S34" s="886"/>
      <c r="T34" s="886"/>
      <c r="U34" s="887">
        <v>3.645</v>
      </c>
      <c r="V34" s="888"/>
      <c r="W34" s="888"/>
      <c r="X34" s="887">
        <v>3.9390000000000001</v>
      </c>
      <c r="Y34" s="888"/>
      <c r="Z34" s="888"/>
    </row>
    <row r="35" spans="1:31" ht="15.75" customHeight="1">
      <c r="A35" s="884" t="s">
        <v>658</v>
      </c>
      <c r="B35" s="884"/>
      <c r="C35" s="884"/>
      <c r="D35" s="884"/>
      <c r="E35" s="884"/>
      <c r="F35" s="885" t="s">
        <v>1900</v>
      </c>
      <c r="G35" s="885"/>
      <c r="H35" s="885"/>
      <c r="I35" s="885"/>
      <c r="J35" s="885"/>
      <c r="K35" s="885"/>
      <c r="L35" s="885"/>
      <c r="M35" s="885"/>
      <c r="N35" s="885"/>
      <c r="O35" s="885"/>
      <c r="P35" s="885"/>
      <c r="Q35" s="885"/>
      <c r="R35" s="885"/>
      <c r="S35" s="885"/>
      <c r="T35" s="885"/>
      <c r="U35" s="885"/>
      <c r="V35" s="885"/>
      <c r="W35" s="885"/>
      <c r="X35" s="885"/>
      <c r="Y35" s="885"/>
      <c r="Z35" s="885"/>
      <c r="AA35" s="885"/>
    </row>
    <row r="36" spans="1:31" s="308" customFormat="1" ht="12.75" customHeight="1">
      <c r="A36" s="534">
        <v>17</v>
      </c>
      <c r="B36" s="881" t="s">
        <v>1891</v>
      </c>
      <c r="C36" s="881"/>
      <c r="D36" s="881"/>
      <c r="E36" s="881"/>
      <c r="F36" s="881"/>
      <c r="G36" s="881" t="s">
        <v>695</v>
      </c>
      <c r="H36" s="881"/>
      <c r="I36" s="881"/>
      <c r="J36" s="881"/>
      <c r="K36" s="881"/>
      <c r="L36" s="881"/>
      <c r="M36" s="881"/>
      <c r="N36" s="882">
        <v>6.7716000000000003</v>
      </c>
      <c r="O36" s="882"/>
      <c r="P36" s="881">
        <v>241</v>
      </c>
      <c r="Q36" s="881"/>
      <c r="R36" s="881">
        <v>254</v>
      </c>
      <c r="S36" s="881"/>
      <c r="T36" s="534" t="s">
        <v>524</v>
      </c>
      <c r="U36" s="882">
        <v>1.6319556</v>
      </c>
      <c r="V36" s="882"/>
      <c r="W36" s="882"/>
      <c r="X36" s="882">
        <v>1.7199864</v>
      </c>
      <c r="Y36" s="882"/>
      <c r="Z36" s="882"/>
      <c r="AA36" s="534"/>
      <c r="AB36" s="882">
        <v>2.2799999999999998</v>
      </c>
      <c r="AC36" s="882"/>
      <c r="AD36" s="882">
        <v>2.97</v>
      </c>
      <c r="AE36" s="882"/>
    </row>
    <row r="37" spans="1:31" s="308" customFormat="1" ht="12.75" customHeight="1">
      <c r="A37" s="534">
        <v>18</v>
      </c>
      <c r="B37" s="881" t="s">
        <v>1891</v>
      </c>
      <c r="C37" s="881"/>
      <c r="D37" s="881"/>
      <c r="E37" s="881"/>
      <c r="F37" s="881"/>
      <c r="G37" s="881" t="s">
        <v>700</v>
      </c>
      <c r="H37" s="881"/>
      <c r="I37" s="881"/>
      <c r="J37" s="881"/>
      <c r="K37" s="881"/>
      <c r="L37" s="881"/>
      <c r="M37" s="881"/>
      <c r="N37" s="882">
        <v>6.7716000000000003</v>
      </c>
      <c r="O37" s="882"/>
      <c r="P37" s="881">
        <v>199</v>
      </c>
      <c r="Q37" s="881"/>
      <c r="R37" s="881">
        <v>209</v>
      </c>
      <c r="S37" s="881"/>
      <c r="T37" s="534" t="s">
        <v>524</v>
      </c>
      <c r="U37" s="882">
        <v>1.3475484000000002</v>
      </c>
      <c r="V37" s="882"/>
      <c r="W37" s="882"/>
      <c r="X37" s="882">
        <v>1.4152644000000001</v>
      </c>
      <c r="Y37" s="882"/>
      <c r="Z37" s="882"/>
      <c r="AA37" s="534"/>
      <c r="AB37" s="882">
        <v>2.2799999999999998</v>
      </c>
      <c r="AC37" s="882"/>
      <c r="AD37" s="882">
        <v>2.97</v>
      </c>
      <c r="AE37" s="882"/>
    </row>
    <row r="38" spans="1:31" s="308" customFormat="1" ht="12.75" customHeight="1">
      <c r="A38" s="534">
        <v>19</v>
      </c>
      <c r="B38" s="881" t="s">
        <v>1891</v>
      </c>
      <c r="C38" s="881"/>
      <c r="D38" s="881"/>
      <c r="E38" s="881"/>
      <c r="F38" s="881"/>
      <c r="G38" s="881" t="s">
        <v>703</v>
      </c>
      <c r="H38" s="881"/>
      <c r="I38" s="881"/>
      <c r="J38" s="881"/>
      <c r="K38" s="881"/>
      <c r="L38" s="881"/>
      <c r="M38" s="881"/>
      <c r="N38" s="882">
        <v>7.9298999999999999</v>
      </c>
      <c r="O38" s="882"/>
      <c r="P38" s="881">
        <v>51</v>
      </c>
      <c r="Q38" s="881"/>
      <c r="R38" s="881">
        <v>55</v>
      </c>
      <c r="S38" s="881"/>
      <c r="T38" s="534" t="s">
        <v>524</v>
      </c>
      <c r="U38" s="882">
        <v>0.40442489999999998</v>
      </c>
      <c r="V38" s="882"/>
      <c r="W38" s="882"/>
      <c r="X38" s="882">
        <v>0.43614449999999999</v>
      </c>
      <c r="Y38" s="882"/>
      <c r="Z38" s="882"/>
      <c r="AA38" s="534"/>
      <c r="AB38" s="882">
        <v>2.67</v>
      </c>
      <c r="AC38" s="882"/>
      <c r="AD38" s="882">
        <v>2.97</v>
      </c>
      <c r="AE38" s="882"/>
    </row>
    <row r="39" spans="1:31" s="308" customFormat="1" ht="12.75" customHeight="1">
      <c r="A39" s="534">
        <v>20</v>
      </c>
      <c r="B39" s="881" t="s">
        <v>1891</v>
      </c>
      <c r="C39" s="881"/>
      <c r="D39" s="881"/>
      <c r="E39" s="881"/>
      <c r="F39" s="881"/>
      <c r="G39" s="881" t="s">
        <v>706</v>
      </c>
      <c r="H39" s="881"/>
      <c r="I39" s="881"/>
      <c r="J39" s="881"/>
      <c r="K39" s="881"/>
      <c r="L39" s="881"/>
      <c r="M39" s="881"/>
      <c r="N39" s="882">
        <v>7.9298999999999999</v>
      </c>
      <c r="O39" s="882"/>
      <c r="P39" s="881">
        <v>87</v>
      </c>
      <c r="Q39" s="881"/>
      <c r="R39" s="881">
        <v>94</v>
      </c>
      <c r="S39" s="881"/>
      <c r="T39" s="534" t="s">
        <v>524</v>
      </c>
      <c r="U39" s="882">
        <v>0.68990129999999994</v>
      </c>
      <c r="V39" s="882"/>
      <c r="W39" s="882"/>
      <c r="X39" s="882">
        <v>0.74541060000000003</v>
      </c>
      <c r="Y39" s="882"/>
      <c r="Z39" s="882"/>
      <c r="AA39" s="534"/>
      <c r="AB39" s="882">
        <v>2.67</v>
      </c>
      <c r="AC39" s="882"/>
      <c r="AD39" s="882">
        <v>2.97</v>
      </c>
      <c r="AE39" s="882"/>
    </row>
    <row r="40" spans="1:31" s="308" customFormat="1" ht="12.75" customHeight="1">
      <c r="A40" s="534">
        <v>21</v>
      </c>
      <c r="B40" s="881" t="s">
        <v>1890</v>
      </c>
      <c r="C40" s="881"/>
      <c r="D40" s="881"/>
      <c r="E40" s="881"/>
      <c r="F40" s="881"/>
      <c r="G40" s="881" t="s">
        <v>695</v>
      </c>
      <c r="H40" s="881"/>
      <c r="I40" s="881"/>
      <c r="J40" s="881"/>
      <c r="K40" s="881"/>
      <c r="L40" s="881"/>
      <c r="M40" s="881"/>
      <c r="N40" s="882">
        <v>6.7943999999999996</v>
      </c>
      <c r="O40" s="882"/>
      <c r="P40" s="881">
        <v>226</v>
      </c>
      <c r="Q40" s="881"/>
      <c r="R40" s="881">
        <v>238</v>
      </c>
      <c r="S40" s="881"/>
      <c r="T40" s="534" t="s">
        <v>524</v>
      </c>
      <c r="U40" s="882">
        <v>1.5355344</v>
      </c>
      <c r="V40" s="882"/>
      <c r="W40" s="882"/>
      <c r="X40" s="882">
        <v>1.6170671999999999</v>
      </c>
      <c r="Y40" s="882"/>
      <c r="Z40" s="882"/>
      <c r="AA40" s="534"/>
      <c r="AB40" s="882">
        <v>2.2799999999999998</v>
      </c>
      <c r="AC40" s="882"/>
      <c r="AD40" s="882">
        <v>2.98</v>
      </c>
      <c r="AE40" s="882"/>
    </row>
    <row r="41" spans="1:31" s="308" customFormat="1" ht="12.75" customHeight="1">
      <c r="A41" s="534">
        <v>22</v>
      </c>
      <c r="B41" s="881" t="s">
        <v>1890</v>
      </c>
      <c r="C41" s="881"/>
      <c r="D41" s="881"/>
      <c r="E41" s="881"/>
      <c r="F41" s="881"/>
      <c r="G41" s="881" t="s">
        <v>700</v>
      </c>
      <c r="H41" s="881"/>
      <c r="I41" s="881"/>
      <c r="J41" s="881"/>
      <c r="K41" s="881"/>
      <c r="L41" s="881"/>
      <c r="M41" s="881"/>
      <c r="N41" s="882">
        <v>6.7943999999999996</v>
      </c>
      <c r="O41" s="882"/>
      <c r="P41" s="881">
        <v>216</v>
      </c>
      <c r="Q41" s="881"/>
      <c r="R41" s="881">
        <v>227</v>
      </c>
      <c r="S41" s="881"/>
      <c r="T41" s="534" t="s">
        <v>524</v>
      </c>
      <c r="U41" s="882">
        <v>1.4675903999999997</v>
      </c>
      <c r="V41" s="882"/>
      <c r="W41" s="882"/>
      <c r="X41" s="882">
        <v>1.5423287999999999</v>
      </c>
      <c r="Y41" s="882"/>
      <c r="Z41" s="882"/>
      <c r="AA41" s="534"/>
      <c r="AB41" s="882">
        <v>2.2799999999999998</v>
      </c>
      <c r="AC41" s="882"/>
      <c r="AD41" s="882">
        <v>2.98</v>
      </c>
      <c r="AE41" s="882"/>
    </row>
    <row r="42" spans="1:31" s="308" customFormat="1" ht="12.75" customHeight="1">
      <c r="A42" s="534">
        <v>23</v>
      </c>
      <c r="B42" s="881" t="s">
        <v>1889</v>
      </c>
      <c r="C42" s="881"/>
      <c r="D42" s="881"/>
      <c r="E42" s="881"/>
      <c r="F42" s="881"/>
      <c r="G42" s="881" t="s">
        <v>710</v>
      </c>
      <c r="H42" s="881"/>
      <c r="I42" s="881"/>
      <c r="J42" s="881"/>
      <c r="K42" s="881"/>
      <c r="L42" s="881"/>
      <c r="M42" s="881"/>
      <c r="N42" s="882">
        <v>8.9827500000000011</v>
      </c>
      <c r="O42" s="882"/>
      <c r="P42" s="881">
        <v>33</v>
      </c>
      <c r="Q42" s="881"/>
      <c r="R42" s="881">
        <v>37</v>
      </c>
      <c r="S42" s="881"/>
      <c r="T42" s="534" t="s">
        <v>524</v>
      </c>
      <c r="U42" s="882">
        <v>0.29643075000000002</v>
      </c>
      <c r="V42" s="882"/>
      <c r="W42" s="882"/>
      <c r="X42" s="882">
        <v>0.33236175000000001</v>
      </c>
      <c r="Y42" s="882"/>
      <c r="Z42" s="882"/>
      <c r="AA42" s="534"/>
      <c r="AB42" s="882">
        <v>3.0449999999999999</v>
      </c>
      <c r="AC42" s="882"/>
      <c r="AD42" s="882">
        <v>2.95</v>
      </c>
      <c r="AE42" s="882"/>
    </row>
    <row r="43" spans="1:31" s="308" customFormat="1" ht="12.75" customHeight="1">
      <c r="A43" s="534">
        <v>24</v>
      </c>
      <c r="B43" s="881" t="s">
        <v>1889</v>
      </c>
      <c r="C43" s="881"/>
      <c r="D43" s="881"/>
      <c r="E43" s="881"/>
      <c r="F43" s="881"/>
      <c r="G43" s="881" t="s">
        <v>713</v>
      </c>
      <c r="H43" s="881"/>
      <c r="I43" s="881"/>
      <c r="J43" s="881"/>
      <c r="K43" s="881"/>
      <c r="L43" s="881"/>
      <c r="M43" s="881"/>
      <c r="N43" s="882">
        <v>8.9827500000000011</v>
      </c>
      <c r="O43" s="882"/>
      <c r="P43" s="881">
        <v>193</v>
      </c>
      <c r="Q43" s="881"/>
      <c r="R43" s="881">
        <v>203</v>
      </c>
      <c r="S43" s="881"/>
      <c r="T43" s="534" t="s">
        <v>524</v>
      </c>
      <c r="U43" s="882">
        <v>1.7336707500000001</v>
      </c>
      <c r="V43" s="882"/>
      <c r="W43" s="882"/>
      <c r="X43" s="882">
        <v>1.8234982500000003</v>
      </c>
      <c r="Y43" s="882"/>
      <c r="Z43" s="882"/>
      <c r="AA43" s="534"/>
      <c r="AB43" s="882">
        <v>3.0449999999999999</v>
      </c>
      <c r="AC43" s="882"/>
      <c r="AD43" s="882">
        <v>2.95</v>
      </c>
      <c r="AE43" s="882"/>
    </row>
    <row r="44" spans="1:31" s="308" customFormat="1" ht="12.75" customHeight="1">
      <c r="A44" s="534">
        <v>25</v>
      </c>
      <c r="B44" s="881" t="s">
        <v>1895</v>
      </c>
      <c r="C44" s="881"/>
      <c r="D44" s="881"/>
      <c r="E44" s="881"/>
      <c r="F44" s="881"/>
      <c r="G44" s="881" t="s">
        <v>16</v>
      </c>
      <c r="H44" s="881"/>
      <c r="I44" s="881"/>
      <c r="J44" s="881"/>
      <c r="K44" s="881"/>
      <c r="L44" s="881"/>
      <c r="M44" s="881"/>
      <c r="N44" s="882">
        <v>1</v>
      </c>
      <c r="O44" s="882"/>
      <c r="P44" s="881">
        <v>75</v>
      </c>
      <c r="Q44" s="881"/>
      <c r="R44" s="881">
        <v>100</v>
      </c>
      <c r="S44" s="881"/>
      <c r="T44" s="534" t="s">
        <v>2</v>
      </c>
      <c r="U44" s="882">
        <v>7.4999999999999997E-2</v>
      </c>
      <c r="V44" s="882"/>
      <c r="W44" s="882"/>
      <c r="X44" s="882">
        <v>0.1</v>
      </c>
      <c r="Y44" s="882"/>
      <c r="Z44" s="882"/>
      <c r="AA44" s="534"/>
      <c r="AB44" s="882">
        <v>0</v>
      </c>
      <c r="AC44" s="882"/>
      <c r="AD44" s="882">
        <v>2.17</v>
      </c>
      <c r="AE44" s="882"/>
    </row>
    <row r="45" spans="1:31" s="308" customFormat="1" ht="12.75" customHeight="1">
      <c r="A45" s="534">
        <v>26</v>
      </c>
      <c r="B45" s="881"/>
      <c r="C45" s="881"/>
      <c r="D45" s="881"/>
      <c r="E45" s="881"/>
      <c r="F45" s="881"/>
      <c r="G45" s="881"/>
      <c r="H45" s="881"/>
      <c r="I45" s="881"/>
      <c r="J45" s="881"/>
      <c r="K45" s="881"/>
      <c r="L45" s="881"/>
      <c r="M45" s="881"/>
      <c r="N45" s="882"/>
      <c r="O45" s="882"/>
      <c r="P45" s="881"/>
      <c r="Q45" s="881"/>
      <c r="R45" s="881"/>
      <c r="S45" s="881"/>
      <c r="T45" s="534"/>
      <c r="U45" s="882"/>
      <c r="V45" s="882"/>
      <c r="W45" s="882"/>
      <c r="X45" s="882"/>
      <c r="Y45" s="882"/>
      <c r="Z45" s="882"/>
      <c r="AA45" s="534"/>
      <c r="AB45" s="882"/>
      <c r="AC45" s="882"/>
      <c r="AD45" s="882"/>
      <c r="AE45" s="882"/>
    </row>
    <row r="46" spans="1:31" s="308" customFormat="1" ht="12.75" customHeight="1">
      <c r="A46" s="534">
        <v>27</v>
      </c>
      <c r="B46" s="881"/>
      <c r="C46" s="881"/>
      <c r="D46" s="881"/>
      <c r="E46" s="881"/>
      <c r="F46" s="881"/>
      <c r="G46" s="881"/>
      <c r="H46" s="881"/>
      <c r="I46" s="881"/>
      <c r="J46" s="881"/>
      <c r="K46" s="881"/>
      <c r="L46" s="881"/>
      <c r="M46" s="881"/>
      <c r="N46" s="882"/>
      <c r="O46" s="882"/>
      <c r="P46" s="881"/>
      <c r="Q46" s="881"/>
      <c r="R46" s="881"/>
      <c r="S46" s="881"/>
      <c r="T46" s="534"/>
      <c r="U46" s="882"/>
      <c r="V46" s="882"/>
      <c r="W46" s="882"/>
      <c r="X46" s="882"/>
      <c r="Y46" s="882"/>
      <c r="Z46" s="882"/>
      <c r="AA46" s="307"/>
      <c r="AB46" s="883"/>
      <c r="AC46" s="883"/>
      <c r="AD46" s="883"/>
      <c r="AE46" s="883"/>
    </row>
    <row r="47" spans="1:31">
      <c r="A47" s="878" t="s">
        <v>298</v>
      </c>
      <c r="B47" s="878"/>
      <c r="C47" s="878"/>
      <c r="D47" s="878"/>
      <c r="E47" s="878"/>
      <c r="F47" s="878"/>
      <c r="G47" s="878"/>
      <c r="H47" s="878"/>
      <c r="I47" s="878"/>
      <c r="J47" s="878"/>
      <c r="K47" s="878"/>
      <c r="L47" s="878"/>
      <c r="M47" s="878"/>
      <c r="N47" s="878"/>
      <c r="O47" s="878"/>
      <c r="P47" s="878"/>
      <c r="Q47" s="878"/>
      <c r="R47" s="878"/>
      <c r="S47" s="878"/>
      <c r="T47" s="878"/>
      <c r="U47" s="879">
        <v>9.1820000000000004</v>
      </c>
      <c r="V47" s="880"/>
      <c r="W47" s="880"/>
      <c r="X47" s="879">
        <v>9.7319999999999993</v>
      </c>
      <c r="Y47" s="880"/>
      <c r="Z47" s="880"/>
    </row>
  </sheetData>
  <mergeCells count="291">
    <mergeCell ref="B43:F43"/>
    <mergeCell ref="G43:M43"/>
    <mergeCell ref="N43:O43"/>
    <mergeCell ref="P43:Q43"/>
    <mergeCell ref="R43:S43"/>
    <mergeCell ref="U43:W43"/>
    <mergeCell ref="X43:Z43"/>
    <mergeCell ref="AB43:AC43"/>
    <mergeCell ref="AD43:AE43"/>
    <mergeCell ref="AB39:AC39"/>
    <mergeCell ref="U20:W20"/>
    <mergeCell ref="X20:Z20"/>
    <mergeCell ref="U44:W44"/>
    <mergeCell ref="X44:Z44"/>
    <mergeCell ref="U42:W42"/>
    <mergeCell ref="AD39:AE39"/>
    <mergeCell ref="U28:W28"/>
    <mergeCell ref="X28:Z28"/>
    <mergeCell ref="U34:W34"/>
    <mergeCell ref="X34:Z34"/>
    <mergeCell ref="AB38:AC38"/>
    <mergeCell ref="AD38:AE38"/>
    <mergeCell ref="U36:W36"/>
    <mergeCell ref="X36:Z36"/>
    <mergeCell ref="AB42:AC42"/>
    <mergeCell ref="AD42:AE42"/>
    <mergeCell ref="U26:W26"/>
    <mergeCell ref="X26:Z26"/>
    <mergeCell ref="U24:W24"/>
    <mergeCell ref="X24:Z24"/>
    <mergeCell ref="AD22:AE22"/>
    <mergeCell ref="AD23:AE23"/>
    <mergeCell ref="AD20:AE20"/>
    <mergeCell ref="B42:F42"/>
    <mergeCell ref="G42:M42"/>
    <mergeCell ref="N42:O42"/>
    <mergeCell ref="P42:Q42"/>
    <mergeCell ref="R42:S42"/>
    <mergeCell ref="U40:W40"/>
    <mergeCell ref="X40:Z40"/>
    <mergeCell ref="A34:T34"/>
    <mergeCell ref="A35:E35"/>
    <mergeCell ref="F35:AA35"/>
    <mergeCell ref="X42:Z42"/>
    <mergeCell ref="U38:W38"/>
    <mergeCell ref="X38:Z38"/>
    <mergeCell ref="B38:F38"/>
    <mergeCell ref="G38:M38"/>
    <mergeCell ref="N38:O38"/>
    <mergeCell ref="P38:Q38"/>
    <mergeCell ref="P39:Q39"/>
    <mergeCell ref="R39:S39"/>
    <mergeCell ref="U39:W39"/>
    <mergeCell ref="X39:Z39"/>
    <mergeCell ref="R38:S38"/>
    <mergeCell ref="B39:F39"/>
    <mergeCell ref="G39:M39"/>
    <mergeCell ref="N39:O39"/>
    <mergeCell ref="U30:W30"/>
    <mergeCell ref="X30:Z30"/>
    <mergeCell ref="AB30:AC30"/>
    <mergeCell ref="AD30:AE30"/>
    <mergeCell ref="B30:F30"/>
    <mergeCell ref="G30:M30"/>
    <mergeCell ref="N30:O30"/>
    <mergeCell ref="P30:Q30"/>
    <mergeCell ref="R30:S30"/>
    <mergeCell ref="B31:F31"/>
    <mergeCell ref="G31:M31"/>
    <mergeCell ref="N31:O31"/>
    <mergeCell ref="P31:Q31"/>
    <mergeCell ref="R31:S31"/>
    <mergeCell ref="U31:W31"/>
    <mergeCell ref="X31:Z31"/>
    <mergeCell ref="AB31:AC31"/>
    <mergeCell ref="AD31:AE31"/>
    <mergeCell ref="AB32:AC32"/>
    <mergeCell ref="AD32:AE32"/>
    <mergeCell ref="B33:F33"/>
    <mergeCell ref="G33:M33"/>
    <mergeCell ref="N33:O33"/>
    <mergeCell ref="A26:T26"/>
    <mergeCell ref="U22:W22"/>
    <mergeCell ref="X22:Z22"/>
    <mergeCell ref="AB22:AC22"/>
    <mergeCell ref="B22:F22"/>
    <mergeCell ref="G22:M22"/>
    <mergeCell ref="N22:O22"/>
    <mergeCell ref="P22:Q22"/>
    <mergeCell ref="R22:S22"/>
    <mergeCell ref="B23:F23"/>
    <mergeCell ref="G23:M23"/>
    <mergeCell ref="N23:O23"/>
    <mergeCell ref="P23:Q23"/>
    <mergeCell ref="R23:S23"/>
    <mergeCell ref="U23:W23"/>
    <mergeCell ref="X23:Z23"/>
    <mergeCell ref="AB23:AC23"/>
    <mergeCell ref="AB24:AC24"/>
    <mergeCell ref="I1:AA2"/>
    <mergeCell ref="A8:AA8"/>
    <mergeCell ref="A9:A10"/>
    <mergeCell ref="B9:F10"/>
    <mergeCell ref="A12:E12"/>
    <mergeCell ref="N9:O10"/>
    <mergeCell ref="U10:W10"/>
    <mergeCell ref="A1:H7"/>
    <mergeCell ref="I3:AA5"/>
    <mergeCell ref="I6:U6"/>
    <mergeCell ref="A11:AA11"/>
    <mergeCell ref="V6:X6"/>
    <mergeCell ref="Y6:AA6"/>
    <mergeCell ref="I7:U7"/>
    <mergeCell ref="V7:X7"/>
    <mergeCell ref="Y7:AA7"/>
    <mergeCell ref="AD14:AE14"/>
    <mergeCell ref="X14:Z14"/>
    <mergeCell ref="A13:E13"/>
    <mergeCell ref="F13:AA13"/>
    <mergeCell ref="AB14:AC14"/>
    <mergeCell ref="B14:F14"/>
    <mergeCell ref="G9:M10"/>
    <mergeCell ref="T9:T10"/>
    <mergeCell ref="AB9:AC9"/>
    <mergeCell ref="AB10:AC10"/>
    <mergeCell ref="AA9:AA10"/>
    <mergeCell ref="P10:Q10"/>
    <mergeCell ref="R10:S10"/>
    <mergeCell ref="U9:Z9"/>
    <mergeCell ref="AD10:AE10"/>
    <mergeCell ref="X10:Z10"/>
    <mergeCell ref="P9:S9"/>
    <mergeCell ref="AD9:AE9"/>
    <mergeCell ref="G14:M14"/>
    <mergeCell ref="N14:O14"/>
    <mergeCell ref="P14:Q14"/>
    <mergeCell ref="R14:S14"/>
    <mergeCell ref="U14:W14"/>
    <mergeCell ref="U16:W16"/>
    <mergeCell ref="U15:W15"/>
    <mergeCell ref="X15:Z15"/>
    <mergeCell ref="AB15:AC15"/>
    <mergeCell ref="AD15:AE15"/>
    <mergeCell ref="B15:F15"/>
    <mergeCell ref="G15:M15"/>
    <mergeCell ref="N15:O15"/>
    <mergeCell ref="P15:Q15"/>
    <mergeCell ref="R15:S15"/>
    <mergeCell ref="B16:F16"/>
    <mergeCell ref="G16:M16"/>
    <mergeCell ref="N16:O16"/>
    <mergeCell ref="P16:Q16"/>
    <mergeCell ref="R16:S16"/>
    <mergeCell ref="AB16:AC16"/>
    <mergeCell ref="AD16:AE16"/>
    <mergeCell ref="X16:Z16"/>
    <mergeCell ref="B17:F17"/>
    <mergeCell ref="G17:M17"/>
    <mergeCell ref="N17:O17"/>
    <mergeCell ref="P17:Q17"/>
    <mergeCell ref="R17:S17"/>
    <mergeCell ref="U17:W17"/>
    <mergeCell ref="X17:Z17"/>
    <mergeCell ref="AB17:AC17"/>
    <mergeCell ref="AD17:AE17"/>
    <mergeCell ref="A18:T18"/>
    <mergeCell ref="A19:E19"/>
    <mergeCell ref="F19:AA19"/>
    <mergeCell ref="B20:F20"/>
    <mergeCell ref="G20:M20"/>
    <mergeCell ref="N20:O20"/>
    <mergeCell ref="P20:Q20"/>
    <mergeCell ref="R20:S20"/>
    <mergeCell ref="AB20:AC20"/>
    <mergeCell ref="U18:W18"/>
    <mergeCell ref="X18:Z18"/>
    <mergeCell ref="B21:F21"/>
    <mergeCell ref="G21:M21"/>
    <mergeCell ref="N21:O21"/>
    <mergeCell ref="P21:Q21"/>
    <mergeCell ref="R21:S21"/>
    <mergeCell ref="U21:W21"/>
    <mergeCell ref="X21:Z21"/>
    <mergeCell ref="AB21:AC21"/>
    <mergeCell ref="AD21:AE21"/>
    <mergeCell ref="AD24:AE24"/>
    <mergeCell ref="B25:F25"/>
    <mergeCell ref="G25:M25"/>
    <mergeCell ref="N25:O25"/>
    <mergeCell ref="P25:Q25"/>
    <mergeCell ref="R25:S25"/>
    <mergeCell ref="U25:W25"/>
    <mergeCell ref="X25:Z25"/>
    <mergeCell ref="AB25:AC25"/>
    <mergeCell ref="AD25:AE25"/>
    <mergeCell ref="B24:F24"/>
    <mergeCell ref="G24:M24"/>
    <mergeCell ref="N24:O24"/>
    <mergeCell ref="P24:Q24"/>
    <mergeCell ref="R24:S24"/>
    <mergeCell ref="A27:E27"/>
    <mergeCell ref="F27:AA27"/>
    <mergeCell ref="B28:F28"/>
    <mergeCell ref="G28:M28"/>
    <mergeCell ref="N28:O28"/>
    <mergeCell ref="P28:Q28"/>
    <mergeCell ref="R28:S28"/>
    <mergeCell ref="AB28:AC28"/>
    <mergeCell ref="AD28:AE28"/>
    <mergeCell ref="B29:F29"/>
    <mergeCell ref="G29:M29"/>
    <mergeCell ref="N29:O29"/>
    <mergeCell ref="P29:Q29"/>
    <mergeCell ref="R29:S29"/>
    <mergeCell ref="U29:W29"/>
    <mergeCell ref="X29:Z29"/>
    <mergeCell ref="AB29:AC29"/>
    <mergeCell ref="AD29:AE29"/>
    <mergeCell ref="P33:Q33"/>
    <mergeCell ref="R33:S33"/>
    <mergeCell ref="U33:W33"/>
    <mergeCell ref="X33:Z33"/>
    <mergeCell ref="AB33:AC33"/>
    <mergeCell ref="AD33:AE33"/>
    <mergeCell ref="U32:W32"/>
    <mergeCell ref="X32:Z32"/>
    <mergeCell ref="B32:F32"/>
    <mergeCell ref="G32:M32"/>
    <mergeCell ref="N32:O32"/>
    <mergeCell ref="P32:Q32"/>
    <mergeCell ref="R32:S32"/>
    <mergeCell ref="B36:F36"/>
    <mergeCell ref="G36:M36"/>
    <mergeCell ref="N36:O36"/>
    <mergeCell ref="P36:Q36"/>
    <mergeCell ref="R36:S36"/>
    <mergeCell ref="AB36:AC36"/>
    <mergeCell ref="AD36:AE36"/>
    <mergeCell ref="B37:F37"/>
    <mergeCell ref="G37:M37"/>
    <mergeCell ref="N37:O37"/>
    <mergeCell ref="P37:Q37"/>
    <mergeCell ref="R37:S37"/>
    <mergeCell ref="U37:W37"/>
    <mergeCell ref="X37:Z37"/>
    <mergeCell ref="AB37:AC37"/>
    <mergeCell ref="AD37:AE37"/>
    <mergeCell ref="B40:F40"/>
    <mergeCell ref="G40:M40"/>
    <mergeCell ref="N40:O40"/>
    <mergeCell ref="P40:Q40"/>
    <mergeCell ref="R40:S40"/>
    <mergeCell ref="AB40:AC40"/>
    <mergeCell ref="AD40:AE40"/>
    <mergeCell ref="B41:F41"/>
    <mergeCell ref="G41:M41"/>
    <mergeCell ref="N41:O41"/>
    <mergeCell ref="P41:Q41"/>
    <mergeCell ref="R41:S41"/>
    <mergeCell ref="U41:W41"/>
    <mergeCell ref="X41:Z41"/>
    <mergeCell ref="AB41:AC41"/>
    <mergeCell ref="AD41:AE41"/>
    <mergeCell ref="AB46:AC46"/>
    <mergeCell ref="AD46:AE46"/>
    <mergeCell ref="B44:F44"/>
    <mergeCell ref="G44:M44"/>
    <mergeCell ref="N44:O44"/>
    <mergeCell ref="P44:Q44"/>
    <mergeCell ref="R44:S44"/>
    <mergeCell ref="AB44:AC44"/>
    <mergeCell ref="AD44:AE44"/>
    <mergeCell ref="B45:F45"/>
    <mergeCell ref="G45:M45"/>
    <mergeCell ref="N45:O45"/>
    <mergeCell ref="P45:Q45"/>
    <mergeCell ref="R45:S45"/>
    <mergeCell ref="U45:W45"/>
    <mergeCell ref="X45:Z45"/>
    <mergeCell ref="AB45:AC45"/>
    <mergeCell ref="AD45:AE45"/>
    <mergeCell ref="A47:T47"/>
    <mergeCell ref="U47:W47"/>
    <mergeCell ref="X47:Z47"/>
    <mergeCell ref="B46:F46"/>
    <mergeCell ref="G46:M46"/>
    <mergeCell ref="N46:O46"/>
    <mergeCell ref="P46:Q46"/>
    <mergeCell ref="R46:S46"/>
    <mergeCell ref="U46:W46"/>
    <mergeCell ref="X46:Z46"/>
  </mergeCells>
  <phoneticPr fontId="0" type="noConversion"/>
  <conditionalFormatting sqref="I1:AA2 I3">
    <cfRule type="cellIs" dxfId="51" priority="24" stopIfTrue="1" operator="equal">
      <formula>"CLIENTE"</formula>
    </cfRule>
  </conditionalFormatting>
  <conditionalFormatting sqref="I3:AA4">
    <cfRule type="cellIs" dxfId="50" priority="23" stopIfTrue="1" operator="equal">
      <formula>"EQUIPAMENTO"</formula>
    </cfRule>
  </conditionalFormatting>
  <conditionalFormatting sqref="F7 D6 N6 I3 I1">
    <cfRule type="cellIs" dxfId="49" priority="22" stopIfTrue="1" operator="equal">
      <formula>""</formula>
    </cfRule>
  </conditionalFormatting>
  <conditionalFormatting sqref="D6 AA6 I3 N6:X6 I1">
    <cfRule type="cellIs" dxfId="48" priority="21" stopIfTrue="1" operator="equal">
      <formula>"880............."</formula>
    </cfRule>
  </conditionalFormatting>
  <conditionalFormatting sqref="AA6">
    <cfRule type="cellIs" dxfId="47" priority="19"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2"/>
  <dimension ref="A1:BB34"/>
  <sheetViews>
    <sheetView showGridLines="0" zoomScaleNormal="100" workbookViewId="0">
      <selection activeCell="AC14" sqref="AC14"/>
    </sheetView>
  </sheetViews>
  <sheetFormatPr defaultColWidth="3.6640625" defaultRowHeight="13.2"/>
  <cols>
    <col min="1" max="1" width="4.5546875" customWidth="1"/>
    <col min="18" max="18" width="3.6640625" customWidth="1"/>
    <col min="23" max="23" width="3.6640625" customWidth="1"/>
  </cols>
  <sheetData>
    <row r="1" spans="1:54" ht="12.75" customHeight="1">
      <c r="A1" s="864"/>
      <c r="B1" s="865"/>
      <c r="C1" s="865"/>
      <c r="D1" s="865"/>
      <c r="E1" s="865"/>
      <c r="F1" s="865"/>
      <c r="G1" s="865"/>
      <c r="H1" s="866"/>
      <c r="I1" s="839" t="str">
        <f>TOTAL!I1</f>
        <v xml:space="preserve"> - </v>
      </c>
      <c r="J1" s="840"/>
      <c r="K1" s="840"/>
      <c r="L1" s="840"/>
      <c r="M1" s="840"/>
      <c r="N1" s="840"/>
      <c r="O1" s="840"/>
      <c r="P1" s="840"/>
      <c r="Q1" s="840"/>
      <c r="R1" s="840"/>
      <c r="S1" s="840"/>
      <c r="T1" s="840"/>
      <c r="U1" s="840"/>
      <c r="V1" s="840"/>
      <c r="W1" s="840"/>
      <c r="X1" s="840"/>
      <c r="Y1" s="840"/>
      <c r="Z1" s="840"/>
      <c r="AA1" s="841"/>
    </row>
    <row r="2" spans="1:54" ht="12.75" customHeight="1" thickBot="1">
      <c r="A2" s="867"/>
      <c r="B2" s="868"/>
      <c r="C2" s="868"/>
      <c r="D2" s="868"/>
      <c r="E2" s="868"/>
      <c r="F2" s="868"/>
      <c r="G2" s="868"/>
      <c r="H2" s="869"/>
      <c r="I2" s="842"/>
      <c r="J2" s="843"/>
      <c r="K2" s="843"/>
      <c r="L2" s="843"/>
      <c r="M2" s="843"/>
      <c r="N2" s="843"/>
      <c r="O2" s="843"/>
      <c r="P2" s="843"/>
      <c r="Q2" s="843"/>
      <c r="R2" s="843"/>
      <c r="S2" s="843"/>
      <c r="T2" s="843"/>
      <c r="U2" s="843"/>
      <c r="V2" s="843"/>
      <c r="W2" s="843"/>
      <c r="X2" s="843"/>
      <c r="Y2" s="843"/>
      <c r="Z2" s="843"/>
      <c r="AA2" s="844"/>
    </row>
    <row r="3" spans="1:54" ht="12.75" customHeight="1">
      <c r="A3" s="867"/>
      <c r="B3" s="868"/>
      <c r="C3" s="868"/>
      <c r="D3" s="868"/>
      <c r="E3" s="868"/>
      <c r="F3" s="868"/>
      <c r="G3" s="868"/>
      <c r="H3" s="869"/>
      <c r="I3" s="839" t="str">
        <f>TOTAL!I3</f>
        <v xml:space="preserve"> - </v>
      </c>
      <c r="J3" s="856"/>
      <c r="K3" s="856"/>
      <c r="L3" s="856"/>
      <c r="M3" s="856"/>
      <c r="N3" s="856"/>
      <c r="O3" s="856"/>
      <c r="P3" s="856"/>
      <c r="Q3" s="856"/>
      <c r="R3" s="856"/>
      <c r="S3" s="856"/>
      <c r="T3" s="856"/>
      <c r="U3" s="856"/>
      <c r="V3" s="856"/>
      <c r="W3" s="856"/>
      <c r="X3" s="856"/>
      <c r="Y3" s="856"/>
      <c r="Z3" s="856"/>
      <c r="AA3" s="857"/>
      <c r="AF3" s="918" t="s">
        <v>425</v>
      </c>
      <c r="AG3" s="919"/>
      <c r="AH3" s="919"/>
      <c r="AI3" s="919"/>
      <c r="AJ3" s="919"/>
      <c r="AK3" s="919"/>
      <c r="AL3" s="919"/>
      <c r="AM3" s="919"/>
      <c r="AN3" s="919"/>
      <c r="AO3" s="919"/>
      <c r="AP3" s="919"/>
      <c r="AQ3" s="919"/>
      <c r="AR3" s="919"/>
      <c r="AS3" s="919"/>
      <c r="AT3" s="919"/>
      <c r="AU3" s="920"/>
      <c r="AV3" s="908" t="s">
        <v>426</v>
      </c>
      <c r="AW3" s="909"/>
      <c r="AX3" s="909"/>
      <c r="AY3" s="909"/>
      <c r="AZ3" s="909"/>
      <c r="BA3" s="909"/>
      <c r="BB3" s="910"/>
    </row>
    <row r="4" spans="1:54" ht="12.75" customHeight="1" thickBot="1">
      <c r="A4" s="867"/>
      <c r="B4" s="868"/>
      <c r="C4" s="868"/>
      <c r="D4" s="868"/>
      <c r="E4" s="868"/>
      <c r="F4" s="868"/>
      <c r="G4" s="868"/>
      <c r="H4" s="869"/>
      <c r="I4" s="858"/>
      <c r="J4" s="859"/>
      <c r="K4" s="859"/>
      <c r="L4" s="859"/>
      <c r="M4" s="859"/>
      <c r="N4" s="859"/>
      <c r="O4" s="859"/>
      <c r="P4" s="859"/>
      <c r="Q4" s="859"/>
      <c r="R4" s="859"/>
      <c r="S4" s="859"/>
      <c r="T4" s="859"/>
      <c r="U4" s="859"/>
      <c r="V4" s="859"/>
      <c r="W4" s="859"/>
      <c r="X4" s="859"/>
      <c r="Y4" s="859"/>
      <c r="Z4" s="859"/>
      <c r="AA4" s="860"/>
      <c r="AF4" s="921"/>
      <c r="AG4" s="922"/>
      <c r="AH4" s="922"/>
      <c r="AI4" s="922"/>
      <c r="AJ4" s="922"/>
      <c r="AK4" s="922"/>
      <c r="AL4" s="922"/>
      <c r="AM4" s="922"/>
      <c r="AN4" s="922"/>
      <c r="AO4" s="922"/>
      <c r="AP4" s="922"/>
      <c r="AQ4" s="922"/>
      <c r="AR4" s="922"/>
      <c r="AS4" s="922"/>
      <c r="AT4" s="922"/>
      <c r="AU4" s="923"/>
      <c r="AV4" s="911"/>
      <c r="AW4" s="912"/>
      <c r="AX4" s="912"/>
      <c r="AY4" s="912"/>
      <c r="AZ4" s="912"/>
      <c r="BA4" s="912"/>
      <c r="BB4" s="913"/>
    </row>
    <row r="5" spans="1:54" ht="5.0999999999999996" customHeight="1">
      <c r="A5" s="867"/>
      <c r="B5" s="868"/>
      <c r="C5" s="868"/>
      <c r="D5" s="868"/>
      <c r="E5" s="868"/>
      <c r="F5" s="868"/>
      <c r="G5" s="868"/>
      <c r="H5" s="869"/>
      <c r="I5" s="861"/>
      <c r="J5" s="862"/>
      <c r="K5" s="862"/>
      <c r="L5" s="862"/>
      <c r="M5" s="862"/>
      <c r="N5" s="862"/>
      <c r="O5" s="862"/>
      <c r="P5" s="862"/>
      <c r="Q5" s="862"/>
      <c r="R5" s="862"/>
      <c r="S5" s="862"/>
      <c r="T5" s="862"/>
      <c r="U5" s="862"/>
      <c r="V5" s="862"/>
      <c r="W5" s="862"/>
      <c r="X5" s="862"/>
      <c r="Y5" s="862"/>
      <c r="Z5" s="862"/>
      <c r="AA5" s="863"/>
    </row>
    <row r="6" spans="1:54" ht="16.5" customHeight="1">
      <c r="A6" s="867"/>
      <c r="B6" s="868"/>
      <c r="C6" s="868"/>
      <c r="D6" s="868"/>
      <c r="E6" s="868"/>
      <c r="F6" s="868"/>
      <c r="G6" s="868"/>
      <c r="H6" s="869"/>
      <c r="I6" s="848" t="str">
        <f>TOTAL!I6</f>
        <v>Drawing number</v>
      </c>
      <c r="J6" s="849"/>
      <c r="K6" s="849"/>
      <c r="L6" s="849"/>
      <c r="M6" s="849"/>
      <c r="N6" s="849"/>
      <c r="O6" s="849"/>
      <c r="P6" s="849"/>
      <c r="Q6" s="849"/>
      <c r="R6" s="849"/>
      <c r="S6" s="849"/>
      <c r="T6" s="849"/>
      <c r="U6" s="850"/>
      <c r="V6" s="873" t="str">
        <f>TOTAL!V6</f>
        <v>Revision</v>
      </c>
      <c r="W6" s="873"/>
      <c r="X6" s="874"/>
      <c r="Y6" s="848" t="str">
        <f>TOTAL!Y6</f>
        <v>State</v>
      </c>
      <c r="Z6" s="849"/>
      <c r="AA6" s="850"/>
    </row>
    <row r="7" spans="1:54" ht="15">
      <c r="A7" s="870"/>
      <c r="B7" s="871"/>
      <c r="C7" s="871"/>
      <c r="D7" s="871"/>
      <c r="E7" s="871"/>
      <c r="F7" s="871"/>
      <c r="G7" s="871"/>
      <c r="H7" s="872"/>
      <c r="I7" s="845" t="str">
        <f>TOTAL!I7</f>
        <v>CS</v>
      </c>
      <c r="J7" s="846"/>
      <c r="K7" s="846"/>
      <c r="L7" s="846"/>
      <c r="M7" s="846"/>
      <c r="N7" s="846"/>
      <c r="O7" s="846"/>
      <c r="P7" s="846"/>
      <c r="Q7" s="846"/>
      <c r="R7" s="846"/>
      <c r="S7" s="846"/>
      <c r="T7" s="846"/>
      <c r="U7" s="847"/>
      <c r="V7" s="854" t="str">
        <f>TOTAL!V7</f>
        <v>A00</v>
      </c>
      <c r="W7" s="855"/>
      <c r="X7" s="855"/>
      <c r="Y7" s="851" t="str">
        <f>TOTAL!Y7</f>
        <v>V</v>
      </c>
      <c r="Z7" s="852"/>
      <c r="AA7" s="853"/>
    </row>
    <row r="8" spans="1:54" ht="5.0999999999999996" customHeight="1">
      <c r="A8" s="896"/>
      <c r="B8" s="896"/>
      <c r="C8" s="896"/>
      <c r="D8" s="896"/>
      <c r="E8" s="896"/>
      <c r="F8" s="896"/>
      <c r="G8" s="896"/>
      <c r="H8" s="896"/>
      <c r="I8" s="896"/>
      <c r="J8" s="896"/>
      <c r="K8" s="896"/>
      <c r="L8" s="896"/>
      <c r="M8" s="896"/>
      <c r="N8" s="896"/>
      <c r="O8" s="896"/>
      <c r="P8" s="896"/>
      <c r="Q8" s="896"/>
      <c r="R8" s="896"/>
      <c r="S8" s="896"/>
      <c r="T8" s="896"/>
      <c r="U8" s="896"/>
      <c r="V8" s="896"/>
      <c r="W8" s="896"/>
      <c r="X8" s="896"/>
      <c r="Y8" s="896"/>
      <c r="Z8" s="896"/>
      <c r="AA8" s="896"/>
    </row>
    <row r="9" spans="1:54" ht="15.6">
      <c r="A9" s="838" t="s">
        <v>508</v>
      </c>
      <c r="B9" s="916"/>
      <c r="C9" s="916"/>
      <c r="D9" s="916"/>
      <c r="E9" s="916"/>
      <c r="F9" s="916"/>
      <c r="G9" s="916"/>
      <c r="H9" s="916"/>
      <c r="I9" s="916"/>
      <c r="J9" s="916"/>
      <c r="K9" s="916"/>
      <c r="L9" s="916"/>
      <c r="M9" s="916"/>
      <c r="N9" s="916"/>
      <c r="O9" s="916"/>
      <c r="P9" s="916"/>
      <c r="Q9" s="916"/>
      <c r="R9" s="916"/>
      <c r="S9" s="916"/>
      <c r="T9" s="916"/>
      <c r="U9" s="916"/>
      <c r="V9" s="916"/>
      <c r="W9" s="916"/>
      <c r="X9" s="916"/>
      <c r="Y9" s="916"/>
      <c r="Z9" s="916"/>
      <c r="AA9" s="916"/>
    </row>
    <row r="10" spans="1:54" ht="13.8">
      <c r="A10" s="10"/>
      <c r="B10" s="914"/>
      <c r="C10" s="914"/>
      <c r="D10" s="914"/>
      <c r="E10" s="914"/>
      <c r="F10" s="914"/>
      <c r="G10" s="914"/>
      <c r="H10" s="914"/>
      <c r="I10" s="914"/>
      <c r="J10" s="914"/>
      <c r="K10" s="914"/>
      <c r="L10" s="914"/>
      <c r="M10" s="914"/>
      <c r="N10" s="914"/>
      <c r="O10" s="914"/>
      <c r="P10" s="914"/>
      <c r="Q10" s="914"/>
      <c r="R10" s="914"/>
      <c r="S10" s="914"/>
      <c r="T10" s="914"/>
      <c r="U10" s="914"/>
      <c r="V10" s="914"/>
      <c r="W10" s="914"/>
      <c r="X10" s="914"/>
      <c r="Y10" s="914"/>
      <c r="Z10" s="914"/>
      <c r="AA10" s="914"/>
    </row>
    <row r="11" spans="1:54" ht="13.8">
      <c r="A11" s="10"/>
      <c r="B11" s="914"/>
      <c r="C11" s="914"/>
      <c r="D11" s="914"/>
      <c r="E11" s="914"/>
      <c r="F11" s="914"/>
      <c r="G11" s="914"/>
      <c r="H11" s="914"/>
      <c r="I11" s="914"/>
      <c r="J11" s="914"/>
      <c r="K11" s="914"/>
      <c r="L11" s="914"/>
      <c r="M11" s="914"/>
      <c r="N11" s="914"/>
      <c r="O11" s="914"/>
      <c r="P11" s="914"/>
      <c r="Q11" s="914"/>
      <c r="R11" s="914"/>
      <c r="S11" s="914"/>
      <c r="T11" s="914"/>
      <c r="U11" s="914"/>
      <c r="V11" s="914"/>
      <c r="W11" s="914"/>
      <c r="X11" s="914"/>
      <c r="Y11" s="914"/>
      <c r="Z11" s="914"/>
      <c r="AA11" s="914"/>
    </row>
    <row r="12" spans="1:54" ht="13.8">
      <c r="A12" s="10"/>
      <c r="B12" s="914"/>
      <c r="C12" s="914"/>
      <c r="D12" s="914"/>
      <c r="E12" s="914"/>
      <c r="F12" s="914"/>
      <c r="G12" s="914"/>
      <c r="H12" s="914"/>
      <c r="I12" s="914"/>
      <c r="J12" s="914"/>
      <c r="K12" s="914"/>
      <c r="L12" s="914"/>
      <c r="M12" s="914"/>
      <c r="N12" s="914"/>
      <c r="O12" s="914"/>
      <c r="P12" s="914"/>
      <c r="Q12" s="914"/>
      <c r="R12" s="914"/>
      <c r="S12" s="914"/>
      <c r="T12" s="914"/>
      <c r="U12" s="914"/>
      <c r="V12" s="914"/>
      <c r="W12" s="914"/>
      <c r="X12" s="914"/>
      <c r="Y12" s="914"/>
      <c r="Z12" s="914"/>
      <c r="AA12" s="914"/>
    </row>
    <row r="13" spans="1:54" ht="13.8">
      <c r="A13" s="10"/>
      <c r="B13" s="914"/>
      <c r="C13" s="914"/>
      <c r="D13" s="914"/>
      <c r="E13" s="914"/>
      <c r="F13" s="914"/>
      <c r="G13" s="914"/>
      <c r="H13" s="914"/>
      <c r="I13" s="914"/>
      <c r="J13" s="914"/>
      <c r="K13" s="914"/>
      <c r="L13" s="914"/>
      <c r="M13" s="914"/>
      <c r="N13" s="914"/>
      <c r="O13" s="914"/>
      <c r="P13" s="914"/>
      <c r="Q13" s="914"/>
      <c r="R13" s="914"/>
      <c r="S13" s="914"/>
      <c r="T13" s="914"/>
      <c r="U13" s="914"/>
      <c r="V13" s="914"/>
      <c r="W13" s="914"/>
      <c r="X13" s="914"/>
      <c r="Y13" s="914"/>
      <c r="Z13" s="914"/>
      <c r="AA13" s="914"/>
    </row>
    <row r="14" spans="1:54" ht="15" customHeight="1">
      <c r="A14" s="10"/>
      <c r="B14" s="914"/>
      <c r="C14" s="914"/>
      <c r="D14" s="914"/>
      <c r="E14" s="914"/>
      <c r="F14" s="914"/>
      <c r="G14" s="914"/>
      <c r="H14" s="914"/>
      <c r="I14" s="914"/>
      <c r="J14" s="914"/>
      <c r="K14" s="914"/>
      <c r="L14" s="914"/>
      <c r="M14" s="914"/>
      <c r="N14" s="914"/>
      <c r="O14" s="914"/>
      <c r="P14" s="914"/>
      <c r="Q14" s="914"/>
      <c r="R14" s="914"/>
      <c r="S14" s="914"/>
      <c r="T14" s="914"/>
      <c r="U14" s="914"/>
      <c r="V14" s="914"/>
      <c r="W14" s="914"/>
      <c r="X14" s="914"/>
      <c r="Y14" s="914"/>
      <c r="Z14" s="914"/>
      <c r="AA14" s="914"/>
    </row>
    <row r="15" spans="1:54" ht="15" customHeight="1">
      <c r="A15" s="10"/>
      <c r="B15" s="914"/>
      <c r="C15" s="914"/>
      <c r="D15" s="914"/>
      <c r="E15" s="914"/>
      <c r="F15" s="914"/>
      <c r="G15" s="914"/>
      <c r="H15" s="914"/>
      <c r="I15" s="914"/>
      <c r="J15" s="914"/>
      <c r="K15" s="914"/>
      <c r="L15" s="914"/>
      <c r="M15" s="914"/>
      <c r="N15" s="914"/>
      <c r="O15" s="914"/>
      <c r="P15" s="914"/>
      <c r="Q15" s="914"/>
      <c r="R15" s="914"/>
      <c r="S15" s="914"/>
      <c r="T15" s="914"/>
      <c r="U15" s="914"/>
      <c r="V15" s="914"/>
      <c r="W15" s="914"/>
      <c r="X15" s="914"/>
      <c r="Y15" s="914"/>
      <c r="Z15" s="914"/>
      <c r="AA15" s="914"/>
    </row>
    <row r="16" spans="1:54" ht="15" customHeight="1">
      <c r="A16" s="10"/>
      <c r="B16" s="914"/>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914"/>
      <c r="AA16" s="914"/>
    </row>
    <row r="17" spans="1:27" ht="15" customHeight="1">
      <c r="A17" s="896"/>
      <c r="B17" s="896"/>
      <c r="C17" s="896"/>
      <c r="D17" s="896"/>
      <c r="E17" s="896"/>
      <c r="F17" s="896"/>
      <c r="G17" s="896"/>
      <c r="H17" s="896"/>
      <c r="I17" s="896"/>
      <c r="J17" s="896"/>
      <c r="K17" s="896"/>
      <c r="L17" s="896"/>
      <c r="M17" s="896"/>
      <c r="N17" s="896"/>
      <c r="O17" s="896"/>
      <c r="P17" s="896"/>
      <c r="Q17" s="896"/>
      <c r="R17" s="896"/>
      <c r="S17" s="896"/>
      <c r="T17" s="896"/>
      <c r="U17" s="896"/>
      <c r="V17" s="896"/>
      <c r="W17" s="896"/>
      <c r="X17" s="896"/>
      <c r="Y17" s="896"/>
      <c r="Z17" s="896"/>
      <c r="AA17" s="896"/>
    </row>
    <row r="18" spans="1:27" ht="15" customHeight="1">
      <c r="A18" s="905" t="s">
        <v>656</v>
      </c>
      <c r="B18" s="915"/>
      <c r="C18" s="915"/>
      <c r="D18" s="915"/>
      <c r="E18" s="915"/>
      <c r="F18" s="915"/>
      <c r="G18" s="915"/>
      <c r="H18" s="915"/>
      <c r="I18" s="915"/>
      <c r="J18" s="915"/>
      <c r="K18" s="915"/>
      <c r="L18" s="915"/>
      <c r="M18" s="915"/>
      <c r="N18" s="915"/>
      <c r="O18" s="915"/>
      <c r="P18" s="915"/>
      <c r="Q18" s="915"/>
      <c r="R18" s="917" t="s">
        <v>659</v>
      </c>
      <c r="S18" s="917"/>
      <c r="T18" s="917"/>
      <c r="U18" s="917"/>
      <c r="V18" s="917"/>
      <c r="W18" s="917" t="s">
        <v>660</v>
      </c>
      <c r="X18" s="917"/>
      <c r="Y18" s="917"/>
      <c r="Z18" s="917"/>
      <c r="AA18" s="917"/>
    </row>
    <row r="19" spans="1:27" ht="15" customHeight="1">
      <c r="A19" s="933" t="s">
        <v>661</v>
      </c>
      <c r="B19" s="933"/>
      <c r="C19" s="933"/>
      <c r="D19" s="933"/>
      <c r="E19" s="933"/>
      <c r="F19" s="933"/>
      <c r="G19" s="933"/>
      <c r="H19" s="933"/>
      <c r="I19" s="933"/>
      <c r="J19" s="933"/>
      <c r="K19" s="933"/>
      <c r="L19" s="933"/>
      <c r="M19" s="933"/>
      <c r="N19" s="933"/>
      <c r="O19" s="933"/>
      <c r="P19" s="933"/>
      <c r="Q19" s="933"/>
      <c r="R19" s="924">
        <v>20.815000000000001</v>
      </c>
      <c r="S19" s="925"/>
      <c r="T19" s="925"/>
      <c r="U19" s="925"/>
      <c r="V19" s="925"/>
      <c r="W19" s="924">
        <v>22.076000000000001</v>
      </c>
      <c r="X19" s="925"/>
      <c r="Y19" s="925"/>
      <c r="Z19" s="925"/>
      <c r="AA19" s="925"/>
    </row>
    <row r="20" spans="1:27" ht="15" customHeight="1">
      <c r="A20" s="929" t="s">
        <v>661</v>
      </c>
      <c r="B20" s="930"/>
      <c r="C20" s="930"/>
      <c r="D20" s="930"/>
      <c r="E20" s="930"/>
      <c r="F20" s="930"/>
      <c r="G20" s="930"/>
      <c r="H20" s="930"/>
      <c r="I20" s="930"/>
      <c r="J20" s="930"/>
      <c r="K20" s="930"/>
      <c r="L20" s="930"/>
      <c r="M20" s="930"/>
      <c r="N20" s="930"/>
      <c r="O20" s="930"/>
      <c r="P20" s="930"/>
      <c r="Q20" s="931"/>
      <c r="R20" s="904">
        <v>20.815000000000001</v>
      </c>
      <c r="S20" s="927"/>
      <c r="T20" s="927"/>
      <c r="U20" s="927"/>
      <c r="V20" s="927"/>
      <c r="W20" s="904">
        <v>22.076000000000001</v>
      </c>
      <c r="X20" s="927"/>
      <c r="Y20" s="927"/>
      <c r="Z20" s="927"/>
      <c r="AA20" s="927"/>
    </row>
    <row r="21" spans="1:27" ht="15" customHeight="1">
      <c r="A21" s="896"/>
      <c r="B21" s="896"/>
      <c r="C21" s="896"/>
      <c r="D21" s="896"/>
      <c r="E21" s="896"/>
      <c r="F21" s="896"/>
      <c r="G21" s="896"/>
      <c r="H21" s="896"/>
      <c r="I21" s="896"/>
      <c r="J21" s="896"/>
      <c r="K21" s="896"/>
      <c r="L21" s="896"/>
      <c r="M21" s="896"/>
      <c r="N21" s="896"/>
      <c r="O21" s="896"/>
      <c r="P21" s="896"/>
      <c r="Q21" s="896"/>
      <c r="R21" s="926"/>
      <c r="S21" s="896"/>
      <c r="T21" s="896"/>
      <c r="U21" s="896"/>
      <c r="V21" s="896"/>
      <c r="W21" s="926"/>
      <c r="X21" s="896"/>
      <c r="Y21" s="896"/>
      <c r="Z21" s="896"/>
      <c r="AA21" s="896"/>
    </row>
    <row r="22" spans="1:27" ht="15" customHeight="1">
      <c r="A22" s="884" t="s">
        <v>657</v>
      </c>
      <c r="B22" s="932"/>
      <c r="C22" s="932"/>
      <c r="D22" s="932"/>
      <c r="E22" s="932"/>
      <c r="F22" s="932"/>
      <c r="G22" s="932"/>
      <c r="H22" s="932"/>
      <c r="I22" s="932"/>
      <c r="J22" s="932"/>
      <c r="K22" s="932"/>
      <c r="L22" s="932"/>
      <c r="M22" s="932"/>
      <c r="N22" s="932"/>
      <c r="O22" s="932"/>
      <c r="P22" s="932"/>
      <c r="Q22" s="932"/>
      <c r="R22" s="928" t="s">
        <v>659</v>
      </c>
      <c r="S22" s="928"/>
      <c r="T22" s="928"/>
      <c r="U22" s="928"/>
      <c r="V22" s="928"/>
      <c r="W22" s="928" t="s">
        <v>660</v>
      </c>
      <c r="X22" s="928"/>
      <c r="Y22" s="928"/>
      <c r="Z22" s="928"/>
      <c r="AA22" s="928"/>
    </row>
    <row r="23" spans="1:27" ht="15" customHeight="1">
      <c r="A23" s="885" t="s">
        <v>1895</v>
      </c>
      <c r="B23" s="885"/>
      <c r="C23" s="885"/>
      <c r="D23" s="885"/>
      <c r="E23" s="885"/>
      <c r="F23" s="885"/>
      <c r="G23" s="885"/>
      <c r="H23" s="885"/>
      <c r="I23" s="885"/>
      <c r="J23" s="885"/>
      <c r="K23" s="885"/>
      <c r="L23" s="885"/>
      <c r="M23" s="885"/>
      <c r="N23" s="885"/>
      <c r="O23" s="885"/>
      <c r="P23" s="885"/>
      <c r="Q23" s="885"/>
      <c r="R23" s="907">
        <v>7.4999999999999997E-2</v>
      </c>
      <c r="S23" s="907"/>
      <c r="T23" s="907"/>
      <c r="U23" s="907"/>
      <c r="V23" s="907"/>
      <c r="W23" s="907">
        <v>0.1</v>
      </c>
      <c r="X23" s="907"/>
      <c r="Y23" s="907"/>
      <c r="Z23" s="907"/>
      <c r="AA23" s="907"/>
    </row>
    <row r="24" spans="1:27" ht="15" customHeight="1">
      <c r="A24" s="885" t="s">
        <v>1893</v>
      </c>
      <c r="B24" s="885"/>
      <c r="C24" s="885"/>
      <c r="D24" s="885"/>
      <c r="E24" s="885"/>
      <c r="F24" s="885"/>
      <c r="G24" s="885"/>
      <c r="H24" s="885"/>
      <c r="I24" s="885"/>
      <c r="J24" s="885"/>
      <c r="K24" s="885"/>
      <c r="L24" s="885"/>
      <c r="M24" s="885"/>
      <c r="N24" s="885"/>
      <c r="O24" s="885"/>
      <c r="P24" s="885"/>
      <c r="Q24" s="885"/>
      <c r="R24" s="907">
        <v>0.92500000000000004</v>
      </c>
      <c r="S24" s="907"/>
      <c r="T24" s="907"/>
      <c r="U24" s="907"/>
      <c r="V24" s="907"/>
      <c r="W24" s="907">
        <v>1.0249999999999999</v>
      </c>
      <c r="X24" s="907"/>
      <c r="Y24" s="907"/>
      <c r="Z24" s="907"/>
      <c r="AA24" s="907"/>
    </row>
    <row r="25" spans="1:27" ht="15" customHeight="1">
      <c r="A25" s="885" t="s">
        <v>1897</v>
      </c>
      <c r="B25" s="885"/>
      <c r="C25" s="885"/>
      <c r="D25" s="885"/>
      <c r="E25" s="885"/>
      <c r="F25" s="885"/>
      <c r="G25" s="885"/>
      <c r="H25" s="885"/>
      <c r="I25" s="885"/>
      <c r="J25" s="885"/>
      <c r="K25" s="885"/>
      <c r="L25" s="885"/>
      <c r="M25" s="885"/>
      <c r="N25" s="885"/>
      <c r="O25" s="885"/>
      <c r="P25" s="885"/>
      <c r="Q25" s="885"/>
      <c r="R25" s="907">
        <v>0.85</v>
      </c>
      <c r="S25" s="907"/>
      <c r="T25" s="907"/>
      <c r="U25" s="907"/>
      <c r="V25" s="907"/>
      <c r="W25" s="907">
        <v>0.95</v>
      </c>
      <c r="X25" s="907"/>
      <c r="Y25" s="907"/>
      <c r="Z25" s="907"/>
      <c r="AA25" s="907"/>
    </row>
    <row r="26" spans="1:27" ht="15" customHeight="1">
      <c r="A26" s="885" t="s">
        <v>1894</v>
      </c>
      <c r="B26" s="885"/>
      <c r="C26" s="885"/>
      <c r="D26" s="885"/>
      <c r="E26" s="885"/>
      <c r="F26" s="885"/>
      <c r="G26" s="885"/>
      <c r="H26" s="885"/>
      <c r="I26" s="885"/>
      <c r="J26" s="885"/>
      <c r="K26" s="885"/>
      <c r="L26" s="885"/>
      <c r="M26" s="885"/>
      <c r="N26" s="885"/>
      <c r="O26" s="885"/>
      <c r="P26" s="885"/>
      <c r="Q26" s="885"/>
      <c r="R26" s="907">
        <v>0.5</v>
      </c>
      <c r="S26" s="907"/>
      <c r="T26" s="907"/>
      <c r="U26" s="907"/>
      <c r="V26" s="907"/>
      <c r="W26" s="907">
        <v>0.55000000000000004</v>
      </c>
      <c r="X26" s="907"/>
      <c r="Y26" s="907"/>
      <c r="Z26" s="907"/>
      <c r="AA26" s="907"/>
    </row>
    <row r="27" spans="1:27" ht="15" customHeight="1">
      <c r="A27" s="885" t="s">
        <v>1892</v>
      </c>
      <c r="B27" s="885"/>
      <c r="C27" s="885"/>
      <c r="D27" s="885"/>
      <c r="E27" s="885"/>
      <c r="F27" s="885"/>
      <c r="G27" s="885"/>
      <c r="H27" s="885"/>
      <c r="I27" s="885"/>
      <c r="J27" s="885"/>
      <c r="K27" s="885"/>
      <c r="L27" s="885"/>
      <c r="M27" s="885"/>
      <c r="N27" s="885"/>
      <c r="O27" s="885"/>
      <c r="P27" s="885"/>
      <c r="Q27" s="885"/>
      <c r="R27" s="907">
        <v>6.2859999999999996</v>
      </c>
      <c r="S27" s="907"/>
      <c r="T27" s="907"/>
      <c r="U27" s="907"/>
      <c r="V27" s="907"/>
      <c r="W27" s="907">
        <v>6.52</v>
      </c>
      <c r="X27" s="907"/>
      <c r="Y27" s="907"/>
      <c r="Z27" s="907"/>
      <c r="AA27" s="907"/>
    </row>
    <row r="28" spans="1:27" ht="15" customHeight="1">
      <c r="A28" s="885" t="s">
        <v>1896</v>
      </c>
      <c r="B28" s="885"/>
      <c r="C28" s="885"/>
      <c r="D28" s="885"/>
      <c r="E28" s="885"/>
      <c r="F28" s="885"/>
      <c r="G28" s="885"/>
      <c r="H28" s="885"/>
      <c r="I28" s="885"/>
      <c r="J28" s="885"/>
      <c r="K28" s="885"/>
      <c r="L28" s="885"/>
      <c r="M28" s="885"/>
      <c r="N28" s="885"/>
      <c r="O28" s="885"/>
      <c r="P28" s="885"/>
      <c r="Q28" s="885"/>
      <c r="R28" s="907">
        <v>0.27600000000000002</v>
      </c>
      <c r="S28" s="907"/>
      <c r="T28" s="907"/>
      <c r="U28" s="907"/>
      <c r="V28" s="907"/>
      <c r="W28" s="907">
        <v>0.309</v>
      </c>
      <c r="X28" s="907"/>
      <c r="Y28" s="907"/>
      <c r="Z28" s="907"/>
      <c r="AA28" s="907"/>
    </row>
    <row r="29" spans="1:27" ht="15" customHeight="1">
      <c r="A29" s="885" t="s">
        <v>1891</v>
      </c>
      <c r="B29" s="885"/>
      <c r="C29" s="885"/>
      <c r="D29" s="885"/>
      <c r="E29" s="885"/>
      <c r="F29" s="885"/>
      <c r="G29" s="885"/>
      <c r="H29" s="885"/>
      <c r="I29" s="885"/>
      <c r="J29" s="885"/>
      <c r="K29" s="885"/>
      <c r="L29" s="885"/>
      <c r="M29" s="885"/>
      <c r="N29" s="885"/>
      <c r="O29" s="885"/>
      <c r="P29" s="885"/>
      <c r="Q29" s="885"/>
      <c r="R29" s="907">
        <v>4.0739999999999998</v>
      </c>
      <c r="S29" s="907"/>
      <c r="T29" s="907"/>
      <c r="U29" s="907"/>
      <c r="V29" s="907"/>
      <c r="W29" s="907">
        <v>4.3159999999999998</v>
      </c>
      <c r="X29" s="907"/>
      <c r="Y29" s="907"/>
      <c r="Z29" s="907"/>
      <c r="AA29" s="907"/>
    </row>
    <row r="30" spans="1:27" ht="15" customHeight="1">
      <c r="A30" s="885" t="s">
        <v>1890</v>
      </c>
      <c r="B30" s="885"/>
      <c r="C30" s="885"/>
      <c r="D30" s="885"/>
      <c r="E30" s="885"/>
      <c r="F30" s="885"/>
      <c r="G30" s="885"/>
      <c r="H30" s="885"/>
      <c r="I30" s="885"/>
      <c r="J30" s="885"/>
      <c r="K30" s="885"/>
      <c r="L30" s="885"/>
      <c r="M30" s="885"/>
      <c r="N30" s="885"/>
      <c r="O30" s="885"/>
      <c r="P30" s="885"/>
      <c r="Q30" s="885"/>
      <c r="R30" s="907">
        <v>5.1050000000000004</v>
      </c>
      <c r="S30" s="907"/>
      <c r="T30" s="907"/>
      <c r="U30" s="907"/>
      <c r="V30" s="907"/>
      <c r="W30" s="907">
        <v>5.3780000000000001</v>
      </c>
      <c r="X30" s="907"/>
      <c r="Y30" s="907"/>
      <c r="Z30" s="907"/>
      <c r="AA30" s="907"/>
    </row>
    <row r="31" spans="1:27" ht="15" customHeight="1">
      <c r="A31" s="885" t="s">
        <v>1889</v>
      </c>
      <c r="B31" s="885"/>
      <c r="C31" s="885"/>
      <c r="D31" s="885"/>
      <c r="E31" s="885"/>
      <c r="F31" s="885"/>
      <c r="G31" s="885"/>
      <c r="H31" s="885"/>
      <c r="I31" s="885"/>
      <c r="J31" s="885"/>
      <c r="K31" s="885"/>
      <c r="L31" s="885"/>
      <c r="M31" s="885"/>
      <c r="N31" s="885"/>
      <c r="O31" s="885"/>
      <c r="P31" s="885"/>
      <c r="Q31" s="885"/>
      <c r="R31" s="907">
        <v>2.7240000000000002</v>
      </c>
      <c r="S31" s="907"/>
      <c r="T31" s="907"/>
      <c r="U31" s="907"/>
      <c r="V31" s="907"/>
      <c r="W31" s="907">
        <v>2.9260000000000002</v>
      </c>
      <c r="X31" s="907"/>
      <c r="Y31" s="907"/>
      <c r="Z31" s="907"/>
      <c r="AA31" s="907"/>
    </row>
    <row r="32" spans="1:27" ht="15" customHeight="1">
      <c r="A32" s="885"/>
      <c r="B32" s="885"/>
      <c r="C32" s="885"/>
      <c r="D32" s="885"/>
      <c r="E32" s="885"/>
      <c r="F32" s="885"/>
      <c r="G32" s="885"/>
      <c r="H32" s="885"/>
      <c r="I32" s="885"/>
      <c r="J32" s="885"/>
      <c r="K32" s="885"/>
      <c r="L32" s="885"/>
      <c r="M32" s="885"/>
      <c r="N32" s="885"/>
      <c r="O32" s="885"/>
      <c r="P32" s="885"/>
      <c r="Q32" s="885"/>
      <c r="R32" s="906"/>
      <c r="S32" s="906"/>
      <c r="T32" s="906"/>
      <c r="U32" s="906"/>
      <c r="V32" s="906"/>
      <c r="W32" s="906"/>
      <c r="X32" s="906"/>
      <c r="Y32" s="906"/>
      <c r="Z32" s="906"/>
      <c r="AA32" s="906"/>
    </row>
    <row r="33" spans="1:27" ht="15" customHeight="1">
      <c r="A33" s="885"/>
      <c r="B33" s="885"/>
      <c r="C33" s="885"/>
      <c r="D33" s="885"/>
      <c r="E33" s="885"/>
      <c r="F33" s="885"/>
      <c r="G33" s="885"/>
      <c r="H33" s="885"/>
      <c r="I33" s="885"/>
      <c r="J33" s="885"/>
      <c r="K33" s="885"/>
      <c r="L33" s="885"/>
      <c r="M33" s="885"/>
      <c r="N33" s="885"/>
      <c r="O33" s="885"/>
      <c r="P33" s="885"/>
      <c r="Q33" s="885"/>
      <c r="R33" s="906"/>
      <c r="S33" s="906"/>
      <c r="T33" s="906"/>
      <c r="U33" s="906"/>
      <c r="V33" s="906"/>
      <c r="W33" s="906"/>
      <c r="X33" s="906"/>
      <c r="Y33" s="906"/>
      <c r="Z33" s="906"/>
      <c r="AA33" s="906"/>
    </row>
    <row r="34" spans="1:27" ht="15" customHeight="1">
      <c r="A34" s="903" t="s">
        <v>661</v>
      </c>
      <c r="B34" s="903"/>
      <c r="C34" s="903"/>
      <c r="D34" s="903"/>
      <c r="E34" s="903"/>
      <c r="F34" s="903"/>
      <c r="G34" s="903"/>
      <c r="H34" s="903"/>
      <c r="I34" s="903"/>
      <c r="J34" s="903"/>
      <c r="K34" s="903"/>
      <c r="L34" s="903"/>
      <c r="M34" s="903"/>
      <c r="N34" s="903"/>
      <c r="O34" s="903"/>
      <c r="P34" s="903"/>
      <c r="Q34" s="903"/>
      <c r="R34" s="904">
        <v>20.815000000000001</v>
      </c>
      <c r="S34" s="905"/>
      <c r="T34" s="905"/>
      <c r="U34" s="905"/>
      <c r="V34" s="905"/>
      <c r="W34" s="904">
        <v>22.076000000000001</v>
      </c>
      <c r="X34" s="905"/>
      <c r="Y34" s="905"/>
      <c r="Z34" s="905"/>
      <c r="AA34" s="905"/>
    </row>
  </sheetData>
  <sortState xmlns:xlrd2="http://schemas.microsoft.com/office/spreadsheetml/2017/richdata2" ref="A23:AA34">
    <sortCondition ref="A23"/>
  </sortState>
  <mergeCells count="70">
    <mergeCell ref="A25:Q25"/>
    <mergeCell ref="R25:V25"/>
    <mergeCell ref="W25:AA25"/>
    <mergeCell ref="A23:Q23"/>
    <mergeCell ref="R23:V23"/>
    <mergeCell ref="W23:AA23"/>
    <mergeCell ref="A24:Q24"/>
    <mergeCell ref="R24:V24"/>
    <mergeCell ref="W24:AA24"/>
    <mergeCell ref="W19:AA19"/>
    <mergeCell ref="A21:AA21"/>
    <mergeCell ref="R20:V20"/>
    <mergeCell ref="B12:AA12"/>
    <mergeCell ref="R22:V22"/>
    <mergeCell ref="W22:AA22"/>
    <mergeCell ref="A20:Q20"/>
    <mergeCell ref="A22:Q22"/>
    <mergeCell ref="W20:AA20"/>
    <mergeCell ref="A19:Q19"/>
    <mergeCell ref="R19:V19"/>
    <mergeCell ref="AV3:BB4"/>
    <mergeCell ref="B15:AA15"/>
    <mergeCell ref="A18:Q18"/>
    <mergeCell ref="B14:AA14"/>
    <mergeCell ref="B13:AA13"/>
    <mergeCell ref="A9:AA9"/>
    <mergeCell ref="R18:V18"/>
    <mergeCell ref="B16:AA16"/>
    <mergeCell ref="B11:AA11"/>
    <mergeCell ref="W18:AA18"/>
    <mergeCell ref="Y7:AA7"/>
    <mergeCell ref="A17:AA17"/>
    <mergeCell ref="A8:AA8"/>
    <mergeCell ref="AF3:AU4"/>
    <mergeCell ref="B10:AA10"/>
    <mergeCell ref="I1:AA2"/>
    <mergeCell ref="A1:H7"/>
    <mergeCell ref="I3:AA5"/>
    <mergeCell ref="I6:U6"/>
    <mergeCell ref="V6:X6"/>
    <mergeCell ref="Y6:AA6"/>
    <mergeCell ref="I7:U7"/>
    <mergeCell ref="V7:X7"/>
    <mergeCell ref="A26:Q26"/>
    <mergeCell ref="R26:V26"/>
    <mergeCell ref="W26:AA26"/>
    <mergeCell ref="A27:Q27"/>
    <mergeCell ref="R27:V27"/>
    <mergeCell ref="W27:AA27"/>
    <mergeCell ref="A28:Q28"/>
    <mergeCell ref="R28:V28"/>
    <mergeCell ref="W28:AA28"/>
    <mergeCell ref="A29:Q29"/>
    <mergeCell ref="R29:V29"/>
    <mergeCell ref="W29:AA29"/>
    <mergeCell ref="A30:Q30"/>
    <mergeCell ref="R30:V30"/>
    <mergeCell ref="W30:AA30"/>
    <mergeCell ref="A31:Q31"/>
    <mergeCell ref="R31:V31"/>
    <mergeCell ref="W31:AA31"/>
    <mergeCell ref="A34:Q34"/>
    <mergeCell ref="R34:V34"/>
    <mergeCell ref="W34:AA34"/>
    <mergeCell ref="A32:Q32"/>
    <mergeCell ref="R32:V32"/>
    <mergeCell ref="W32:AA32"/>
    <mergeCell ref="A33:Q33"/>
    <mergeCell ref="R33:V33"/>
    <mergeCell ref="W33:AA33"/>
  </mergeCells>
  <phoneticPr fontId="0" type="noConversion"/>
  <conditionalFormatting sqref="I1:AA2 I3">
    <cfRule type="cellIs" dxfId="46" priority="29" stopIfTrue="1" operator="equal">
      <formula>"CLIENTE"</formula>
    </cfRule>
  </conditionalFormatting>
  <conditionalFormatting sqref="I3:AA4">
    <cfRule type="cellIs" dxfId="45" priority="28" stopIfTrue="1" operator="equal">
      <formula>"EQUIPAMENTO"</formula>
    </cfRule>
  </conditionalFormatting>
  <conditionalFormatting sqref="F7 D6 N6 I3 I1">
    <cfRule type="cellIs" dxfId="44" priority="27" stopIfTrue="1" operator="equal">
      <formula>""</formula>
    </cfRule>
  </conditionalFormatting>
  <conditionalFormatting sqref="D6 AA6 I3 N6:X6 I1">
    <cfRule type="cellIs" dxfId="43" priority="26" stopIfTrue="1" operator="equal">
      <formula>"880............."</formula>
    </cfRule>
  </conditionalFormatting>
  <conditionalFormatting sqref="AA6">
    <cfRule type="cellIs" dxfId="42" priority="24"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8124" r:id="rId5" name="Button 780">
              <controlPr defaultSize="0" print="0" autoFill="0" autoPict="0" macro="[0]!botao_converterSIparaINGLESAS">
                <anchor moveWithCells="1" sizeWithCells="1">
                  <from>
                    <xdr:col>30</xdr:col>
                    <xdr:colOff>251460</xdr:colOff>
                    <xdr:row>5</xdr:row>
                    <xdr:rowOff>152400</xdr:rowOff>
                  </from>
                  <to>
                    <xdr:col>48</xdr:col>
                    <xdr:colOff>251460</xdr:colOff>
                    <xdr:row>8</xdr:row>
                    <xdr:rowOff>106680</xdr:rowOff>
                  </to>
                </anchor>
              </controlPr>
            </control>
          </mc:Choice>
        </mc:AlternateContent>
        <mc:AlternateContent xmlns:mc="http://schemas.openxmlformats.org/markup-compatibility/2006">
          <mc:Choice Requires="x14">
            <control shapeId="58125" r:id="rId6" name="Button 781">
              <controlPr defaultSize="0" print="0" autoFill="0" autoPict="0" macro="[0]!botao_converterINGLESASparaSI">
                <anchor moveWithCells="1" sizeWithCells="1">
                  <from>
                    <xdr:col>30</xdr:col>
                    <xdr:colOff>251460</xdr:colOff>
                    <xdr:row>9</xdr:row>
                    <xdr:rowOff>60960</xdr:rowOff>
                  </from>
                  <to>
                    <xdr:col>48</xdr:col>
                    <xdr:colOff>251460</xdr:colOff>
                    <xdr:row>11</xdr:row>
                    <xdr:rowOff>106680</xdr:rowOff>
                  </to>
                </anchor>
              </controlPr>
            </control>
          </mc:Choice>
        </mc:AlternateContent>
        <mc:AlternateContent xmlns:mc="http://schemas.openxmlformats.org/markup-compatibility/2006">
          <mc:Choice Requires="x14">
            <control shapeId="80537" r:id="rId7" name="Button 1689">
              <controlPr defaultSize="0" print="0" autoFill="0" autoPict="0" macro="[0]!salvarListaSemMemoria">
                <anchor moveWithCells="1" sizeWithCells="1">
                  <from>
                    <xdr:col>35</xdr:col>
                    <xdr:colOff>228600</xdr:colOff>
                    <xdr:row>13</xdr:row>
                    <xdr:rowOff>30480</xdr:rowOff>
                  </from>
                  <to>
                    <xdr:col>42</xdr:col>
                    <xdr:colOff>137160</xdr:colOff>
                    <xdr:row>16</xdr:row>
                    <xdr:rowOff>99060</xdr:rowOff>
                  </to>
                </anchor>
              </controlPr>
            </control>
          </mc:Choice>
        </mc:AlternateContent>
        <mc:AlternateContent xmlns:mc="http://schemas.openxmlformats.org/markup-compatibility/2006">
          <mc:Choice Requires="x14">
            <control shapeId="80538" r:id="rId8" name="Button 1690">
              <controlPr defaultSize="0" print="0" autoFill="0" autoPict="0" macro="[0]!CompiledBom">
                <anchor moveWithCells="1" sizeWithCells="1">
                  <from>
                    <xdr:col>35</xdr:col>
                    <xdr:colOff>228600</xdr:colOff>
                    <xdr:row>17</xdr:row>
                    <xdr:rowOff>30480</xdr:rowOff>
                  </from>
                  <to>
                    <xdr:col>42</xdr:col>
                    <xdr:colOff>137160</xdr:colOff>
                    <xdr:row>20</xdr:row>
                    <xdr:rowOff>99060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19C45-F965-4EE0-B31A-20D6876FC8FA}">
  <sheetPr codeName="Planilha2"/>
  <dimension ref="A1:F14"/>
  <sheetViews>
    <sheetView showGridLines="0" workbookViewId="0">
      <selection activeCell="B10" sqref="B10"/>
    </sheetView>
  </sheetViews>
  <sheetFormatPr defaultRowHeight="13.2"/>
  <cols>
    <col min="1" max="1" width="29.33203125" customWidth="1"/>
    <col min="2" max="3" width="16.109375" customWidth="1"/>
    <col min="5" max="5" width="29.33203125" customWidth="1"/>
    <col min="6" max="6" width="16.109375" customWidth="1"/>
  </cols>
  <sheetData>
    <row r="1" spans="1:6">
      <c r="A1" s="649" t="s">
        <v>503</v>
      </c>
      <c r="B1" s="649" t="s">
        <v>669</v>
      </c>
      <c r="C1" s="650" t="s">
        <v>2214</v>
      </c>
      <c r="D1" s="649"/>
      <c r="E1" s="649" t="s">
        <v>2215</v>
      </c>
      <c r="F1" s="649" t="s">
        <v>669</v>
      </c>
    </row>
    <row r="2" spans="1:6">
      <c r="A2" s="358" t="s">
        <v>1892</v>
      </c>
      <c r="B2" s="649"/>
      <c r="C2" s="650"/>
      <c r="E2" t="s">
        <v>2229</v>
      </c>
      <c r="F2" s="649"/>
    </row>
    <row r="3" spans="1:6">
      <c r="A3" t="s">
        <v>1896</v>
      </c>
      <c r="B3" s="649"/>
      <c r="C3" s="650"/>
      <c r="E3" t="s">
        <v>125</v>
      </c>
      <c r="F3" s="649"/>
    </row>
    <row r="4" spans="1:6">
      <c r="A4" t="s">
        <v>1891</v>
      </c>
      <c r="B4" s="649"/>
      <c r="C4" s="650"/>
      <c r="E4" t="s">
        <v>1902</v>
      </c>
      <c r="F4" s="649"/>
    </row>
    <row r="5" spans="1:6">
      <c r="A5" t="s">
        <v>1890</v>
      </c>
      <c r="B5" s="649"/>
      <c r="C5" s="650"/>
      <c r="E5" t="s">
        <v>695</v>
      </c>
      <c r="F5" s="649"/>
    </row>
    <row r="6" spans="1:6">
      <c r="A6" t="s">
        <v>1889</v>
      </c>
      <c r="B6" s="649"/>
      <c r="C6" s="650"/>
      <c r="E6" t="s">
        <v>700</v>
      </c>
      <c r="F6" s="649"/>
    </row>
    <row r="7" spans="1:6">
      <c r="A7" t="s">
        <v>1895</v>
      </c>
      <c r="B7" s="649"/>
      <c r="C7" s="650"/>
      <c r="E7" t="s">
        <v>703</v>
      </c>
      <c r="F7" s="649"/>
    </row>
    <row r="8" spans="1:6">
      <c r="A8" t="s">
        <v>1893</v>
      </c>
      <c r="B8" s="649"/>
      <c r="C8" s="650"/>
      <c r="E8" t="s">
        <v>706</v>
      </c>
      <c r="F8" s="649"/>
    </row>
    <row r="9" spans="1:6">
      <c r="A9" t="s">
        <v>1897</v>
      </c>
      <c r="B9" s="649"/>
      <c r="C9" s="650"/>
      <c r="E9" t="s">
        <v>710</v>
      </c>
      <c r="F9" s="649"/>
    </row>
    <row r="10" spans="1:6">
      <c r="A10" t="s">
        <v>1894</v>
      </c>
      <c r="B10" s="649"/>
      <c r="C10" s="650"/>
      <c r="E10" t="s">
        <v>713</v>
      </c>
      <c r="F10" s="649"/>
    </row>
    <row r="11" spans="1:6">
      <c r="B11" s="649"/>
      <c r="C11" s="649"/>
      <c r="E11" t="s">
        <v>1903</v>
      </c>
      <c r="F11" s="649"/>
    </row>
    <row r="12" spans="1:6">
      <c r="B12" s="649"/>
      <c r="C12" s="649"/>
      <c r="E12" t="s">
        <v>1904</v>
      </c>
      <c r="F12" s="649"/>
    </row>
    <row r="13" spans="1:6">
      <c r="B13" s="649"/>
      <c r="C13" s="649"/>
      <c r="E13" t="s">
        <v>1742</v>
      </c>
      <c r="F13" s="649"/>
    </row>
    <row r="14" spans="1:6">
      <c r="B14" s="649"/>
      <c r="C14" s="649"/>
    </row>
  </sheetData>
  <conditionalFormatting sqref="A2:C14">
    <cfRule type="expression" dxfId="41" priority="2">
      <formula>$B2="Manual"</formula>
    </cfRule>
  </conditionalFormatting>
  <conditionalFormatting sqref="A2:C10">
    <cfRule type="expression" dxfId="40" priority="3">
      <formula>$C2="Add-On"</formula>
    </cfRule>
  </conditionalFormatting>
  <conditionalFormatting sqref="E2:F13">
    <cfRule type="expression" dxfId="39" priority="1">
      <formula>$F2="Manual"</formula>
    </cfRule>
  </conditionalFormatting>
  <conditionalFormatting sqref="B2:C10">
    <cfRule type="containsBlanks" dxfId="38" priority="4">
      <formula>LEN(TRIM(B2))=0</formula>
    </cfRule>
  </conditionalFormatting>
  <dataValidations count="2">
    <dataValidation type="list" allowBlank="1" showInputMessage="1" showErrorMessage="1" sqref="C2:C10" xr:uid="{DB3C9384-7DBF-4A54-868B-123A0D784D93}">
      <formula1>"Add-On"</formula1>
    </dataValidation>
    <dataValidation type="list" allowBlank="1" showInputMessage="1" showErrorMessage="1" sqref="B2:B10 F2:F13" xr:uid="{2EB916F9-B5D4-4678-8E05-F25EB9C5033A}">
      <formula1>"Manual"</formula1>
    </dataValidation>
  </dataValidations>
  <pageMargins left="0.511811024" right="0.511811024" top="0.78740157499999996" bottom="0.78740157499999996" header="0.31496062000000002" footer="0.31496062000000002"/>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F2A7-130C-4618-9D7E-F28C7ACD00B6}">
  <sheetPr codeName="Planilha1"/>
  <dimension ref="A1:S24"/>
  <sheetViews>
    <sheetView showGridLines="0" topLeftCell="B1" zoomScale="85" zoomScaleNormal="85" workbookViewId="0">
      <selection activeCell="Z24" sqref="Z24"/>
    </sheetView>
  </sheetViews>
  <sheetFormatPr defaultRowHeight="13.2"/>
  <cols>
    <col min="1" max="1" width="20.109375" hidden="1" customWidth="1"/>
    <col min="2" max="2" width="9.33203125" bestFit="1" customWidth="1"/>
    <col min="3" max="3" width="11" hidden="1" customWidth="1"/>
    <col min="4" max="4" width="15.5546875" hidden="1" customWidth="1"/>
    <col min="5" max="5" width="27" bestFit="1" customWidth="1"/>
    <col min="6" max="6" width="13.33203125" bestFit="1" customWidth="1"/>
    <col min="7" max="8" width="10.21875" bestFit="1" customWidth="1"/>
    <col min="9" max="10" width="21" hidden="1" customWidth="1"/>
    <col min="11" max="11" width="27" hidden="1" customWidth="1"/>
    <col min="12" max="12" width="12.109375" hidden="1" customWidth="1"/>
    <col min="13" max="14" width="11.33203125" hidden="1" customWidth="1"/>
    <col min="15" max="19" width="18.88671875" hidden="1" customWidth="1"/>
  </cols>
  <sheetData>
    <row r="1" spans="1:19">
      <c r="A1" s="649" t="s">
        <v>2213</v>
      </c>
      <c r="B1" s="649" t="s">
        <v>96</v>
      </c>
      <c r="C1" s="649" t="s">
        <v>669</v>
      </c>
      <c r="D1" s="650" t="s">
        <v>2214</v>
      </c>
      <c r="E1" s="649" t="s">
        <v>503</v>
      </c>
      <c r="F1" s="651" t="s">
        <v>2215</v>
      </c>
      <c r="G1" s="649" t="s">
        <v>2216</v>
      </c>
      <c r="H1" s="652" t="s">
        <v>2217</v>
      </c>
      <c r="I1" s="649" t="s">
        <v>2218</v>
      </c>
      <c r="J1" s="649" t="s">
        <v>2219</v>
      </c>
      <c r="K1" s="650" t="s">
        <v>2220</v>
      </c>
      <c r="L1" s="650" t="s">
        <v>2221</v>
      </c>
      <c r="M1" s="650" t="s">
        <v>2222</v>
      </c>
      <c r="N1" s="650" t="s">
        <v>2223</v>
      </c>
      <c r="O1" s="649" t="s">
        <v>2224</v>
      </c>
      <c r="P1" s="649" t="s">
        <v>2225</v>
      </c>
      <c r="Q1" s="649" t="s">
        <v>2226</v>
      </c>
      <c r="R1" s="649" t="s">
        <v>2227</v>
      </c>
      <c r="S1" s="649" t="s">
        <v>2228</v>
      </c>
    </row>
    <row r="2" spans="1:19">
      <c r="A2" t="str" cm="1">
        <f t="array" ref="A2">IFERROR(IF(Tabela2[[#This Row],[State]]="Automatico",IF(Tabela2[[#This Row],[Shape]]="","",(ROW()-1)*10),INDEX(Tabela2[[#All],[Item (Reference)]],ROW()-1)),"")</f>
        <v/>
      </c>
      <c r="B2" s="649">
        <f t="shared" ref="B2" si="0">IFERROR((ROW()-1)*10,"")</f>
        <v>10</v>
      </c>
      <c r="C2" s="649" t="str">
        <f>IFERROR(IF(Tabela2[[#This Row],[Shape]]="","Automatico",IF(_xlfn.XLOOKUP(Tabela2[[#This Row],[Brand]],BRANDS[Brand],BRANDS[State])="Manual","Manual",IF(Tabela2[[#This Row],[Shape]]="-","Automatico",IF(_xlfn.XLOOKUP(Tabela2[[#This Row],[Shape]],SHAPES[Shape],SHAPES[State])="Manual","Manual","Automatico")))),"")</f>
        <v>Automatico</v>
      </c>
      <c r="D2" s="650" t="str">
        <f>IFERROR(IF(Tabela2[[#This Row],[Shape]]="","Normal",IF(_xlfn.XLOOKUP(Tabela2[[#This Row],[Brand]],BRANDS[Brand],BRANDS[Brand Type])="","Normal",_xlfn.XLOOKUP(Tabela2[[#This Row],[Brand]],BRANDS[Brand],BRANDS[Brand Type]))),"")</f>
        <v>Normal</v>
      </c>
      <c r="E2" s="649" t="s">
        <v>1898</v>
      </c>
      <c r="F2" s="651"/>
      <c r="G2" s="649"/>
      <c r="H2" s="652"/>
      <c r="I2" t="str">
        <f>IFERROR(IF(Tabela2[[#This Row],[Shape]]="","",IF(Tabela2[[#This Row],[Shape]]="-",Tabela2[[#This Row],[Qnt 1]]/1000,Tabela2[[#This Row],[Qnt 1]])),"")</f>
        <v/>
      </c>
      <c r="J2" t="str">
        <f>IFERROR(IF(Tabela2[[#This Row],[Shape]]="","",IF(Tabela2[[#This Row],[Shape]]="-",Tabela2[[#This Row],[Qnt 2]]/1000,Tabela2[[#This Row],[Qnt 2]])),"")</f>
        <v/>
      </c>
      <c r="K2" t="str" cm="1">
        <f t="array" aca="1" ref="K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SAFETY LINING - BOTTOM</v>
      </c>
      <c r="L2" t="str" cm="1">
        <f t="array" aca="1" ref="L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
        <f>IFERROR(IF(SAP_FINAL!$C$11="Office",2000,IF(SAP_FINAL!$C$11="VPN",3500,5000)),"")</f>
        <v>2000</v>
      </c>
      <c r="N2">
        <f>IFERROR(IF(SAP_FINAL!$C$11="Office",2500,IF(SAP_FINAL!$C$11="VPN",4000,5000)),"")</f>
        <v>2500</v>
      </c>
      <c r="O2" t="str" cm="1">
        <f t="array" ref="O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Send, 10|Send, ^{Right}|Send, ^{Right}|Send, ^{Right}|Send, SAFETY LINING - BOTTOM|Send, {Enter}</v>
      </c>
      <c r="P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SAFETY LINING - BOTTOM|Send, {Tab}|Send, {Tab}|Send, {Tab}|Send, {Tab}|Send, {Tab}|Send, {Tab}|Send, {Tab}|Send, {Tab}|Send, {Tab}|Send, |Send, {Tab}|Send, {Tab}|Send, |Send, {F3}</v>
      </c>
      <c r="Q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SAFETY LINING - BOTTOM|Send, {Tab}|Send, {Tab}|Send, {Tab}|Send, {Tab}|Send, {Tab}|Send, {Tab}|Send, {Tab}|Send, {Tab}|Send, {Tab}|Send, |Send, {Tab}|Send, {Tab}|Send, |Send, {F3}</v>
      </c>
      <c r="R2" t="str">
        <f>IFERROR(IF(Tabela2[[#This Row],[Item (Reference)]]="","",IF(Tabela2[[#This Row],[Shape]]="-",Tabela2[[#This Row],[Reference2]],Tabela2[[#This Row],[Reference3]])),"")</f>
        <v/>
      </c>
      <c r="S2" t="str">
        <f>IFERROR(IF(Tabela2[[#This Row],[State]]="Automatico",Tabela2[[#This Row],[Reference1]]&amp;"|"&amp;Tabela2[[#This Row],[Reference4]],""),"")</f>
        <v>Send, 10|Send, ^{Right}|Send, ^{Right}|Send, ^{Right}|Send, SAFETY LINING - BOTTOM|Send, {Enter}|</v>
      </c>
    </row>
    <row r="3" spans="1:19">
      <c r="A3" cm="1">
        <f t="array" ref="A3">IFERROR(IF(Tabela2[[#This Row],[State]]="Automatico",IF(Tabela2[[#This Row],[Shape]]="","",(ROW()-1)*10),INDEX(Tabela2[[#All],[Item (Reference)]],ROW()-1)),"")</f>
        <v>20</v>
      </c>
      <c r="B3" s="649">
        <f t="shared" ref="B3:B24" si="1">IFERROR((ROW()-1)*10,"")</f>
        <v>20</v>
      </c>
      <c r="C3" s="649" t="str">
        <f>IFERROR(IF(Tabela2[[#This Row],[Shape]]="","Automatico",IF(_xlfn.XLOOKUP(Tabela2[[#This Row],[Brand]],BRANDS[Brand],BRANDS[State])="Manual","Manual",IF(Tabela2[[#This Row],[Shape]]="-","Automatico",IF(_xlfn.XLOOKUP(Tabela2[[#This Row],[Shape]],SHAPES[Shape],SHAPES[State])="Manual","Manual","Automatico")))),"")</f>
        <v>Automatico</v>
      </c>
      <c r="D3" s="649" t="str">
        <f>IFERROR(IF(Tabela2[[#This Row],[Shape]]="","Normal",IF(_xlfn.XLOOKUP(Tabela2[[#This Row],[Brand]],BRANDS[Brand],BRANDS[Brand Type])="","Normal",_xlfn.XLOOKUP(Tabela2[[#This Row],[Brand]],BRANDS[Brand],BRANDS[Brand Type]))),"")</f>
        <v>Normal</v>
      </c>
      <c r="E3" s="649" t="s">
        <v>1892</v>
      </c>
      <c r="F3" s="651" t="s">
        <v>2229</v>
      </c>
      <c r="G3" s="649">
        <v>540</v>
      </c>
      <c r="H3" s="652">
        <v>557</v>
      </c>
      <c r="I3">
        <f>IFERROR(IF(Tabela2[[#This Row],[Shape]]="","",IF(Tabela2[[#This Row],[Shape]]="-",Tabela2[[#This Row],[Qnt 1]]/1000,Tabela2[[#This Row],[Qnt 1]])),"")</f>
        <v>540</v>
      </c>
      <c r="J3">
        <f>IFERROR(IF(Tabela2[[#This Row],[Shape]]="","",IF(Tabela2[[#This Row],[Shape]]="-",Tabela2[[#This Row],[Qnt 2]]/1000,Tabela2[[#This Row],[Qnt 2]])),"")</f>
        <v>557</v>
      </c>
      <c r="K3" t="str" cm="1">
        <f t="array" aca="1" ref="K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RESISTAL B70</v>
      </c>
      <c r="L3" t="str" cm="1">
        <f t="array" aca="1" ref="L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
        <f>IFERROR(IF(SAP_FINAL!$C$11="Office",2000,IF(SAP_FINAL!$C$11="VPN",3500,5000)),"")</f>
        <v>2000</v>
      </c>
      <c r="N3">
        <f>IFERROR(IF(SAP_FINAL!$C$11="Office",2500,IF(SAP_FINAL!$C$11="VPN",4000,5000)),"")</f>
        <v>2500</v>
      </c>
      <c r="O3" t="str" cm="1">
        <f t="array" ref="O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20|Send, ^{Right}|Send, MAT_KONFIG|Send, {Enter}</v>
      </c>
      <c r="P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RESISTAL B70|Send, {Tab}|Send, {Tab}|Send, {Tab}|Send, {Tab}|Send, {Tab}|Send, {Tab}|Send, {Tab}|Send, {Tab}|Send, {Tab}|Send, 540|Send, {Tab}|Send, {Tab}|Send, 557|Send, {F3}</v>
      </c>
      <c r="Q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1|Send, {Tab}|Send, {Tab}|Send, {Tab}|Send, {Tab}|Send, RESISTAL B70|Send, {Tab}|Send, {Tab}|Send, {Tab}|Send, {Tab}|Send, {Tab}|Send, {Tab}|Send, {Tab}|Send, {Tab}|Send, {Tab}|Send, 540|Send, {Tab}|Send, {Tab}|Send, 557|Send, {F3}</v>
      </c>
      <c r="R3" t="str">
        <f ca="1">IFERROR(IF(Tabela2[[#This Row],[Item (Reference)]]="","",IF(Tabela2[[#This Row],[Shape]]="-",Tabela2[[#This Row],[Reference2]],Tabela2[[#This Row],[Reference3]])),"")</f>
        <v>Sleep, 2500|Send, {Down}|Send, 1|Send, {Tab}|Send, {Tab}|Send, {Tab}|Send, {Tab}|Send, RESISTAL B70|Send, {Tab}|Send, {Tab}|Send, {Tab}|Send, {Tab}|Send, {Tab}|Send, {Tab}|Send, {Tab}|Send, {Tab}|Send, {Tab}|Send, 540|Send, {Tab}|Send, {Tab}|Send, 557|Send, {F3}</v>
      </c>
      <c r="S3" t="str">
        <f ca="1">IFERROR(IF(Tabela2[[#This Row],[State]]="Automatico",Tabela2[[#This Row],[Reference1]]&amp;"|"&amp;Tabela2[[#This Row],[Reference4]],""),"")</f>
        <v>Sleep, 2000|Send, ^{Left}|Send, 20|Send, ^{Right}|Send, MAT_KONFIG|Send, {Enter}|Sleep, 2500|Send, {Down}|Send, 1|Send, {Tab}|Send, {Tab}|Send, {Tab}|Send, {Tab}|Send, RESISTAL B70|Send, {Tab}|Send, {Tab}|Send, {Tab}|Send, {Tab}|Send, {Tab}|Send, {Tab}|Send, {Tab}|Send, {Tab}|Send, {Tab}|Send, 540|Send, {Tab}|Send, {Tab}|Send, 557|Send, {F3}</v>
      </c>
    </row>
    <row r="4" spans="1:19">
      <c r="A4" cm="1">
        <f t="array" ref="A4">IFERROR(IF(Tabela2[[#This Row],[State]]="Automatico",IF(Tabela2[[#This Row],[Shape]]="","",(ROW()-1)*10),INDEX(Tabela2[[#All],[Item (Reference)]],ROW()-1)),"")</f>
        <v>30</v>
      </c>
      <c r="B4" s="649">
        <f t="shared" si="1"/>
        <v>30</v>
      </c>
      <c r="C4" s="649" t="str">
        <f>IFERROR(IF(Tabela2[[#This Row],[Shape]]="","Automatico",IF(_xlfn.XLOOKUP(Tabela2[[#This Row],[Brand]],BRANDS[Brand],BRANDS[State])="Manual","Manual",IF(Tabela2[[#This Row],[Shape]]="-","Automatico",IF(_xlfn.XLOOKUP(Tabela2[[#This Row],[Shape]],SHAPES[Shape],SHAPES[State])="Manual","Manual","Automatico")))),"")</f>
        <v>Automatico</v>
      </c>
      <c r="D4" s="649" t="str">
        <f>IFERROR(IF(Tabela2[[#This Row],[Shape]]="","Normal",IF(_xlfn.XLOOKUP(Tabela2[[#This Row],[Brand]],BRANDS[Brand],BRANDS[Brand Type])="","Normal",_xlfn.XLOOKUP(Tabela2[[#This Row],[Brand]],BRANDS[Brand],BRANDS[Brand Type]))),"")</f>
        <v>Normal</v>
      </c>
      <c r="E4" s="649" t="s">
        <v>1893</v>
      </c>
      <c r="F4" s="651" t="s">
        <v>16</v>
      </c>
      <c r="G4" s="649">
        <v>925</v>
      </c>
      <c r="H4" s="652">
        <v>1025</v>
      </c>
      <c r="I4">
        <f>IFERROR(IF(Tabela2[[#This Row],[Shape]]="","",IF(Tabela2[[#This Row],[Shape]]="-",Tabela2[[#This Row],[Qnt 1]]/1000,Tabela2[[#This Row],[Qnt 1]])),"")</f>
        <v>0.92500000000000004</v>
      </c>
      <c r="J4">
        <f>IFERROR(IF(Tabela2[[#This Row],[Shape]]="","",IF(Tabela2[[#This Row],[Shape]]="-",Tabela2[[#This Row],[Qnt 2]]/1000,Tabela2[[#This Row],[Qnt 2]])),"")</f>
        <v>1.0249999999999999</v>
      </c>
      <c r="K4" t="str" cm="1">
        <f t="array" aca="1" ref="K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DIDURIT B62-5-BR</v>
      </c>
      <c r="L4" t="str" cm="1">
        <f t="array" aca="1" ref="L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4">
        <f>IFERROR(IF(SAP_FINAL!$C$11="Office",2000,IF(SAP_FINAL!$C$11="VPN",3500,5000)),"")</f>
        <v>2000</v>
      </c>
      <c r="N4">
        <f>IFERROR(IF(SAP_FINAL!$C$11="Office",2500,IF(SAP_FINAL!$C$11="VPN",4000,5000)),"")</f>
        <v>2500</v>
      </c>
      <c r="O4" t="str" cm="1">
        <f t="array" ref="O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30|Send, ^{Right}|Send, MAT_KONFIG|Send, {Enter}</v>
      </c>
      <c r="P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DIDURIT B62-5-BR|Send, {Tab}|Send, {Tab}|Send, {Tab}|Send, {Tab}|Send, {Tab}|Send, {Tab}|Send, {Tab}|Send, {Tab}|Send, {Tab}|Send, 0,925|Send, {Tab}|Send, {Tab}|Send, 1,025|Send, {F3}</v>
      </c>
      <c r="Q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DIDURIT B62-5-BR|Send, {Tab}|Send, {Tab}|Send, {Tab}|Send, {Tab}|Send, {Tab}|Send, {Tab}|Send, {Tab}|Send, {Tab}|Send, {Tab}|Send, 0,925|Send, {Tab}|Send, {Tab}|Send, 1,025|Send, {F3}</v>
      </c>
      <c r="R4" t="str">
        <f>IFERROR(IF(Tabela2[[#This Row],[Item (Reference)]]="","",IF(Tabela2[[#This Row],[Shape]]="-",Tabela2[[#This Row],[Reference2]],Tabela2[[#This Row],[Reference3]])),"")</f>
        <v>Sleep, 2500|Send, U|Send, {Tab}|Send, {Tab}|Send, {Tab}|Send, {Tab}|Send, {Tab}|Send, {Tab}|Send, DIDURIT B62-5-BR|Send, {Tab}|Send, {Tab}|Send, {Tab}|Send, {Tab}|Send, {Tab}|Send, {Tab}|Send, {Tab}|Send, {Tab}|Send, {Tab}|Send, 0,925|Send, {Tab}|Send, {Tab}|Send, 1,025|Send, {F3}</v>
      </c>
      <c r="S4" t="str">
        <f>IFERROR(IF(Tabela2[[#This Row],[State]]="Automatico",Tabela2[[#This Row],[Reference1]]&amp;"|"&amp;Tabela2[[#This Row],[Reference4]],""),"")</f>
        <v>Sleep, 2500|Send, ^{Left}|Send, 30|Send, ^{Right}|Send, MAT_KONFIG|Send, {Enter}|Sleep, 2500|Send, U|Send, {Tab}|Send, {Tab}|Send, {Tab}|Send, {Tab}|Send, {Tab}|Send, {Tab}|Send, DIDURIT B62-5-BR|Send, {Tab}|Send, {Tab}|Send, {Tab}|Send, {Tab}|Send, {Tab}|Send, {Tab}|Send, {Tab}|Send, {Tab}|Send, {Tab}|Send, 0,925|Send, {Tab}|Send, {Tab}|Send, 1,025|Send, {F3}</v>
      </c>
    </row>
    <row r="5" spans="1:19">
      <c r="A5" t="str" cm="1">
        <f t="array" ref="A5">IFERROR(IF(Tabela2[[#This Row],[State]]="Automatico",IF(Tabela2[[#This Row],[Shape]]="","",(ROW()-1)*10),INDEX(Tabela2[[#All],[Item (Reference)]],ROW()-1)),"")</f>
        <v/>
      </c>
      <c r="B5" s="649">
        <f t="shared" si="1"/>
        <v>40</v>
      </c>
      <c r="C5" s="649" t="str">
        <f>IFERROR(IF(Tabela2[[#This Row],[Shape]]="","Automatico",IF(_xlfn.XLOOKUP(Tabela2[[#This Row],[Brand]],BRANDS[Brand],BRANDS[State])="Manual","Manual",IF(Tabela2[[#This Row],[Shape]]="-","Automatico",IF(_xlfn.XLOOKUP(Tabela2[[#This Row],[Shape]],SHAPES[Shape],SHAPES[State])="Manual","Manual","Automatico")))),"")</f>
        <v>Automatico</v>
      </c>
      <c r="D5" s="649" t="str">
        <f>IFERROR(IF(Tabela2[[#This Row],[Shape]]="","Normal",IF(_xlfn.XLOOKUP(Tabela2[[#This Row],[Brand]],BRANDS[Brand],BRANDS[Brand Type])="","Normal",_xlfn.XLOOKUP(Tabela2[[#This Row],[Brand]],BRANDS[Brand],BRANDS[Brand Type]))),"")</f>
        <v>Normal</v>
      </c>
      <c r="E5" s="649" t="s">
        <v>1899</v>
      </c>
      <c r="F5" s="651"/>
      <c r="G5" s="649"/>
      <c r="H5" s="652"/>
      <c r="I5" t="str">
        <f>IFERROR(IF(Tabela2[[#This Row],[Shape]]="","",IF(Tabela2[[#This Row],[Shape]]="-",Tabela2[[#This Row],[Qnt 1]]/1000,Tabela2[[#This Row],[Qnt 1]])),"")</f>
        <v/>
      </c>
      <c r="J5" t="str">
        <f>IFERROR(IF(Tabela2[[#This Row],[Shape]]="","",IF(Tabela2[[#This Row],[Shape]]="-",Tabela2[[#This Row],[Qnt 2]]/1000,Tabela2[[#This Row],[Qnt 2]])),"")</f>
        <v/>
      </c>
      <c r="K5" t="str" cm="1">
        <f t="array" aca="1" ref="K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SAFETY LINING - WALL</v>
      </c>
      <c r="L5" t="str" cm="1">
        <f t="array" aca="1" ref="L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5">
        <f>IFERROR(IF(SAP_FINAL!$C$11="Office",2000,IF(SAP_FINAL!$C$11="VPN",3500,5000)),"")</f>
        <v>2000</v>
      </c>
      <c r="N5">
        <f>IFERROR(IF(SAP_FINAL!$C$11="Office",2500,IF(SAP_FINAL!$C$11="VPN",4000,5000)),"")</f>
        <v>2500</v>
      </c>
      <c r="O5" t="str" cm="1">
        <f t="array" ref="O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40|Send, ^{Right}|Send, ^{Right}|Send, ^{Right}|Send, SAFETY LINING - WALL|Send, {Enter}</v>
      </c>
      <c r="P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SAFETY LINING - WALL|Send, {Tab}|Send, {Tab}|Send, {Tab}|Send, {Tab}|Send, {Tab}|Send, {Tab}|Send, {Tab}|Send, {Tab}|Send, {Tab}|Send, |Send, {Tab}|Send, {Tab}|Send, |Send, {F3}</v>
      </c>
      <c r="Q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SAFETY LINING - WALL|Send, {Tab}|Send, {Tab}|Send, {Tab}|Send, {Tab}|Send, {Tab}|Send, {Tab}|Send, {Tab}|Send, {Tab}|Send, {Tab}|Send, |Send, {Tab}|Send, {Tab}|Send, |Send, {F3}</v>
      </c>
      <c r="R5" t="str">
        <f>IFERROR(IF(Tabela2[[#This Row],[Item (Reference)]]="","",IF(Tabela2[[#This Row],[Shape]]="-",Tabela2[[#This Row],[Reference2]],Tabela2[[#This Row],[Reference3]])),"")</f>
        <v/>
      </c>
      <c r="S5" t="str">
        <f>IFERROR(IF(Tabela2[[#This Row],[State]]="Automatico",Tabela2[[#This Row],[Reference1]]&amp;"|"&amp;Tabela2[[#This Row],[Reference4]],""),"")</f>
        <v>Sleep, 2500|Send, ^{Left}|Send, 40|Send, ^{Right}|Send, ^{Right}|Send, ^{Right}|Send, SAFETY LINING - WALL|Send, {Enter}|</v>
      </c>
    </row>
    <row r="6" spans="1:19">
      <c r="A6" cm="1">
        <f t="array" ref="A6">IFERROR(IF(Tabela2[[#This Row],[State]]="Automatico",IF(Tabela2[[#This Row],[Shape]]="","",(ROW()-1)*10),INDEX(Tabela2[[#All],[Item (Reference)]],ROW()-1)),"")</f>
        <v>50</v>
      </c>
      <c r="B6" s="649">
        <f t="shared" si="1"/>
        <v>50</v>
      </c>
      <c r="C6" s="649" t="str">
        <f>IFERROR(IF(Tabela2[[#This Row],[Shape]]="","Automatico",IF(_xlfn.XLOOKUP(Tabela2[[#This Row],[Brand]],BRANDS[Brand],BRANDS[State])="Manual","Manual",IF(Tabela2[[#This Row],[Shape]]="-","Automatico",IF(_xlfn.XLOOKUP(Tabela2[[#This Row],[Shape]],SHAPES[Shape],SHAPES[State])="Manual","Manual","Automatico")))),"")</f>
        <v>Automatico</v>
      </c>
      <c r="D6" s="649" t="str">
        <f>IFERROR(IF(Tabela2[[#This Row],[Shape]]="","Normal",IF(_xlfn.XLOOKUP(Tabela2[[#This Row],[Brand]],BRANDS[Brand],BRANDS[Brand Type])="","Normal",_xlfn.XLOOKUP(Tabela2[[#This Row],[Brand]],BRANDS[Brand],BRANDS[Brand Type]))),"")</f>
        <v>Normal</v>
      </c>
      <c r="E6" s="649" t="s">
        <v>1892</v>
      </c>
      <c r="F6" s="651" t="s">
        <v>2229</v>
      </c>
      <c r="G6" s="649">
        <v>412</v>
      </c>
      <c r="H6" s="652">
        <v>429</v>
      </c>
      <c r="I6">
        <f>IFERROR(IF(Tabela2[[#This Row],[Shape]]="","",IF(Tabela2[[#This Row],[Shape]]="-",Tabela2[[#This Row],[Qnt 1]]/1000,Tabela2[[#This Row],[Qnt 1]])),"")</f>
        <v>412</v>
      </c>
      <c r="J6">
        <f>IFERROR(IF(Tabela2[[#This Row],[Shape]]="","",IF(Tabela2[[#This Row],[Shape]]="-",Tabela2[[#This Row],[Qnt 2]]/1000,Tabela2[[#This Row],[Qnt 2]])),"")</f>
        <v>429</v>
      </c>
      <c r="K6" t="str" cm="1">
        <f t="array" aca="1" ref="K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RESISTAL B70</v>
      </c>
      <c r="L6" t="str" cm="1">
        <f t="array" aca="1" ref="L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6">
        <f>IFERROR(IF(SAP_FINAL!$C$11="Office",2000,IF(SAP_FINAL!$C$11="VPN",3500,5000)),"")</f>
        <v>2000</v>
      </c>
      <c r="N6">
        <f>IFERROR(IF(SAP_FINAL!$C$11="Office",2500,IF(SAP_FINAL!$C$11="VPN",4000,5000)),"")</f>
        <v>2500</v>
      </c>
      <c r="O6" t="str" cm="1">
        <f t="array" ref="O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50|Send, ^{Right}|Send, MAT_KONFIG|Send, {Enter}</v>
      </c>
      <c r="P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RESISTAL B70|Send, {Tab}|Send, {Tab}|Send, {Tab}|Send, {Tab}|Send, {Tab}|Send, {Tab}|Send, {Tab}|Send, {Tab}|Send, {Tab}|Send, 412|Send, {Tab}|Send, {Tab}|Send, 429|Send, {F3}</v>
      </c>
      <c r="Q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1|Send, {Tab}|Send, {Tab}|Send, {Tab}|Send, {Tab}|Send, RESISTAL B70|Send, {Tab}|Send, {Tab}|Send, {Tab}|Send, {Tab}|Send, {Tab}|Send, {Tab}|Send, {Tab}|Send, {Tab}|Send, {Tab}|Send, 412|Send, {Tab}|Send, {Tab}|Send, 429|Send, {F3}</v>
      </c>
      <c r="R6" t="str">
        <f ca="1">IFERROR(IF(Tabela2[[#This Row],[Item (Reference)]]="","",IF(Tabela2[[#This Row],[Shape]]="-",Tabela2[[#This Row],[Reference2]],Tabela2[[#This Row],[Reference3]])),"")</f>
        <v>Sleep, 2500|Send, {Down}|Send, 1|Send, {Tab}|Send, {Tab}|Send, {Tab}|Send, {Tab}|Send, RESISTAL B70|Send, {Tab}|Send, {Tab}|Send, {Tab}|Send, {Tab}|Send, {Tab}|Send, {Tab}|Send, {Tab}|Send, {Tab}|Send, {Tab}|Send, 412|Send, {Tab}|Send, {Tab}|Send, 429|Send, {F3}</v>
      </c>
      <c r="S6" t="str">
        <f ca="1">IFERROR(IF(Tabela2[[#This Row],[State]]="Automatico",Tabela2[[#This Row],[Reference1]]&amp;"|"&amp;Tabela2[[#This Row],[Reference4]],""),"")</f>
        <v>Sleep, 2000|Send, ^{Left}|Send, 50|Send, ^{Right}|Send, MAT_KONFIG|Send, {Enter}|Sleep, 2500|Send, {Down}|Send, 1|Send, {Tab}|Send, {Tab}|Send, {Tab}|Send, {Tab}|Send, RESISTAL B70|Send, {Tab}|Send, {Tab}|Send, {Tab}|Send, {Tab}|Send, {Tab}|Send, {Tab}|Send, {Tab}|Send, {Tab}|Send, {Tab}|Send, 412|Send, {Tab}|Send, {Tab}|Send, 429|Send, {F3}</v>
      </c>
    </row>
    <row r="7" spans="1:19">
      <c r="A7" cm="1">
        <f t="array" ref="A7">IFERROR(IF(Tabela2[[#This Row],[State]]="Automatico",IF(Tabela2[[#This Row],[Shape]]="","",(ROW()-1)*10),INDEX(Tabela2[[#All],[Item (Reference)]],ROW()-1)),"")</f>
        <v>60</v>
      </c>
      <c r="B7" s="649">
        <f t="shared" si="1"/>
        <v>60</v>
      </c>
      <c r="C7" s="649" t="str">
        <f>IFERROR(IF(Tabela2[[#This Row],[Shape]]="","Automatico",IF(_xlfn.XLOOKUP(Tabela2[[#This Row],[Brand]],BRANDS[Brand],BRANDS[State])="Manual","Manual",IF(Tabela2[[#This Row],[Shape]]="-","Automatico",IF(_xlfn.XLOOKUP(Tabela2[[#This Row],[Shape]],SHAPES[Shape],SHAPES[State])="Manual","Manual","Automatico")))),"")</f>
        <v>Automatico</v>
      </c>
      <c r="D7" s="649" t="str">
        <f>IFERROR(IF(Tabela2[[#This Row],[Shape]]="","Normal",IF(_xlfn.XLOOKUP(Tabela2[[#This Row],[Brand]],BRANDS[Brand],BRANDS[Brand Type])="","Normal",_xlfn.XLOOKUP(Tabela2[[#This Row],[Brand]],BRANDS[Brand],BRANDS[Brand Type]))),"")</f>
        <v>Normal</v>
      </c>
      <c r="E7" s="649" t="s">
        <v>1892</v>
      </c>
      <c r="F7" s="651" t="s">
        <v>1904</v>
      </c>
      <c r="G7" s="649">
        <v>500</v>
      </c>
      <c r="H7" s="652">
        <v>520</v>
      </c>
      <c r="I7">
        <f>IFERROR(IF(Tabela2[[#This Row],[Shape]]="","",IF(Tabela2[[#This Row],[Shape]]="-",Tabela2[[#This Row],[Qnt 1]]/1000,Tabela2[[#This Row],[Qnt 1]])),"")</f>
        <v>500</v>
      </c>
      <c r="J7">
        <f>IFERROR(IF(Tabela2[[#This Row],[Shape]]="","",IF(Tabela2[[#This Row],[Shape]]="-",Tabela2[[#This Row],[Qnt 2]]/1000,Tabela2[[#This Row],[Qnt 2]])),"")</f>
        <v>520</v>
      </c>
      <c r="K7" t="str" cm="1">
        <f t="array" aca="1" ref="K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RESISTAL B70</v>
      </c>
      <c r="L7" t="str" cm="1">
        <f t="array" aca="1" ref="L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7">
        <f>IFERROR(IF(SAP_FINAL!$C$11="Office",2000,IF(SAP_FINAL!$C$11="VPN",3500,5000)),"")</f>
        <v>2000</v>
      </c>
      <c r="N7">
        <f>IFERROR(IF(SAP_FINAL!$C$11="Office",2500,IF(SAP_FINAL!$C$11="VPN",4000,5000)),"")</f>
        <v>2500</v>
      </c>
      <c r="O7" t="str" cm="1">
        <f t="array" ref="O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60|Send, ^{Right}|Send, MAT_KONFIG|Send, {Enter}</v>
      </c>
      <c r="P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RESISTAL B70|Send, {Tab}|Send, {Tab}|Send, {Tab}|Send, {Tab}|Send, {Tab}|Send, {Tab}|Send, {Tab}|Send, {Tab}|Send, {Tab}|Send, 500|Send, {Tab}|Send, {Tab}|Send, 520|Send, {F3}</v>
      </c>
      <c r="Q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SL1064|Send, {Tab}|Send, {Tab}|Send, {Tab}|Send, {Tab}|Send, RESISTAL B70|Send, {Tab}|Send, {Tab}|Send, {Tab}|Send, {Tab}|Send, {Tab}|Send, {Tab}|Send, {Tab}|Send, {Tab}|Send, {Tab}|Send, 500|Send, {Tab}|Send, {Tab}|Send, 520|Send, {F3}</v>
      </c>
      <c r="R7" t="str">
        <f ca="1">IFERROR(IF(Tabela2[[#This Row],[Item (Reference)]]="","",IF(Tabela2[[#This Row],[Shape]]="-",Tabela2[[#This Row],[Reference2]],Tabela2[[#This Row],[Reference3]])),"")</f>
        <v>Sleep, 2500|Send, {Down}|Send, SL1064|Send, {Tab}|Send, {Tab}|Send, {Tab}|Send, {Tab}|Send, RESISTAL B70|Send, {Tab}|Send, {Tab}|Send, {Tab}|Send, {Tab}|Send, {Tab}|Send, {Tab}|Send, {Tab}|Send, {Tab}|Send, {Tab}|Send, 500|Send, {Tab}|Send, {Tab}|Send, 520|Send, {F3}</v>
      </c>
      <c r="S7" t="str">
        <f ca="1">IFERROR(IF(Tabela2[[#This Row],[State]]="Automatico",Tabela2[[#This Row],[Reference1]]&amp;"|"&amp;Tabela2[[#This Row],[Reference4]],""),"")</f>
        <v>Sleep, 2500|Send, ^{Left}|Send, 60|Send, ^{Right}|Send, MAT_KONFIG|Send, {Enter}|Sleep, 2500|Send, {Down}|Send, SL1064|Send, {Tab}|Send, {Tab}|Send, {Tab}|Send, {Tab}|Send, RESISTAL B70|Send, {Tab}|Send, {Tab}|Send, {Tab}|Send, {Tab}|Send, {Tab}|Send, {Tab}|Send, {Tab}|Send, {Tab}|Send, {Tab}|Send, 500|Send, {Tab}|Send, {Tab}|Send, 520|Send, {F3}</v>
      </c>
    </row>
    <row r="8" spans="1:19">
      <c r="A8" cm="1">
        <f t="array" ref="A8">IFERROR(IF(Tabela2[[#This Row],[State]]="Automatico",IF(Tabela2[[#This Row],[Shape]]="","",(ROW()-1)*10),INDEX(Tabela2[[#All],[Item (Reference)]],ROW()-1)),"")</f>
        <v>70</v>
      </c>
      <c r="B8" s="649">
        <f t="shared" si="1"/>
        <v>70</v>
      </c>
      <c r="C8" s="649" t="str">
        <f>IFERROR(IF(Tabela2[[#This Row],[Shape]]="","Automatico",IF(_xlfn.XLOOKUP(Tabela2[[#This Row],[Brand]],BRANDS[Brand],BRANDS[State])="Manual","Manual",IF(Tabela2[[#This Row],[Shape]]="-","Automatico",IF(_xlfn.XLOOKUP(Tabela2[[#This Row],[Shape]],SHAPES[Shape],SHAPES[State])="Manual","Manual","Automatico")))),"")</f>
        <v>Automatico</v>
      </c>
      <c r="D8" s="649" t="str">
        <f>IFERROR(IF(Tabela2[[#This Row],[Shape]]="","Normal",IF(_xlfn.XLOOKUP(Tabela2[[#This Row],[Brand]],BRANDS[Brand],BRANDS[Brand Type])="","Normal",_xlfn.XLOOKUP(Tabela2[[#This Row],[Brand]],BRANDS[Brand],BRANDS[Brand Type]))),"")</f>
        <v>Normal</v>
      </c>
      <c r="E8" s="649" t="s">
        <v>1894</v>
      </c>
      <c r="F8" s="651" t="s">
        <v>16</v>
      </c>
      <c r="G8" s="649">
        <v>500</v>
      </c>
      <c r="H8" s="652">
        <v>550</v>
      </c>
      <c r="I8">
        <f>IFERROR(IF(Tabela2[[#This Row],[Shape]]="","",IF(Tabela2[[#This Row],[Shape]]="-",Tabela2[[#This Row],[Qnt 1]]/1000,Tabela2[[#This Row],[Qnt 1]])),"")</f>
        <v>0.5</v>
      </c>
      <c r="J8">
        <f>IFERROR(IF(Tabela2[[#This Row],[Shape]]="","",IF(Tabela2[[#This Row],[Shape]]="-",Tabela2[[#This Row],[Qnt 2]]/1000,Tabela2[[#This Row],[Qnt 2]])),"")</f>
        <v>0.55000000000000004</v>
      </c>
      <c r="K8" t="str" cm="1">
        <f t="array" aca="1" ref="K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JEBFIL BF85LD-CA</v>
      </c>
      <c r="L8" t="str" cm="1">
        <f t="array" aca="1" ref="L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8">
        <f>IFERROR(IF(SAP_FINAL!$C$11="Office",2000,IF(SAP_FINAL!$C$11="VPN",3500,5000)),"")</f>
        <v>2000</v>
      </c>
      <c r="N8">
        <f>IFERROR(IF(SAP_FINAL!$C$11="Office",2500,IF(SAP_FINAL!$C$11="VPN",4000,5000)),"")</f>
        <v>2500</v>
      </c>
      <c r="O8" t="str" cm="1">
        <f t="array" ref="O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70|Send, ^{Right}|Send, MAT_KONFIG|Send, {Enter}</v>
      </c>
      <c r="P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JEBFIL BF85LD-CA|Send, {Tab}|Send, {Tab}|Send, {Tab}|Send, {Tab}|Send, {Tab}|Send, {Tab}|Send, {Tab}|Send, {Tab}|Send, {Tab}|Send, 0,5|Send, {Tab}|Send, {Tab}|Send, 0,55|Send, {F3}</v>
      </c>
      <c r="Q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JEBFIL BF85LD-CA|Send, {Tab}|Send, {Tab}|Send, {Tab}|Send, {Tab}|Send, {Tab}|Send, {Tab}|Send, {Tab}|Send, {Tab}|Send, {Tab}|Send, 0,5|Send, {Tab}|Send, {Tab}|Send, 0,55|Send, {F3}</v>
      </c>
      <c r="R8" t="str">
        <f>IFERROR(IF(Tabela2[[#This Row],[Item (Reference)]]="","",IF(Tabela2[[#This Row],[Shape]]="-",Tabela2[[#This Row],[Reference2]],Tabela2[[#This Row],[Reference3]])),"")</f>
        <v>Sleep, 2500|Send, U|Send, {Tab}|Send, {Tab}|Send, {Tab}|Send, {Tab}|Send, {Tab}|Send, {Tab}|Send, JEBFIL BF85LD-CA|Send, {Tab}|Send, {Tab}|Send, {Tab}|Send, {Tab}|Send, {Tab}|Send, {Tab}|Send, {Tab}|Send, {Tab}|Send, {Tab}|Send, 0,5|Send, {Tab}|Send, {Tab}|Send, 0,55|Send, {F3}</v>
      </c>
      <c r="S8" t="str">
        <f>IFERROR(IF(Tabela2[[#This Row],[State]]="Automatico",Tabela2[[#This Row],[Reference1]]&amp;"|"&amp;Tabela2[[#This Row],[Reference4]],""),"")</f>
        <v>Sleep, 2500|Send, ^{Left}|Send, 70|Send, ^{Right}|Send, MAT_KONFIG|Send, {Enter}|Sleep, 2500|Send, U|Send, {Tab}|Send, {Tab}|Send, {Tab}|Send, {Tab}|Send, {Tab}|Send, {Tab}|Send, JEBFIL BF85LD-CA|Send, {Tab}|Send, {Tab}|Send, {Tab}|Send, {Tab}|Send, {Tab}|Send, {Tab}|Send, {Tab}|Send, {Tab}|Send, {Tab}|Send, 0,5|Send, {Tab}|Send, {Tab}|Send, 0,55|Send, {F3}</v>
      </c>
    </row>
    <row r="9" spans="1:19">
      <c r="A9" cm="1">
        <f t="array" ref="A9">IFERROR(IF(Tabela2[[#This Row],[State]]="Automatico",IF(Tabela2[[#This Row],[Shape]]="","",(ROW()-1)*10),INDEX(Tabela2[[#All],[Item (Reference)]],ROW()-1)),"")</f>
        <v>80</v>
      </c>
      <c r="B9" s="649">
        <f t="shared" si="1"/>
        <v>80</v>
      </c>
      <c r="C9" s="649" t="str">
        <f>IFERROR(IF(Tabela2[[#This Row],[Shape]]="","Automatico",IF(_xlfn.XLOOKUP(Tabela2[[#This Row],[Brand]],BRANDS[Brand],BRANDS[State])="Manual","Manual",IF(Tabela2[[#This Row],[Shape]]="-","Automatico",IF(_xlfn.XLOOKUP(Tabela2[[#This Row],[Shape]],SHAPES[Shape],SHAPES[State])="Manual","Manual","Automatico")))),"")</f>
        <v>Automatico</v>
      </c>
      <c r="D9" s="649" t="str">
        <f>IFERROR(IF(Tabela2[[#This Row],[Shape]]="","Normal",IF(_xlfn.XLOOKUP(Tabela2[[#This Row],[Brand]],BRANDS[Brand],BRANDS[Brand Type])="","Normal",_xlfn.XLOOKUP(Tabela2[[#This Row],[Brand]],BRANDS[Brand],BRANDS[Brand Type]))),"")</f>
        <v>Normal</v>
      </c>
      <c r="E9" s="649" t="s">
        <v>1896</v>
      </c>
      <c r="F9" s="651" t="s">
        <v>1742</v>
      </c>
      <c r="G9" s="649">
        <v>25</v>
      </c>
      <c r="H9" s="652">
        <v>28</v>
      </c>
      <c r="I9">
        <f>IFERROR(IF(Tabela2[[#This Row],[Shape]]="","",IF(Tabela2[[#This Row],[Shape]]="-",Tabela2[[#This Row],[Qnt 1]]/1000,Tabela2[[#This Row],[Qnt 1]])),"")</f>
        <v>25</v>
      </c>
      <c r="J9">
        <f>IFERROR(IF(Tabela2[[#This Row],[Shape]]="","",IF(Tabela2[[#This Row],[Shape]]="-",Tabela2[[#This Row],[Qnt 2]]/1000,Tabela2[[#This Row],[Qnt 2]])),"")</f>
        <v>28</v>
      </c>
      <c r="K9" t="str" cm="1">
        <f t="array" aca="1" ref="K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SILPLATE 1108 L</v>
      </c>
      <c r="L9" t="str" cm="1">
        <f t="array" aca="1" ref="L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9">
        <f>IFERROR(IF(SAP_FINAL!$C$11="Office",2000,IF(SAP_FINAL!$C$11="VPN",3500,5000)),"")</f>
        <v>2000</v>
      </c>
      <c r="N9">
        <f>IFERROR(IF(SAP_FINAL!$C$11="Office",2500,IF(SAP_FINAL!$C$11="VPN",4000,5000)),"")</f>
        <v>2500</v>
      </c>
      <c r="O9" t="str" cm="1">
        <f t="array" ref="O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80|Send, ^{Right}|Send, MAT_KONFIG|Send, {Enter}</v>
      </c>
      <c r="P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SILPLATE 1108 L|Send, {Tab}|Send, {Tab}|Send, {Tab}|Send, {Tab}|Send, {Tab}|Send, {Tab}|Send, {Tab}|Send, {Tab}|Send, {Tab}|Send, 25|Send, {Tab}|Send, {Tab}|Send, 28|Send, {F3}</v>
      </c>
      <c r="Q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THK.13mm|Send, {Tab}|Send, {Tab}|Send, {Tab}|Send, {Tab}|Send, SILPLATE 1108 L|Send, {Tab}|Send, {Tab}|Send, {Tab}|Send, {Tab}|Send, {Tab}|Send, {Tab}|Send, {Tab}|Send, {Tab}|Send, {Tab}|Send, 25|Send, {Tab}|Send, {Tab}|Send, 28|Send, {F3}</v>
      </c>
      <c r="R9" t="str">
        <f ca="1">IFERROR(IF(Tabela2[[#This Row],[Item (Reference)]]="","",IF(Tabela2[[#This Row],[Shape]]="-",Tabela2[[#This Row],[Reference2]],Tabela2[[#This Row],[Reference3]])),"")</f>
        <v>Sleep, 2500|Send, {Down}|Send, THK.13mm|Send, {Tab}|Send, {Tab}|Send, {Tab}|Send, {Tab}|Send, SILPLATE 1108 L|Send, {Tab}|Send, {Tab}|Send, {Tab}|Send, {Tab}|Send, {Tab}|Send, {Tab}|Send, {Tab}|Send, {Tab}|Send, {Tab}|Send, 25|Send, {Tab}|Send, {Tab}|Send, 28|Send, {F3}</v>
      </c>
      <c r="S9" t="str">
        <f ca="1">IFERROR(IF(Tabela2[[#This Row],[State]]="Automatico",Tabela2[[#This Row],[Reference1]]&amp;"|"&amp;Tabela2[[#This Row],[Reference4]],""),"")</f>
        <v>Sleep, 2500|Send, ^{Left}|Send, 80|Send, ^{Right}|Send, MAT_KONFIG|Send, {Enter}|Sleep, 2500|Send, {Down}|Send, THK.13mm|Send, {Tab}|Send, {Tab}|Send, {Tab}|Send, {Tab}|Send, SILPLATE 1108 L|Send, {Tab}|Send, {Tab}|Send, {Tab}|Send, {Tab}|Send, {Tab}|Send, {Tab}|Send, {Tab}|Send, {Tab}|Send, {Tab}|Send, 25|Send, {Tab}|Send, {Tab}|Send, 28|Send, {F3}</v>
      </c>
    </row>
    <row r="10" spans="1:19">
      <c r="A10" t="str" cm="1">
        <f t="array" ref="A10">IFERROR(IF(Tabela2[[#This Row],[State]]="Automatico",IF(Tabela2[[#This Row],[Shape]]="","",(ROW()-1)*10),INDEX(Tabela2[[#All],[Item (Reference)]],ROW()-1)),"")</f>
        <v/>
      </c>
      <c r="B10" s="649">
        <f t="shared" si="1"/>
        <v>90</v>
      </c>
      <c r="C10" s="649" t="str">
        <f>IFERROR(IF(Tabela2[[#This Row],[Shape]]="","Automatico",IF(_xlfn.XLOOKUP(Tabela2[[#This Row],[Brand]],BRANDS[Brand],BRANDS[State])="Manual","Manual",IF(Tabela2[[#This Row],[Shape]]="-","Automatico",IF(_xlfn.XLOOKUP(Tabela2[[#This Row],[Shape]],SHAPES[Shape],SHAPES[State])="Manual","Manual","Automatico")))),"")</f>
        <v>Automatico</v>
      </c>
      <c r="D10" s="649" t="str">
        <f>IFERROR(IF(Tabela2[[#This Row],[Shape]]="","Normal",IF(_xlfn.XLOOKUP(Tabela2[[#This Row],[Brand]],BRANDS[Brand],BRANDS[Brand Type])="","Normal",_xlfn.XLOOKUP(Tabela2[[#This Row],[Brand]],BRANDS[Brand],BRANDS[Brand Type]))),"")</f>
        <v>Normal</v>
      </c>
      <c r="E10" s="649" t="s">
        <v>1901</v>
      </c>
      <c r="F10" s="651"/>
      <c r="G10" s="649"/>
      <c r="H10" s="652"/>
      <c r="I10" t="str">
        <f>IFERROR(IF(Tabela2[[#This Row],[Shape]]="","",IF(Tabela2[[#This Row],[Shape]]="-",Tabela2[[#This Row],[Qnt 1]]/1000,Tabela2[[#This Row],[Qnt 1]])),"")</f>
        <v/>
      </c>
      <c r="J10" t="str">
        <f>IFERROR(IF(Tabela2[[#This Row],[Shape]]="","",IF(Tabela2[[#This Row],[Shape]]="-",Tabela2[[#This Row],[Qnt 2]]/1000,Tabela2[[#This Row],[Qnt 2]])),"")</f>
        <v/>
      </c>
      <c r="K10" t="str" cm="1">
        <f t="array" aca="1" ref="K1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WORKING LINING - BOTTOM</v>
      </c>
      <c r="L10" t="str" cm="1">
        <f t="array" aca="1" ref="L1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0">
        <f>IFERROR(IF(SAP_FINAL!$C$11="Office",2000,IF(SAP_FINAL!$C$11="VPN",3500,5000)),"")</f>
        <v>2000</v>
      </c>
      <c r="N10">
        <f>IFERROR(IF(SAP_FINAL!$C$11="Office",2500,IF(SAP_FINAL!$C$11="VPN",4000,5000)),"")</f>
        <v>2500</v>
      </c>
      <c r="O10" t="str" cm="1">
        <f t="array" ref="O1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90|Send, ^{Right}|Send, ^{Right}|Send, ^{Right}|Send, WORKING LINING - BOTTOM|Send, {Enter}</v>
      </c>
      <c r="P1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WORKING LINING - BOTTOM|Send, {Tab}|Send, {Tab}|Send, {Tab}|Send, {Tab}|Send, {Tab}|Send, {Tab}|Send, {Tab}|Send, {Tab}|Send, {Tab}|Send, |Send, {Tab}|Send, {Tab}|Send, |Send, {F3}</v>
      </c>
      <c r="Q1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WORKING LINING - BOTTOM|Send, {Tab}|Send, {Tab}|Send, {Tab}|Send, {Tab}|Send, {Tab}|Send, {Tab}|Send, {Tab}|Send, {Tab}|Send, {Tab}|Send, |Send, {Tab}|Send, {Tab}|Send, |Send, {F3}</v>
      </c>
      <c r="R10" t="str">
        <f>IFERROR(IF(Tabela2[[#This Row],[Item (Reference)]]="","",IF(Tabela2[[#This Row],[Shape]]="-",Tabela2[[#This Row],[Reference2]],Tabela2[[#This Row],[Reference3]])),"")</f>
        <v/>
      </c>
      <c r="S10" t="str">
        <f>IFERROR(IF(Tabela2[[#This Row],[State]]="Automatico",Tabela2[[#This Row],[Reference1]]&amp;"|"&amp;Tabela2[[#This Row],[Reference4]],""),"")</f>
        <v>Sleep, 2500|Send, ^{Left}|Send, 90|Send, ^{Right}|Send, ^{Right}|Send, ^{Right}|Send, WORKING LINING - BOTTOM|Send, {Enter}|</v>
      </c>
    </row>
    <row r="11" spans="1:19">
      <c r="A11" cm="1">
        <f t="array" ref="A11">IFERROR(IF(Tabela2[[#This Row],[State]]="Automatico",IF(Tabela2[[#This Row],[Shape]]="","",(ROW()-1)*10),INDEX(Tabela2[[#All],[Item (Reference)]],ROW()-1)),"")</f>
        <v>100</v>
      </c>
      <c r="B11" s="649">
        <f t="shared" si="1"/>
        <v>100</v>
      </c>
      <c r="C11" s="649" t="str">
        <f>IFERROR(IF(Tabela2[[#This Row],[Shape]]="","Automatico",IF(_xlfn.XLOOKUP(Tabela2[[#This Row],[Brand]],BRANDS[Brand],BRANDS[State])="Manual","Manual",IF(Tabela2[[#This Row],[Shape]]="-","Automatico",IF(_xlfn.XLOOKUP(Tabela2[[#This Row],[Shape]],SHAPES[Shape],SHAPES[State])="Manual","Manual","Automatico")))),"")</f>
        <v>Automatico</v>
      </c>
      <c r="D11" s="649" t="str">
        <f>IFERROR(IF(Tabela2[[#This Row],[Shape]]="","Normal",IF(_xlfn.XLOOKUP(Tabela2[[#This Row],[Brand]],BRANDS[Brand],BRANDS[Brand Type])="","Normal",_xlfn.XLOOKUP(Tabela2[[#This Row],[Brand]],BRANDS[Brand],BRANDS[Brand Type]))),"")</f>
        <v>Normal</v>
      </c>
      <c r="E11" s="649" t="s">
        <v>1890</v>
      </c>
      <c r="F11" s="651" t="s">
        <v>125</v>
      </c>
      <c r="G11" s="649">
        <v>177</v>
      </c>
      <c r="H11" s="652">
        <v>186</v>
      </c>
      <c r="I11">
        <f>IFERROR(IF(Tabela2[[#This Row],[Shape]]="","",IF(Tabela2[[#This Row],[Shape]]="-",Tabela2[[#This Row],[Qnt 1]]/1000,Tabela2[[#This Row],[Qnt 1]])),"")</f>
        <v>177</v>
      </c>
      <c r="J11">
        <f>IFERROR(IF(Tabela2[[#This Row],[Shape]]="","",IF(Tabela2[[#This Row],[Shape]]="-",Tabela2[[#This Row],[Qnt 2]]/1000,Tabela2[[#This Row],[Qnt 2]])),"")</f>
        <v>186</v>
      </c>
      <c r="K11" t="str" cm="1">
        <f t="array" aca="1" ref="K1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R40-3-US</v>
      </c>
      <c r="L11" t="str" cm="1">
        <f t="array" aca="1" ref="L1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1">
        <f>IFERROR(IF(SAP_FINAL!$C$11="Office",2000,IF(SAP_FINAL!$C$11="VPN",3500,5000)),"")</f>
        <v>2000</v>
      </c>
      <c r="N11">
        <f>IFERROR(IF(SAP_FINAL!$C$11="Office",2500,IF(SAP_FINAL!$C$11="VPN",4000,5000)),"")</f>
        <v>2500</v>
      </c>
      <c r="O11" t="str" cm="1">
        <f t="array" ref="O1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100|Send, ^{Right}|Send, MAT_KONFIG|Send, {Enter}</v>
      </c>
      <c r="P1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R40-3-US|Send, {Tab}|Send, {Tab}|Send, {Tab}|Send, {Tab}|Send, {Tab}|Send, {Tab}|Send, {Tab}|Send, {Tab}|Send, {Tab}|Send, 177|Send, {Tab}|Send, {Tab}|Send, 186|Send, {F3}</v>
      </c>
      <c r="Q1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25/0|Send, {Tab}|Send, {Tab}|Send, {Tab}|Send, {Tab}|Send, SINDOFORM R40-3-US|Send, {Tab}|Send, {Tab}|Send, {Tab}|Send, {Tab}|Send, {Tab}|Send, {Tab}|Send, {Tab}|Send, {Tab}|Send, {Tab}|Send, 177|Send, {Tab}|Send, {Tab}|Send, 186|Send, {F3}</v>
      </c>
      <c r="R11" t="str">
        <f ca="1">IFERROR(IF(Tabela2[[#This Row],[Item (Reference)]]="","",IF(Tabela2[[#This Row],[Shape]]="-",Tabela2[[#This Row],[Reference2]],Tabela2[[#This Row],[Reference3]])),"")</f>
        <v>Sleep, 2500|Send, {Down}|Send, 25/0|Send, {Tab}|Send, {Tab}|Send, {Tab}|Send, {Tab}|Send, SINDOFORM R40-3-US|Send, {Tab}|Send, {Tab}|Send, {Tab}|Send, {Tab}|Send, {Tab}|Send, {Tab}|Send, {Tab}|Send, {Tab}|Send, {Tab}|Send, 177|Send, {Tab}|Send, {Tab}|Send, 186|Send, {F3}</v>
      </c>
      <c r="S11" t="str">
        <f ca="1">IFERROR(IF(Tabela2[[#This Row],[State]]="Automatico",Tabela2[[#This Row],[Reference1]]&amp;"|"&amp;Tabela2[[#This Row],[Reference4]],""),"")</f>
        <v>Sleep, 2000|Send, ^{Left}|Send, 100|Send, ^{Right}|Send, MAT_KONFIG|Send, {Enter}|Sleep, 2500|Send, {Down}|Send, 25/0|Send, {Tab}|Send, {Tab}|Send, {Tab}|Send, {Tab}|Send, SINDOFORM R40-3-US|Send, {Tab}|Send, {Tab}|Send, {Tab}|Send, {Tab}|Send, {Tab}|Send, {Tab}|Send, {Tab}|Send, {Tab}|Send, {Tab}|Send, 177|Send, {Tab}|Send, {Tab}|Send, 186|Send, {F3}</v>
      </c>
    </row>
    <row r="12" spans="1:19">
      <c r="A12" cm="1">
        <f t="array" ref="A12">IFERROR(IF(Tabela2[[#This Row],[State]]="Automatico",IF(Tabela2[[#This Row],[Shape]]="","",(ROW()-1)*10),INDEX(Tabela2[[#All],[Item (Reference)]],ROW()-1)),"")</f>
        <v>110</v>
      </c>
      <c r="B12" s="649">
        <f t="shared" si="1"/>
        <v>110</v>
      </c>
      <c r="C12" s="649" t="str">
        <f>IFERROR(IF(Tabela2[[#This Row],[Shape]]="","Automatico",IF(_xlfn.XLOOKUP(Tabela2[[#This Row],[Brand]],BRANDS[Brand],BRANDS[State])="Manual","Manual",IF(Tabela2[[#This Row],[Shape]]="-","Automatico",IF(_xlfn.XLOOKUP(Tabela2[[#This Row],[Shape]],SHAPES[Shape],SHAPES[State])="Manual","Manual","Automatico")))),"")</f>
        <v>Automatico</v>
      </c>
      <c r="D12" s="649" t="str">
        <f>IFERROR(IF(Tabela2[[#This Row],[Shape]]="","Normal",IF(_xlfn.XLOOKUP(Tabela2[[#This Row],[Brand]],BRANDS[Brand],BRANDS[Brand Type])="","Normal",_xlfn.XLOOKUP(Tabela2[[#This Row],[Brand]],BRANDS[Brand],BRANDS[Brand Type]))),"")</f>
        <v>Normal</v>
      </c>
      <c r="E12" s="649" t="s">
        <v>1890</v>
      </c>
      <c r="F12" s="651" t="s">
        <v>1902</v>
      </c>
      <c r="G12" s="649">
        <v>22</v>
      </c>
      <c r="H12" s="652">
        <v>25</v>
      </c>
      <c r="I12">
        <f>IFERROR(IF(Tabela2[[#This Row],[Shape]]="","",IF(Tabela2[[#This Row],[Shape]]="-",Tabela2[[#This Row],[Qnt 1]]/1000,Tabela2[[#This Row],[Qnt 1]])),"")</f>
        <v>22</v>
      </c>
      <c r="J12">
        <f>IFERROR(IF(Tabela2[[#This Row],[Shape]]="","",IF(Tabela2[[#This Row],[Shape]]="-",Tabela2[[#This Row],[Qnt 2]]/1000,Tabela2[[#This Row],[Qnt 2]])),"")</f>
        <v>25</v>
      </c>
      <c r="K12" t="str" cm="1">
        <f t="array" aca="1" ref="K1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R40-3-US</v>
      </c>
      <c r="L12" t="str" cm="1">
        <f t="array" aca="1" ref="L1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2">
        <f>IFERROR(IF(SAP_FINAL!$C$11="Office",2000,IF(SAP_FINAL!$C$11="VPN",3500,5000)),"")</f>
        <v>2000</v>
      </c>
      <c r="N12">
        <f>IFERROR(IF(SAP_FINAL!$C$11="Office",2500,IF(SAP_FINAL!$C$11="VPN",4000,5000)),"")</f>
        <v>2500</v>
      </c>
      <c r="O12" t="str" cm="1">
        <f t="array" ref="O1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110|Send, ^{Right}|Send, MAT_KONFIG|Send, {Enter}</v>
      </c>
      <c r="P1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R40-3-US|Send, {Tab}|Send, {Tab}|Send, {Tab}|Send, {Tab}|Send, {Tab}|Send, {Tab}|Send, {Tab}|Send, {Tab}|Send, {Tab}|Send, 22|Send, {Tab}|Send, {Tab}|Send, 25|Send, {F3}</v>
      </c>
      <c r="Q1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25/0/75|Send, {Tab}|Send, {Tab}|Send, {Tab}|Send, {Tab}|Send, SINDOFORM R40-3-US|Send, {Tab}|Send, {Tab}|Send, {Tab}|Send, {Tab}|Send, {Tab}|Send, {Tab}|Send, {Tab}|Send, {Tab}|Send, {Tab}|Send, 22|Send, {Tab}|Send, {Tab}|Send, 25|Send, {F3}</v>
      </c>
      <c r="R12" t="str">
        <f ca="1">IFERROR(IF(Tabela2[[#This Row],[Item (Reference)]]="","",IF(Tabela2[[#This Row],[Shape]]="-",Tabela2[[#This Row],[Reference2]],Tabela2[[#This Row],[Reference3]])),"")</f>
        <v>Sleep, 2500|Send, {Down}|Send, 25/0/75|Send, {Tab}|Send, {Tab}|Send, {Tab}|Send, {Tab}|Send, SINDOFORM R40-3-US|Send, {Tab}|Send, {Tab}|Send, {Tab}|Send, {Tab}|Send, {Tab}|Send, {Tab}|Send, {Tab}|Send, {Tab}|Send, {Tab}|Send, 22|Send, {Tab}|Send, {Tab}|Send, 25|Send, {F3}</v>
      </c>
      <c r="S12" t="str">
        <f ca="1">IFERROR(IF(Tabela2[[#This Row],[State]]="Automatico",Tabela2[[#This Row],[Reference1]]&amp;"|"&amp;Tabela2[[#This Row],[Reference4]],""),"")</f>
        <v>Sleep, 2500|Send, ^{Left}|Send, 110|Send, ^{Right}|Send, MAT_KONFIG|Send, {Enter}|Sleep, 2500|Send, {Down}|Send, 25/0/75|Send, {Tab}|Send, {Tab}|Send, {Tab}|Send, {Tab}|Send, SINDOFORM R40-3-US|Send, {Tab}|Send, {Tab}|Send, {Tab}|Send, {Tab}|Send, {Tab}|Send, {Tab}|Send, {Tab}|Send, {Tab}|Send, {Tab}|Send, 22|Send, {Tab}|Send, {Tab}|Send, 25|Send, {F3}</v>
      </c>
    </row>
    <row r="13" spans="1:19">
      <c r="A13" cm="1">
        <f t="array" ref="A13">IFERROR(IF(Tabela2[[#This Row],[State]]="Automatico",IF(Tabela2[[#This Row],[Shape]]="","",(ROW()-1)*10),INDEX(Tabela2[[#All],[Item (Reference)]],ROW()-1)),"")</f>
        <v>120</v>
      </c>
      <c r="B13" s="649">
        <f t="shared" si="1"/>
        <v>120</v>
      </c>
      <c r="C13" s="649" t="str">
        <f>IFERROR(IF(Tabela2[[#This Row],[Shape]]="","Automatico",IF(_xlfn.XLOOKUP(Tabela2[[#This Row],[Brand]],BRANDS[Brand],BRANDS[State])="Manual","Manual",IF(Tabela2[[#This Row],[Shape]]="-","Automatico",IF(_xlfn.XLOOKUP(Tabela2[[#This Row],[Shape]],SHAPES[Shape],SHAPES[State])="Manual","Manual","Automatico")))),"")</f>
        <v>Automatico</v>
      </c>
      <c r="D13" s="649" t="str">
        <f>IFERROR(IF(Tabela2[[#This Row],[Shape]]="","Normal",IF(_xlfn.XLOOKUP(Tabela2[[#This Row],[Brand]],BRANDS[Brand],BRANDS[Brand Type])="","Normal",_xlfn.XLOOKUP(Tabela2[[#This Row],[Brand]],BRANDS[Brand],BRANDS[Brand Type]))),"")</f>
        <v>Normal</v>
      </c>
      <c r="E13" s="649" t="s">
        <v>1889</v>
      </c>
      <c r="F13" s="651" t="s">
        <v>1903</v>
      </c>
      <c r="G13" s="649">
        <v>45</v>
      </c>
      <c r="H13" s="652">
        <v>50</v>
      </c>
      <c r="I13">
        <f>IFERROR(IF(Tabela2[[#This Row],[Shape]]="","",IF(Tabela2[[#This Row],[Shape]]="-",Tabela2[[#This Row],[Qnt 1]]/1000,Tabela2[[#This Row],[Qnt 1]])),"")</f>
        <v>45</v>
      </c>
      <c r="J13">
        <f>IFERROR(IF(Tabela2[[#This Row],[Shape]]="","",IF(Tabela2[[#This Row],[Shape]]="-",Tabela2[[#This Row],[Qnt 2]]/1000,Tabela2[[#This Row],[Qnt 2]])),"")</f>
        <v>50</v>
      </c>
      <c r="K13" t="str" cm="1">
        <f t="array" aca="1" ref="K1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R40-6-US</v>
      </c>
      <c r="L13" t="str" cm="1">
        <f t="array" aca="1" ref="L1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3">
        <f>IFERROR(IF(SAP_FINAL!$C$11="Office",2000,IF(SAP_FINAL!$C$11="VPN",3500,5000)),"")</f>
        <v>2000</v>
      </c>
      <c r="N13">
        <f>IFERROR(IF(SAP_FINAL!$C$11="Office",2500,IF(SAP_FINAL!$C$11="VPN",4000,5000)),"")</f>
        <v>2500</v>
      </c>
      <c r="O13" t="str" cm="1">
        <f t="array" ref="O1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120|Send, ^{Right}|Send, MAT_KONFIG|Send, {Enter}</v>
      </c>
      <c r="P1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R40-6-US|Send, {Tab}|Send, {Tab}|Send, {Tab}|Send, {Tab}|Send, {Tab}|Send, {Tab}|Send, {Tab}|Send, {Tab}|Send, {Tab}|Send, 45|Send, {Tab}|Send, {Tab}|Send, 50|Send, {F3}</v>
      </c>
      <c r="Q1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S131/2X6X100|Send, {Tab}|Send, {Tab}|Send, {Tab}|Send, {Tab}|Send, SINDOFORM R40-6-US|Send, {Tab}|Send, {Tab}|Send, {Tab}|Send, {Tab}|Send, {Tab}|Send, {Tab}|Send, {Tab}|Send, {Tab}|Send, {Tab}|Send, 45|Send, {Tab}|Send, {Tab}|Send, 50|Send, {F3}</v>
      </c>
      <c r="R13" t="str">
        <f ca="1">IFERROR(IF(Tabela2[[#This Row],[Item (Reference)]]="","",IF(Tabela2[[#This Row],[Shape]]="-",Tabela2[[#This Row],[Reference2]],Tabela2[[#This Row],[Reference3]])),"")</f>
        <v>Sleep, 2500|Send, {Down}|Send, S131/2X6X100|Send, {Tab}|Send, {Tab}|Send, {Tab}|Send, {Tab}|Send, SINDOFORM R40-6-US|Send, {Tab}|Send, {Tab}|Send, {Tab}|Send, {Tab}|Send, {Tab}|Send, {Tab}|Send, {Tab}|Send, {Tab}|Send, {Tab}|Send, 45|Send, {Tab}|Send, {Tab}|Send, 50|Send, {F3}</v>
      </c>
      <c r="S13" t="str">
        <f ca="1">IFERROR(IF(Tabela2[[#This Row],[State]]="Automatico",Tabela2[[#This Row],[Reference1]]&amp;"|"&amp;Tabela2[[#This Row],[Reference4]],""),"")</f>
        <v>Sleep, 2500|Send, ^{Left}|Send, 120|Send, ^{Right}|Send, MAT_KONFIG|Send, {Enter}|Sleep, 2500|Send, {Down}|Send, S131/2X6X100|Send, {Tab}|Send, {Tab}|Send, {Tab}|Send, {Tab}|Send, SINDOFORM R40-6-US|Send, {Tab}|Send, {Tab}|Send, {Tab}|Send, {Tab}|Send, {Tab}|Send, {Tab}|Send, {Tab}|Send, {Tab}|Send, {Tab}|Send, 45|Send, {Tab}|Send, {Tab}|Send, 50|Send, {F3}</v>
      </c>
    </row>
    <row r="14" spans="1:19">
      <c r="A14" cm="1">
        <f t="array" ref="A14">IFERROR(IF(Tabela2[[#This Row],[State]]="Automatico",IF(Tabela2[[#This Row],[Shape]]="","",(ROW()-1)*10),INDEX(Tabela2[[#All],[Item (Reference)]],ROW()-1)),"")</f>
        <v>130</v>
      </c>
      <c r="B14" s="649">
        <f t="shared" si="1"/>
        <v>130</v>
      </c>
      <c r="C14" s="649" t="str">
        <f>IFERROR(IF(Tabela2[[#This Row],[Shape]]="","Automatico",IF(_xlfn.XLOOKUP(Tabela2[[#This Row],[Brand]],BRANDS[Brand],BRANDS[State])="Manual","Manual",IF(Tabela2[[#This Row],[Shape]]="-","Automatico",IF(_xlfn.XLOOKUP(Tabela2[[#This Row],[Shape]],SHAPES[Shape],SHAPES[State])="Manual","Manual","Automatico")))),"")</f>
        <v>Automatico</v>
      </c>
      <c r="D14" s="649" t="str">
        <f>IFERROR(IF(Tabela2[[#This Row],[Shape]]="","Normal",IF(_xlfn.XLOOKUP(Tabela2[[#This Row],[Brand]],BRANDS[Brand],BRANDS[Brand Type])="","Normal",_xlfn.XLOOKUP(Tabela2[[#This Row],[Brand]],BRANDS[Brand],BRANDS[Brand Type]))),"")</f>
        <v>Normal</v>
      </c>
      <c r="E14" s="649" t="s">
        <v>1897</v>
      </c>
      <c r="F14" s="651" t="s">
        <v>16</v>
      </c>
      <c r="G14" s="649">
        <v>850</v>
      </c>
      <c r="H14" s="652">
        <v>950</v>
      </c>
      <c r="I14">
        <f>IFERROR(IF(Tabela2[[#This Row],[Shape]]="","",IF(Tabela2[[#This Row],[Shape]]="-",Tabela2[[#This Row],[Qnt 1]]/1000,Tabela2[[#This Row],[Qnt 1]])),"")</f>
        <v>0.85</v>
      </c>
      <c r="J14">
        <f>IFERROR(IF(Tabela2[[#This Row],[Shape]]="","",IF(Tabela2[[#This Row],[Shape]]="-",Tabela2[[#This Row],[Qnt 2]]/1000,Tabela2[[#This Row],[Qnt 2]])),"")</f>
        <v>0.95</v>
      </c>
      <c r="K14" t="str" cm="1">
        <f t="array" aca="1" ref="K1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RAM D1-US</v>
      </c>
      <c r="L14" t="str" cm="1">
        <f t="array" aca="1" ref="L1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4">
        <f>IFERROR(IF(SAP_FINAL!$C$11="Office",2000,IF(SAP_FINAL!$C$11="VPN",3500,5000)),"")</f>
        <v>2000</v>
      </c>
      <c r="N14">
        <f>IFERROR(IF(SAP_FINAL!$C$11="Office",2500,IF(SAP_FINAL!$C$11="VPN",4000,5000)),"")</f>
        <v>2500</v>
      </c>
      <c r="O14" t="str" cm="1">
        <f t="array" ref="O1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130|Send, ^{Right}|Send, MAT_KONFIG|Send, {Enter}</v>
      </c>
      <c r="P1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RAM D1-US|Send, {Tab}|Send, {Tab}|Send, {Tab}|Send, {Tab}|Send, {Tab}|Send, {Tab}|Send, {Tab}|Send, {Tab}|Send, {Tab}|Send, 0,85|Send, {Tab}|Send, {Tab}|Send, 0,95|Send, {F3}</v>
      </c>
      <c r="Q1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RAM D1-US|Send, {Tab}|Send, {Tab}|Send, {Tab}|Send, {Tab}|Send, {Tab}|Send, {Tab}|Send, {Tab}|Send, {Tab}|Send, {Tab}|Send, 0,85|Send, {Tab}|Send, {Tab}|Send, 0,95|Send, {F3}</v>
      </c>
      <c r="R14" t="str">
        <f>IFERROR(IF(Tabela2[[#This Row],[Item (Reference)]]="","",IF(Tabela2[[#This Row],[Shape]]="-",Tabela2[[#This Row],[Reference2]],Tabela2[[#This Row],[Reference3]])),"")</f>
        <v>Sleep, 2500|Send, U|Send, {Tab}|Send, {Tab}|Send, {Tab}|Send, {Tab}|Send, {Tab}|Send, {Tab}|Send, JEBCO RAM D1-US|Send, {Tab}|Send, {Tab}|Send, {Tab}|Send, {Tab}|Send, {Tab}|Send, {Tab}|Send, {Tab}|Send, {Tab}|Send, {Tab}|Send, 0,85|Send, {Tab}|Send, {Tab}|Send, 0,95|Send, {F3}</v>
      </c>
      <c r="S14" t="str">
        <f>IFERROR(IF(Tabela2[[#This Row],[State]]="Automatico",Tabela2[[#This Row],[Reference1]]&amp;"|"&amp;Tabela2[[#This Row],[Reference4]],""),"")</f>
        <v>Sleep, 2500|Send, ^{Left}|Send, 130|Send, ^{Right}|Send, MAT_KONFIG|Send, {Enter}|Sleep, 2500|Send, U|Send, {Tab}|Send, {Tab}|Send, {Tab}|Send, {Tab}|Send, {Tab}|Send, {Tab}|Send, JEBCO RAM D1-US|Send, {Tab}|Send, {Tab}|Send, {Tab}|Send, {Tab}|Send, {Tab}|Send, {Tab}|Send, {Tab}|Send, {Tab}|Send, {Tab}|Send, 0,85|Send, {Tab}|Send, {Tab}|Send, 0,95|Send, {F3}</v>
      </c>
    </row>
    <row r="15" spans="1:19">
      <c r="A15" t="str" cm="1">
        <f t="array" ref="A15">IFERROR(IF(Tabela2[[#This Row],[State]]="Automatico",IF(Tabela2[[#This Row],[Shape]]="","",(ROW()-1)*10),INDEX(Tabela2[[#All],[Item (Reference)]],ROW()-1)),"")</f>
        <v/>
      </c>
      <c r="B15" s="649">
        <f t="shared" si="1"/>
        <v>140</v>
      </c>
      <c r="C15" s="649" t="str">
        <f>IFERROR(IF(Tabela2[[#This Row],[Shape]]="","Automatico",IF(_xlfn.XLOOKUP(Tabela2[[#This Row],[Brand]],BRANDS[Brand],BRANDS[State])="Manual","Manual",IF(Tabela2[[#This Row],[Shape]]="-","Automatico",IF(_xlfn.XLOOKUP(Tabela2[[#This Row],[Shape]],SHAPES[Shape],SHAPES[State])="Manual","Manual","Automatico")))),"")</f>
        <v>Automatico</v>
      </c>
      <c r="D15" s="649" t="str">
        <f>IFERROR(IF(Tabela2[[#This Row],[Shape]]="","Normal",IF(_xlfn.XLOOKUP(Tabela2[[#This Row],[Brand]],BRANDS[Brand],BRANDS[Brand Type])="","Normal",_xlfn.XLOOKUP(Tabela2[[#This Row],[Brand]],BRANDS[Brand],BRANDS[Brand Type]))),"")</f>
        <v>Normal</v>
      </c>
      <c r="E15" s="649" t="s">
        <v>1900</v>
      </c>
      <c r="F15" s="651"/>
      <c r="G15" s="649"/>
      <c r="H15" s="652"/>
      <c r="I15" t="str">
        <f>IFERROR(IF(Tabela2[[#This Row],[Shape]]="","",IF(Tabela2[[#This Row],[Shape]]="-",Tabela2[[#This Row],[Qnt 1]]/1000,Tabela2[[#This Row],[Qnt 1]])),"")</f>
        <v/>
      </c>
      <c r="J15" t="str">
        <f>IFERROR(IF(Tabela2[[#This Row],[Shape]]="","",IF(Tabela2[[#This Row],[Shape]]="-",Tabela2[[#This Row],[Qnt 2]]/1000,Tabela2[[#This Row],[Qnt 2]])),"")</f>
        <v/>
      </c>
      <c r="K15" t="str" cm="1">
        <f t="array" aca="1" ref="K1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WORKING LINING - WALL</v>
      </c>
      <c r="L15" t="str" cm="1">
        <f t="array" aca="1" ref="L1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5">
        <f>IFERROR(IF(SAP_FINAL!$C$11="Office",2000,IF(SAP_FINAL!$C$11="VPN",3500,5000)),"")</f>
        <v>2000</v>
      </c>
      <c r="N15">
        <f>IFERROR(IF(SAP_FINAL!$C$11="Office",2500,IF(SAP_FINAL!$C$11="VPN",4000,5000)),"")</f>
        <v>2500</v>
      </c>
      <c r="O15" t="str" cm="1">
        <f t="array" ref="O1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140|Send, ^{Right}|Send, ^{Right}|Send, ^{Right}|Send, WORKING LINING - WALL|Send, {Enter}</v>
      </c>
      <c r="P1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WORKING LINING - WALL|Send, {Tab}|Send, {Tab}|Send, {Tab}|Send, {Tab}|Send, {Tab}|Send, {Tab}|Send, {Tab}|Send, {Tab}|Send, {Tab}|Send, |Send, {Tab}|Send, {Tab}|Send, |Send, {F3}</v>
      </c>
      <c r="Q1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WORKING LINING - WALL|Send, {Tab}|Send, {Tab}|Send, {Tab}|Send, {Tab}|Send, {Tab}|Send, {Tab}|Send, {Tab}|Send, {Tab}|Send, {Tab}|Send, |Send, {Tab}|Send, {Tab}|Send, |Send, {F3}</v>
      </c>
      <c r="R15" t="str">
        <f>IFERROR(IF(Tabela2[[#This Row],[Item (Reference)]]="","",IF(Tabela2[[#This Row],[Shape]]="-",Tabela2[[#This Row],[Reference2]],Tabela2[[#This Row],[Reference3]])),"")</f>
        <v/>
      </c>
      <c r="S15" t="str">
        <f>IFERROR(IF(Tabela2[[#This Row],[State]]="Automatico",Tabela2[[#This Row],[Reference1]]&amp;"|"&amp;Tabela2[[#This Row],[Reference4]],""),"")</f>
        <v>Sleep, 2500|Send, ^{Left}|Send, 140|Send, ^{Right}|Send, ^{Right}|Send, ^{Right}|Send, WORKING LINING - WALL|Send, {Enter}|</v>
      </c>
    </row>
    <row r="16" spans="1:19">
      <c r="A16" cm="1">
        <f t="array" ref="A16">IFERROR(IF(Tabela2[[#This Row],[State]]="Automatico",IF(Tabela2[[#This Row],[Shape]]="","",(ROW()-1)*10),INDEX(Tabela2[[#All],[Item (Reference)]],ROW()-1)),"")</f>
        <v>150</v>
      </c>
      <c r="B16" s="649">
        <f t="shared" si="1"/>
        <v>150</v>
      </c>
      <c r="C16" s="649" t="str">
        <f>IFERROR(IF(Tabela2[[#This Row],[Shape]]="","Automatico",IF(_xlfn.XLOOKUP(Tabela2[[#This Row],[Brand]],BRANDS[Brand],BRANDS[State])="Manual","Manual",IF(Tabela2[[#This Row],[Shape]]="-","Automatico",IF(_xlfn.XLOOKUP(Tabela2[[#This Row],[Shape]],SHAPES[Shape],SHAPES[State])="Manual","Manual","Automatico")))),"")</f>
        <v>Automatico</v>
      </c>
      <c r="D16" s="649" t="str">
        <f>IFERROR(IF(Tabela2[[#This Row],[Shape]]="","Normal",IF(_xlfn.XLOOKUP(Tabela2[[#This Row],[Brand]],BRANDS[Brand],BRANDS[Brand Type])="","Normal",_xlfn.XLOOKUP(Tabela2[[#This Row],[Brand]],BRANDS[Brand],BRANDS[Brand Type]))),"")</f>
        <v>Normal</v>
      </c>
      <c r="E16" s="649" t="s">
        <v>1891</v>
      </c>
      <c r="F16" s="651" t="s">
        <v>695</v>
      </c>
      <c r="G16" s="649">
        <v>241</v>
      </c>
      <c r="H16" s="652">
        <v>254</v>
      </c>
      <c r="I16">
        <f>IFERROR(IF(Tabela2[[#This Row],[Shape]]="","",IF(Tabela2[[#This Row],[Shape]]="-",Tabela2[[#This Row],[Qnt 1]]/1000,Tabela2[[#This Row],[Qnt 1]])),"")</f>
        <v>241</v>
      </c>
      <c r="J16">
        <f>IFERROR(IF(Tabela2[[#This Row],[Shape]]="","",IF(Tabela2[[#This Row],[Shape]]="-",Tabela2[[#This Row],[Qnt 2]]/1000,Tabela2[[#This Row],[Qnt 2]])),"")</f>
        <v>254</v>
      </c>
      <c r="K16" t="str" cm="1">
        <f t="array" aca="1" ref="K1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K45Z-US</v>
      </c>
      <c r="L16" t="str" cm="1">
        <f t="array" aca="1" ref="L1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6">
        <f>IFERROR(IF(SAP_FINAL!$C$11="Office",2000,IF(SAP_FINAL!$C$11="VPN",3500,5000)),"")</f>
        <v>2000</v>
      </c>
      <c r="N16">
        <f>IFERROR(IF(SAP_FINAL!$C$11="Office",2500,IF(SAP_FINAL!$C$11="VPN",4000,5000)),"")</f>
        <v>2500</v>
      </c>
      <c r="O16" t="str" cm="1">
        <f t="array" ref="O1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150|Send, ^{Right}|Send, MAT_KONFIG|Send, {Enter}</v>
      </c>
      <c r="P1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K45Z-US|Send, {Tab}|Send, {Tab}|Send, {Tab}|Send, {Tab}|Send, {Tab}|Send, {Tab}|Send, {Tab}|Send, {Tab}|Send, {Tab}|Send, 241|Send, {Tab}|Send, {Tab}|Send, 254|Send, {F3}</v>
      </c>
      <c r="Q1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MK6/10|Send, {Tab}|Send, {Tab}|Send, {Tab}|Send, {Tab}|Send, SINDOFORM K45Z-US|Send, {Tab}|Send, {Tab}|Send, {Tab}|Send, {Tab}|Send, {Tab}|Send, {Tab}|Send, {Tab}|Send, {Tab}|Send, {Tab}|Send, 241|Send, {Tab}|Send, {Tab}|Send, 254|Send, {F3}</v>
      </c>
      <c r="R16" t="str">
        <f ca="1">IFERROR(IF(Tabela2[[#This Row],[Item (Reference)]]="","",IF(Tabela2[[#This Row],[Shape]]="-",Tabela2[[#This Row],[Reference2]],Tabela2[[#This Row],[Reference3]])),"")</f>
        <v>Sleep, 2500|Send, {Down}|Send, MK6/10|Send, {Tab}|Send, {Tab}|Send, {Tab}|Send, {Tab}|Send, SINDOFORM K45Z-US|Send, {Tab}|Send, {Tab}|Send, {Tab}|Send, {Tab}|Send, {Tab}|Send, {Tab}|Send, {Tab}|Send, {Tab}|Send, {Tab}|Send, 241|Send, {Tab}|Send, {Tab}|Send, 254|Send, {F3}</v>
      </c>
      <c r="S16" t="str">
        <f ca="1">IFERROR(IF(Tabela2[[#This Row],[State]]="Automatico",Tabela2[[#This Row],[Reference1]]&amp;"|"&amp;Tabela2[[#This Row],[Reference4]],""),"")</f>
        <v>Sleep, 2000|Send, ^{Left}|Send, 150|Send, ^{Right}|Send, MAT_KONFIG|Send, {Enter}|Sleep, 2500|Send, {Down}|Send, MK6/10|Send, {Tab}|Send, {Tab}|Send, {Tab}|Send, {Tab}|Send, SINDOFORM K45Z-US|Send, {Tab}|Send, {Tab}|Send, {Tab}|Send, {Tab}|Send, {Tab}|Send, {Tab}|Send, {Tab}|Send, {Tab}|Send, {Tab}|Send, 241|Send, {Tab}|Send, {Tab}|Send, 254|Send, {F3}</v>
      </c>
    </row>
    <row r="17" spans="1:19">
      <c r="A17" cm="1">
        <f t="array" ref="A17">IFERROR(IF(Tabela2[[#This Row],[State]]="Automatico",IF(Tabela2[[#This Row],[Shape]]="","",(ROW()-1)*10),INDEX(Tabela2[[#All],[Item (Reference)]],ROW()-1)),"")</f>
        <v>160</v>
      </c>
      <c r="B17" s="649">
        <f t="shared" si="1"/>
        <v>160</v>
      </c>
      <c r="C17" s="649" t="str">
        <f>IFERROR(IF(Tabela2[[#This Row],[Shape]]="","Automatico",IF(_xlfn.XLOOKUP(Tabela2[[#This Row],[Brand]],BRANDS[Brand],BRANDS[State])="Manual","Manual",IF(Tabela2[[#This Row],[Shape]]="-","Automatico",IF(_xlfn.XLOOKUP(Tabela2[[#This Row],[Shape]],SHAPES[Shape],SHAPES[State])="Manual","Manual","Automatico")))),"")</f>
        <v>Automatico</v>
      </c>
      <c r="D17" s="649" t="str">
        <f>IFERROR(IF(Tabela2[[#This Row],[Shape]]="","Normal",IF(_xlfn.XLOOKUP(Tabela2[[#This Row],[Brand]],BRANDS[Brand],BRANDS[Brand Type])="","Normal",_xlfn.XLOOKUP(Tabela2[[#This Row],[Brand]],BRANDS[Brand],BRANDS[Brand Type]))),"")</f>
        <v>Normal</v>
      </c>
      <c r="E17" s="649" t="s">
        <v>1891</v>
      </c>
      <c r="F17" s="651" t="s">
        <v>700</v>
      </c>
      <c r="G17" s="649">
        <v>199</v>
      </c>
      <c r="H17" s="652">
        <v>209</v>
      </c>
      <c r="I17">
        <f>IFERROR(IF(Tabela2[[#This Row],[Shape]]="","",IF(Tabela2[[#This Row],[Shape]]="-",Tabela2[[#This Row],[Qnt 1]]/1000,Tabela2[[#This Row],[Qnt 1]])),"")</f>
        <v>199</v>
      </c>
      <c r="J17">
        <f>IFERROR(IF(Tabela2[[#This Row],[Shape]]="","",IF(Tabela2[[#This Row],[Shape]]="-",Tabela2[[#This Row],[Qnt 2]]/1000,Tabela2[[#This Row],[Qnt 2]])),"")</f>
        <v>209</v>
      </c>
      <c r="K17" t="str" cm="1">
        <f t="array" aca="1" ref="K1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K45Z-US</v>
      </c>
      <c r="L17" t="str" cm="1">
        <f t="array" aca="1" ref="L1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7">
        <f>IFERROR(IF(SAP_FINAL!$C$11="Office",2000,IF(SAP_FINAL!$C$11="VPN",3500,5000)),"")</f>
        <v>2000</v>
      </c>
      <c r="N17">
        <f>IFERROR(IF(SAP_FINAL!$C$11="Office",2500,IF(SAP_FINAL!$C$11="VPN",4000,5000)),"")</f>
        <v>2500</v>
      </c>
      <c r="O17" t="str" cm="1">
        <f t="array" ref="O1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160|Send, ^{Right}|Send, MAT_KONFIG|Send, {Enter}</v>
      </c>
      <c r="P1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K45Z-US|Send, {Tab}|Send, {Tab}|Send, {Tab}|Send, {Tab}|Send, {Tab}|Send, {Tab}|Send, {Tab}|Send, {Tab}|Send, {Tab}|Send, 199|Send, {Tab}|Send, {Tab}|Send, 209|Send, {F3}</v>
      </c>
      <c r="Q1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MK6/30|Send, {Tab}|Send, {Tab}|Send, {Tab}|Send, {Tab}|Send, SINDOFORM K45Z-US|Send, {Tab}|Send, {Tab}|Send, {Tab}|Send, {Tab}|Send, {Tab}|Send, {Tab}|Send, {Tab}|Send, {Tab}|Send, {Tab}|Send, 199|Send, {Tab}|Send, {Tab}|Send, 209|Send, {F3}</v>
      </c>
      <c r="R17" t="str">
        <f ca="1">IFERROR(IF(Tabela2[[#This Row],[Item (Reference)]]="","",IF(Tabela2[[#This Row],[Shape]]="-",Tabela2[[#This Row],[Reference2]],Tabela2[[#This Row],[Reference3]])),"")</f>
        <v>Sleep, 2500|Send, {Down}|Send, MK6/30|Send, {Tab}|Send, {Tab}|Send, {Tab}|Send, {Tab}|Send, SINDOFORM K45Z-US|Send, {Tab}|Send, {Tab}|Send, {Tab}|Send, {Tab}|Send, {Tab}|Send, {Tab}|Send, {Tab}|Send, {Tab}|Send, {Tab}|Send, 199|Send, {Tab}|Send, {Tab}|Send, 209|Send, {F3}</v>
      </c>
      <c r="S17" t="str">
        <f ca="1">IFERROR(IF(Tabela2[[#This Row],[State]]="Automatico",Tabela2[[#This Row],[Reference1]]&amp;"|"&amp;Tabela2[[#This Row],[Reference4]],""),"")</f>
        <v>Sleep, 2500|Send, ^{Left}|Send, 160|Send, ^{Right}|Send, MAT_KONFIG|Send, {Enter}|Sleep, 2500|Send, {Down}|Send, MK6/30|Send, {Tab}|Send, {Tab}|Send, {Tab}|Send, {Tab}|Send, SINDOFORM K45Z-US|Send, {Tab}|Send, {Tab}|Send, {Tab}|Send, {Tab}|Send, {Tab}|Send, {Tab}|Send, {Tab}|Send, {Tab}|Send, {Tab}|Send, 199|Send, {Tab}|Send, {Tab}|Send, 209|Send, {F3}</v>
      </c>
    </row>
    <row r="18" spans="1:19">
      <c r="A18" cm="1">
        <f t="array" ref="A18">IFERROR(IF(Tabela2[[#This Row],[State]]="Automatico",IF(Tabela2[[#This Row],[Shape]]="","",(ROW()-1)*10),INDEX(Tabela2[[#All],[Item (Reference)]],ROW()-1)),"")</f>
        <v>170</v>
      </c>
      <c r="B18" s="649">
        <f t="shared" si="1"/>
        <v>170</v>
      </c>
      <c r="C18" s="649" t="str">
        <f>IFERROR(IF(Tabela2[[#This Row],[Shape]]="","Automatico",IF(_xlfn.XLOOKUP(Tabela2[[#This Row],[Brand]],BRANDS[Brand],BRANDS[State])="Manual","Manual",IF(Tabela2[[#This Row],[Shape]]="-","Automatico",IF(_xlfn.XLOOKUP(Tabela2[[#This Row],[Shape]],SHAPES[Shape],SHAPES[State])="Manual","Manual","Automatico")))),"")</f>
        <v>Automatico</v>
      </c>
      <c r="D18" s="649" t="str">
        <f>IFERROR(IF(Tabela2[[#This Row],[Shape]]="","Normal",IF(_xlfn.XLOOKUP(Tabela2[[#This Row],[Brand]],BRANDS[Brand],BRANDS[Brand Type])="","Normal",_xlfn.XLOOKUP(Tabela2[[#This Row],[Brand]],BRANDS[Brand],BRANDS[Brand Type]))),"")</f>
        <v>Normal</v>
      </c>
      <c r="E18" s="649" t="s">
        <v>1891</v>
      </c>
      <c r="F18" s="651" t="s">
        <v>703</v>
      </c>
      <c r="G18" s="649">
        <v>51</v>
      </c>
      <c r="H18" s="652">
        <v>55</v>
      </c>
      <c r="I18">
        <f>IFERROR(IF(Tabela2[[#This Row],[Shape]]="","",IF(Tabela2[[#This Row],[Shape]]="-",Tabela2[[#This Row],[Qnt 1]]/1000,Tabela2[[#This Row],[Qnt 1]])),"")</f>
        <v>51</v>
      </c>
      <c r="J18">
        <f>IFERROR(IF(Tabela2[[#This Row],[Shape]]="","",IF(Tabela2[[#This Row],[Shape]]="-",Tabela2[[#This Row],[Qnt 2]]/1000,Tabela2[[#This Row],[Qnt 2]])),"")</f>
        <v>55</v>
      </c>
      <c r="K18" t="str" cm="1">
        <f t="array" aca="1" ref="K1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K45Z-US</v>
      </c>
      <c r="L18" t="str" cm="1">
        <f t="array" aca="1" ref="L1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8">
        <f>IFERROR(IF(SAP_FINAL!$C$11="Office",2000,IF(SAP_FINAL!$C$11="VPN",3500,5000)),"")</f>
        <v>2000</v>
      </c>
      <c r="N18">
        <f>IFERROR(IF(SAP_FINAL!$C$11="Office",2500,IF(SAP_FINAL!$C$11="VPN",4000,5000)),"")</f>
        <v>2500</v>
      </c>
      <c r="O18" t="str" cm="1">
        <f t="array" ref="O1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170|Send, ^{Right}|Send, MAT_KONFIG|Send, {Enter}</v>
      </c>
      <c r="P1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K45Z-US|Send, {Tab}|Send, {Tab}|Send, {Tab}|Send, {Tab}|Send, {Tab}|Send, {Tab}|Send, {Tab}|Send, {Tab}|Send, {Tab}|Send, 51|Send, {Tab}|Send, {Tab}|Send, 55|Send, {F3}</v>
      </c>
      <c r="Q1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MK7/10|Send, {Tab}|Send, {Tab}|Send, {Tab}|Send, {Tab}|Send, SINDOFORM K45Z-US|Send, {Tab}|Send, {Tab}|Send, {Tab}|Send, {Tab}|Send, {Tab}|Send, {Tab}|Send, {Tab}|Send, {Tab}|Send, {Tab}|Send, 51|Send, {Tab}|Send, {Tab}|Send, 55|Send, {F3}</v>
      </c>
      <c r="R18" t="str">
        <f ca="1">IFERROR(IF(Tabela2[[#This Row],[Item (Reference)]]="","",IF(Tabela2[[#This Row],[Shape]]="-",Tabela2[[#This Row],[Reference2]],Tabela2[[#This Row],[Reference3]])),"")</f>
        <v>Sleep, 2500|Send, {Down}|Send, MK7/10|Send, {Tab}|Send, {Tab}|Send, {Tab}|Send, {Tab}|Send, SINDOFORM K45Z-US|Send, {Tab}|Send, {Tab}|Send, {Tab}|Send, {Tab}|Send, {Tab}|Send, {Tab}|Send, {Tab}|Send, {Tab}|Send, {Tab}|Send, 51|Send, {Tab}|Send, {Tab}|Send, 55|Send, {F3}</v>
      </c>
      <c r="S18" t="str">
        <f ca="1">IFERROR(IF(Tabela2[[#This Row],[State]]="Automatico",Tabela2[[#This Row],[Reference1]]&amp;"|"&amp;Tabela2[[#This Row],[Reference4]],""),"")</f>
        <v>Sleep, 2500|Send, ^{Left}|Send, 170|Send, ^{Right}|Send, MAT_KONFIG|Send, {Enter}|Sleep, 2500|Send, {Down}|Send, MK7/10|Send, {Tab}|Send, {Tab}|Send, {Tab}|Send, {Tab}|Send, SINDOFORM K45Z-US|Send, {Tab}|Send, {Tab}|Send, {Tab}|Send, {Tab}|Send, {Tab}|Send, {Tab}|Send, {Tab}|Send, {Tab}|Send, {Tab}|Send, 51|Send, {Tab}|Send, {Tab}|Send, 55|Send, {F3}</v>
      </c>
    </row>
    <row r="19" spans="1:19">
      <c r="A19" cm="1">
        <f t="array" ref="A19">IFERROR(IF(Tabela2[[#This Row],[State]]="Automatico",IF(Tabela2[[#This Row],[Shape]]="","",(ROW()-1)*10),INDEX(Tabela2[[#All],[Item (Reference)]],ROW()-1)),"")</f>
        <v>180</v>
      </c>
      <c r="B19" s="649">
        <f t="shared" si="1"/>
        <v>180</v>
      </c>
      <c r="C19" s="649" t="str">
        <f>IFERROR(IF(Tabela2[[#This Row],[Shape]]="","Automatico",IF(_xlfn.XLOOKUP(Tabela2[[#This Row],[Brand]],BRANDS[Brand],BRANDS[State])="Manual","Manual",IF(Tabela2[[#This Row],[Shape]]="-","Automatico",IF(_xlfn.XLOOKUP(Tabela2[[#This Row],[Shape]],SHAPES[Shape],SHAPES[State])="Manual","Manual","Automatico")))),"")</f>
        <v>Automatico</v>
      </c>
      <c r="D19" s="649" t="str">
        <f>IFERROR(IF(Tabela2[[#This Row],[Shape]]="","Normal",IF(_xlfn.XLOOKUP(Tabela2[[#This Row],[Brand]],BRANDS[Brand],BRANDS[Brand Type])="","Normal",_xlfn.XLOOKUP(Tabela2[[#This Row],[Brand]],BRANDS[Brand],BRANDS[Brand Type]))),"")</f>
        <v>Normal</v>
      </c>
      <c r="E19" s="649" t="s">
        <v>1891</v>
      </c>
      <c r="F19" s="651" t="s">
        <v>706</v>
      </c>
      <c r="G19" s="649">
        <v>87</v>
      </c>
      <c r="H19" s="652">
        <v>94</v>
      </c>
      <c r="I19">
        <f>IFERROR(IF(Tabela2[[#This Row],[Shape]]="","",IF(Tabela2[[#This Row],[Shape]]="-",Tabela2[[#This Row],[Qnt 1]]/1000,Tabela2[[#This Row],[Qnt 1]])),"")</f>
        <v>87</v>
      </c>
      <c r="J19">
        <f>IFERROR(IF(Tabela2[[#This Row],[Shape]]="","",IF(Tabela2[[#This Row],[Shape]]="-",Tabela2[[#This Row],[Qnt 2]]/1000,Tabela2[[#This Row],[Qnt 2]])),"")</f>
        <v>94</v>
      </c>
      <c r="K19" t="str" cm="1">
        <f t="array" aca="1" ref="K1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K45Z-US</v>
      </c>
      <c r="L19" t="str" cm="1">
        <f t="array" aca="1" ref="L1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9">
        <f>IFERROR(IF(SAP_FINAL!$C$11="Office",2000,IF(SAP_FINAL!$C$11="VPN",3500,5000)),"")</f>
        <v>2000</v>
      </c>
      <c r="N19">
        <f>IFERROR(IF(SAP_FINAL!$C$11="Office",2500,IF(SAP_FINAL!$C$11="VPN",4000,5000)),"")</f>
        <v>2500</v>
      </c>
      <c r="O19" t="str" cm="1">
        <f t="array" ref="O1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180|Send, ^{Right}|Send, MAT_KONFIG|Send, {Enter}</v>
      </c>
      <c r="P1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K45Z-US|Send, {Tab}|Send, {Tab}|Send, {Tab}|Send, {Tab}|Send, {Tab}|Send, {Tab}|Send, {Tab}|Send, {Tab}|Send, {Tab}|Send, 87|Send, {Tab}|Send, {Tab}|Send, 94|Send, {F3}</v>
      </c>
      <c r="Q1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MK7/30|Send, {Tab}|Send, {Tab}|Send, {Tab}|Send, {Tab}|Send, SINDOFORM K45Z-US|Send, {Tab}|Send, {Tab}|Send, {Tab}|Send, {Tab}|Send, {Tab}|Send, {Tab}|Send, {Tab}|Send, {Tab}|Send, {Tab}|Send, 87|Send, {Tab}|Send, {Tab}|Send, 94|Send, {F3}</v>
      </c>
      <c r="R19" t="str">
        <f ca="1">IFERROR(IF(Tabela2[[#This Row],[Item (Reference)]]="","",IF(Tabela2[[#This Row],[Shape]]="-",Tabela2[[#This Row],[Reference2]],Tabela2[[#This Row],[Reference3]])),"")</f>
        <v>Sleep, 2500|Send, {Down}|Send, MK7/30|Send, {Tab}|Send, {Tab}|Send, {Tab}|Send, {Tab}|Send, SINDOFORM K45Z-US|Send, {Tab}|Send, {Tab}|Send, {Tab}|Send, {Tab}|Send, {Tab}|Send, {Tab}|Send, {Tab}|Send, {Tab}|Send, {Tab}|Send, 87|Send, {Tab}|Send, {Tab}|Send, 94|Send, {F3}</v>
      </c>
      <c r="S19" t="str">
        <f ca="1">IFERROR(IF(Tabela2[[#This Row],[State]]="Automatico",Tabela2[[#This Row],[Reference1]]&amp;"|"&amp;Tabela2[[#This Row],[Reference4]],""),"")</f>
        <v>Sleep, 2500|Send, ^{Left}|Send, 180|Send, ^{Right}|Send, MAT_KONFIG|Send, {Enter}|Sleep, 2500|Send, {Down}|Send, MK7/30|Send, {Tab}|Send, {Tab}|Send, {Tab}|Send, {Tab}|Send, SINDOFORM K45Z-US|Send, {Tab}|Send, {Tab}|Send, {Tab}|Send, {Tab}|Send, {Tab}|Send, {Tab}|Send, {Tab}|Send, {Tab}|Send, {Tab}|Send, 87|Send, {Tab}|Send, {Tab}|Send, 94|Send, {F3}</v>
      </c>
    </row>
    <row r="20" spans="1:19">
      <c r="A20" cm="1">
        <f t="array" ref="A20">IFERROR(IF(Tabela2[[#This Row],[State]]="Automatico",IF(Tabela2[[#This Row],[Shape]]="","",(ROW()-1)*10),INDEX(Tabela2[[#All],[Item (Reference)]],ROW()-1)),"")</f>
        <v>190</v>
      </c>
      <c r="B20" s="649">
        <f t="shared" si="1"/>
        <v>190</v>
      </c>
      <c r="C20" s="649" t="str">
        <f>IFERROR(IF(Tabela2[[#This Row],[Shape]]="","Automatico",IF(_xlfn.XLOOKUP(Tabela2[[#This Row],[Brand]],BRANDS[Brand],BRANDS[State])="Manual","Manual",IF(Tabela2[[#This Row],[Shape]]="-","Automatico",IF(_xlfn.XLOOKUP(Tabela2[[#This Row],[Shape]],SHAPES[Shape],SHAPES[State])="Manual","Manual","Automatico")))),"")</f>
        <v>Automatico</v>
      </c>
      <c r="D20" s="649" t="str">
        <f>IFERROR(IF(Tabela2[[#This Row],[Shape]]="","Normal",IF(_xlfn.XLOOKUP(Tabela2[[#This Row],[Brand]],BRANDS[Brand],BRANDS[Brand Type])="","Normal",_xlfn.XLOOKUP(Tabela2[[#This Row],[Brand]],BRANDS[Brand],BRANDS[Brand Type]))),"")</f>
        <v>Normal</v>
      </c>
      <c r="E20" s="649" t="s">
        <v>1890</v>
      </c>
      <c r="F20" s="651" t="s">
        <v>695</v>
      </c>
      <c r="G20" s="649">
        <v>226</v>
      </c>
      <c r="H20" s="652">
        <v>238</v>
      </c>
      <c r="I20">
        <f>IFERROR(IF(Tabela2[[#This Row],[Shape]]="","",IF(Tabela2[[#This Row],[Shape]]="-",Tabela2[[#This Row],[Qnt 1]]/1000,Tabela2[[#This Row],[Qnt 1]])),"")</f>
        <v>226</v>
      </c>
      <c r="J20">
        <f>IFERROR(IF(Tabela2[[#This Row],[Shape]]="","",IF(Tabela2[[#This Row],[Shape]]="-",Tabela2[[#This Row],[Qnt 2]]/1000,Tabela2[[#This Row],[Qnt 2]])),"")</f>
        <v>238</v>
      </c>
      <c r="K20" t="str" cm="1">
        <f t="array" aca="1" ref="K2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R40-3-US</v>
      </c>
      <c r="L20" t="str" cm="1">
        <f t="array" aca="1" ref="L2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0">
        <f>IFERROR(IF(SAP_FINAL!$C$11="Office",2000,IF(SAP_FINAL!$C$11="VPN",3500,5000)),"")</f>
        <v>2000</v>
      </c>
      <c r="N20">
        <f>IFERROR(IF(SAP_FINAL!$C$11="Office",2500,IF(SAP_FINAL!$C$11="VPN",4000,5000)),"")</f>
        <v>2500</v>
      </c>
      <c r="O20" t="str" cm="1">
        <f t="array" ref="O2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190|Send, ^{Right}|Send, MAT_KONFIG|Send, {Enter}</v>
      </c>
      <c r="P2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R40-3-US|Send, {Tab}|Send, {Tab}|Send, {Tab}|Send, {Tab}|Send, {Tab}|Send, {Tab}|Send, {Tab}|Send, {Tab}|Send, {Tab}|Send, 226|Send, {Tab}|Send, {Tab}|Send, 238|Send, {F3}</v>
      </c>
      <c r="Q2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MK6/10|Send, {Tab}|Send, {Tab}|Send, {Tab}|Send, {Tab}|Send, SINDOFORM R40-3-US|Send, {Tab}|Send, {Tab}|Send, {Tab}|Send, {Tab}|Send, {Tab}|Send, {Tab}|Send, {Tab}|Send, {Tab}|Send, {Tab}|Send, 226|Send, {Tab}|Send, {Tab}|Send, 238|Send, {F3}</v>
      </c>
      <c r="R20" t="str">
        <f ca="1">IFERROR(IF(Tabela2[[#This Row],[Item (Reference)]]="","",IF(Tabela2[[#This Row],[Shape]]="-",Tabela2[[#This Row],[Reference2]],Tabela2[[#This Row],[Reference3]])),"")</f>
        <v>Sleep, 2500|Send, {Down}|Send, MK6/10|Send, {Tab}|Send, {Tab}|Send, {Tab}|Send, {Tab}|Send, SINDOFORM R40-3-US|Send, {Tab}|Send, {Tab}|Send, {Tab}|Send, {Tab}|Send, {Tab}|Send, {Tab}|Send, {Tab}|Send, {Tab}|Send, {Tab}|Send, 226|Send, {Tab}|Send, {Tab}|Send, 238|Send, {F3}</v>
      </c>
      <c r="S20" t="str">
        <f ca="1">IFERROR(IF(Tabela2[[#This Row],[State]]="Automatico",Tabela2[[#This Row],[Reference1]]&amp;"|"&amp;Tabela2[[#This Row],[Reference4]],""),"")</f>
        <v>Sleep, 2500|Send, ^{Left}|Send, 190|Send, ^{Right}|Send, MAT_KONFIG|Send, {Enter}|Sleep, 2500|Send, {Down}|Send, MK6/10|Send, {Tab}|Send, {Tab}|Send, {Tab}|Send, {Tab}|Send, SINDOFORM R40-3-US|Send, {Tab}|Send, {Tab}|Send, {Tab}|Send, {Tab}|Send, {Tab}|Send, {Tab}|Send, {Tab}|Send, {Tab}|Send, {Tab}|Send, 226|Send, {Tab}|Send, {Tab}|Send, 238|Send, {F3}</v>
      </c>
    </row>
    <row r="21" spans="1:19">
      <c r="A21" cm="1">
        <f t="array" ref="A21">IFERROR(IF(Tabela2[[#This Row],[State]]="Automatico",IF(Tabela2[[#This Row],[Shape]]="","",(ROW()-1)*10),INDEX(Tabela2[[#All],[Item (Reference)]],ROW()-1)),"")</f>
        <v>200</v>
      </c>
      <c r="B21" s="649">
        <f t="shared" si="1"/>
        <v>200</v>
      </c>
      <c r="C21" s="649" t="str">
        <f>IFERROR(IF(Tabela2[[#This Row],[Shape]]="","Automatico",IF(_xlfn.XLOOKUP(Tabela2[[#This Row],[Brand]],BRANDS[Brand],BRANDS[State])="Manual","Manual",IF(Tabela2[[#This Row],[Shape]]="-","Automatico",IF(_xlfn.XLOOKUP(Tabela2[[#This Row],[Shape]],SHAPES[Shape],SHAPES[State])="Manual","Manual","Automatico")))),"")</f>
        <v>Automatico</v>
      </c>
      <c r="D21" s="649" t="str">
        <f>IFERROR(IF(Tabela2[[#This Row],[Shape]]="","Normal",IF(_xlfn.XLOOKUP(Tabela2[[#This Row],[Brand]],BRANDS[Brand],BRANDS[Brand Type])="","Normal",_xlfn.XLOOKUP(Tabela2[[#This Row],[Brand]],BRANDS[Brand],BRANDS[Brand Type]))),"")</f>
        <v>Normal</v>
      </c>
      <c r="E21" s="649" t="s">
        <v>1890</v>
      </c>
      <c r="F21" s="651" t="s">
        <v>700</v>
      </c>
      <c r="G21" s="649">
        <v>216</v>
      </c>
      <c r="H21" s="652">
        <v>227</v>
      </c>
      <c r="I21">
        <f>IFERROR(IF(Tabela2[[#This Row],[Shape]]="","",IF(Tabela2[[#This Row],[Shape]]="-",Tabela2[[#This Row],[Qnt 1]]/1000,Tabela2[[#This Row],[Qnt 1]])),"")</f>
        <v>216</v>
      </c>
      <c r="J21">
        <f>IFERROR(IF(Tabela2[[#This Row],[Shape]]="","",IF(Tabela2[[#This Row],[Shape]]="-",Tabela2[[#This Row],[Qnt 2]]/1000,Tabela2[[#This Row],[Qnt 2]])),"")</f>
        <v>227</v>
      </c>
      <c r="K21" t="str" cm="1">
        <f t="array" aca="1" ref="K2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R40-3-US</v>
      </c>
      <c r="L21" t="str" cm="1">
        <f t="array" aca="1" ref="L2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1">
        <f>IFERROR(IF(SAP_FINAL!$C$11="Office",2000,IF(SAP_FINAL!$C$11="VPN",3500,5000)),"")</f>
        <v>2000</v>
      </c>
      <c r="N21">
        <f>IFERROR(IF(SAP_FINAL!$C$11="Office",2500,IF(SAP_FINAL!$C$11="VPN",4000,5000)),"")</f>
        <v>2500</v>
      </c>
      <c r="O21" t="str" cm="1">
        <f t="array" ref="O2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200|Send, ^{Right}|Send, MAT_KONFIG|Send, {Enter}</v>
      </c>
      <c r="P2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R40-3-US|Send, {Tab}|Send, {Tab}|Send, {Tab}|Send, {Tab}|Send, {Tab}|Send, {Tab}|Send, {Tab}|Send, {Tab}|Send, {Tab}|Send, 216|Send, {Tab}|Send, {Tab}|Send, 227|Send, {F3}</v>
      </c>
      <c r="Q2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MK6/30|Send, {Tab}|Send, {Tab}|Send, {Tab}|Send, {Tab}|Send, SINDOFORM R40-3-US|Send, {Tab}|Send, {Tab}|Send, {Tab}|Send, {Tab}|Send, {Tab}|Send, {Tab}|Send, {Tab}|Send, {Tab}|Send, {Tab}|Send, 216|Send, {Tab}|Send, {Tab}|Send, 227|Send, {F3}</v>
      </c>
      <c r="R21" t="str">
        <f ca="1">IFERROR(IF(Tabela2[[#This Row],[Item (Reference)]]="","",IF(Tabela2[[#This Row],[Shape]]="-",Tabela2[[#This Row],[Reference2]],Tabela2[[#This Row],[Reference3]])),"")</f>
        <v>Sleep, 2500|Send, {Down}|Send, MK6/30|Send, {Tab}|Send, {Tab}|Send, {Tab}|Send, {Tab}|Send, SINDOFORM R40-3-US|Send, {Tab}|Send, {Tab}|Send, {Tab}|Send, {Tab}|Send, {Tab}|Send, {Tab}|Send, {Tab}|Send, {Tab}|Send, {Tab}|Send, 216|Send, {Tab}|Send, {Tab}|Send, 227|Send, {F3}</v>
      </c>
      <c r="S21" t="str">
        <f ca="1">IFERROR(IF(Tabela2[[#This Row],[State]]="Automatico",Tabela2[[#This Row],[Reference1]]&amp;"|"&amp;Tabela2[[#This Row],[Reference4]],""),"")</f>
        <v>Sleep, 2500|Send, ^{Left}|Send, 200|Send, ^{Right}|Send, MAT_KONFIG|Send, {Enter}|Sleep, 2500|Send, {Down}|Send, MK6/30|Send, {Tab}|Send, {Tab}|Send, {Tab}|Send, {Tab}|Send, SINDOFORM R40-3-US|Send, {Tab}|Send, {Tab}|Send, {Tab}|Send, {Tab}|Send, {Tab}|Send, {Tab}|Send, {Tab}|Send, {Tab}|Send, {Tab}|Send, 216|Send, {Tab}|Send, {Tab}|Send, 227|Send, {F3}</v>
      </c>
    </row>
    <row r="22" spans="1:19">
      <c r="A22" cm="1">
        <f t="array" ref="A22">IFERROR(IF(Tabela2[[#This Row],[State]]="Automatico",IF(Tabela2[[#This Row],[Shape]]="","",(ROW()-1)*10),INDEX(Tabela2[[#All],[Item (Reference)]],ROW()-1)),"")</f>
        <v>210</v>
      </c>
      <c r="B22" s="649">
        <f t="shared" si="1"/>
        <v>210</v>
      </c>
      <c r="C22" s="649" t="str">
        <f>IFERROR(IF(Tabela2[[#This Row],[Shape]]="","Automatico",IF(_xlfn.XLOOKUP(Tabela2[[#This Row],[Brand]],BRANDS[Brand],BRANDS[State])="Manual","Manual",IF(Tabela2[[#This Row],[Shape]]="-","Automatico",IF(_xlfn.XLOOKUP(Tabela2[[#This Row],[Shape]],SHAPES[Shape],SHAPES[State])="Manual","Manual","Automatico")))),"")</f>
        <v>Automatico</v>
      </c>
      <c r="D22" s="649" t="str">
        <f>IFERROR(IF(Tabela2[[#This Row],[Shape]]="","Normal",IF(_xlfn.XLOOKUP(Tabela2[[#This Row],[Brand]],BRANDS[Brand],BRANDS[Brand Type])="","Normal",_xlfn.XLOOKUP(Tabela2[[#This Row],[Brand]],BRANDS[Brand],BRANDS[Brand Type]))),"")</f>
        <v>Normal</v>
      </c>
      <c r="E22" s="649" t="s">
        <v>1889</v>
      </c>
      <c r="F22" s="651" t="s">
        <v>710</v>
      </c>
      <c r="G22" s="649">
        <v>33</v>
      </c>
      <c r="H22" s="652">
        <v>37</v>
      </c>
      <c r="I22">
        <f>IFERROR(IF(Tabela2[[#This Row],[Shape]]="","",IF(Tabela2[[#This Row],[Shape]]="-",Tabela2[[#This Row],[Qnt 1]]/1000,Tabela2[[#This Row],[Qnt 1]])),"")</f>
        <v>33</v>
      </c>
      <c r="J22">
        <f>IFERROR(IF(Tabela2[[#This Row],[Shape]]="","",IF(Tabela2[[#This Row],[Shape]]="-",Tabela2[[#This Row],[Qnt 2]]/1000,Tabela2[[#This Row],[Qnt 2]])),"")</f>
        <v>37</v>
      </c>
      <c r="K22" t="str" cm="1">
        <f t="array" aca="1" ref="K2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R40-6-US</v>
      </c>
      <c r="L22" t="str" cm="1">
        <f t="array" aca="1" ref="L2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2">
        <f>IFERROR(IF(SAP_FINAL!$C$11="Office",2000,IF(SAP_FINAL!$C$11="VPN",3500,5000)),"")</f>
        <v>2000</v>
      </c>
      <c r="N22">
        <f>IFERROR(IF(SAP_FINAL!$C$11="Office",2500,IF(SAP_FINAL!$C$11="VPN",4000,5000)),"")</f>
        <v>2500</v>
      </c>
      <c r="O22" t="str" cm="1">
        <f t="array" ref="O2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210|Send, ^{Right}|Send, MAT_KONFIG|Send, {Enter}</v>
      </c>
      <c r="P2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R40-6-US|Send, {Tab}|Send, {Tab}|Send, {Tab}|Send, {Tab}|Send, {Tab}|Send, {Tab}|Send, {Tab}|Send, {Tab}|Send, {Tab}|Send, 33|Send, {Tab}|Send, {Tab}|Send, 37|Send, {F3}</v>
      </c>
      <c r="Q2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MK8/10|Send, {Tab}|Send, {Tab}|Send, {Tab}|Send, {Tab}|Send, SINDOFORM R40-6-US|Send, {Tab}|Send, {Tab}|Send, {Tab}|Send, {Tab}|Send, {Tab}|Send, {Tab}|Send, {Tab}|Send, {Tab}|Send, {Tab}|Send, 33|Send, {Tab}|Send, {Tab}|Send, 37|Send, {F3}</v>
      </c>
      <c r="R22" t="str">
        <f ca="1">IFERROR(IF(Tabela2[[#This Row],[Item (Reference)]]="","",IF(Tabela2[[#This Row],[Shape]]="-",Tabela2[[#This Row],[Reference2]],Tabela2[[#This Row],[Reference3]])),"")</f>
        <v>Sleep, 2500|Send, {Down}|Send, MK8/10|Send, {Tab}|Send, {Tab}|Send, {Tab}|Send, {Tab}|Send, SINDOFORM R40-6-US|Send, {Tab}|Send, {Tab}|Send, {Tab}|Send, {Tab}|Send, {Tab}|Send, {Tab}|Send, {Tab}|Send, {Tab}|Send, {Tab}|Send, 33|Send, {Tab}|Send, {Tab}|Send, 37|Send, {F3}</v>
      </c>
      <c r="S22" t="str">
        <f ca="1">IFERROR(IF(Tabela2[[#This Row],[State]]="Automatico",Tabela2[[#This Row],[Reference1]]&amp;"|"&amp;Tabela2[[#This Row],[Reference4]],""),"")</f>
        <v>Sleep, 2500|Send, ^{Left}|Send, 210|Send, ^{Right}|Send, MAT_KONFIG|Send, {Enter}|Sleep, 2500|Send, {Down}|Send, MK8/10|Send, {Tab}|Send, {Tab}|Send, {Tab}|Send, {Tab}|Send, SINDOFORM R40-6-US|Send, {Tab}|Send, {Tab}|Send, {Tab}|Send, {Tab}|Send, {Tab}|Send, {Tab}|Send, {Tab}|Send, {Tab}|Send, {Tab}|Send, 33|Send, {Tab}|Send, {Tab}|Send, 37|Send, {F3}</v>
      </c>
    </row>
    <row r="23" spans="1:19">
      <c r="A23" cm="1">
        <f t="array" ref="A23">IFERROR(IF(Tabela2[[#This Row],[State]]="Automatico",IF(Tabela2[[#This Row],[Shape]]="","",(ROW()-1)*10),INDEX(Tabela2[[#All],[Item (Reference)]],ROW()-1)),"")</f>
        <v>220</v>
      </c>
      <c r="B23" s="649">
        <f t="shared" si="1"/>
        <v>220</v>
      </c>
      <c r="C23" s="649" t="str">
        <f>IFERROR(IF(Tabela2[[#This Row],[Shape]]="","Automatico",IF(_xlfn.XLOOKUP(Tabela2[[#This Row],[Brand]],BRANDS[Brand],BRANDS[State])="Manual","Manual",IF(Tabela2[[#This Row],[Shape]]="-","Automatico",IF(_xlfn.XLOOKUP(Tabela2[[#This Row],[Shape]],SHAPES[Shape],SHAPES[State])="Manual","Manual","Automatico")))),"")</f>
        <v>Automatico</v>
      </c>
      <c r="D23" s="649" t="str">
        <f>IFERROR(IF(Tabela2[[#This Row],[Shape]]="","Normal",IF(_xlfn.XLOOKUP(Tabela2[[#This Row],[Brand]],BRANDS[Brand],BRANDS[Brand Type])="","Normal",_xlfn.XLOOKUP(Tabela2[[#This Row],[Brand]],BRANDS[Brand],BRANDS[Brand Type]))),"")</f>
        <v>Normal</v>
      </c>
      <c r="E23" s="649" t="s">
        <v>1889</v>
      </c>
      <c r="F23" s="651" t="s">
        <v>713</v>
      </c>
      <c r="G23" s="649">
        <v>193</v>
      </c>
      <c r="H23" s="652">
        <v>203</v>
      </c>
      <c r="I23">
        <f>IFERROR(IF(Tabela2[[#This Row],[Shape]]="","",IF(Tabela2[[#This Row],[Shape]]="-",Tabela2[[#This Row],[Qnt 1]]/1000,Tabela2[[#This Row],[Qnt 1]])),"")</f>
        <v>193</v>
      </c>
      <c r="J23">
        <f>IFERROR(IF(Tabela2[[#This Row],[Shape]]="","",IF(Tabela2[[#This Row],[Shape]]="-",Tabela2[[#This Row],[Qnt 2]]/1000,Tabela2[[#This Row],[Qnt 2]])),"")</f>
        <v>203</v>
      </c>
      <c r="K23" t="str" cm="1">
        <f t="array" aca="1" ref="K2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R40-6-US</v>
      </c>
      <c r="L23" t="str" cm="1">
        <f t="array" aca="1" ref="L2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3">
        <f>IFERROR(IF(SAP_FINAL!$C$11="Office",2000,IF(SAP_FINAL!$C$11="VPN",3500,5000)),"")</f>
        <v>2000</v>
      </c>
      <c r="N23">
        <f>IFERROR(IF(SAP_FINAL!$C$11="Office",2500,IF(SAP_FINAL!$C$11="VPN",4000,5000)),"")</f>
        <v>2500</v>
      </c>
      <c r="O23" t="str" cm="1">
        <f t="array" ref="O2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220|Send, ^{Right}|Send, MAT_KONFIG|Send, {Enter}</v>
      </c>
      <c r="P2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R40-6-US|Send, {Tab}|Send, {Tab}|Send, {Tab}|Send, {Tab}|Send, {Tab}|Send, {Tab}|Send, {Tab}|Send, {Tab}|Send, {Tab}|Send, 193|Send, {Tab}|Send, {Tab}|Send, 203|Send, {F3}</v>
      </c>
      <c r="Q2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MK8/30|Send, {Tab}|Send, {Tab}|Send, {Tab}|Send, {Tab}|Send, SINDOFORM R40-6-US|Send, {Tab}|Send, {Tab}|Send, {Tab}|Send, {Tab}|Send, {Tab}|Send, {Tab}|Send, {Tab}|Send, {Tab}|Send, {Tab}|Send, 193|Send, {Tab}|Send, {Tab}|Send, 203|Send, {F3}</v>
      </c>
      <c r="R23" t="str">
        <f ca="1">IFERROR(IF(Tabela2[[#This Row],[Item (Reference)]]="","",IF(Tabela2[[#This Row],[Shape]]="-",Tabela2[[#This Row],[Reference2]],Tabela2[[#This Row],[Reference3]])),"")</f>
        <v>Sleep, 2500|Send, {Down}|Send, MK8/30|Send, {Tab}|Send, {Tab}|Send, {Tab}|Send, {Tab}|Send, SINDOFORM R40-6-US|Send, {Tab}|Send, {Tab}|Send, {Tab}|Send, {Tab}|Send, {Tab}|Send, {Tab}|Send, {Tab}|Send, {Tab}|Send, {Tab}|Send, 193|Send, {Tab}|Send, {Tab}|Send, 203|Send, {F3}</v>
      </c>
      <c r="S23" t="str">
        <f ca="1">IFERROR(IF(Tabela2[[#This Row],[State]]="Automatico",Tabela2[[#This Row],[Reference1]]&amp;"|"&amp;Tabela2[[#This Row],[Reference4]],""),"")</f>
        <v>Sleep, 2500|Send, ^{Left}|Send, 220|Send, ^{Right}|Send, MAT_KONFIG|Send, {Enter}|Sleep, 2500|Send, {Down}|Send, MK8/30|Send, {Tab}|Send, {Tab}|Send, {Tab}|Send, {Tab}|Send, SINDOFORM R40-6-US|Send, {Tab}|Send, {Tab}|Send, {Tab}|Send, {Tab}|Send, {Tab}|Send, {Tab}|Send, {Tab}|Send, {Tab}|Send, {Tab}|Send, 193|Send, {Tab}|Send, {Tab}|Send, 203|Send, {F3}</v>
      </c>
    </row>
    <row r="24" spans="1:19">
      <c r="A24" cm="1">
        <f t="array" ref="A24">IFERROR(IF(Tabela2[[#This Row],[State]]="Automatico",IF(Tabela2[[#This Row],[Shape]]="","",(ROW()-1)*10),INDEX(Tabela2[[#All],[Item (Reference)]],ROW()-1)),"")</f>
        <v>230</v>
      </c>
      <c r="B24" s="649">
        <f t="shared" si="1"/>
        <v>230</v>
      </c>
      <c r="C24" s="649" t="str">
        <f>IFERROR(IF(Tabela2[[#This Row],[Shape]]="","Automatico",IF(_xlfn.XLOOKUP(Tabela2[[#This Row],[Brand]],BRANDS[Brand],BRANDS[State])="Manual","Manual",IF(Tabela2[[#This Row],[Shape]]="-","Automatico",IF(_xlfn.XLOOKUP(Tabela2[[#This Row],[Shape]],SHAPES[Shape],SHAPES[State])="Manual","Manual","Automatico")))),"")</f>
        <v>Automatico</v>
      </c>
      <c r="D24" s="649" t="str">
        <f>IFERROR(IF(Tabela2[[#This Row],[Shape]]="","Normal",IF(_xlfn.XLOOKUP(Tabela2[[#This Row],[Brand]],BRANDS[Brand],BRANDS[Brand Type])="","Normal",_xlfn.XLOOKUP(Tabela2[[#This Row],[Brand]],BRANDS[Brand],BRANDS[Brand Type]))),"")</f>
        <v>Normal</v>
      </c>
      <c r="E24" s="649" t="s">
        <v>1895</v>
      </c>
      <c r="F24" s="651" t="s">
        <v>16</v>
      </c>
      <c r="G24" s="649">
        <v>75</v>
      </c>
      <c r="H24" s="652">
        <v>100</v>
      </c>
      <c r="I24">
        <f>IFERROR(IF(Tabela2[[#This Row],[Shape]]="","",IF(Tabela2[[#This Row],[Shape]]="-",Tabela2[[#This Row],[Qnt 1]]/1000,Tabela2[[#This Row],[Qnt 1]])),"")</f>
        <v>7.4999999999999997E-2</v>
      </c>
      <c r="J24">
        <f>IFERROR(IF(Tabela2[[#This Row],[Shape]]="","",IF(Tabela2[[#This Row],[Shape]]="-",Tabela2[[#This Row],[Qnt 2]]/1000,Tabela2[[#This Row],[Qnt 2]])),"")</f>
        <v>0.1</v>
      </c>
      <c r="K24" t="str" cm="1">
        <f t="array" aca="1" ref="K2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COMPRIT M60-5-MX</v>
      </c>
      <c r="L24" t="str" cm="1">
        <f t="array" aca="1" ref="L2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4">
        <f>IFERROR(IF(SAP_FINAL!$C$11="Office",2000,IF(SAP_FINAL!$C$11="VPN",3500,5000)),"")</f>
        <v>2000</v>
      </c>
      <c r="N24">
        <f>IFERROR(IF(SAP_FINAL!$C$11="Office",2500,IF(SAP_FINAL!$C$11="VPN",4000,5000)),"")</f>
        <v>2500</v>
      </c>
      <c r="O24" t="str" cm="1">
        <f t="array" ref="O2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230|Send, ^{Right}|Send, MAT_KONFIG|Send, {Enter}</v>
      </c>
      <c r="P2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COMPRIT M60-5-MX|Send, {Tab}|Send, {Tab}|Send, {Tab}|Send, {Tab}|Send, {Tab}|Send, {Tab}|Send, {Tab}|Send, {Tab}|Send, {Tab}|Send, 0,075|Send, {Tab}|Send, {Tab}|Send, 0,1|Send, {F3}</v>
      </c>
      <c r="Q2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COMPRIT M60-5-MX|Send, {Tab}|Send, {Tab}|Send, {Tab}|Send, {Tab}|Send, {Tab}|Send, {Tab}|Send, {Tab}|Send, {Tab}|Send, {Tab}|Send, 0,075|Send, {Tab}|Send, {Tab}|Send, 0,1|Send, {F3}</v>
      </c>
      <c r="R24" t="str">
        <f>IFERROR(IF(Tabela2[[#This Row],[Item (Reference)]]="","",IF(Tabela2[[#This Row],[Shape]]="-",Tabela2[[#This Row],[Reference2]],Tabela2[[#This Row],[Reference3]])),"")</f>
        <v>Sleep, 2500|Send, U|Send, {Tab}|Send, {Tab}|Send, {Tab}|Send, {Tab}|Send, {Tab}|Send, {Tab}|Send, COMPRIT M60-5-MX|Send, {Tab}|Send, {Tab}|Send, {Tab}|Send, {Tab}|Send, {Tab}|Send, {Tab}|Send, {Tab}|Send, {Tab}|Send, {Tab}|Send, 0,075|Send, {Tab}|Send, {Tab}|Send, 0,1|Send, {F3}</v>
      </c>
      <c r="S24" t="str">
        <f>IFERROR(IF(Tabela2[[#This Row],[State]]="Automatico",Tabela2[[#This Row],[Reference1]]&amp;"|"&amp;Tabela2[[#This Row],[Reference4]],""),"")</f>
        <v>Sleep, 2500|Send, ^{Left}|Send, 230|Send, ^{Right}|Send, MAT_KONFIG|Send, {Enter}|Sleep, 2500|Send, U|Send, {Tab}|Send, {Tab}|Send, {Tab}|Send, {Tab}|Send, {Tab}|Send, {Tab}|Send, COMPRIT M60-5-MX|Send, {Tab}|Send, {Tab}|Send, {Tab}|Send, {Tab}|Send, {Tab}|Send, {Tab}|Send, {Tab}|Send, {Tab}|Send, {Tab}|Send, 0,075|Send, {Tab}|Send, {Tab}|Send, 0,1|Send, {F3}</v>
      </c>
    </row>
  </sheetData>
  <conditionalFormatting sqref="A2:S24">
    <cfRule type="expression" dxfId="28" priority="1">
      <formula>$F2=""</formula>
    </cfRule>
    <cfRule type="expression" dxfId="27" priority="2">
      <formula>$C2="Manual"</formula>
    </cfRule>
    <cfRule type="expression" dxfId="26" priority="3">
      <formula>$D2="Add-On"</formula>
    </cfRule>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87AD9-92DF-4C0F-955A-810D050AB4A2}">
  <sheetPr codeName="Planilha3"/>
  <dimension ref="A1:J576"/>
  <sheetViews>
    <sheetView showGridLines="0" workbookViewId="0">
      <selection activeCell="C8" sqref="C8"/>
    </sheetView>
  </sheetViews>
  <sheetFormatPr defaultRowHeight="13.2"/>
  <cols>
    <col min="1" max="1" width="77.6640625" bestFit="1" customWidth="1"/>
    <col min="2" max="2" width="8.5546875" customWidth="1"/>
    <col min="3" max="3" width="16.109375" bestFit="1" customWidth="1"/>
    <col min="4" max="4" width="8.5546875" customWidth="1"/>
    <col min="5" max="5" width="7.109375" bestFit="1" customWidth="1"/>
    <col min="6" max="6" width="8.88671875" bestFit="1" customWidth="1"/>
    <col min="7" max="7" width="8.5546875" bestFit="1" customWidth="1"/>
    <col min="8" max="8" width="9.88671875" bestFit="1" customWidth="1"/>
    <col min="9" max="9" width="21.109375" bestFit="1" customWidth="1"/>
    <col min="10" max="11" width="16.109375" bestFit="1" customWidth="1"/>
    <col min="12" max="12" width="20.21875" bestFit="1" customWidth="1"/>
    <col min="13" max="13" width="9.88671875" bestFit="1" customWidth="1"/>
  </cols>
  <sheetData>
    <row r="1" spans="1:10">
      <c r="A1" t="s">
        <v>2230</v>
      </c>
      <c r="E1" s="934" t="s">
        <v>2231</v>
      </c>
      <c r="F1" s="935"/>
      <c r="G1" s="935"/>
      <c r="H1" s="935"/>
      <c r="I1" s="935"/>
      <c r="J1" s="936"/>
    </row>
    <row r="2" spans="1:10">
      <c r="A2" t="s">
        <v>2232</v>
      </c>
      <c r="E2" t="s">
        <v>96</v>
      </c>
      <c r="F2" t="s">
        <v>2215</v>
      </c>
      <c r="G2" t="s">
        <v>503</v>
      </c>
      <c r="H2" t="s">
        <v>2221</v>
      </c>
      <c r="I2" t="s">
        <v>2233</v>
      </c>
      <c r="J2" t="s">
        <v>2234</v>
      </c>
    </row>
    <row r="3" spans="1:10">
      <c r="A3" t="s">
        <v>2235</v>
      </c>
      <c r="B3" s="358"/>
    </row>
    <row r="4" spans="1:10">
      <c r="A4" t="s">
        <v>2236</v>
      </c>
    </row>
    <row r="5" spans="1:10">
      <c r="A5" t="s">
        <v>2237</v>
      </c>
    </row>
    <row r="6" spans="1:10" ht="13.8" thickBot="1">
      <c r="A6" t="s">
        <v>2238</v>
      </c>
    </row>
    <row r="7" spans="1:10" ht="13.8" thickTop="1">
      <c r="A7" t="s">
        <v>2239</v>
      </c>
      <c r="C7" s="653" t="s">
        <v>2240</v>
      </c>
    </row>
    <row r="8" spans="1:10" ht="13.8" thickBot="1">
      <c r="A8" t="s">
        <v>2241</v>
      </c>
      <c r="C8" s="654">
        <v>10</v>
      </c>
    </row>
    <row r="9" spans="1:10" ht="14.4" thickTop="1" thickBot="1">
      <c r="A9" t="s">
        <v>2241</v>
      </c>
    </row>
    <row r="10" spans="1:10" ht="13.8" thickTop="1">
      <c r="A10" t="s">
        <v>2241</v>
      </c>
      <c r="C10" s="655" t="s">
        <v>2242</v>
      </c>
    </row>
    <row r="11" spans="1:10" ht="13.8" thickBot="1">
      <c r="A11" t="s">
        <v>2272</v>
      </c>
      <c r="C11" s="656" t="s">
        <v>2243</v>
      </c>
    </row>
    <row r="12" spans="1:10" ht="13.8" thickTop="1">
      <c r="A12" t="s">
        <v>2244</v>
      </c>
    </row>
    <row r="13" spans="1:10">
      <c r="A13" t="s">
        <v>2245</v>
      </c>
    </row>
    <row r="14" spans="1:10">
      <c r="A14" t="s">
        <v>2246</v>
      </c>
    </row>
    <row r="15" spans="1:10">
      <c r="A15" t="s">
        <v>2247</v>
      </c>
    </row>
    <row r="16" spans="1:10">
      <c r="A16" t="s">
        <v>2241</v>
      </c>
    </row>
    <row r="17" spans="1:1">
      <c r="A17" t="s">
        <v>2248</v>
      </c>
    </row>
    <row r="18" spans="1:1">
      <c r="A18" t="s">
        <v>2244</v>
      </c>
    </row>
    <row r="19" spans="1:1">
      <c r="A19" t="s">
        <v>2249</v>
      </c>
    </row>
    <row r="20" spans="1:1">
      <c r="A20" t="s">
        <v>2250</v>
      </c>
    </row>
    <row r="21" spans="1:1">
      <c r="A21" t="s">
        <v>2273</v>
      </c>
    </row>
    <row r="22" spans="1:1">
      <c r="A22" t="s">
        <v>2251</v>
      </c>
    </row>
    <row r="23" spans="1:1">
      <c r="A23" t="s">
        <v>2251</v>
      </c>
    </row>
    <row r="24" spans="1:1">
      <c r="A24" t="s">
        <v>2251</v>
      </c>
    </row>
    <row r="25" spans="1:1">
      <c r="A25" t="s">
        <v>2251</v>
      </c>
    </row>
    <row r="26" spans="1:1">
      <c r="A26" t="s">
        <v>2274</v>
      </c>
    </row>
    <row r="27" spans="1:1">
      <c r="A27" t="s">
        <v>2251</v>
      </c>
    </row>
    <row r="28" spans="1:1">
      <c r="A28" t="s">
        <v>2251</v>
      </c>
    </row>
    <row r="29" spans="1:1">
      <c r="A29" t="s">
        <v>2251</v>
      </c>
    </row>
    <row r="30" spans="1:1">
      <c r="A30" t="s">
        <v>2251</v>
      </c>
    </row>
    <row r="31" spans="1:1">
      <c r="A31" t="s">
        <v>2251</v>
      </c>
    </row>
    <row r="32" spans="1:1">
      <c r="A32" t="s">
        <v>2251</v>
      </c>
    </row>
    <row r="33" spans="1:1">
      <c r="A33" t="s">
        <v>2251</v>
      </c>
    </row>
    <row r="34" spans="1:1">
      <c r="A34" t="s">
        <v>2251</v>
      </c>
    </row>
    <row r="35" spans="1:1">
      <c r="A35" t="s">
        <v>2251</v>
      </c>
    </row>
    <row r="36" spans="1:1">
      <c r="A36" s="358" t="s">
        <v>2275</v>
      </c>
    </row>
    <row r="37" spans="1:1">
      <c r="A37" t="s">
        <v>2251</v>
      </c>
    </row>
    <row r="38" spans="1:1">
      <c r="A38" t="s">
        <v>2251</v>
      </c>
    </row>
    <row r="39" spans="1:1">
      <c r="A39" t="s">
        <v>2276</v>
      </c>
    </row>
    <row r="40" spans="1:1">
      <c r="A40" t="s">
        <v>2253</v>
      </c>
    </row>
    <row r="41" spans="1:1">
      <c r="A41" t="s">
        <v>2249</v>
      </c>
    </row>
    <row r="42" spans="1:1">
      <c r="A42" t="s">
        <v>2246</v>
      </c>
    </row>
    <row r="43" spans="1:1">
      <c r="A43" t="s">
        <v>2332</v>
      </c>
    </row>
    <row r="44" spans="1:1">
      <c r="A44" t="s">
        <v>2241</v>
      </c>
    </row>
    <row r="45" spans="1:1">
      <c r="A45" t="s">
        <v>2248</v>
      </c>
    </row>
    <row r="46" spans="1:1">
      <c r="A46" t="s">
        <v>2244</v>
      </c>
    </row>
    <row r="47" spans="1:1">
      <c r="A47" t="s">
        <v>2249</v>
      </c>
    </row>
    <row r="48" spans="1:1">
      <c r="A48" t="s">
        <v>2264</v>
      </c>
    </row>
    <row r="49" spans="1:1">
      <c r="A49" t="s">
        <v>2251</v>
      </c>
    </row>
    <row r="50" spans="1:1">
      <c r="A50" t="s">
        <v>2251</v>
      </c>
    </row>
    <row r="51" spans="1:1">
      <c r="A51" t="s">
        <v>2251</v>
      </c>
    </row>
    <row r="52" spans="1:1">
      <c r="A52" t="s">
        <v>2251</v>
      </c>
    </row>
    <row r="53" spans="1:1">
      <c r="A53" t="s">
        <v>2251</v>
      </c>
    </row>
    <row r="54" spans="1:1">
      <c r="A54" t="s">
        <v>2251</v>
      </c>
    </row>
    <row r="55" spans="1:1">
      <c r="A55" t="s">
        <v>2333</v>
      </c>
    </row>
    <row r="56" spans="1:1">
      <c r="A56" t="s">
        <v>2251</v>
      </c>
    </row>
    <row r="57" spans="1:1">
      <c r="A57" t="s">
        <v>2251</v>
      </c>
    </row>
    <row r="58" spans="1:1">
      <c r="A58" t="s">
        <v>2251</v>
      </c>
    </row>
    <row r="59" spans="1:1">
      <c r="A59" t="s">
        <v>2251</v>
      </c>
    </row>
    <row r="60" spans="1:1">
      <c r="A60" t="s">
        <v>2251</v>
      </c>
    </row>
    <row r="61" spans="1:1">
      <c r="A61" t="s">
        <v>2251</v>
      </c>
    </row>
    <row r="62" spans="1:1">
      <c r="A62" t="s">
        <v>2251</v>
      </c>
    </row>
    <row r="63" spans="1:1">
      <c r="A63" t="s">
        <v>2251</v>
      </c>
    </row>
    <row r="64" spans="1:1">
      <c r="A64" t="s">
        <v>2251</v>
      </c>
    </row>
    <row r="65" spans="1:1">
      <c r="A65" t="s">
        <v>2334</v>
      </c>
    </row>
    <row r="66" spans="1:1">
      <c r="A66" t="s">
        <v>2251</v>
      </c>
    </row>
    <row r="67" spans="1:1">
      <c r="A67" t="s">
        <v>2251</v>
      </c>
    </row>
    <row r="68" spans="1:1">
      <c r="A68" t="s">
        <v>2335</v>
      </c>
    </row>
    <row r="69" spans="1:1">
      <c r="A69" t="s">
        <v>2253</v>
      </c>
    </row>
    <row r="70" spans="1:1">
      <c r="A70" t="s">
        <v>2249</v>
      </c>
    </row>
    <row r="71" spans="1:1">
      <c r="A71" t="s">
        <v>2246</v>
      </c>
    </row>
    <row r="72" spans="1:1">
      <c r="A72" t="s">
        <v>2254</v>
      </c>
    </row>
    <row r="73" spans="1:1">
      <c r="A73" t="s">
        <v>2241</v>
      </c>
    </row>
    <row r="74" spans="1:1">
      <c r="A74" t="s">
        <v>2241</v>
      </c>
    </row>
    <row r="75" spans="1:1">
      <c r="A75" t="s">
        <v>2241</v>
      </c>
    </row>
    <row r="76" spans="1:1">
      <c r="A76" t="s">
        <v>2277</v>
      </c>
    </row>
    <row r="77" spans="1:1">
      <c r="A77" t="s">
        <v>2244</v>
      </c>
    </row>
    <row r="78" spans="1:1">
      <c r="A78" t="s">
        <v>2245</v>
      </c>
    </row>
    <row r="79" spans="1:1">
      <c r="A79" t="s">
        <v>2246</v>
      </c>
    </row>
    <row r="80" spans="1:1">
      <c r="A80" t="s">
        <v>2255</v>
      </c>
    </row>
    <row r="81" spans="1:1">
      <c r="A81" t="s">
        <v>2241</v>
      </c>
    </row>
    <row r="82" spans="1:1">
      <c r="A82" t="s">
        <v>2248</v>
      </c>
    </row>
    <row r="83" spans="1:1">
      <c r="A83" t="s">
        <v>2244</v>
      </c>
    </row>
    <row r="84" spans="1:1">
      <c r="A84" t="s">
        <v>2249</v>
      </c>
    </row>
    <row r="85" spans="1:1">
      <c r="A85" t="s">
        <v>2250</v>
      </c>
    </row>
    <row r="86" spans="1:1">
      <c r="A86" t="s">
        <v>2273</v>
      </c>
    </row>
    <row r="87" spans="1:1">
      <c r="A87" t="s">
        <v>2251</v>
      </c>
    </row>
    <row r="88" spans="1:1">
      <c r="A88" t="s">
        <v>2251</v>
      </c>
    </row>
    <row r="89" spans="1:1">
      <c r="A89" t="s">
        <v>2251</v>
      </c>
    </row>
    <row r="90" spans="1:1">
      <c r="A90" t="s">
        <v>2251</v>
      </c>
    </row>
    <row r="91" spans="1:1">
      <c r="A91" t="s">
        <v>2274</v>
      </c>
    </row>
    <row r="92" spans="1:1">
      <c r="A92" t="s">
        <v>2251</v>
      </c>
    </row>
    <row r="93" spans="1:1">
      <c r="A93" t="s">
        <v>2251</v>
      </c>
    </row>
    <row r="94" spans="1:1">
      <c r="A94" t="s">
        <v>2251</v>
      </c>
    </row>
    <row r="95" spans="1:1">
      <c r="A95" t="s">
        <v>2251</v>
      </c>
    </row>
    <row r="96" spans="1:1">
      <c r="A96" t="s">
        <v>2251</v>
      </c>
    </row>
    <row r="97" spans="1:1">
      <c r="A97" t="s">
        <v>2251</v>
      </c>
    </row>
    <row r="98" spans="1:1">
      <c r="A98" t="s">
        <v>2251</v>
      </c>
    </row>
    <row r="99" spans="1:1">
      <c r="A99" t="s">
        <v>2251</v>
      </c>
    </row>
    <row r="100" spans="1:1">
      <c r="A100" t="s">
        <v>2251</v>
      </c>
    </row>
    <row r="101" spans="1:1">
      <c r="A101" t="s">
        <v>2278</v>
      </c>
    </row>
    <row r="102" spans="1:1">
      <c r="A102" t="s">
        <v>2251</v>
      </c>
    </row>
    <row r="103" spans="1:1">
      <c r="A103" t="s">
        <v>2251</v>
      </c>
    </row>
    <row r="104" spans="1:1">
      <c r="A104" t="s">
        <v>2279</v>
      </c>
    </row>
    <row r="105" spans="1:1">
      <c r="A105" t="s">
        <v>2253</v>
      </c>
    </row>
    <row r="106" spans="1:1">
      <c r="A106" t="s">
        <v>2249</v>
      </c>
    </row>
    <row r="107" spans="1:1">
      <c r="A107" t="s">
        <v>2246</v>
      </c>
    </row>
    <row r="108" spans="1:1">
      <c r="A108" t="s">
        <v>2256</v>
      </c>
    </row>
    <row r="109" spans="1:1">
      <c r="A109" t="s">
        <v>2241</v>
      </c>
    </row>
    <row r="110" spans="1:1">
      <c r="A110" t="s">
        <v>2248</v>
      </c>
    </row>
    <row r="111" spans="1:1">
      <c r="A111" t="s">
        <v>2244</v>
      </c>
    </row>
    <row r="112" spans="1:1">
      <c r="A112" t="s">
        <v>2249</v>
      </c>
    </row>
    <row r="113" spans="1:1">
      <c r="A113" t="s">
        <v>2250</v>
      </c>
    </row>
    <row r="114" spans="1:1">
      <c r="A114" t="s">
        <v>2280</v>
      </c>
    </row>
    <row r="115" spans="1:1">
      <c r="A115" t="s">
        <v>2251</v>
      </c>
    </row>
    <row r="116" spans="1:1">
      <c r="A116" t="s">
        <v>2251</v>
      </c>
    </row>
    <row r="117" spans="1:1">
      <c r="A117" t="s">
        <v>2251</v>
      </c>
    </row>
    <row r="118" spans="1:1">
      <c r="A118" t="s">
        <v>2251</v>
      </c>
    </row>
    <row r="119" spans="1:1">
      <c r="A119" t="s">
        <v>2274</v>
      </c>
    </row>
    <row r="120" spans="1:1">
      <c r="A120" t="s">
        <v>2251</v>
      </c>
    </row>
    <row r="121" spans="1:1">
      <c r="A121" t="s">
        <v>2251</v>
      </c>
    </row>
    <row r="122" spans="1:1">
      <c r="A122" t="s">
        <v>2251</v>
      </c>
    </row>
    <row r="123" spans="1:1">
      <c r="A123" t="s">
        <v>2251</v>
      </c>
    </row>
    <row r="124" spans="1:1">
      <c r="A124" t="s">
        <v>2251</v>
      </c>
    </row>
    <row r="125" spans="1:1">
      <c r="A125" t="s">
        <v>2251</v>
      </c>
    </row>
    <row r="126" spans="1:1">
      <c r="A126" t="s">
        <v>2251</v>
      </c>
    </row>
    <row r="127" spans="1:1">
      <c r="A127" t="s">
        <v>2251</v>
      </c>
    </row>
    <row r="128" spans="1:1">
      <c r="A128" t="s">
        <v>2251</v>
      </c>
    </row>
    <row r="129" spans="1:1">
      <c r="A129" t="s">
        <v>2281</v>
      </c>
    </row>
    <row r="130" spans="1:1">
      <c r="A130" t="s">
        <v>2251</v>
      </c>
    </row>
    <row r="131" spans="1:1">
      <c r="A131" t="s">
        <v>2251</v>
      </c>
    </row>
    <row r="132" spans="1:1">
      <c r="A132" t="s">
        <v>2282</v>
      </c>
    </row>
    <row r="133" spans="1:1">
      <c r="A133" t="s">
        <v>2253</v>
      </c>
    </row>
    <row r="134" spans="1:1">
      <c r="A134" t="s">
        <v>2249</v>
      </c>
    </row>
    <row r="135" spans="1:1">
      <c r="A135" t="s">
        <v>2246</v>
      </c>
    </row>
    <row r="136" spans="1:1">
      <c r="A136" t="s">
        <v>2257</v>
      </c>
    </row>
    <row r="137" spans="1:1">
      <c r="A137" t="s">
        <v>2241</v>
      </c>
    </row>
    <row r="138" spans="1:1">
      <c r="A138" t="s">
        <v>2248</v>
      </c>
    </row>
    <row r="139" spans="1:1">
      <c r="A139" t="s">
        <v>2244</v>
      </c>
    </row>
    <row r="140" spans="1:1">
      <c r="A140" t="s">
        <v>2249</v>
      </c>
    </row>
    <row r="141" spans="1:1">
      <c r="A141" t="s">
        <v>2264</v>
      </c>
    </row>
    <row r="142" spans="1:1">
      <c r="A142" t="s">
        <v>2251</v>
      </c>
    </row>
    <row r="143" spans="1:1">
      <c r="A143" t="s">
        <v>2251</v>
      </c>
    </row>
    <row r="144" spans="1:1">
      <c r="A144" t="s">
        <v>2251</v>
      </c>
    </row>
    <row r="145" spans="1:1">
      <c r="A145" t="s">
        <v>2251</v>
      </c>
    </row>
    <row r="146" spans="1:1">
      <c r="A146" t="s">
        <v>2251</v>
      </c>
    </row>
    <row r="147" spans="1:1">
      <c r="A147" t="s">
        <v>2251</v>
      </c>
    </row>
    <row r="148" spans="1:1">
      <c r="A148" t="s">
        <v>2283</v>
      </c>
    </row>
    <row r="149" spans="1:1">
      <c r="A149" t="s">
        <v>2251</v>
      </c>
    </row>
    <row r="150" spans="1:1">
      <c r="A150" t="s">
        <v>2251</v>
      </c>
    </row>
    <row r="151" spans="1:1">
      <c r="A151" t="s">
        <v>2251</v>
      </c>
    </row>
    <row r="152" spans="1:1">
      <c r="A152" t="s">
        <v>2251</v>
      </c>
    </row>
    <row r="153" spans="1:1">
      <c r="A153" t="s">
        <v>2251</v>
      </c>
    </row>
    <row r="154" spans="1:1">
      <c r="A154" t="s">
        <v>2251</v>
      </c>
    </row>
    <row r="155" spans="1:1">
      <c r="A155" t="s">
        <v>2251</v>
      </c>
    </row>
    <row r="156" spans="1:1">
      <c r="A156" t="s">
        <v>2251</v>
      </c>
    </row>
    <row r="157" spans="1:1">
      <c r="A157" t="s">
        <v>2251</v>
      </c>
    </row>
    <row r="158" spans="1:1">
      <c r="A158" t="s">
        <v>2284</v>
      </c>
    </row>
    <row r="159" spans="1:1">
      <c r="A159" t="s">
        <v>2251</v>
      </c>
    </row>
    <row r="160" spans="1:1">
      <c r="A160" t="s">
        <v>2251</v>
      </c>
    </row>
    <row r="161" spans="1:1">
      <c r="A161" t="s">
        <v>2285</v>
      </c>
    </row>
    <row r="162" spans="1:1">
      <c r="A162" t="s">
        <v>2253</v>
      </c>
    </row>
    <row r="163" spans="1:1">
      <c r="A163" t="s">
        <v>2249</v>
      </c>
    </row>
    <row r="164" spans="1:1">
      <c r="A164" t="s">
        <v>2246</v>
      </c>
    </row>
    <row r="165" spans="1:1">
      <c r="A165" t="s">
        <v>2286</v>
      </c>
    </row>
    <row r="166" spans="1:1">
      <c r="A166" t="s">
        <v>2241</v>
      </c>
    </row>
    <row r="167" spans="1:1">
      <c r="A167" t="s">
        <v>2248</v>
      </c>
    </row>
    <row r="168" spans="1:1">
      <c r="A168" t="s">
        <v>2244</v>
      </c>
    </row>
    <row r="169" spans="1:1">
      <c r="A169" t="s">
        <v>2249</v>
      </c>
    </row>
    <row r="170" spans="1:1">
      <c r="A170" t="s">
        <v>2250</v>
      </c>
    </row>
    <row r="171" spans="1:1">
      <c r="A171" t="s">
        <v>2287</v>
      </c>
    </row>
    <row r="172" spans="1:1">
      <c r="A172" t="s">
        <v>2251</v>
      </c>
    </row>
    <row r="173" spans="1:1">
      <c r="A173" t="s">
        <v>2251</v>
      </c>
    </row>
    <row r="174" spans="1:1">
      <c r="A174" t="s">
        <v>2251</v>
      </c>
    </row>
    <row r="175" spans="1:1">
      <c r="A175" t="s">
        <v>2251</v>
      </c>
    </row>
    <row r="176" spans="1:1">
      <c r="A176" t="s">
        <v>2288</v>
      </c>
    </row>
    <row r="177" spans="1:1">
      <c r="A177" t="s">
        <v>2251</v>
      </c>
    </row>
    <row r="178" spans="1:1">
      <c r="A178" t="s">
        <v>2251</v>
      </c>
    </row>
    <row r="179" spans="1:1">
      <c r="A179" t="s">
        <v>2251</v>
      </c>
    </row>
    <row r="180" spans="1:1">
      <c r="A180" t="s">
        <v>2251</v>
      </c>
    </row>
    <row r="181" spans="1:1">
      <c r="A181" t="s">
        <v>2251</v>
      </c>
    </row>
    <row r="182" spans="1:1">
      <c r="A182" t="s">
        <v>2251</v>
      </c>
    </row>
    <row r="183" spans="1:1">
      <c r="A183" t="s">
        <v>2251</v>
      </c>
    </row>
    <row r="184" spans="1:1">
      <c r="A184" t="s">
        <v>2251</v>
      </c>
    </row>
    <row r="185" spans="1:1">
      <c r="A185" t="s">
        <v>2251</v>
      </c>
    </row>
    <row r="186" spans="1:1">
      <c r="A186" t="s">
        <v>2289</v>
      </c>
    </row>
    <row r="187" spans="1:1">
      <c r="A187" t="s">
        <v>2251</v>
      </c>
    </row>
    <row r="188" spans="1:1">
      <c r="A188" t="s">
        <v>2251</v>
      </c>
    </row>
    <row r="189" spans="1:1">
      <c r="A189" t="s">
        <v>2290</v>
      </c>
    </row>
    <row r="190" spans="1:1">
      <c r="A190" t="s">
        <v>2253</v>
      </c>
    </row>
    <row r="191" spans="1:1">
      <c r="A191" t="s">
        <v>2249</v>
      </c>
    </row>
    <row r="192" spans="1:1">
      <c r="A192" t="s">
        <v>2246</v>
      </c>
    </row>
    <row r="193" spans="1:1">
      <c r="A193" t="s">
        <v>2258</v>
      </c>
    </row>
    <row r="194" spans="1:1">
      <c r="A194" t="s">
        <v>2241</v>
      </c>
    </row>
    <row r="195" spans="1:1">
      <c r="A195" t="s">
        <v>2241</v>
      </c>
    </row>
    <row r="196" spans="1:1">
      <c r="A196" t="s">
        <v>2241</v>
      </c>
    </row>
    <row r="197" spans="1:1">
      <c r="A197" t="s">
        <v>2291</v>
      </c>
    </row>
    <row r="198" spans="1:1">
      <c r="A198" t="s">
        <v>2244</v>
      </c>
    </row>
    <row r="199" spans="1:1">
      <c r="A199" t="s">
        <v>2245</v>
      </c>
    </row>
    <row r="200" spans="1:1">
      <c r="A200" t="s">
        <v>2246</v>
      </c>
    </row>
    <row r="201" spans="1:1">
      <c r="A201" t="s">
        <v>2259</v>
      </c>
    </row>
    <row r="202" spans="1:1">
      <c r="A202" t="s">
        <v>2241</v>
      </c>
    </row>
    <row r="203" spans="1:1">
      <c r="A203" t="s">
        <v>2248</v>
      </c>
    </row>
    <row r="204" spans="1:1">
      <c r="A204" t="s">
        <v>2244</v>
      </c>
    </row>
    <row r="205" spans="1:1">
      <c r="A205" t="s">
        <v>2249</v>
      </c>
    </row>
    <row r="206" spans="1:1">
      <c r="A206" t="s">
        <v>2250</v>
      </c>
    </row>
    <row r="207" spans="1:1">
      <c r="A207" t="s">
        <v>2292</v>
      </c>
    </row>
    <row r="208" spans="1:1">
      <c r="A208" t="s">
        <v>2251</v>
      </c>
    </row>
    <row r="209" spans="1:1">
      <c r="A209" t="s">
        <v>2251</v>
      </c>
    </row>
    <row r="210" spans="1:1">
      <c r="A210" t="s">
        <v>2251</v>
      </c>
    </row>
    <row r="211" spans="1:1">
      <c r="A211" t="s">
        <v>2251</v>
      </c>
    </row>
    <row r="212" spans="1:1">
      <c r="A212" t="s">
        <v>2293</v>
      </c>
    </row>
    <row r="213" spans="1:1">
      <c r="A213" t="s">
        <v>2251</v>
      </c>
    </row>
    <row r="214" spans="1:1">
      <c r="A214" t="s">
        <v>2251</v>
      </c>
    </row>
    <row r="215" spans="1:1">
      <c r="A215" t="s">
        <v>2251</v>
      </c>
    </row>
    <row r="216" spans="1:1">
      <c r="A216" t="s">
        <v>2251</v>
      </c>
    </row>
    <row r="217" spans="1:1">
      <c r="A217" t="s">
        <v>2251</v>
      </c>
    </row>
    <row r="218" spans="1:1">
      <c r="A218" t="s">
        <v>2251</v>
      </c>
    </row>
    <row r="219" spans="1:1">
      <c r="A219" t="s">
        <v>2251</v>
      </c>
    </row>
    <row r="220" spans="1:1">
      <c r="A220" t="s">
        <v>2251</v>
      </c>
    </row>
    <row r="221" spans="1:1">
      <c r="A221" t="s">
        <v>2251</v>
      </c>
    </row>
    <row r="222" spans="1:1">
      <c r="A222" t="s">
        <v>2294</v>
      </c>
    </row>
    <row r="223" spans="1:1">
      <c r="A223" t="s">
        <v>2251</v>
      </c>
    </row>
    <row r="224" spans="1:1">
      <c r="A224" t="s">
        <v>2251</v>
      </c>
    </row>
    <row r="225" spans="1:1">
      <c r="A225" t="s">
        <v>2295</v>
      </c>
    </row>
    <row r="226" spans="1:1">
      <c r="A226" t="s">
        <v>2253</v>
      </c>
    </row>
    <row r="227" spans="1:1">
      <c r="A227" t="s">
        <v>2249</v>
      </c>
    </row>
    <row r="228" spans="1:1">
      <c r="A228" t="s">
        <v>2246</v>
      </c>
    </row>
    <row r="229" spans="1:1">
      <c r="A229" t="s">
        <v>2260</v>
      </c>
    </row>
    <row r="230" spans="1:1">
      <c r="A230" t="s">
        <v>2241</v>
      </c>
    </row>
    <row r="231" spans="1:1">
      <c r="A231" t="s">
        <v>2248</v>
      </c>
    </row>
    <row r="232" spans="1:1">
      <c r="A232" t="s">
        <v>2244</v>
      </c>
    </row>
    <row r="233" spans="1:1">
      <c r="A233" t="s">
        <v>2249</v>
      </c>
    </row>
    <row r="234" spans="1:1">
      <c r="A234" t="s">
        <v>2250</v>
      </c>
    </row>
    <row r="235" spans="1:1">
      <c r="A235" t="s">
        <v>2296</v>
      </c>
    </row>
    <row r="236" spans="1:1">
      <c r="A236" t="s">
        <v>2251</v>
      </c>
    </row>
    <row r="237" spans="1:1">
      <c r="A237" t="s">
        <v>2251</v>
      </c>
    </row>
    <row r="238" spans="1:1">
      <c r="A238" t="s">
        <v>2251</v>
      </c>
    </row>
    <row r="239" spans="1:1">
      <c r="A239" t="s">
        <v>2251</v>
      </c>
    </row>
    <row r="240" spans="1:1">
      <c r="A240" t="s">
        <v>2293</v>
      </c>
    </row>
    <row r="241" spans="1:1">
      <c r="A241" t="s">
        <v>2251</v>
      </c>
    </row>
    <row r="242" spans="1:1">
      <c r="A242" t="s">
        <v>2251</v>
      </c>
    </row>
    <row r="243" spans="1:1">
      <c r="A243" t="s">
        <v>2251</v>
      </c>
    </row>
    <row r="244" spans="1:1">
      <c r="A244" t="s">
        <v>2251</v>
      </c>
    </row>
    <row r="245" spans="1:1">
      <c r="A245" t="s">
        <v>2251</v>
      </c>
    </row>
    <row r="246" spans="1:1">
      <c r="A246" t="s">
        <v>2251</v>
      </c>
    </row>
    <row r="247" spans="1:1">
      <c r="A247" t="s">
        <v>2251</v>
      </c>
    </row>
    <row r="248" spans="1:1">
      <c r="A248" t="s">
        <v>2251</v>
      </c>
    </row>
    <row r="249" spans="1:1">
      <c r="A249" t="s">
        <v>2251</v>
      </c>
    </row>
    <row r="250" spans="1:1">
      <c r="A250" t="s">
        <v>2267</v>
      </c>
    </row>
    <row r="251" spans="1:1">
      <c r="A251" t="s">
        <v>2251</v>
      </c>
    </row>
    <row r="252" spans="1:1">
      <c r="A252" t="s">
        <v>2251</v>
      </c>
    </row>
    <row r="253" spans="1:1">
      <c r="A253" t="s">
        <v>2289</v>
      </c>
    </row>
    <row r="254" spans="1:1">
      <c r="A254" t="s">
        <v>2253</v>
      </c>
    </row>
    <row r="255" spans="1:1">
      <c r="A255" t="s">
        <v>2249</v>
      </c>
    </row>
    <row r="256" spans="1:1">
      <c r="A256" t="s">
        <v>2246</v>
      </c>
    </row>
    <row r="257" spans="1:1">
      <c r="A257" t="s">
        <v>2297</v>
      </c>
    </row>
    <row r="258" spans="1:1">
      <c r="A258" t="s">
        <v>2241</v>
      </c>
    </row>
    <row r="259" spans="1:1">
      <c r="A259" t="s">
        <v>2248</v>
      </c>
    </row>
    <row r="260" spans="1:1">
      <c r="A260" t="s">
        <v>2244</v>
      </c>
    </row>
    <row r="261" spans="1:1">
      <c r="A261" t="s">
        <v>2249</v>
      </c>
    </row>
    <row r="262" spans="1:1">
      <c r="A262" t="s">
        <v>2250</v>
      </c>
    </row>
    <row r="263" spans="1:1">
      <c r="A263" t="s">
        <v>2298</v>
      </c>
    </row>
    <row r="264" spans="1:1">
      <c r="A264" t="s">
        <v>2251</v>
      </c>
    </row>
    <row r="265" spans="1:1">
      <c r="A265" t="s">
        <v>2251</v>
      </c>
    </row>
    <row r="266" spans="1:1">
      <c r="A266" t="s">
        <v>2251</v>
      </c>
    </row>
    <row r="267" spans="1:1">
      <c r="A267" t="s">
        <v>2251</v>
      </c>
    </row>
    <row r="268" spans="1:1">
      <c r="A268" t="s">
        <v>2299</v>
      </c>
    </row>
    <row r="269" spans="1:1">
      <c r="A269" t="s">
        <v>2251</v>
      </c>
    </row>
    <row r="270" spans="1:1">
      <c r="A270" t="s">
        <v>2251</v>
      </c>
    </row>
    <row r="271" spans="1:1">
      <c r="A271" t="s">
        <v>2251</v>
      </c>
    </row>
    <row r="272" spans="1:1">
      <c r="A272" t="s">
        <v>2251</v>
      </c>
    </row>
    <row r="273" spans="1:1">
      <c r="A273" t="s">
        <v>2251</v>
      </c>
    </row>
    <row r="274" spans="1:1">
      <c r="A274" t="s">
        <v>2251</v>
      </c>
    </row>
    <row r="275" spans="1:1">
      <c r="A275" t="s">
        <v>2251</v>
      </c>
    </row>
    <row r="276" spans="1:1">
      <c r="A276" t="s">
        <v>2251</v>
      </c>
    </row>
    <row r="277" spans="1:1">
      <c r="A277" t="s">
        <v>2251</v>
      </c>
    </row>
    <row r="278" spans="1:1">
      <c r="A278" t="s">
        <v>2300</v>
      </c>
    </row>
    <row r="279" spans="1:1">
      <c r="A279" t="s">
        <v>2251</v>
      </c>
    </row>
    <row r="280" spans="1:1">
      <c r="A280" t="s">
        <v>2251</v>
      </c>
    </row>
    <row r="281" spans="1:1">
      <c r="A281" t="s">
        <v>2255</v>
      </c>
    </row>
    <row r="282" spans="1:1">
      <c r="A282" t="s">
        <v>2253</v>
      </c>
    </row>
    <row r="283" spans="1:1">
      <c r="A283" t="s">
        <v>2249</v>
      </c>
    </row>
    <row r="284" spans="1:1">
      <c r="A284" t="s">
        <v>2246</v>
      </c>
    </row>
    <row r="285" spans="1:1">
      <c r="A285" t="s">
        <v>2261</v>
      </c>
    </row>
    <row r="286" spans="1:1">
      <c r="A286" t="s">
        <v>2241</v>
      </c>
    </row>
    <row r="287" spans="1:1">
      <c r="A287" t="s">
        <v>2248</v>
      </c>
    </row>
    <row r="288" spans="1:1">
      <c r="A288" t="s">
        <v>2244</v>
      </c>
    </row>
    <row r="289" spans="1:1">
      <c r="A289" t="s">
        <v>2249</v>
      </c>
    </row>
    <row r="290" spans="1:1">
      <c r="A290" t="s">
        <v>2264</v>
      </c>
    </row>
    <row r="291" spans="1:1">
      <c r="A291" t="s">
        <v>2251</v>
      </c>
    </row>
    <row r="292" spans="1:1">
      <c r="A292" t="s">
        <v>2251</v>
      </c>
    </row>
    <row r="293" spans="1:1">
      <c r="A293" t="s">
        <v>2251</v>
      </c>
    </row>
    <row r="294" spans="1:1">
      <c r="A294" t="s">
        <v>2251</v>
      </c>
    </row>
    <row r="295" spans="1:1">
      <c r="A295" t="s">
        <v>2251</v>
      </c>
    </row>
    <row r="296" spans="1:1">
      <c r="A296" t="s">
        <v>2251</v>
      </c>
    </row>
    <row r="297" spans="1:1">
      <c r="A297" t="s">
        <v>2301</v>
      </c>
    </row>
    <row r="298" spans="1:1">
      <c r="A298" t="s">
        <v>2251</v>
      </c>
    </row>
    <row r="299" spans="1:1">
      <c r="A299" t="s">
        <v>2251</v>
      </c>
    </row>
    <row r="300" spans="1:1">
      <c r="A300" t="s">
        <v>2251</v>
      </c>
    </row>
    <row r="301" spans="1:1">
      <c r="A301" t="s">
        <v>2251</v>
      </c>
    </row>
    <row r="302" spans="1:1">
      <c r="A302" t="s">
        <v>2251</v>
      </c>
    </row>
    <row r="303" spans="1:1">
      <c r="A303" t="s">
        <v>2251</v>
      </c>
    </row>
    <row r="304" spans="1:1">
      <c r="A304" t="s">
        <v>2251</v>
      </c>
    </row>
    <row r="305" spans="1:1">
      <c r="A305" t="s">
        <v>2251</v>
      </c>
    </row>
    <row r="306" spans="1:1">
      <c r="A306" t="s">
        <v>2251</v>
      </c>
    </row>
    <row r="307" spans="1:1">
      <c r="A307" t="s">
        <v>2302</v>
      </c>
    </row>
    <row r="308" spans="1:1">
      <c r="A308" t="s">
        <v>2251</v>
      </c>
    </row>
    <row r="309" spans="1:1">
      <c r="A309" t="s">
        <v>2251</v>
      </c>
    </row>
    <row r="310" spans="1:1">
      <c r="A310" t="s">
        <v>2303</v>
      </c>
    </row>
    <row r="311" spans="1:1">
      <c r="A311" t="s">
        <v>2253</v>
      </c>
    </row>
    <row r="312" spans="1:1">
      <c r="A312" t="s">
        <v>2249</v>
      </c>
    </row>
    <row r="313" spans="1:1">
      <c r="A313" t="s">
        <v>2246</v>
      </c>
    </row>
    <row r="314" spans="1:1">
      <c r="A314" t="s">
        <v>2262</v>
      </c>
    </row>
    <row r="315" spans="1:1">
      <c r="A315" t="s">
        <v>2241</v>
      </c>
    </row>
    <row r="316" spans="1:1">
      <c r="A316" t="s">
        <v>2241</v>
      </c>
    </row>
    <row r="317" spans="1:1">
      <c r="A317" t="s">
        <v>2241</v>
      </c>
    </row>
    <row r="318" spans="1:1">
      <c r="A318" t="s">
        <v>2304</v>
      </c>
    </row>
    <row r="319" spans="1:1">
      <c r="A319" t="s">
        <v>2244</v>
      </c>
    </row>
    <row r="320" spans="1:1">
      <c r="A320" t="s">
        <v>2245</v>
      </c>
    </row>
    <row r="321" spans="1:1">
      <c r="A321" t="s">
        <v>2246</v>
      </c>
    </row>
    <row r="322" spans="1:1">
      <c r="A322" t="s">
        <v>2263</v>
      </c>
    </row>
    <row r="323" spans="1:1">
      <c r="A323" t="s">
        <v>2241</v>
      </c>
    </row>
    <row r="324" spans="1:1">
      <c r="A324" t="s">
        <v>2248</v>
      </c>
    </row>
    <row r="325" spans="1:1">
      <c r="A325" t="s">
        <v>2244</v>
      </c>
    </row>
    <row r="326" spans="1:1">
      <c r="A326" t="s">
        <v>2249</v>
      </c>
    </row>
    <row r="327" spans="1:1">
      <c r="A327" t="s">
        <v>2250</v>
      </c>
    </row>
    <row r="328" spans="1:1">
      <c r="A328" t="s">
        <v>2305</v>
      </c>
    </row>
    <row r="329" spans="1:1">
      <c r="A329" t="s">
        <v>2251</v>
      </c>
    </row>
    <row r="330" spans="1:1">
      <c r="A330" t="s">
        <v>2251</v>
      </c>
    </row>
    <row r="331" spans="1:1">
      <c r="A331" t="s">
        <v>2251</v>
      </c>
    </row>
    <row r="332" spans="1:1">
      <c r="A332" t="s">
        <v>2251</v>
      </c>
    </row>
    <row r="333" spans="1:1">
      <c r="A333" t="s">
        <v>2306</v>
      </c>
    </row>
    <row r="334" spans="1:1">
      <c r="A334" t="s">
        <v>2251</v>
      </c>
    </row>
    <row r="335" spans="1:1">
      <c r="A335" t="s">
        <v>2251</v>
      </c>
    </row>
    <row r="336" spans="1:1">
      <c r="A336" t="s">
        <v>2251</v>
      </c>
    </row>
    <row r="337" spans="1:1">
      <c r="A337" t="s">
        <v>2251</v>
      </c>
    </row>
    <row r="338" spans="1:1">
      <c r="A338" t="s">
        <v>2251</v>
      </c>
    </row>
    <row r="339" spans="1:1">
      <c r="A339" t="s">
        <v>2251</v>
      </c>
    </row>
    <row r="340" spans="1:1">
      <c r="A340" t="s">
        <v>2251</v>
      </c>
    </row>
    <row r="341" spans="1:1">
      <c r="A341" t="s">
        <v>2251</v>
      </c>
    </row>
    <row r="342" spans="1:1">
      <c r="A342" t="s">
        <v>2251</v>
      </c>
    </row>
    <row r="343" spans="1:1">
      <c r="A343" t="s">
        <v>2307</v>
      </c>
    </row>
    <row r="344" spans="1:1">
      <c r="A344" t="s">
        <v>2251</v>
      </c>
    </row>
    <row r="345" spans="1:1">
      <c r="A345" t="s">
        <v>2251</v>
      </c>
    </row>
    <row r="346" spans="1:1">
      <c r="A346" t="s">
        <v>2308</v>
      </c>
    </row>
    <row r="347" spans="1:1">
      <c r="A347" t="s">
        <v>2253</v>
      </c>
    </row>
    <row r="348" spans="1:1">
      <c r="A348" t="s">
        <v>2249</v>
      </c>
    </row>
    <row r="349" spans="1:1">
      <c r="A349" t="s">
        <v>2246</v>
      </c>
    </row>
    <row r="350" spans="1:1">
      <c r="A350" t="s">
        <v>2265</v>
      </c>
    </row>
    <row r="351" spans="1:1">
      <c r="A351" t="s">
        <v>2241</v>
      </c>
    </row>
    <row r="352" spans="1:1">
      <c r="A352" t="s">
        <v>2248</v>
      </c>
    </row>
    <row r="353" spans="1:1">
      <c r="A353" t="s">
        <v>2244</v>
      </c>
    </row>
    <row r="354" spans="1:1">
      <c r="A354" t="s">
        <v>2249</v>
      </c>
    </row>
    <row r="355" spans="1:1">
      <c r="A355" t="s">
        <v>2250</v>
      </c>
    </row>
    <row r="356" spans="1:1">
      <c r="A356" t="s">
        <v>2309</v>
      </c>
    </row>
    <row r="357" spans="1:1">
      <c r="A357" t="s">
        <v>2251</v>
      </c>
    </row>
    <row r="358" spans="1:1">
      <c r="A358" t="s">
        <v>2251</v>
      </c>
    </row>
    <row r="359" spans="1:1">
      <c r="A359" t="s">
        <v>2251</v>
      </c>
    </row>
    <row r="360" spans="1:1">
      <c r="A360" t="s">
        <v>2251</v>
      </c>
    </row>
    <row r="361" spans="1:1">
      <c r="A361" t="s">
        <v>2306</v>
      </c>
    </row>
    <row r="362" spans="1:1">
      <c r="A362" t="s">
        <v>2251</v>
      </c>
    </row>
    <row r="363" spans="1:1">
      <c r="A363" t="s">
        <v>2251</v>
      </c>
    </row>
    <row r="364" spans="1:1">
      <c r="A364" t="s">
        <v>2251</v>
      </c>
    </row>
    <row r="365" spans="1:1">
      <c r="A365" t="s">
        <v>2251</v>
      </c>
    </row>
    <row r="366" spans="1:1">
      <c r="A366" t="s">
        <v>2251</v>
      </c>
    </row>
    <row r="367" spans="1:1">
      <c r="A367" t="s">
        <v>2251</v>
      </c>
    </row>
    <row r="368" spans="1:1">
      <c r="A368" t="s">
        <v>2251</v>
      </c>
    </row>
    <row r="369" spans="1:1">
      <c r="A369" t="s">
        <v>2251</v>
      </c>
    </row>
    <row r="370" spans="1:1">
      <c r="A370" t="s">
        <v>2251</v>
      </c>
    </row>
    <row r="371" spans="1:1">
      <c r="A371" t="s">
        <v>2310</v>
      </c>
    </row>
    <row r="372" spans="1:1">
      <c r="A372" t="s">
        <v>2251</v>
      </c>
    </row>
    <row r="373" spans="1:1">
      <c r="A373" t="s">
        <v>2251</v>
      </c>
    </row>
    <row r="374" spans="1:1">
      <c r="A374" t="s">
        <v>2311</v>
      </c>
    </row>
    <row r="375" spans="1:1">
      <c r="A375" t="s">
        <v>2253</v>
      </c>
    </row>
    <row r="376" spans="1:1">
      <c r="A376" t="s">
        <v>2249</v>
      </c>
    </row>
    <row r="377" spans="1:1">
      <c r="A377" t="s">
        <v>2246</v>
      </c>
    </row>
    <row r="378" spans="1:1">
      <c r="A378" t="s">
        <v>2312</v>
      </c>
    </row>
    <row r="379" spans="1:1">
      <c r="A379" t="s">
        <v>2241</v>
      </c>
    </row>
    <row r="380" spans="1:1">
      <c r="A380" t="s">
        <v>2248</v>
      </c>
    </row>
    <row r="381" spans="1:1">
      <c r="A381" t="s">
        <v>2244</v>
      </c>
    </row>
    <row r="382" spans="1:1">
      <c r="A382" t="s">
        <v>2249</v>
      </c>
    </row>
    <row r="383" spans="1:1">
      <c r="A383" t="s">
        <v>2250</v>
      </c>
    </row>
    <row r="384" spans="1:1">
      <c r="A384" t="s">
        <v>2313</v>
      </c>
    </row>
    <row r="385" spans="1:1">
      <c r="A385" t="s">
        <v>2251</v>
      </c>
    </row>
    <row r="386" spans="1:1">
      <c r="A386" t="s">
        <v>2251</v>
      </c>
    </row>
    <row r="387" spans="1:1">
      <c r="A387" t="s">
        <v>2251</v>
      </c>
    </row>
    <row r="388" spans="1:1">
      <c r="A388" t="s">
        <v>2251</v>
      </c>
    </row>
    <row r="389" spans="1:1">
      <c r="A389" t="s">
        <v>2306</v>
      </c>
    </row>
    <row r="390" spans="1:1">
      <c r="A390" t="s">
        <v>2251</v>
      </c>
    </row>
    <row r="391" spans="1:1">
      <c r="A391" t="s">
        <v>2251</v>
      </c>
    </row>
    <row r="392" spans="1:1">
      <c r="A392" t="s">
        <v>2251</v>
      </c>
    </row>
    <row r="393" spans="1:1">
      <c r="A393" t="s">
        <v>2251</v>
      </c>
    </row>
    <row r="394" spans="1:1">
      <c r="A394" t="s">
        <v>2251</v>
      </c>
    </row>
    <row r="395" spans="1:1">
      <c r="A395" t="s">
        <v>2251</v>
      </c>
    </row>
    <row r="396" spans="1:1">
      <c r="A396" t="s">
        <v>2251</v>
      </c>
    </row>
    <row r="397" spans="1:1">
      <c r="A397" t="s">
        <v>2251</v>
      </c>
    </row>
    <row r="398" spans="1:1">
      <c r="A398" t="s">
        <v>2251</v>
      </c>
    </row>
    <row r="399" spans="1:1">
      <c r="A399" t="s">
        <v>2314</v>
      </c>
    </row>
    <row r="400" spans="1:1">
      <c r="A400" t="s">
        <v>2251</v>
      </c>
    </row>
    <row r="401" spans="1:1">
      <c r="A401" t="s">
        <v>2251</v>
      </c>
    </row>
    <row r="402" spans="1:1">
      <c r="A402" t="s">
        <v>2315</v>
      </c>
    </row>
    <row r="403" spans="1:1">
      <c r="A403" t="s">
        <v>2253</v>
      </c>
    </row>
    <row r="404" spans="1:1">
      <c r="A404" t="s">
        <v>2249</v>
      </c>
    </row>
    <row r="405" spans="1:1">
      <c r="A405" t="s">
        <v>2246</v>
      </c>
    </row>
    <row r="406" spans="1:1">
      <c r="A406" t="s">
        <v>2316</v>
      </c>
    </row>
    <row r="407" spans="1:1">
      <c r="A407" t="s">
        <v>2241</v>
      </c>
    </row>
    <row r="408" spans="1:1">
      <c r="A408" t="s">
        <v>2248</v>
      </c>
    </row>
    <row r="409" spans="1:1">
      <c r="A409" t="s">
        <v>2244</v>
      </c>
    </row>
    <row r="410" spans="1:1">
      <c r="A410" t="s">
        <v>2249</v>
      </c>
    </row>
    <row r="411" spans="1:1">
      <c r="A411" t="s">
        <v>2250</v>
      </c>
    </row>
    <row r="412" spans="1:1">
      <c r="A412" t="s">
        <v>2317</v>
      </c>
    </row>
    <row r="413" spans="1:1">
      <c r="A413" t="s">
        <v>2251</v>
      </c>
    </row>
    <row r="414" spans="1:1">
      <c r="A414" t="s">
        <v>2251</v>
      </c>
    </row>
    <row r="415" spans="1:1">
      <c r="A415" t="s">
        <v>2251</v>
      </c>
    </row>
    <row r="416" spans="1:1">
      <c r="A416" t="s">
        <v>2251</v>
      </c>
    </row>
    <row r="417" spans="1:1">
      <c r="A417" t="s">
        <v>2306</v>
      </c>
    </row>
    <row r="418" spans="1:1">
      <c r="A418" t="s">
        <v>2251</v>
      </c>
    </row>
    <row r="419" spans="1:1">
      <c r="A419" t="s">
        <v>2251</v>
      </c>
    </row>
    <row r="420" spans="1:1">
      <c r="A420" t="s">
        <v>2251</v>
      </c>
    </row>
    <row r="421" spans="1:1">
      <c r="A421" t="s">
        <v>2251</v>
      </c>
    </row>
    <row r="422" spans="1:1">
      <c r="A422" t="s">
        <v>2251</v>
      </c>
    </row>
    <row r="423" spans="1:1">
      <c r="A423" t="s">
        <v>2251</v>
      </c>
    </row>
    <row r="424" spans="1:1">
      <c r="A424" t="s">
        <v>2251</v>
      </c>
    </row>
    <row r="425" spans="1:1">
      <c r="A425" t="s">
        <v>2251</v>
      </c>
    </row>
    <row r="426" spans="1:1">
      <c r="A426" t="s">
        <v>2251</v>
      </c>
    </row>
    <row r="427" spans="1:1">
      <c r="A427" t="s">
        <v>2318</v>
      </c>
    </row>
    <row r="428" spans="1:1">
      <c r="A428" t="s">
        <v>2251</v>
      </c>
    </row>
    <row r="429" spans="1:1">
      <c r="A429" t="s">
        <v>2251</v>
      </c>
    </row>
    <row r="430" spans="1:1">
      <c r="A430" t="s">
        <v>2319</v>
      </c>
    </row>
    <row r="431" spans="1:1">
      <c r="A431" t="s">
        <v>2253</v>
      </c>
    </row>
    <row r="432" spans="1:1">
      <c r="A432" t="s">
        <v>2249</v>
      </c>
    </row>
    <row r="433" spans="1:1">
      <c r="A433" t="s">
        <v>2246</v>
      </c>
    </row>
    <row r="434" spans="1:1">
      <c r="A434" t="s">
        <v>2320</v>
      </c>
    </row>
    <row r="435" spans="1:1">
      <c r="A435" t="s">
        <v>2241</v>
      </c>
    </row>
    <row r="436" spans="1:1">
      <c r="A436" t="s">
        <v>2248</v>
      </c>
    </row>
    <row r="437" spans="1:1">
      <c r="A437" t="s">
        <v>2244</v>
      </c>
    </row>
    <row r="438" spans="1:1">
      <c r="A438" t="s">
        <v>2249</v>
      </c>
    </row>
    <row r="439" spans="1:1">
      <c r="A439" t="s">
        <v>2250</v>
      </c>
    </row>
    <row r="440" spans="1:1">
      <c r="A440" t="s">
        <v>2305</v>
      </c>
    </row>
    <row r="441" spans="1:1">
      <c r="A441" t="s">
        <v>2251</v>
      </c>
    </row>
    <row r="442" spans="1:1">
      <c r="A442" t="s">
        <v>2251</v>
      </c>
    </row>
    <row r="443" spans="1:1">
      <c r="A443" t="s">
        <v>2251</v>
      </c>
    </row>
    <row r="444" spans="1:1">
      <c r="A444" t="s">
        <v>2251</v>
      </c>
    </row>
    <row r="445" spans="1:1">
      <c r="A445" t="s">
        <v>2293</v>
      </c>
    </row>
    <row r="446" spans="1:1">
      <c r="A446" t="s">
        <v>2251</v>
      </c>
    </row>
    <row r="447" spans="1:1">
      <c r="A447" t="s">
        <v>2251</v>
      </c>
    </row>
    <row r="448" spans="1:1">
      <c r="A448" t="s">
        <v>2251</v>
      </c>
    </row>
    <row r="449" spans="1:1">
      <c r="A449" t="s">
        <v>2251</v>
      </c>
    </row>
    <row r="450" spans="1:1">
      <c r="A450" t="s">
        <v>2251</v>
      </c>
    </row>
    <row r="451" spans="1:1">
      <c r="A451" t="s">
        <v>2251</v>
      </c>
    </row>
    <row r="452" spans="1:1">
      <c r="A452" t="s">
        <v>2251</v>
      </c>
    </row>
    <row r="453" spans="1:1">
      <c r="A453" t="s">
        <v>2251</v>
      </c>
    </row>
    <row r="454" spans="1:1">
      <c r="A454" t="s">
        <v>2251</v>
      </c>
    </row>
    <row r="455" spans="1:1">
      <c r="A455" t="s">
        <v>2321</v>
      </c>
    </row>
    <row r="456" spans="1:1">
      <c r="A456" t="s">
        <v>2251</v>
      </c>
    </row>
    <row r="457" spans="1:1">
      <c r="A457" t="s">
        <v>2251</v>
      </c>
    </row>
    <row r="458" spans="1:1">
      <c r="A458" t="s">
        <v>2322</v>
      </c>
    </row>
    <row r="459" spans="1:1">
      <c r="A459" t="s">
        <v>2253</v>
      </c>
    </row>
    <row r="460" spans="1:1">
      <c r="A460" t="s">
        <v>2249</v>
      </c>
    </row>
    <row r="461" spans="1:1">
      <c r="A461" t="s">
        <v>2246</v>
      </c>
    </row>
    <row r="462" spans="1:1">
      <c r="A462" t="s">
        <v>2323</v>
      </c>
    </row>
    <row r="463" spans="1:1">
      <c r="A463" t="s">
        <v>2241</v>
      </c>
    </row>
    <row r="464" spans="1:1">
      <c r="A464" t="s">
        <v>2248</v>
      </c>
    </row>
    <row r="465" spans="1:1">
      <c r="A465" t="s">
        <v>2244</v>
      </c>
    </row>
    <row r="466" spans="1:1">
      <c r="A466" t="s">
        <v>2249</v>
      </c>
    </row>
    <row r="467" spans="1:1">
      <c r="A467" t="s">
        <v>2250</v>
      </c>
    </row>
    <row r="468" spans="1:1">
      <c r="A468" t="s">
        <v>2309</v>
      </c>
    </row>
    <row r="469" spans="1:1">
      <c r="A469" t="s">
        <v>2251</v>
      </c>
    </row>
    <row r="470" spans="1:1">
      <c r="A470" t="s">
        <v>2251</v>
      </c>
    </row>
    <row r="471" spans="1:1">
      <c r="A471" t="s">
        <v>2251</v>
      </c>
    </row>
    <row r="472" spans="1:1">
      <c r="A472" t="s">
        <v>2251</v>
      </c>
    </row>
    <row r="473" spans="1:1">
      <c r="A473" t="s">
        <v>2293</v>
      </c>
    </row>
    <row r="474" spans="1:1">
      <c r="A474" t="s">
        <v>2251</v>
      </c>
    </row>
    <row r="475" spans="1:1">
      <c r="A475" t="s">
        <v>2251</v>
      </c>
    </row>
    <row r="476" spans="1:1">
      <c r="A476" t="s">
        <v>2251</v>
      </c>
    </row>
    <row r="477" spans="1:1">
      <c r="A477" t="s">
        <v>2251</v>
      </c>
    </row>
    <row r="478" spans="1:1">
      <c r="A478" t="s">
        <v>2251</v>
      </c>
    </row>
    <row r="479" spans="1:1">
      <c r="A479" t="s">
        <v>2251</v>
      </c>
    </row>
    <row r="480" spans="1:1">
      <c r="A480" t="s">
        <v>2251</v>
      </c>
    </row>
    <row r="481" spans="1:1">
      <c r="A481" t="s">
        <v>2251</v>
      </c>
    </row>
    <row r="482" spans="1:1">
      <c r="A482" t="s">
        <v>2251</v>
      </c>
    </row>
    <row r="483" spans="1:1">
      <c r="A483" t="s">
        <v>2324</v>
      </c>
    </row>
    <row r="484" spans="1:1">
      <c r="A484" t="s">
        <v>2251</v>
      </c>
    </row>
    <row r="485" spans="1:1">
      <c r="A485" t="s">
        <v>2251</v>
      </c>
    </row>
    <row r="486" spans="1:1">
      <c r="A486" t="s">
        <v>2325</v>
      </c>
    </row>
    <row r="487" spans="1:1">
      <c r="A487" t="s">
        <v>2253</v>
      </c>
    </row>
    <row r="488" spans="1:1">
      <c r="A488" t="s">
        <v>2249</v>
      </c>
    </row>
    <row r="489" spans="1:1">
      <c r="A489" t="s">
        <v>2246</v>
      </c>
    </row>
    <row r="490" spans="1:1">
      <c r="A490" t="s">
        <v>2252</v>
      </c>
    </row>
    <row r="491" spans="1:1">
      <c r="A491" t="s">
        <v>2241</v>
      </c>
    </row>
    <row r="492" spans="1:1">
      <c r="A492" t="s">
        <v>2248</v>
      </c>
    </row>
    <row r="493" spans="1:1">
      <c r="A493" t="s">
        <v>2244</v>
      </c>
    </row>
    <row r="494" spans="1:1">
      <c r="A494" t="s">
        <v>2249</v>
      </c>
    </row>
    <row r="495" spans="1:1">
      <c r="A495" t="s">
        <v>2250</v>
      </c>
    </row>
    <row r="496" spans="1:1">
      <c r="A496" t="s">
        <v>2326</v>
      </c>
    </row>
    <row r="497" spans="1:1">
      <c r="A497" t="s">
        <v>2251</v>
      </c>
    </row>
    <row r="498" spans="1:1">
      <c r="A498" t="s">
        <v>2251</v>
      </c>
    </row>
    <row r="499" spans="1:1">
      <c r="A499" t="s">
        <v>2251</v>
      </c>
    </row>
    <row r="500" spans="1:1">
      <c r="A500" t="s">
        <v>2251</v>
      </c>
    </row>
    <row r="501" spans="1:1">
      <c r="A501" t="s">
        <v>2299</v>
      </c>
    </row>
    <row r="502" spans="1:1">
      <c r="A502" t="s">
        <v>2251</v>
      </c>
    </row>
    <row r="503" spans="1:1">
      <c r="A503" t="s">
        <v>2251</v>
      </c>
    </row>
    <row r="504" spans="1:1">
      <c r="A504" t="s">
        <v>2251</v>
      </c>
    </row>
    <row r="505" spans="1:1">
      <c r="A505" t="s">
        <v>2251</v>
      </c>
    </row>
    <row r="506" spans="1:1">
      <c r="A506" t="s">
        <v>2251</v>
      </c>
    </row>
    <row r="507" spans="1:1">
      <c r="A507" t="s">
        <v>2251</v>
      </c>
    </row>
    <row r="508" spans="1:1">
      <c r="A508" t="s">
        <v>2251</v>
      </c>
    </row>
    <row r="509" spans="1:1">
      <c r="A509" t="s">
        <v>2251</v>
      </c>
    </row>
    <row r="510" spans="1:1">
      <c r="A510" t="s">
        <v>2251</v>
      </c>
    </row>
    <row r="511" spans="1:1">
      <c r="A511" t="s">
        <v>2327</v>
      </c>
    </row>
    <row r="512" spans="1:1">
      <c r="A512" t="s">
        <v>2251</v>
      </c>
    </row>
    <row r="513" spans="1:1">
      <c r="A513" t="s">
        <v>2251</v>
      </c>
    </row>
    <row r="514" spans="1:1">
      <c r="A514" t="s">
        <v>2328</v>
      </c>
    </row>
    <row r="515" spans="1:1">
      <c r="A515" t="s">
        <v>2253</v>
      </c>
    </row>
    <row r="516" spans="1:1">
      <c r="A516" t="s">
        <v>2249</v>
      </c>
    </row>
    <row r="517" spans="1:1">
      <c r="A517" t="s">
        <v>2246</v>
      </c>
    </row>
    <row r="518" spans="1:1">
      <c r="A518" t="s">
        <v>2266</v>
      </c>
    </row>
    <row r="519" spans="1:1">
      <c r="A519" t="s">
        <v>2241</v>
      </c>
    </row>
    <row r="520" spans="1:1">
      <c r="A520" t="s">
        <v>2248</v>
      </c>
    </row>
    <row r="521" spans="1:1">
      <c r="A521" t="s">
        <v>2244</v>
      </c>
    </row>
    <row r="522" spans="1:1">
      <c r="A522" t="s">
        <v>2249</v>
      </c>
    </row>
    <row r="523" spans="1:1">
      <c r="A523" t="s">
        <v>2250</v>
      </c>
    </row>
    <row r="524" spans="1:1">
      <c r="A524" t="s">
        <v>2329</v>
      </c>
    </row>
    <row r="525" spans="1:1">
      <c r="A525" t="s">
        <v>2251</v>
      </c>
    </row>
    <row r="526" spans="1:1">
      <c r="A526" t="s">
        <v>2251</v>
      </c>
    </row>
    <row r="527" spans="1:1">
      <c r="A527" t="s">
        <v>2251</v>
      </c>
    </row>
    <row r="528" spans="1:1">
      <c r="A528" t="s">
        <v>2251</v>
      </c>
    </row>
    <row r="529" spans="1:1">
      <c r="A529" t="s">
        <v>2299</v>
      </c>
    </row>
    <row r="530" spans="1:1">
      <c r="A530" t="s">
        <v>2251</v>
      </c>
    </row>
    <row r="531" spans="1:1">
      <c r="A531" t="s">
        <v>2251</v>
      </c>
    </row>
    <row r="532" spans="1:1">
      <c r="A532" t="s">
        <v>2251</v>
      </c>
    </row>
    <row r="533" spans="1:1">
      <c r="A533" t="s">
        <v>2251</v>
      </c>
    </row>
    <row r="534" spans="1:1">
      <c r="A534" t="s">
        <v>2251</v>
      </c>
    </row>
    <row r="535" spans="1:1">
      <c r="A535" t="s">
        <v>2251</v>
      </c>
    </row>
    <row r="536" spans="1:1">
      <c r="A536" t="s">
        <v>2251</v>
      </c>
    </row>
    <row r="537" spans="1:1">
      <c r="A537" t="s">
        <v>2251</v>
      </c>
    </row>
    <row r="538" spans="1:1">
      <c r="A538" t="s">
        <v>2251</v>
      </c>
    </row>
    <row r="539" spans="1:1">
      <c r="A539" t="s">
        <v>2330</v>
      </c>
    </row>
    <row r="540" spans="1:1">
      <c r="A540" t="s">
        <v>2251</v>
      </c>
    </row>
    <row r="541" spans="1:1">
      <c r="A541" t="s">
        <v>2251</v>
      </c>
    </row>
    <row r="542" spans="1:1">
      <c r="A542" t="s">
        <v>2331</v>
      </c>
    </row>
    <row r="543" spans="1:1">
      <c r="A543" t="s">
        <v>2253</v>
      </c>
    </row>
    <row r="544" spans="1:1">
      <c r="A544" t="s">
        <v>2249</v>
      </c>
    </row>
    <row r="545" spans="1:1">
      <c r="A545" t="s">
        <v>2246</v>
      </c>
    </row>
    <row r="546" spans="1:1">
      <c r="A546" t="s">
        <v>2336</v>
      </c>
    </row>
    <row r="547" spans="1:1">
      <c r="A547" t="s">
        <v>2241</v>
      </c>
    </row>
    <row r="548" spans="1:1">
      <c r="A548" t="s">
        <v>2248</v>
      </c>
    </row>
    <row r="549" spans="1:1">
      <c r="A549" t="s">
        <v>2244</v>
      </c>
    </row>
    <row r="550" spans="1:1">
      <c r="A550" t="s">
        <v>2249</v>
      </c>
    </row>
    <row r="551" spans="1:1">
      <c r="A551" t="s">
        <v>2264</v>
      </c>
    </row>
    <row r="552" spans="1:1">
      <c r="A552" t="s">
        <v>2251</v>
      </c>
    </row>
    <row r="553" spans="1:1">
      <c r="A553" t="s">
        <v>2251</v>
      </c>
    </row>
    <row r="554" spans="1:1">
      <c r="A554" t="s">
        <v>2251</v>
      </c>
    </row>
    <row r="555" spans="1:1">
      <c r="A555" t="s">
        <v>2251</v>
      </c>
    </row>
    <row r="556" spans="1:1">
      <c r="A556" t="s">
        <v>2251</v>
      </c>
    </row>
    <row r="557" spans="1:1">
      <c r="A557" t="s">
        <v>2251</v>
      </c>
    </row>
    <row r="558" spans="1:1">
      <c r="A558" t="s">
        <v>2337</v>
      </c>
    </row>
    <row r="559" spans="1:1">
      <c r="A559" t="s">
        <v>2251</v>
      </c>
    </row>
    <row r="560" spans="1:1">
      <c r="A560" t="s">
        <v>2251</v>
      </c>
    </row>
    <row r="561" spans="1:1">
      <c r="A561" t="s">
        <v>2251</v>
      </c>
    </row>
    <row r="562" spans="1:1">
      <c r="A562" t="s">
        <v>2251</v>
      </c>
    </row>
    <row r="563" spans="1:1">
      <c r="A563" t="s">
        <v>2251</v>
      </c>
    </row>
    <row r="564" spans="1:1">
      <c r="A564" t="s">
        <v>2251</v>
      </c>
    </row>
    <row r="565" spans="1:1">
      <c r="A565" t="s">
        <v>2251</v>
      </c>
    </row>
    <row r="566" spans="1:1">
      <c r="A566" t="s">
        <v>2251</v>
      </c>
    </row>
    <row r="567" spans="1:1">
      <c r="A567" t="s">
        <v>2251</v>
      </c>
    </row>
    <row r="568" spans="1:1">
      <c r="A568" t="s">
        <v>2338</v>
      </c>
    </row>
    <row r="569" spans="1:1">
      <c r="A569" t="s">
        <v>2251</v>
      </c>
    </row>
    <row r="570" spans="1:1">
      <c r="A570" t="s">
        <v>2251</v>
      </c>
    </row>
    <row r="571" spans="1:1">
      <c r="A571" t="s">
        <v>2339</v>
      </c>
    </row>
    <row r="572" spans="1:1">
      <c r="A572" t="s">
        <v>2253</v>
      </c>
    </row>
    <row r="573" spans="1:1">
      <c r="A573" t="s">
        <v>2268</v>
      </c>
    </row>
    <row r="574" spans="1:1">
      <c r="A574" t="s">
        <v>2269</v>
      </c>
    </row>
    <row r="575" spans="1:1">
      <c r="A575" t="s">
        <v>2270</v>
      </c>
    </row>
    <row r="576" spans="1:1">
      <c r="A576" t="s">
        <v>2271</v>
      </c>
    </row>
  </sheetData>
  <mergeCells count="1">
    <mergeCell ref="E1:J1"/>
  </mergeCells>
  <dataValidations count="1">
    <dataValidation type="list" allowBlank="1" showInputMessage="1" showErrorMessage="1" sqref="C11" xr:uid="{8411342B-21EA-41B7-A4BD-C4981C8D3576}">
      <formula1>"Office,VPN,Slower"</formula1>
    </dataValidation>
  </dataValidations>
  <pageMargins left="0.511811024" right="0.511811024" top="0.78740157499999996" bottom="0.78740157499999996" header="0.31496062000000002" footer="0.31496062000000002"/>
  <pageSetup paperSize="9" orientation="portrait" r:id="rId1"/>
  <drawing r:id="rId2"/>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87915651-F22E-451B-A225-F4C944FCD7D7}">
          <x14:formula1>
            <xm:f>ITEM_REFERENCE!$A:$A</xm:f>
          </x14:formula1>
          <xm:sqref>C8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59F9A-A276-45B6-A649-108D0799A144}">
  <sheetPr codeName="Planilha4"/>
  <dimension ref="A1:A24"/>
  <sheetViews>
    <sheetView topLeftCell="A2" workbookViewId="0">
      <selection activeCell="O39" sqref="O39"/>
    </sheetView>
  </sheetViews>
  <sheetFormatPr defaultRowHeight="13.2"/>
  <cols>
    <col min="1" max="1" width="7.109375" bestFit="1" customWidth="1"/>
  </cols>
  <sheetData>
    <row r="1" spans="1:1">
      <c r="A1" t="s">
        <v>96</v>
      </c>
    </row>
    <row r="2" spans="1:1">
      <c r="A2">
        <v>10</v>
      </c>
    </row>
    <row r="3" spans="1:1">
      <c r="A3">
        <v>20</v>
      </c>
    </row>
    <row r="4" spans="1:1">
      <c r="A4">
        <v>30</v>
      </c>
    </row>
    <row r="5" spans="1:1">
      <c r="A5">
        <v>40</v>
      </c>
    </row>
    <row r="6" spans="1:1">
      <c r="A6">
        <v>50</v>
      </c>
    </row>
    <row r="7" spans="1:1">
      <c r="A7">
        <v>60</v>
      </c>
    </row>
    <row r="8" spans="1:1">
      <c r="A8">
        <v>70</v>
      </c>
    </row>
    <row r="9" spans="1:1">
      <c r="A9">
        <v>80</v>
      </c>
    </row>
    <row r="10" spans="1:1">
      <c r="A10">
        <v>90</v>
      </c>
    </row>
    <row r="11" spans="1:1">
      <c r="A11">
        <v>100</v>
      </c>
    </row>
    <row r="12" spans="1:1">
      <c r="A12">
        <v>110</v>
      </c>
    </row>
    <row r="13" spans="1:1">
      <c r="A13">
        <v>120</v>
      </c>
    </row>
    <row r="14" spans="1:1">
      <c r="A14">
        <v>130</v>
      </c>
    </row>
    <row r="15" spans="1:1">
      <c r="A15">
        <v>140</v>
      </c>
    </row>
    <row r="16" spans="1:1">
      <c r="A16">
        <v>150</v>
      </c>
    </row>
    <row r="17" spans="1:1">
      <c r="A17">
        <v>160</v>
      </c>
    </row>
    <row r="18" spans="1:1">
      <c r="A18">
        <v>170</v>
      </c>
    </row>
    <row r="19" spans="1:1">
      <c r="A19">
        <v>180</v>
      </c>
    </row>
    <row r="20" spans="1:1">
      <c r="A20">
        <v>190</v>
      </c>
    </row>
    <row r="21" spans="1:1">
      <c r="A21">
        <v>200</v>
      </c>
    </row>
    <row r="22" spans="1:1">
      <c r="A22">
        <v>210</v>
      </c>
    </row>
    <row r="23" spans="1:1">
      <c r="A23">
        <v>220</v>
      </c>
    </row>
    <row r="24" spans="1:1">
      <c r="A24">
        <v>230</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3937-038B-41F2-B402-F83684B42D66}">
  <sheetPr codeName="Plan15"/>
  <dimension ref="A1:Y78"/>
  <sheetViews>
    <sheetView showGridLines="0" zoomScaleNormal="100" workbookViewId="0">
      <selection activeCell="AI27" sqref="AI26:AI27"/>
    </sheetView>
  </sheetViews>
  <sheetFormatPr defaultColWidth="3.6640625" defaultRowHeight="13.2"/>
  <cols>
    <col min="1" max="1" width="4.5546875" style="595" customWidth="1"/>
    <col min="2" max="25" width="3.6640625" style="595" customWidth="1"/>
    <col min="26" max="16384" width="3.6640625" style="595"/>
  </cols>
  <sheetData>
    <row r="1" spans="1:25" ht="12.75" customHeight="1">
      <c r="A1" s="937"/>
      <c r="B1" s="938"/>
      <c r="C1" s="938"/>
      <c r="D1" s="938"/>
      <c r="E1" s="938"/>
      <c r="F1" s="938"/>
      <c r="G1" s="938"/>
      <c r="H1" s="939"/>
      <c r="I1" s="946" t="str">
        <f>OVERALL!I1</f>
        <v xml:space="preserve"> - </v>
      </c>
      <c r="J1" s="947"/>
      <c r="K1" s="947"/>
      <c r="L1" s="947"/>
      <c r="M1" s="947"/>
      <c r="N1" s="947"/>
      <c r="O1" s="947"/>
      <c r="P1" s="947"/>
      <c r="Q1" s="947"/>
      <c r="R1" s="947"/>
      <c r="S1" s="947"/>
      <c r="T1" s="947"/>
      <c r="U1" s="947"/>
      <c r="V1" s="947"/>
      <c r="W1" s="947"/>
      <c r="X1" s="947"/>
      <c r="Y1" s="948"/>
    </row>
    <row r="2" spans="1:25" ht="12.75" customHeight="1">
      <c r="A2" s="940"/>
      <c r="B2" s="941"/>
      <c r="C2" s="941"/>
      <c r="D2" s="941"/>
      <c r="E2" s="941"/>
      <c r="F2" s="941"/>
      <c r="G2" s="941"/>
      <c r="H2" s="942"/>
      <c r="I2" s="949"/>
      <c r="J2" s="950"/>
      <c r="K2" s="950"/>
      <c r="L2" s="950"/>
      <c r="M2" s="950"/>
      <c r="N2" s="950"/>
      <c r="O2" s="950"/>
      <c r="P2" s="950"/>
      <c r="Q2" s="950"/>
      <c r="R2" s="950"/>
      <c r="S2" s="950"/>
      <c r="T2" s="950"/>
      <c r="U2" s="950"/>
      <c r="V2" s="950"/>
      <c r="W2" s="950"/>
      <c r="X2" s="950"/>
      <c r="Y2" s="951"/>
    </row>
    <row r="3" spans="1:25" ht="12.75" customHeight="1">
      <c r="A3" s="940"/>
      <c r="B3" s="941"/>
      <c r="C3" s="941"/>
      <c r="D3" s="941"/>
      <c r="E3" s="941"/>
      <c r="F3" s="941"/>
      <c r="G3" s="941"/>
      <c r="H3" s="942"/>
      <c r="I3" s="946" t="str">
        <f>OVERALL!I3</f>
        <v xml:space="preserve"> - </v>
      </c>
      <c r="J3" s="952"/>
      <c r="K3" s="952"/>
      <c r="L3" s="952"/>
      <c r="M3" s="952"/>
      <c r="N3" s="952"/>
      <c r="O3" s="952"/>
      <c r="P3" s="952"/>
      <c r="Q3" s="952"/>
      <c r="R3" s="952"/>
      <c r="S3" s="952"/>
      <c r="T3" s="952"/>
      <c r="U3" s="952"/>
      <c r="V3" s="952"/>
      <c r="W3" s="952"/>
      <c r="X3" s="952"/>
      <c r="Y3" s="953"/>
    </row>
    <row r="4" spans="1:25" ht="12.75" customHeight="1">
      <c r="A4" s="940"/>
      <c r="B4" s="941"/>
      <c r="C4" s="941"/>
      <c r="D4" s="941"/>
      <c r="E4" s="941"/>
      <c r="F4" s="941"/>
      <c r="G4" s="941"/>
      <c r="H4" s="942"/>
      <c r="I4" s="954"/>
      <c r="J4" s="955"/>
      <c r="K4" s="955"/>
      <c r="L4" s="955"/>
      <c r="M4" s="955"/>
      <c r="N4" s="955"/>
      <c r="O4" s="955"/>
      <c r="P4" s="955"/>
      <c r="Q4" s="955"/>
      <c r="R4" s="955"/>
      <c r="S4" s="955"/>
      <c r="T4" s="955"/>
      <c r="U4" s="955"/>
      <c r="V4" s="955"/>
      <c r="W4" s="955"/>
      <c r="X4" s="955"/>
      <c r="Y4" s="956"/>
    </row>
    <row r="5" spans="1:25" ht="5.0999999999999996" customHeight="1">
      <c r="A5" s="940"/>
      <c r="B5" s="941"/>
      <c r="C5" s="941"/>
      <c r="D5" s="941"/>
      <c r="E5" s="941"/>
      <c r="F5" s="941"/>
      <c r="G5" s="941"/>
      <c r="H5" s="942"/>
      <c r="I5" s="957"/>
      <c r="J5" s="958"/>
      <c r="K5" s="958"/>
      <c r="L5" s="958"/>
      <c r="M5" s="958"/>
      <c r="N5" s="958"/>
      <c r="O5" s="958"/>
      <c r="P5" s="958"/>
      <c r="Q5" s="958"/>
      <c r="R5" s="958"/>
      <c r="S5" s="958"/>
      <c r="T5" s="958"/>
      <c r="U5" s="958"/>
      <c r="V5" s="958"/>
      <c r="W5" s="958"/>
      <c r="X5" s="958"/>
      <c r="Y5" s="959"/>
    </row>
    <row r="6" spans="1:25" ht="16.5" customHeight="1">
      <c r="A6" s="940"/>
      <c r="B6" s="941"/>
      <c r="C6" s="941"/>
      <c r="D6" s="941"/>
      <c r="E6" s="941"/>
      <c r="F6" s="941"/>
      <c r="G6" s="941"/>
      <c r="H6" s="942"/>
      <c r="I6" s="960" t="str">
        <f>OVERALL!I6</f>
        <v>Drawing number</v>
      </c>
      <c r="J6" s="961"/>
      <c r="K6" s="961"/>
      <c r="L6" s="961"/>
      <c r="M6" s="961"/>
      <c r="N6" s="961"/>
      <c r="O6" s="961"/>
      <c r="P6" s="961"/>
      <c r="Q6" s="961"/>
      <c r="R6" s="961"/>
      <c r="S6" s="962"/>
      <c r="T6" s="963" t="str">
        <f>OVERALL!V6</f>
        <v>Revision</v>
      </c>
      <c r="U6" s="963"/>
      <c r="V6" s="964"/>
      <c r="W6" s="960" t="str">
        <f>OVERALL!Y6</f>
        <v>State</v>
      </c>
      <c r="X6" s="961"/>
      <c r="Y6" s="962"/>
    </row>
    <row r="7" spans="1:25" ht="16.5" customHeight="1">
      <c r="A7" s="943"/>
      <c r="B7" s="944"/>
      <c r="C7" s="944"/>
      <c r="D7" s="944"/>
      <c r="E7" s="944"/>
      <c r="F7" s="944"/>
      <c r="G7" s="944"/>
      <c r="H7" s="945"/>
      <c r="I7" s="965" t="str">
        <f>OVERALL!I7</f>
        <v>CS</v>
      </c>
      <c r="J7" s="966"/>
      <c r="K7" s="966"/>
      <c r="L7" s="966"/>
      <c r="M7" s="966"/>
      <c r="N7" s="966"/>
      <c r="O7" s="966"/>
      <c r="P7" s="966"/>
      <c r="Q7" s="966"/>
      <c r="R7" s="966"/>
      <c r="S7" s="967"/>
      <c r="T7" s="968" t="str">
        <f>OVERALL!V7</f>
        <v>A00</v>
      </c>
      <c r="U7" s="969"/>
      <c r="V7" s="969"/>
      <c r="W7" s="970" t="str">
        <f>OVERALL!Y7</f>
        <v>V</v>
      </c>
      <c r="X7" s="971"/>
      <c r="Y7" s="972"/>
    </row>
    <row r="8" spans="1:25" ht="5.0999999999999996" customHeight="1">
      <c r="A8" s="941"/>
      <c r="B8" s="941"/>
      <c r="C8" s="941"/>
      <c r="D8" s="941"/>
      <c r="E8" s="941"/>
      <c r="F8" s="941"/>
      <c r="G8" s="941"/>
      <c r="H8" s="941"/>
      <c r="I8" s="941"/>
      <c r="J8" s="941"/>
      <c r="K8" s="941"/>
      <c r="L8" s="941"/>
      <c r="M8" s="941"/>
      <c r="N8" s="941"/>
      <c r="O8" s="941"/>
      <c r="P8" s="941"/>
      <c r="Q8" s="941"/>
      <c r="R8" s="941"/>
      <c r="S8" s="941"/>
      <c r="T8" s="941"/>
      <c r="U8" s="941"/>
      <c r="V8" s="941"/>
      <c r="W8" s="941"/>
      <c r="X8" s="941"/>
      <c r="Y8" s="941"/>
    </row>
    <row r="9" spans="1:25" ht="12.75" customHeight="1">
      <c r="A9" s="973" t="s">
        <v>96</v>
      </c>
      <c r="B9" s="974" t="s">
        <v>503</v>
      </c>
      <c r="C9" s="974"/>
      <c r="D9" s="974"/>
      <c r="E9" s="974"/>
      <c r="F9" s="974"/>
      <c r="G9" s="974" t="s">
        <v>504</v>
      </c>
      <c r="H9" s="974"/>
      <c r="I9" s="974"/>
      <c r="J9" s="974"/>
      <c r="K9" s="974"/>
      <c r="L9" s="974"/>
      <c r="M9" s="974"/>
      <c r="N9" s="974" t="s">
        <v>505</v>
      </c>
      <c r="O9" s="974"/>
      <c r="P9" s="974"/>
      <c r="Q9" s="974"/>
      <c r="R9" s="974" t="s">
        <v>25</v>
      </c>
      <c r="S9" s="974" t="s">
        <v>664</v>
      </c>
      <c r="T9" s="974"/>
      <c r="U9" s="974"/>
      <c r="V9" s="974"/>
      <c r="W9" s="974"/>
      <c r="X9" s="974"/>
      <c r="Y9" s="973" t="s">
        <v>507</v>
      </c>
    </row>
    <row r="10" spans="1:25">
      <c r="A10" s="973"/>
      <c r="B10" s="974"/>
      <c r="C10" s="974"/>
      <c r="D10" s="974"/>
      <c r="E10" s="974"/>
      <c r="F10" s="974"/>
      <c r="G10" s="974"/>
      <c r="H10" s="974"/>
      <c r="I10" s="974"/>
      <c r="J10" s="974"/>
      <c r="K10" s="974"/>
      <c r="L10" s="974"/>
      <c r="M10" s="974"/>
      <c r="N10" s="974" t="s">
        <v>506</v>
      </c>
      <c r="O10" s="974"/>
      <c r="P10" s="974" t="s">
        <v>27</v>
      </c>
      <c r="Q10" s="974"/>
      <c r="R10" s="974"/>
      <c r="S10" s="974" t="s">
        <v>506</v>
      </c>
      <c r="T10" s="974"/>
      <c r="U10" s="974"/>
      <c r="V10" s="974" t="s">
        <v>27</v>
      </c>
      <c r="W10" s="974"/>
      <c r="X10" s="974"/>
      <c r="Y10" s="973"/>
    </row>
    <row r="11" spans="1:25" ht="5.0999999999999996" customHeight="1">
      <c r="A11" s="941"/>
      <c r="B11" s="941"/>
      <c r="C11" s="941"/>
      <c r="D11" s="941"/>
      <c r="E11" s="941"/>
      <c r="F11" s="941"/>
      <c r="G11" s="941"/>
      <c r="H11" s="941"/>
      <c r="I11" s="941"/>
      <c r="J11" s="941"/>
      <c r="K11" s="941"/>
      <c r="L11" s="941"/>
      <c r="M11" s="941"/>
      <c r="N11" s="941"/>
      <c r="O11" s="941"/>
      <c r="P11" s="941"/>
      <c r="Q11" s="941"/>
      <c r="R11" s="941"/>
      <c r="S11" s="941"/>
      <c r="T11" s="941"/>
      <c r="U11" s="941"/>
      <c r="V11" s="941"/>
      <c r="W11" s="941"/>
      <c r="X11" s="941"/>
      <c r="Y11" s="941"/>
    </row>
    <row r="12" spans="1:25" s="597" customFormat="1" ht="12.75" customHeight="1">
      <c r="A12" s="596"/>
      <c r="B12" s="975"/>
      <c r="C12" s="975"/>
      <c r="D12" s="975"/>
      <c r="E12" s="975"/>
      <c r="F12" s="975"/>
      <c r="G12" s="975"/>
      <c r="H12" s="975"/>
      <c r="I12" s="975"/>
      <c r="J12" s="975"/>
      <c r="K12" s="975"/>
      <c r="L12" s="975"/>
      <c r="M12" s="975"/>
      <c r="N12" s="975"/>
      <c r="O12" s="975"/>
      <c r="P12" s="975"/>
      <c r="Q12" s="975"/>
      <c r="R12" s="596"/>
      <c r="S12" s="976"/>
      <c r="T12" s="976"/>
      <c r="U12" s="976"/>
      <c r="V12" s="976"/>
      <c r="W12" s="976"/>
      <c r="X12" s="976"/>
      <c r="Y12" s="596"/>
    </row>
    <row r="13" spans="1:25" s="597" customFormat="1" ht="12.75" customHeight="1">
      <c r="A13" s="596"/>
      <c r="B13" s="975"/>
      <c r="C13" s="975"/>
      <c r="D13" s="975"/>
      <c r="E13" s="975"/>
      <c r="F13" s="975"/>
      <c r="G13" s="975"/>
      <c r="H13" s="975"/>
      <c r="I13" s="975"/>
      <c r="J13" s="975"/>
      <c r="K13" s="975"/>
      <c r="L13" s="975"/>
      <c r="M13" s="975"/>
      <c r="N13" s="975"/>
      <c r="O13" s="975"/>
      <c r="P13" s="975"/>
      <c r="Q13" s="975"/>
      <c r="R13" s="596"/>
      <c r="S13" s="976"/>
      <c r="T13" s="976"/>
      <c r="U13" s="976"/>
      <c r="V13" s="976"/>
      <c r="W13" s="976"/>
      <c r="X13" s="976"/>
      <c r="Y13" s="596"/>
    </row>
    <row r="14" spans="1:25" s="597" customFormat="1" ht="12.75" customHeight="1">
      <c r="A14" s="596"/>
      <c r="B14" s="975"/>
      <c r="C14" s="975"/>
      <c r="D14" s="975"/>
      <c r="E14" s="975"/>
      <c r="F14" s="975"/>
      <c r="G14" s="975"/>
      <c r="H14" s="975"/>
      <c r="I14" s="975"/>
      <c r="J14" s="975"/>
      <c r="K14" s="975"/>
      <c r="L14" s="975"/>
      <c r="M14" s="975"/>
      <c r="N14" s="975"/>
      <c r="O14" s="975"/>
      <c r="P14" s="975"/>
      <c r="Q14" s="975"/>
      <c r="R14" s="596"/>
      <c r="S14" s="976"/>
      <c r="T14" s="976"/>
      <c r="U14" s="976"/>
      <c r="V14" s="976"/>
      <c r="W14" s="976"/>
      <c r="X14" s="976"/>
      <c r="Y14" s="596"/>
    </row>
    <row r="15" spans="1:25" s="597" customFormat="1" ht="12.75" customHeight="1">
      <c r="A15" s="596"/>
      <c r="B15" s="975"/>
      <c r="C15" s="975"/>
      <c r="D15" s="975"/>
      <c r="E15" s="975"/>
      <c r="F15" s="975"/>
      <c r="G15" s="975"/>
      <c r="H15" s="975"/>
      <c r="I15" s="975"/>
      <c r="J15" s="975"/>
      <c r="K15" s="975"/>
      <c r="L15" s="975"/>
      <c r="M15" s="975"/>
      <c r="N15" s="975"/>
      <c r="O15" s="975"/>
      <c r="P15" s="975"/>
      <c r="Q15" s="975"/>
      <c r="R15" s="596"/>
      <c r="S15" s="976"/>
      <c r="T15" s="976"/>
      <c r="U15" s="976"/>
      <c r="V15" s="976"/>
      <c r="W15" s="976"/>
      <c r="X15" s="976"/>
      <c r="Y15" s="596"/>
    </row>
    <row r="16" spans="1:25" s="597" customFormat="1" ht="12.75" customHeight="1">
      <c r="A16" s="596"/>
      <c r="B16" s="975"/>
      <c r="C16" s="975"/>
      <c r="D16" s="975"/>
      <c r="E16" s="975"/>
      <c r="F16" s="975"/>
      <c r="G16" s="975"/>
      <c r="H16" s="975"/>
      <c r="I16" s="975"/>
      <c r="J16" s="975"/>
      <c r="K16" s="975"/>
      <c r="L16" s="975"/>
      <c r="M16" s="975"/>
      <c r="N16" s="975"/>
      <c r="O16" s="975"/>
      <c r="P16" s="975"/>
      <c r="Q16" s="975"/>
      <c r="R16" s="596"/>
      <c r="S16" s="976"/>
      <c r="T16" s="976"/>
      <c r="U16" s="976"/>
      <c r="V16" s="976"/>
      <c r="W16" s="976"/>
      <c r="X16" s="976"/>
      <c r="Y16" s="596"/>
    </row>
    <row r="17" spans="1:25" s="597" customFormat="1" ht="12.75" customHeight="1">
      <c r="A17" s="596"/>
      <c r="B17" s="975"/>
      <c r="C17" s="975"/>
      <c r="D17" s="975"/>
      <c r="E17" s="975"/>
      <c r="F17" s="975"/>
      <c r="G17" s="975"/>
      <c r="H17" s="975"/>
      <c r="I17" s="975"/>
      <c r="J17" s="975"/>
      <c r="K17" s="975"/>
      <c r="L17" s="975"/>
      <c r="M17" s="975"/>
      <c r="N17" s="975"/>
      <c r="O17" s="975"/>
      <c r="P17" s="975"/>
      <c r="Q17" s="975"/>
      <c r="R17" s="596"/>
      <c r="S17" s="976"/>
      <c r="T17" s="976"/>
      <c r="U17" s="976"/>
      <c r="V17" s="976"/>
      <c r="W17" s="976"/>
      <c r="X17" s="976"/>
      <c r="Y17" s="596"/>
    </row>
    <row r="18" spans="1:25" s="597" customFormat="1" ht="12.75" customHeight="1">
      <c r="A18" s="596"/>
      <c r="B18" s="975"/>
      <c r="C18" s="975"/>
      <c r="D18" s="975"/>
      <c r="E18" s="975"/>
      <c r="F18" s="975"/>
      <c r="G18" s="975"/>
      <c r="H18" s="975"/>
      <c r="I18" s="975"/>
      <c r="J18" s="975"/>
      <c r="K18" s="975"/>
      <c r="L18" s="975"/>
      <c r="M18" s="975"/>
      <c r="N18" s="975"/>
      <c r="O18" s="975"/>
      <c r="P18" s="975"/>
      <c r="Q18" s="975"/>
      <c r="R18" s="596"/>
      <c r="S18" s="976"/>
      <c r="T18" s="976"/>
      <c r="U18" s="976"/>
      <c r="V18" s="976"/>
      <c r="W18" s="976"/>
      <c r="X18" s="976"/>
      <c r="Y18" s="596"/>
    </row>
    <row r="19" spans="1:25" s="597" customFormat="1" ht="12.75" customHeight="1">
      <c r="A19" s="596"/>
      <c r="B19" s="975"/>
      <c r="C19" s="975"/>
      <c r="D19" s="975"/>
      <c r="E19" s="975"/>
      <c r="F19" s="975"/>
      <c r="G19" s="975"/>
      <c r="H19" s="975"/>
      <c r="I19" s="975"/>
      <c r="J19" s="975"/>
      <c r="K19" s="975"/>
      <c r="L19" s="975"/>
      <c r="M19" s="975"/>
      <c r="N19" s="975"/>
      <c r="O19" s="975"/>
      <c r="P19" s="975"/>
      <c r="Q19" s="975"/>
      <c r="R19" s="596"/>
      <c r="S19" s="976"/>
      <c r="T19" s="976"/>
      <c r="U19" s="976"/>
      <c r="V19" s="976"/>
      <c r="W19" s="976"/>
      <c r="X19" s="976"/>
      <c r="Y19" s="596"/>
    </row>
    <row r="20" spans="1:25" s="597" customFormat="1" ht="12.75" customHeight="1">
      <c r="A20" s="596"/>
      <c r="B20" s="975"/>
      <c r="C20" s="975"/>
      <c r="D20" s="975"/>
      <c r="E20" s="975"/>
      <c r="F20" s="975"/>
      <c r="G20" s="975"/>
      <c r="H20" s="975"/>
      <c r="I20" s="975"/>
      <c r="J20" s="975"/>
      <c r="K20" s="975"/>
      <c r="L20" s="975"/>
      <c r="M20" s="975"/>
      <c r="N20" s="975"/>
      <c r="O20" s="975"/>
      <c r="P20" s="975"/>
      <c r="Q20" s="975"/>
      <c r="R20" s="596"/>
      <c r="S20" s="976"/>
      <c r="T20" s="976"/>
      <c r="U20" s="976"/>
      <c r="V20" s="976"/>
      <c r="W20" s="976"/>
      <c r="X20" s="976"/>
      <c r="Y20" s="596"/>
    </row>
    <row r="21" spans="1:25" s="597" customFormat="1" ht="12.75" customHeight="1">
      <c r="A21" s="596"/>
      <c r="B21" s="975"/>
      <c r="C21" s="975"/>
      <c r="D21" s="975"/>
      <c r="E21" s="975"/>
      <c r="F21" s="975"/>
      <c r="G21" s="975"/>
      <c r="H21" s="975"/>
      <c r="I21" s="975"/>
      <c r="J21" s="975"/>
      <c r="K21" s="975"/>
      <c r="L21" s="975"/>
      <c r="M21" s="975"/>
      <c r="N21" s="975"/>
      <c r="O21" s="975"/>
      <c r="P21" s="975"/>
      <c r="Q21" s="975"/>
      <c r="R21" s="596"/>
      <c r="S21" s="976"/>
      <c r="T21" s="976"/>
      <c r="U21" s="976"/>
      <c r="V21" s="976"/>
      <c r="W21" s="976"/>
      <c r="X21" s="976"/>
      <c r="Y21" s="596"/>
    </row>
    <row r="22" spans="1:25" s="597" customFormat="1" ht="12.75" customHeight="1">
      <c r="A22" s="596"/>
      <c r="B22" s="975"/>
      <c r="C22" s="975"/>
      <c r="D22" s="975"/>
      <c r="E22" s="975"/>
      <c r="F22" s="975"/>
      <c r="G22" s="975"/>
      <c r="H22" s="975"/>
      <c r="I22" s="975"/>
      <c r="J22" s="975"/>
      <c r="K22" s="975"/>
      <c r="L22" s="975"/>
      <c r="M22" s="975"/>
      <c r="N22" s="975"/>
      <c r="O22" s="975"/>
      <c r="P22" s="975"/>
      <c r="Q22" s="975"/>
      <c r="R22" s="596"/>
      <c r="S22" s="976"/>
      <c r="T22" s="976"/>
      <c r="U22" s="976"/>
      <c r="V22" s="976"/>
      <c r="W22" s="976"/>
      <c r="X22" s="976"/>
      <c r="Y22" s="596"/>
    </row>
    <row r="23" spans="1:25" s="597" customFormat="1" ht="12.75" customHeight="1">
      <c r="A23" s="596"/>
      <c r="B23" s="975"/>
      <c r="C23" s="975"/>
      <c r="D23" s="975"/>
      <c r="E23" s="975"/>
      <c r="F23" s="975"/>
      <c r="G23" s="975"/>
      <c r="H23" s="975"/>
      <c r="I23" s="975"/>
      <c r="J23" s="975"/>
      <c r="K23" s="975"/>
      <c r="L23" s="975"/>
      <c r="M23" s="975"/>
      <c r="N23" s="975"/>
      <c r="O23" s="975"/>
      <c r="P23" s="975"/>
      <c r="Q23" s="975"/>
      <c r="R23" s="596"/>
      <c r="S23" s="976"/>
      <c r="T23" s="976"/>
      <c r="U23" s="976"/>
      <c r="V23" s="976"/>
      <c r="W23" s="976"/>
      <c r="X23" s="976"/>
      <c r="Y23" s="596"/>
    </row>
    <row r="24" spans="1:25" s="597" customFormat="1" ht="12.75" customHeight="1">
      <c r="A24" s="596"/>
      <c r="B24" s="975"/>
      <c r="C24" s="975"/>
      <c r="D24" s="975"/>
      <c r="E24" s="975"/>
      <c r="F24" s="975"/>
      <c r="G24" s="975"/>
      <c r="H24" s="975"/>
      <c r="I24" s="975"/>
      <c r="J24" s="975"/>
      <c r="K24" s="975"/>
      <c r="L24" s="975"/>
      <c r="M24" s="975"/>
      <c r="N24" s="975"/>
      <c r="O24" s="975"/>
      <c r="P24" s="975"/>
      <c r="Q24" s="975"/>
      <c r="R24" s="596"/>
      <c r="S24" s="976"/>
      <c r="T24" s="976"/>
      <c r="U24" s="976"/>
      <c r="V24" s="976"/>
      <c r="W24" s="976"/>
      <c r="X24" s="976"/>
      <c r="Y24" s="596"/>
    </row>
    <row r="25" spans="1:25" s="597" customFormat="1" ht="12.75" customHeight="1">
      <c r="A25" s="596"/>
      <c r="B25" s="975"/>
      <c r="C25" s="975"/>
      <c r="D25" s="975"/>
      <c r="E25" s="975"/>
      <c r="F25" s="975"/>
      <c r="G25" s="975"/>
      <c r="H25" s="975"/>
      <c r="I25" s="975"/>
      <c r="J25" s="975"/>
      <c r="K25" s="975"/>
      <c r="L25" s="975"/>
      <c r="M25" s="975"/>
      <c r="N25" s="975"/>
      <c r="O25" s="975"/>
      <c r="P25" s="975"/>
      <c r="Q25" s="975"/>
      <c r="R25" s="596"/>
      <c r="S25" s="976"/>
      <c r="T25" s="976"/>
      <c r="U25" s="976"/>
      <c r="V25" s="976"/>
      <c r="W25" s="976"/>
      <c r="X25" s="976"/>
      <c r="Y25" s="596"/>
    </row>
    <row r="26" spans="1:25" s="597" customFormat="1" ht="12.75" customHeight="1">
      <c r="A26" s="596"/>
      <c r="B26" s="975"/>
      <c r="C26" s="975"/>
      <c r="D26" s="975"/>
      <c r="E26" s="975"/>
      <c r="F26" s="975"/>
      <c r="G26" s="975"/>
      <c r="H26" s="975"/>
      <c r="I26" s="975"/>
      <c r="J26" s="975"/>
      <c r="K26" s="975"/>
      <c r="L26" s="975"/>
      <c r="M26" s="975"/>
      <c r="N26" s="975"/>
      <c r="O26" s="975"/>
      <c r="P26" s="975"/>
      <c r="Q26" s="975"/>
      <c r="R26" s="596"/>
      <c r="S26" s="976"/>
      <c r="T26" s="976"/>
      <c r="U26" s="976"/>
      <c r="V26" s="976"/>
      <c r="W26" s="976"/>
      <c r="X26" s="976"/>
      <c r="Y26" s="596"/>
    </row>
    <row r="27" spans="1:25" s="597" customFormat="1" ht="12.75" customHeight="1">
      <c r="A27" s="596"/>
      <c r="B27" s="975"/>
      <c r="C27" s="975"/>
      <c r="D27" s="975"/>
      <c r="E27" s="975"/>
      <c r="F27" s="975"/>
      <c r="G27" s="975"/>
      <c r="H27" s="975"/>
      <c r="I27" s="975"/>
      <c r="J27" s="975"/>
      <c r="K27" s="975"/>
      <c r="L27" s="975"/>
      <c r="M27" s="975"/>
      <c r="N27" s="975"/>
      <c r="O27" s="975"/>
      <c r="P27" s="975"/>
      <c r="Q27" s="975"/>
      <c r="R27" s="596"/>
      <c r="S27" s="976"/>
      <c r="T27" s="976"/>
      <c r="U27" s="976"/>
      <c r="V27" s="976"/>
      <c r="W27" s="976"/>
      <c r="X27" s="976"/>
      <c r="Y27" s="596"/>
    </row>
    <row r="28" spans="1:25" s="597" customFormat="1" ht="12.75" customHeight="1">
      <c r="A28" s="596"/>
      <c r="B28" s="975"/>
      <c r="C28" s="975"/>
      <c r="D28" s="975"/>
      <c r="E28" s="975"/>
      <c r="F28" s="975"/>
      <c r="G28" s="975"/>
      <c r="H28" s="975"/>
      <c r="I28" s="975"/>
      <c r="J28" s="975"/>
      <c r="K28" s="975"/>
      <c r="L28" s="975"/>
      <c r="M28" s="975"/>
      <c r="N28" s="975"/>
      <c r="O28" s="975"/>
      <c r="P28" s="975"/>
      <c r="Q28" s="975"/>
      <c r="R28" s="596"/>
      <c r="S28" s="976"/>
      <c r="T28" s="976"/>
      <c r="U28" s="976"/>
      <c r="V28" s="976"/>
      <c r="W28" s="976"/>
      <c r="X28" s="976"/>
      <c r="Y28" s="596"/>
    </row>
    <row r="29" spans="1:25" s="597" customFormat="1" ht="12.75" customHeight="1">
      <c r="A29" s="596"/>
      <c r="B29" s="975"/>
      <c r="C29" s="975"/>
      <c r="D29" s="975"/>
      <c r="E29" s="975"/>
      <c r="F29" s="975"/>
      <c r="G29" s="975"/>
      <c r="H29" s="975"/>
      <c r="I29" s="975"/>
      <c r="J29" s="975"/>
      <c r="K29" s="975"/>
      <c r="L29" s="975"/>
      <c r="M29" s="975"/>
      <c r="N29" s="975"/>
      <c r="O29" s="975"/>
      <c r="P29" s="975"/>
      <c r="Q29" s="975"/>
      <c r="R29" s="596"/>
      <c r="S29" s="976"/>
      <c r="T29" s="976"/>
      <c r="U29" s="976"/>
      <c r="V29" s="976"/>
      <c r="W29" s="976"/>
      <c r="X29" s="976"/>
      <c r="Y29" s="596"/>
    </row>
    <row r="30" spans="1:25" s="597" customFormat="1" ht="12.75" customHeight="1">
      <c r="A30" s="596"/>
      <c r="B30" s="975"/>
      <c r="C30" s="975"/>
      <c r="D30" s="975"/>
      <c r="E30" s="975"/>
      <c r="F30" s="975"/>
      <c r="G30" s="975"/>
      <c r="H30" s="975"/>
      <c r="I30" s="975"/>
      <c r="J30" s="975"/>
      <c r="K30" s="975"/>
      <c r="L30" s="975"/>
      <c r="M30" s="975"/>
      <c r="N30" s="975"/>
      <c r="O30" s="975"/>
      <c r="P30" s="975"/>
      <c r="Q30" s="975"/>
      <c r="R30" s="596"/>
      <c r="S30" s="976"/>
      <c r="T30" s="976"/>
      <c r="U30" s="976"/>
      <c r="V30" s="976"/>
      <c r="W30" s="976"/>
      <c r="X30" s="976"/>
      <c r="Y30" s="596"/>
    </row>
    <row r="31" spans="1:25" s="597" customFormat="1" ht="12.75" customHeight="1">
      <c r="A31" s="596"/>
      <c r="B31" s="975"/>
      <c r="C31" s="975"/>
      <c r="D31" s="975"/>
      <c r="E31" s="975"/>
      <c r="F31" s="975"/>
      <c r="G31" s="975"/>
      <c r="H31" s="975"/>
      <c r="I31" s="975"/>
      <c r="J31" s="975"/>
      <c r="K31" s="975"/>
      <c r="L31" s="975"/>
      <c r="M31" s="975"/>
      <c r="N31" s="975"/>
      <c r="O31" s="975"/>
      <c r="P31" s="975"/>
      <c r="Q31" s="975"/>
      <c r="R31" s="596"/>
      <c r="S31" s="976"/>
      <c r="T31" s="976"/>
      <c r="U31" s="976"/>
      <c r="V31" s="976"/>
      <c r="W31" s="976"/>
      <c r="X31" s="976"/>
      <c r="Y31" s="596"/>
    </row>
    <row r="32" spans="1:25" s="597" customFormat="1" ht="12.75" customHeight="1">
      <c r="A32" s="596"/>
      <c r="B32" s="975"/>
      <c r="C32" s="975"/>
      <c r="D32" s="975"/>
      <c r="E32" s="975"/>
      <c r="F32" s="975"/>
      <c r="G32" s="975"/>
      <c r="H32" s="975"/>
      <c r="I32" s="975"/>
      <c r="J32" s="975"/>
      <c r="K32" s="975"/>
      <c r="L32" s="975"/>
      <c r="M32" s="975"/>
      <c r="N32" s="975"/>
      <c r="O32" s="975"/>
      <c r="P32" s="975"/>
      <c r="Q32" s="975"/>
      <c r="R32" s="596"/>
      <c r="S32" s="976"/>
      <c r="T32" s="976"/>
      <c r="U32" s="976"/>
      <c r="V32" s="976"/>
      <c r="W32" s="976"/>
      <c r="X32" s="976"/>
      <c r="Y32" s="596"/>
    </row>
    <row r="33" spans="1:25" s="597" customFormat="1" ht="12.75" customHeight="1">
      <c r="A33" s="596"/>
      <c r="B33" s="975"/>
      <c r="C33" s="975"/>
      <c r="D33" s="975"/>
      <c r="E33" s="975"/>
      <c r="F33" s="975"/>
      <c r="G33" s="975"/>
      <c r="H33" s="975"/>
      <c r="I33" s="975"/>
      <c r="J33" s="975"/>
      <c r="K33" s="975"/>
      <c r="L33" s="975"/>
      <c r="M33" s="975"/>
      <c r="N33" s="975"/>
      <c r="O33" s="975"/>
      <c r="P33" s="975"/>
      <c r="Q33" s="975"/>
      <c r="R33" s="596"/>
      <c r="S33" s="976"/>
      <c r="T33" s="976"/>
      <c r="U33" s="976"/>
      <c r="V33" s="976"/>
      <c r="W33" s="976"/>
      <c r="X33" s="976"/>
      <c r="Y33" s="596"/>
    </row>
    <row r="34" spans="1:25" s="597" customFormat="1" ht="12.75" customHeight="1">
      <c r="A34" s="596"/>
      <c r="B34" s="975"/>
      <c r="C34" s="975"/>
      <c r="D34" s="975"/>
      <c r="E34" s="975"/>
      <c r="F34" s="975"/>
      <c r="G34" s="975"/>
      <c r="H34" s="975"/>
      <c r="I34" s="975"/>
      <c r="J34" s="975"/>
      <c r="K34" s="975"/>
      <c r="L34" s="975"/>
      <c r="M34" s="975"/>
      <c r="N34" s="975"/>
      <c r="O34" s="975"/>
      <c r="P34" s="975"/>
      <c r="Q34" s="975"/>
      <c r="R34" s="596"/>
      <c r="S34" s="976"/>
      <c r="T34" s="976"/>
      <c r="U34" s="976"/>
      <c r="V34" s="976"/>
      <c r="W34" s="976"/>
      <c r="X34" s="976"/>
      <c r="Y34" s="596"/>
    </row>
    <row r="35" spans="1:25" s="597" customFormat="1" ht="12.75" customHeight="1">
      <c r="A35" s="596"/>
      <c r="B35" s="975"/>
      <c r="C35" s="975"/>
      <c r="D35" s="975"/>
      <c r="E35" s="975"/>
      <c r="F35" s="975"/>
      <c r="G35" s="975"/>
      <c r="H35" s="975"/>
      <c r="I35" s="975"/>
      <c r="J35" s="975"/>
      <c r="K35" s="975"/>
      <c r="L35" s="975"/>
      <c r="M35" s="975"/>
      <c r="N35" s="975"/>
      <c r="O35" s="975"/>
      <c r="P35" s="975"/>
      <c r="Q35" s="975"/>
      <c r="R35" s="596"/>
      <c r="S35" s="976"/>
      <c r="T35" s="976"/>
      <c r="U35" s="976"/>
      <c r="V35" s="976"/>
      <c r="W35" s="976"/>
      <c r="X35" s="976"/>
      <c r="Y35" s="596"/>
    </row>
    <row r="36" spans="1:25" s="597" customFormat="1" ht="12.75" customHeight="1">
      <c r="A36" s="596"/>
      <c r="B36" s="975"/>
      <c r="C36" s="975"/>
      <c r="D36" s="975"/>
      <c r="E36" s="975"/>
      <c r="F36" s="975"/>
      <c r="G36" s="975"/>
      <c r="H36" s="975"/>
      <c r="I36" s="975"/>
      <c r="J36" s="975"/>
      <c r="K36" s="975"/>
      <c r="L36" s="975"/>
      <c r="M36" s="975"/>
      <c r="N36" s="975"/>
      <c r="O36" s="975"/>
      <c r="P36" s="975"/>
      <c r="Q36" s="975"/>
      <c r="R36" s="596"/>
      <c r="S36" s="976"/>
      <c r="T36" s="976"/>
      <c r="U36" s="976"/>
      <c r="V36" s="976"/>
      <c r="W36" s="976"/>
      <c r="X36" s="976"/>
      <c r="Y36" s="596"/>
    </row>
    <row r="37" spans="1:25" s="597" customFormat="1" ht="12.75" customHeight="1">
      <c r="A37" s="596"/>
      <c r="B37" s="975"/>
      <c r="C37" s="975"/>
      <c r="D37" s="975"/>
      <c r="E37" s="975"/>
      <c r="F37" s="975"/>
      <c r="G37" s="975"/>
      <c r="H37" s="975"/>
      <c r="I37" s="975"/>
      <c r="J37" s="975"/>
      <c r="K37" s="975"/>
      <c r="L37" s="975"/>
      <c r="M37" s="975"/>
      <c r="N37" s="975"/>
      <c r="O37" s="975"/>
      <c r="P37" s="975"/>
      <c r="Q37" s="975"/>
      <c r="R37" s="596"/>
      <c r="S37" s="976"/>
      <c r="T37" s="976"/>
      <c r="U37" s="976"/>
      <c r="V37" s="976"/>
      <c r="W37" s="976"/>
      <c r="X37" s="976"/>
      <c r="Y37" s="596"/>
    </row>
    <row r="38" spans="1:25" s="597" customFormat="1" ht="12.75" customHeight="1">
      <c r="A38" s="596"/>
      <c r="B38" s="975"/>
      <c r="C38" s="975"/>
      <c r="D38" s="975"/>
      <c r="E38" s="975"/>
      <c r="F38" s="975"/>
      <c r="G38" s="975"/>
      <c r="H38" s="975"/>
      <c r="I38" s="975"/>
      <c r="J38" s="975"/>
      <c r="K38" s="975"/>
      <c r="L38" s="975"/>
      <c r="M38" s="975"/>
      <c r="N38" s="975"/>
      <c r="O38" s="975"/>
      <c r="P38" s="975"/>
      <c r="Q38" s="975"/>
      <c r="R38" s="596"/>
      <c r="S38" s="976"/>
      <c r="T38" s="976"/>
      <c r="U38" s="976"/>
      <c r="V38" s="976"/>
      <c r="W38" s="976"/>
      <c r="X38" s="976"/>
      <c r="Y38" s="596"/>
    </row>
    <row r="39" spans="1:25" s="597" customFormat="1" ht="12.75" customHeight="1">
      <c r="A39" s="596"/>
      <c r="B39" s="975"/>
      <c r="C39" s="975"/>
      <c r="D39" s="975"/>
      <c r="E39" s="975"/>
      <c r="F39" s="975"/>
      <c r="G39" s="975"/>
      <c r="H39" s="975"/>
      <c r="I39" s="975"/>
      <c r="J39" s="975"/>
      <c r="K39" s="975"/>
      <c r="L39" s="975"/>
      <c r="M39" s="975"/>
      <c r="N39" s="975"/>
      <c r="O39" s="975"/>
      <c r="P39" s="975"/>
      <c r="Q39" s="975"/>
      <c r="R39" s="596"/>
      <c r="S39" s="976"/>
      <c r="T39" s="976"/>
      <c r="U39" s="976"/>
      <c r="V39" s="976"/>
      <c r="W39" s="976"/>
      <c r="X39" s="976"/>
      <c r="Y39" s="596"/>
    </row>
    <row r="40" spans="1:25" s="597" customFormat="1" ht="12.75" customHeight="1">
      <c r="A40" s="596"/>
      <c r="B40" s="975"/>
      <c r="C40" s="975"/>
      <c r="D40" s="975"/>
      <c r="E40" s="975"/>
      <c r="F40" s="975"/>
      <c r="G40" s="975"/>
      <c r="H40" s="975"/>
      <c r="I40" s="975"/>
      <c r="J40" s="975"/>
      <c r="K40" s="975"/>
      <c r="L40" s="975"/>
      <c r="M40" s="975"/>
      <c r="N40" s="975"/>
      <c r="O40" s="975"/>
      <c r="P40" s="975"/>
      <c r="Q40" s="975"/>
      <c r="R40" s="596"/>
      <c r="S40" s="976"/>
      <c r="T40" s="976"/>
      <c r="U40" s="976"/>
      <c r="V40" s="976"/>
      <c r="W40" s="976"/>
      <c r="X40" s="976"/>
      <c r="Y40" s="596"/>
    </row>
    <row r="41" spans="1:25" s="597" customFormat="1" ht="12.75" customHeight="1">
      <c r="A41" s="596"/>
      <c r="B41" s="975"/>
      <c r="C41" s="975"/>
      <c r="D41" s="975"/>
      <c r="E41" s="975"/>
      <c r="F41" s="975"/>
      <c r="G41" s="975"/>
      <c r="H41" s="975"/>
      <c r="I41" s="975"/>
      <c r="J41" s="975"/>
      <c r="K41" s="975"/>
      <c r="L41" s="975"/>
      <c r="M41" s="975"/>
      <c r="N41" s="975"/>
      <c r="O41" s="975"/>
      <c r="P41" s="975"/>
      <c r="Q41" s="975"/>
      <c r="R41" s="596"/>
      <c r="S41" s="976"/>
      <c r="T41" s="976"/>
      <c r="U41" s="976"/>
      <c r="V41" s="976"/>
      <c r="W41" s="976"/>
      <c r="X41" s="976"/>
      <c r="Y41" s="596"/>
    </row>
    <row r="42" spans="1:25" s="597" customFormat="1" ht="12.75" customHeight="1">
      <c r="A42" s="596"/>
      <c r="B42" s="975"/>
      <c r="C42" s="975"/>
      <c r="D42" s="975"/>
      <c r="E42" s="975"/>
      <c r="F42" s="975"/>
      <c r="G42" s="975"/>
      <c r="H42" s="975"/>
      <c r="I42" s="975"/>
      <c r="J42" s="975"/>
      <c r="K42" s="975"/>
      <c r="L42" s="975"/>
      <c r="M42" s="975"/>
      <c r="N42" s="975"/>
      <c r="O42" s="975"/>
      <c r="P42" s="975"/>
      <c r="Q42" s="975"/>
      <c r="R42" s="596"/>
      <c r="S42" s="976"/>
      <c r="T42" s="976"/>
      <c r="U42" s="976"/>
      <c r="V42" s="976"/>
      <c r="W42" s="976"/>
      <c r="X42" s="976"/>
      <c r="Y42" s="596"/>
    </row>
    <row r="43" spans="1:25" s="597" customFormat="1" ht="12.75" customHeight="1">
      <c r="A43" s="596"/>
      <c r="B43" s="975"/>
      <c r="C43" s="975"/>
      <c r="D43" s="975"/>
      <c r="E43" s="975"/>
      <c r="F43" s="975"/>
      <c r="G43" s="975"/>
      <c r="H43" s="975"/>
      <c r="I43" s="975"/>
      <c r="J43" s="975"/>
      <c r="K43" s="975"/>
      <c r="L43" s="975"/>
      <c r="M43" s="975"/>
      <c r="N43" s="975"/>
      <c r="O43" s="975"/>
      <c r="P43" s="975"/>
      <c r="Q43" s="975"/>
      <c r="R43" s="596"/>
      <c r="S43" s="976"/>
      <c r="T43" s="976"/>
      <c r="U43" s="976"/>
      <c r="V43" s="976"/>
      <c r="W43" s="976"/>
      <c r="X43" s="976"/>
      <c r="Y43" s="596"/>
    </row>
    <row r="44" spans="1:25" s="597" customFormat="1" ht="12.75" customHeight="1">
      <c r="A44" s="596"/>
      <c r="B44" s="975"/>
      <c r="C44" s="975"/>
      <c r="D44" s="975"/>
      <c r="E44" s="975"/>
      <c r="F44" s="975"/>
      <c r="G44" s="975"/>
      <c r="H44" s="975"/>
      <c r="I44" s="975"/>
      <c r="J44" s="975"/>
      <c r="K44" s="975"/>
      <c r="L44" s="975"/>
      <c r="M44" s="975"/>
      <c r="N44" s="975"/>
      <c r="O44" s="975"/>
      <c r="P44" s="975"/>
      <c r="Q44" s="975"/>
      <c r="R44" s="596"/>
      <c r="S44" s="976"/>
      <c r="T44" s="976"/>
      <c r="U44" s="976"/>
      <c r="V44" s="976"/>
      <c r="W44" s="976"/>
      <c r="X44" s="976"/>
      <c r="Y44" s="596"/>
    </row>
    <row r="45" spans="1:25" s="597" customFormat="1" ht="12.75" customHeight="1">
      <c r="A45" s="596"/>
      <c r="B45" s="975"/>
      <c r="C45" s="975"/>
      <c r="D45" s="975"/>
      <c r="E45" s="975"/>
      <c r="F45" s="975"/>
      <c r="G45" s="975"/>
      <c r="H45" s="975"/>
      <c r="I45" s="975"/>
      <c r="J45" s="975"/>
      <c r="K45" s="975"/>
      <c r="L45" s="975"/>
      <c r="M45" s="975"/>
      <c r="N45" s="975"/>
      <c r="O45" s="975"/>
      <c r="P45" s="975"/>
      <c r="Q45" s="975"/>
      <c r="R45" s="596"/>
      <c r="S45" s="976"/>
      <c r="T45" s="976"/>
      <c r="U45" s="976"/>
      <c r="V45" s="976"/>
      <c r="W45" s="976"/>
      <c r="X45" s="976"/>
      <c r="Y45" s="596"/>
    </row>
    <row r="46" spans="1:25" s="597" customFormat="1" ht="12.75" customHeight="1">
      <c r="A46" s="596"/>
      <c r="B46" s="975"/>
      <c r="C46" s="975"/>
      <c r="D46" s="975"/>
      <c r="E46" s="975"/>
      <c r="F46" s="975"/>
      <c r="G46" s="975"/>
      <c r="H46" s="975"/>
      <c r="I46" s="975"/>
      <c r="J46" s="975"/>
      <c r="K46" s="975"/>
      <c r="L46" s="975"/>
      <c r="M46" s="975"/>
      <c r="N46" s="975"/>
      <c r="O46" s="975"/>
      <c r="P46" s="975"/>
      <c r="Q46" s="975"/>
      <c r="R46" s="596"/>
      <c r="S46" s="976"/>
      <c r="T46" s="976"/>
      <c r="U46" s="976"/>
      <c r="V46" s="976"/>
      <c r="W46" s="976"/>
      <c r="X46" s="976"/>
      <c r="Y46" s="596"/>
    </row>
    <row r="47" spans="1:25" s="597" customFormat="1" ht="12.75" customHeight="1">
      <c r="A47" s="596"/>
      <c r="B47" s="975"/>
      <c r="C47" s="975"/>
      <c r="D47" s="975"/>
      <c r="E47" s="975"/>
      <c r="F47" s="975"/>
      <c r="G47" s="975"/>
      <c r="H47" s="975"/>
      <c r="I47" s="975"/>
      <c r="J47" s="975"/>
      <c r="K47" s="975"/>
      <c r="L47" s="975"/>
      <c r="M47" s="975"/>
      <c r="N47" s="975"/>
      <c r="O47" s="975"/>
      <c r="P47" s="975"/>
      <c r="Q47" s="975"/>
      <c r="R47" s="596"/>
      <c r="S47" s="976"/>
      <c r="T47" s="976"/>
      <c r="U47" s="976"/>
      <c r="V47" s="976"/>
      <c r="W47" s="976"/>
      <c r="X47" s="976"/>
      <c r="Y47" s="596"/>
    </row>
    <row r="48" spans="1:25" s="597" customFormat="1" ht="12.75" customHeight="1">
      <c r="A48" s="596"/>
      <c r="B48" s="975"/>
      <c r="C48" s="975"/>
      <c r="D48" s="975"/>
      <c r="E48" s="975"/>
      <c r="F48" s="975"/>
      <c r="G48" s="975"/>
      <c r="H48" s="975"/>
      <c r="I48" s="975"/>
      <c r="J48" s="975"/>
      <c r="K48" s="975"/>
      <c r="L48" s="975"/>
      <c r="M48" s="975"/>
      <c r="N48" s="975"/>
      <c r="O48" s="975"/>
      <c r="P48" s="975"/>
      <c r="Q48" s="975"/>
      <c r="R48" s="596"/>
      <c r="S48" s="976"/>
      <c r="T48" s="976"/>
      <c r="U48" s="976"/>
      <c r="V48" s="976"/>
      <c r="W48" s="976"/>
      <c r="X48" s="976"/>
      <c r="Y48" s="596"/>
    </row>
    <row r="49" spans="1:25" s="597" customFormat="1" ht="12.75" customHeight="1">
      <c r="A49" s="596"/>
      <c r="B49" s="975"/>
      <c r="C49" s="975"/>
      <c r="D49" s="975"/>
      <c r="E49" s="975"/>
      <c r="F49" s="975"/>
      <c r="G49" s="975"/>
      <c r="H49" s="975"/>
      <c r="I49" s="975"/>
      <c r="J49" s="975"/>
      <c r="K49" s="975"/>
      <c r="L49" s="975"/>
      <c r="M49" s="975"/>
      <c r="N49" s="975"/>
      <c r="O49" s="975"/>
      <c r="P49" s="975"/>
      <c r="Q49" s="975"/>
      <c r="R49" s="596"/>
      <c r="S49" s="976"/>
      <c r="T49" s="976"/>
      <c r="U49" s="976"/>
      <c r="V49" s="976"/>
      <c r="W49" s="976"/>
      <c r="X49" s="976"/>
      <c r="Y49" s="596"/>
    </row>
    <row r="50" spans="1:25" s="597" customFormat="1" ht="12.75" customHeight="1">
      <c r="A50" s="596"/>
      <c r="B50" s="975"/>
      <c r="C50" s="975"/>
      <c r="D50" s="975"/>
      <c r="E50" s="975"/>
      <c r="F50" s="975"/>
      <c r="G50" s="975"/>
      <c r="H50" s="975"/>
      <c r="I50" s="975"/>
      <c r="J50" s="975"/>
      <c r="K50" s="975"/>
      <c r="L50" s="975"/>
      <c r="M50" s="975"/>
      <c r="N50" s="975"/>
      <c r="O50" s="975"/>
      <c r="P50" s="975"/>
      <c r="Q50" s="975"/>
      <c r="R50" s="596"/>
      <c r="S50" s="976"/>
      <c r="T50" s="976"/>
      <c r="U50" s="976"/>
      <c r="V50" s="976"/>
      <c r="W50" s="976"/>
      <c r="X50" s="976"/>
      <c r="Y50" s="596"/>
    </row>
    <row r="51" spans="1:25" s="597" customFormat="1" ht="12.75" customHeight="1">
      <c r="A51" s="596"/>
      <c r="B51" s="975"/>
      <c r="C51" s="975"/>
      <c r="D51" s="975"/>
      <c r="E51" s="975"/>
      <c r="F51" s="975"/>
      <c r="G51" s="975"/>
      <c r="H51" s="975"/>
      <c r="I51" s="975"/>
      <c r="J51" s="975"/>
      <c r="K51" s="975"/>
      <c r="L51" s="975"/>
      <c r="M51" s="975"/>
      <c r="N51" s="975"/>
      <c r="O51" s="975"/>
      <c r="P51" s="975"/>
      <c r="Q51" s="975"/>
      <c r="R51" s="596"/>
      <c r="S51" s="976"/>
      <c r="T51" s="976"/>
      <c r="U51" s="976"/>
      <c r="V51" s="976"/>
      <c r="W51" s="976"/>
      <c r="X51" s="976"/>
      <c r="Y51" s="596"/>
    </row>
    <row r="52" spans="1:25" s="597" customFormat="1" ht="12.75" customHeight="1">
      <c r="A52" s="596"/>
      <c r="B52" s="975"/>
      <c r="C52" s="975"/>
      <c r="D52" s="975"/>
      <c r="E52" s="975"/>
      <c r="F52" s="975"/>
      <c r="G52" s="975"/>
      <c r="H52" s="975"/>
      <c r="I52" s="975"/>
      <c r="J52" s="975"/>
      <c r="K52" s="975"/>
      <c r="L52" s="975"/>
      <c r="M52" s="975"/>
      <c r="N52" s="975"/>
      <c r="O52" s="975"/>
      <c r="P52" s="975"/>
      <c r="Q52" s="975"/>
      <c r="R52" s="596"/>
      <c r="S52" s="976"/>
      <c r="T52" s="976"/>
      <c r="U52" s="976"/>
      <c r="V52" s="976"/>
      <c r="W52" s="976"/>
      <c r="X52" s="976"/>
      <c r="Y52" s="596"/>
    </row>
    <row r="53" spans="1:25" s="597" customFormat="1" ht="12.75" customHeight="1">
      <c r="A53" s="596"/>
      <c r="B53" s="975"/>
      <c r="C53" s="975"/>
      <c r="D53" s="975"/>
      <c r="E53" s="975"/>
      <c r="F53" s="975"/>
      <c r="G53" s="975"/>
      <c r="H53" s="975"/>
      <c r="I53" s="975"/>
      <c r="J53" s="975"/>
      <c r="K53" s="975"/>
      <c r="L53" s="975"/>
      <c r="M53" s="975"/>
      <c r="N53" s="975"/>
      <c r="O53" s="975"/>
      <c r="P53" s="975"/>
      <c r="Q53" s="975"/>
      <c r="R53" s="596"/>
      <c r="S53" s="976"/>
      <c r="T53" s="976"/>
      <c r="U53" s="976"/>
      <c r="V53" s="976"/>
      <c r="W53" s="976"/>
      <c r="X53" s="976"/>
      <c r="Y53" s="596"/>
    </row>
    <row r="54" spans="1:25" s="597" customFormat="1" ht="12.75" customHeight="1">
      <c r="A54" s="596"/>
      <c r="B54" s="975"/>
      <c r="C54" s="975"/>
      <c r="D54" s="975"/>
      <c r="E54" s="975"/>
      <c r="F54" s="975"/>
      <c r="G54" s="975"/>
      <c r="H54" s="975"/>
      <c r="I54" s="975"/>
      <c r="J54" s="975"/>
      <c r="K54" s="975"/>
      <c r="L54" s="975"/>
      <c r="M54" s="975"/>
      <c r="N54" s="975"/>
      <c r="O54" s="975"/>
      <c r="P54" s="975"/>
      <c r="Q54" s="975"/>
      <c r="R54" s="596"/>
      <c r="S54" s="976"/>
      <c r="T54" s="976"/>
      <c r="U54" s="976"/>
      <c r="V54" s="976"/>
      <c r="W54" s="976"/>
      <c r="X54" s="976"/>
      <c r="Y54" s="596"/>
    </row>
    <row r="55" spans="1:25" s="597" customFormat="1" ht="12.75" customHeight="1">
      <c r="A55" s="596"/>
      <c r="B55" s="975"/>
      <c r="C55" s="975"/>
      <c r="D55" s="975"/>
      <c r="E55" s="975"/>
      <c r="F55" s="975"/>
      <c r="G55" s="975"/>
      <c r="H55" s="975"/>
      <c r="I55" s="975"/>
      <c r="J55" s="975"/>
      <c r="K55" s="975"/>
      <c r="L55" s="975"/>
      <c r="M55" s="975"/>
      <c r="N55" s="975"/>
      <c r="O55" s="975"/>
      <c r="P55" s="975"/>
      <c r="Q55" s="975"/>
      <c r="R55" s="596"/>
      <c r="S55" s="976"/>
      <c r="T55" s="976"/>
      <c r="U55" s="976"/>
      <c r="V55" s="976"/>
      <c r="W55" s="976"/>
      <c r="X55" s="976"/>
      <c r="Y55" s="596"/>
    </row>
    <row r="56" spans="1:25" s="597" customFormat="1" ht="12.75" customHeight="1">
      <c r="A56" s="596"/>
      <c r="B56" s="975"/>
      <c r="C56" s="975"/>
      <c r="D56" s="975"/>
      <c r="E56" s="975"/>
      <c r="F56" s="975"/>
      <c r="G56" s="975"/>
      <c r="H56" s="975"/>
      <c r="I56" s="975"/>
      <c r="J56" s="975"/>
      <c r="K56" s="975"/>
      <c r="L56" s="975"/>
      <c r="M56" s="975"/>
      <c r="N56" s="975"/>
      <c r="O56" s="975"/>
      <c r="P56" s="975"/>
      <c r="Q56" s="975"/>
      <c r="R56" s="596"/>
      <c r="S56" s="976"/>
      <c r="T56" s="976"/>
      <c r="U56" s="976"/>
      <c r="V56" s="976"/>
      <c r="W56" s="976"/>
      <c r="X56" s="976"/>
      <c r="Y56" s="596"/>
    </row>
    <row r="57" spans="1:25" s="597" customFormat="1" ht="12.75" customHeight="1">
      <c r="A57" s="596"/>
      <c r="B57" s="975"/>
      <c r="C57" s="975"/>
      <c r="D57" s="975"/>
      <c r="E57" s="975"/>
      <c r="F57" s="975"/>
      <c r="G57" s="975"/>
      <c r="H57" s="975"/>
      <c r="I57" s="975"/>
      <c r="J57" s="975"/>
      <c r="K57" s="975"/>
      <c r="L57" s="975"/>
      <c r="M57" s="975"/>
      <c r="N57" s="975"/>
      <c r="O57" s="975"/>
      <c r="P57" s="975"/>
      <c r="Q57" s="975"/>
      <c r="R57" s="596"/>
      <c r="S57" s="976"/>
      <c r="T57" s="976"/>
      <c r="U57" s="976"/>
      <c r="V57" s="976"/>
      <c r="W57" s="976"/>
      <c r="X57" s="976"/>
      <c r="Y57" s="596"/>
    </row>
    <row r="58" spans="1:25" s="597" customFormat="1" ht="12.75" customHeight="1">
      <c r="A58" s="596"/>
      <c r="B58" s="975"/>
      <c r="C58" s="975"/>
      <c r="D58" s="975"/>
      <c r="E58" s="975"/>
      <c r="F58" s="975"/>
      <c r="G58" s="975"/>
      <c r="H58" s="975"/>
      <c r="I58" s="975"/>
      <c r="J58" s="975"/>
      <c r="K58" s="975"/>
      <c r="L58" s="975"/>
      <c r="M58" s="975"/>
      <c r="N58" s="975"/>
      <c r="O58" s="975"/>
      <c r="P58" s="975"/>
      <c r="Q58" s="975"/>
      <c r="R58" s="596"/>
      <c r="S58" s="976"/>
      <c r="T58" s="976"/>
      <c r="U58" s="976"/>
      <c r="V58" s="976"/>
      <c r="W58" s="976"/>
      <c r="X58" s="976"/>
      <c r="Y58" s="596"/>
    </row>
    <row r="59" spans="1:25" s="597" customFormat="1" ht="12.75" customHeight="1">
      <c r="A59" s="596"/>
      <c r="B59" s="975"/>
      <c r="C59" s="975"/>
      <c r="D59" s="975"/>
      <c r="E59" s="975"/>
      <c r="F59" s="975"/>
      <c r="G59" s="975"/>
      <c r="H59" s="975"/>
      <c r="I59" s="975"/>
      <c r="J59" s="975"/>
      <c r="K59" s="975"/>
      <c r="L59" s="975"/>
      <c r="M59" s="975"/>
      <c r="N59" s="975"/>
      <c r="O59" s="975"/>
      <c r="P59" s="975"/>
      <c r="Q59" s="975"/>
      <c r="R59" s="596"/>
      <c r="S59" s="976"/>
      <c r="T59" s="976"/>
      <c r="U59" s="976"/>
      <c r="V59" s="976"/>
      <c r="W59" s="976"/>
      <c r="X59" s="976"/>
      <c r="Y59" s="596"/>
    </row>
    <row r="60" spans="1:25" s="597" customFormat="1" ht="12.75" customHeight="1">
      <c r="A60" s="596"/>
      <c r="B60" s="975"/>
      <c r="C60" s="975"/>
      <c r="D60" s="975"/>
      <c r="E60" s="975"/>
      <c r="F60" s="975"/>
      <c r="G60" s="975"/>
      <c r="H60" s="975"/>
      <c r="I60" s="975"/>
      <c r="J60" s="975"/>
      <c r="K60" s="975"/>
      <c r="L60" s="975"/>
      <c r="M60" s="975"/>
      <c r="N60" s="975"/>
      <c r="O60" s="975"/>
      <c r="P60" s="975"/>
      <c r="Q60" s="975"/>
      <c r="R60" s="596"/>
      <c r="S60" s="976"/>
      <c r="T60" s="976"/>
      <c r="U60" s="976"/>
      <c r="V60" s="976"/>
      <c r="W60" s="976"/>
      <c r="X60" s="976"/>
      <c r="Y60" s="596"/>
    </row>
    <row r="61" spans="1:25" s="597" customFormat="1" ht="12.75" customHeight="1">
      <c r="A61" s="596"/>
      <c r="B61" s="975"/>
      <c r="C61" s="975"/>
      <c r="D61" s="975"/>
      <c r="E61" s="975"/>
      <c r="F61" s="975"/>
      <c r="G61" s="975"/>
      <c r="H61" s="975"/>
      <c r="I61" s="975"/>
      <c r="J61" s="975"/>
      <c r="K61" s="975"/>
      <c r="L61" s="975"/>
      <c r="M61" s="975"/>
      <c r="N61" s="975"/>
      <c r="O61" s="975"/>
      <c r="P61" s="975"/>
      <c r="Q61" s="975"/>
      <c r="R61" s="596"/>
      <c r="S61" s="976"/>
      <c r="T61" s="976"/>
      <c r="U61" s="976"/>
      <c r="V61" s="976"/>
      <c r="W61" s="976"/>
      <c r="X61" s="976"/>
      <c r="Y61" s="596"/>
    </row>
    <row r="62" spans="1:25" s="597" customFormat="1" ht="12.75" customHeight="1">
      <c r="A62" s="596"/>
      <c r="B62" s="975"/>
      <c r="C62" s="975"/>
      <c r="D62" s="975"/>
      <c r="E62" s="975"/>
      <c r="F62" s="975"/>
      <c r="G62" s="975"/>
      <c r="H62" s="975"/>
      <c r="I62" s="975"/>
      <c r="J62" s="975"/>
      <c r="K62" s="975"/>
      <c r="L62" s="975"/>
      <c r="M62" s="975"/>
      <c r="N62" s="975"/>
      <c r="O62" s="975"/>
      <c r="P62" s="975"/>
      <c r="Q62" s="975"/>
      <c r="R62" s="596"/>
      <c r="S62" s="976"/>
      <c r="T62" s="976"/>
      <c r="U62" s="976"/>
      <c r="V62" s="976"/>
      <c r="W62" s="976"/>
      <c r="X62" s="976"/>
      <c r="Y62" s="596"/>
    </row>
    <row r="63" spans="1:25" s="597" customFormat="1" ht="12.75" customHeight="1">
      <c r="A63" s="596"/>
      <c r="B63" s="975"/>
      <c r="C63" s="975"/>
      <c r="D63" s="975"/>
      <c r="E63" s="975"/>
      <c r="F63" s="975"/>
      <c r="G63" s="975"/>
      <c r="H63" s="975"/>
      <c r="I63" s="975"/>
      <c r="J63" s="975"/>
      <c r="K63" s="975"/>
      <c r="L63" s="975"/>
      <c r="M63" s="975"/>
      <c r="N63" s="975"/>
      <c r="O63" s="975"/>
      <c r="P63" s="975"/>
      <c r="Q63" s="975"/>
      <c r="R63" s="596"/>
      <c r="S63" s="976"/>
      <c r="T63" s="976"/>
      <c r="U63" s="976"/>
      <c r="V63" s="976"/>
      <c r="W63" s="976"/>
      <c r="X63" s="976"/>
      <c r="Y63" s="596"/>
    </row>
    <row r="64" spans="1:25" s="597" customFormat="1" ht="12.75" customHeight="1">
      <c r="A64" s="596"/>
      <c r="B64" s="975"/>
      <c r="C64" s="975"/>
      <c r="D64" s="975"/>
      <c r="E64" s="975"/>
      <c r="F64" s="975"/>
      <c r="G64" s="975"/>
      <c r="H64" s="975"/>
      <c r="I64" s="975"/>
      <c r="J64" s="975"/>
      <c r="K64" s="975"/>
      <c r="L64" s="975"/>
      <c r="M64" s="975"/>
      <c r="N64" s="975"/>
      <c r="O64" s="975"/>
      <c r="P64" s="975"/>
      <c r="Q64" s="975"/>
      <c r="R64" s="596"/>
      <c r="S64" s="976"/>
      <c r="T64" s="976"/>
      <c r="U64" s="976"/>
      <c r="V64" s="976"/>
      <c r="W64" s="976"/>
      <c r="X64" s="976"/>
      <c r="Y64" s="596"/>
    </row>
    <row r="65" spans="1:25" s="597" customFormat="1" ht="12.75" customHeight="1">
      <c r="A65" s="596"/>
      <c r="B65" s="975"/>
      <c r="C65" s="975"/>
      <c r="D65" s="975"/>
      <c r="E65" s="975"/>
      <c r="F65" s="975"/>
      <c r="G65" s="975"/>
      <c r="H65" s="975"/>
      <c r="I65" s="975"/>
      <c r="J65" s="975"/>
      <c r="K65" s="975"/>
      <c r="L65" s="975"/>
      <c r="M65" s="975"/>
      <c r="N65" s="975"/>
      <c r="O65" s="975"/>
      <c r="P65" s="975"/>
      <c r="Q65" s="975"/>
      <c r="R65" s="596"/>
      <c r="S65" s="976"/>
      <c r="T65" s="976"/>
      <c r="U65" s="976"/>
      <c r="V65" s="976"/>
      <c r="W65" s="976"/>
      <c r="X65" s="976"/>
      <c r="Y65" s="596"/>
    </row>
    <row r="66" spans="1:25" s="597" customFormat="1" ht="12.75" customHeight="1">
      <c r="A66" s="596"/>
      <c r="B66" s="975"/>
      <c r="C66" s="975"/>
      <c r="D66" s="975"/>
      <c r="E66" s="975"/>
      <c r="F66" s="975"/>
      <c r="G66" s="975"/>
      <c r="H66" s="975"/>
      <c r="I66" s="975"/>
      <c r="J66" s="975"/>
      <c r="K66" s="975"/>
      <c r="L66" s="975"/>
      <c r="M66" s="975"/>
      <c r="N66" s="975"/>
      <c r="O66" s="975"/>
      <c r="P66" s="975"/>
      <c r="Q66" s="975"/>
      <c r="R66" s="596"/>
      <c r="S66" s="976"/>
      <c r="T66" s="976"/>
      <c r="U66" s="976"/>
      <c r="V66" s="976"/>
      <c r="W66" s="976"/>
      <c r="X66" s="976"/>
      <c r="Y66" s="596"/>
    </row>
    <row r="67" spans="1:25" s="597" customFormat="1" ht="12.75" customHeight="1">
      <c r="A67" s="596"/>
      <c r="B67" s="975"/>
      <c r="C67" s="975"/>
      <c r="D67" s="975"/>
      <c r="E67" s="975"/>
      <c r="F67" s="975"/>
      <c r="G67" s="975"/>
      <c r="H67" s="975"/>
      <c r="I67" s="975"/>
      <c r="J67" s="975"/>
      <c r="K67" s="975"/>
      <c r="L67" s="975"/>
      <c r="M67" s="975"/>
      <c r="N67" s="975"/>
      <c r="O67" s="975"/>
      <c r="P67" s="975"/>
      <c r="Q67" s="975"/>
      <c r="R67" s="596"/>
      <c r="S67" s="976"/>
      <c r="T67" s="976"/>
      <c r="U67" s="976"/>
      <c r="V67" s="976"/>
      <c r="W67" s="976"/>
      <c r="X67" s="976"/>
      <c r="Y67" s="596"/>
    </row>
    <row r="68" spans="1:25" s="597" customFormat="1" ht="12.75" customHeight="1">
      <c r="A68" s="596"/>
      <c r="B68" s="975"/>
      <c r="C68" s="975"/>
      <c r="D68" s="975"/>
      <c r="E68" s="975"/>
      <c r="F68" s="975"/>
      <c r="G68" s="975"/>
      <c r="H68" s="975"/>
      <c r="I68" s="975"/>
      <c r="J68" s="975"/>
      <c r="K68" s="975"/>
      <c r="L68" s="975"/>
      <c r="M68" s="975"/>
      <c r="N68" s="975"/>
      <c r="O68" s="975"/>
      <c r="P68" s="975"/>
      <c r="Q68" s="975"/>
      <c r="R68" s="596"/>
      <c r="S68" s="976"/>
      <c r="T68" s="976"/>
      <c r="U68" s="976"/>
      <c r="V68" s="976"/>
      <c r="W68" s="976"/>
      <c r="X68" s="976"/>
      <c r="Y68" s="596"/>
    </row>
    <row r="69" spans="1:25" s="597" customFormat="1" ht="12.75" customHeight="1">
      <c r="A69" s="596"/>
      <c r="B69" s="975"/>
      <c r="C69" s="975"/>
      <c r="D69" s="975"/>
      <c r="E69" s="975"/>
      <c r="F69" s="975"/>
      <c r="G69" s="975"/>
      <c r="H69" s="975"/>
      <c r="I69" s="975"/>
      <c r="J69" s="975"/>
      <c r="K69" s="975"/>
      <c r="L69" s="975"/>
      <c r="M69" s="975"/>
      <c r="N69" s="975"/>
      <c r="O69" s="975"/>
      <c r="P69" s="975"/>
      <c r="Q69" s="975"/>
      <c r="R69" s="596"/>
      <c r="S69" s="976"/>
      <c r="T69" s="976"/>
      <c r="U69" s="976"/>
      <c r="V69" s="976"/>
      <c r="W69" s="976"/>
      <c r="X69" s="976"/>
      <c r="Y69" s="596"/>
    </row>
    <row r="70" spans="1:25" s="597" customFormat="1" ht="12.75" customHeight="1">
      <c r="A70" s="596"/>
      <c r="B70" s="975"/>
      <c r="C70" s="975"/>
      <c r="D70" s="975"/>
      <c r="E70" s="975"/>
      <c r="F70" s="975"/>
      <c r="G70" s="975"/>
      <c r="H70" s="975"/>
      <c r="I70" s="975"/>
      <c r="J70" s="975"/>
      <c r="K70" s="975"/>
      <c r="L70" s="975"/>
      <c r="M70" s="975"/>
      <c r="N70" s="975"/>
      <c r="O70" s="975"/>
      <c r="P70" s="975"/>
      <c r="Q70" s="975"/>
      <c r="R70" s="596"/>
      <c r="S70" s="976"/>
      <c r="T70" s="976"/>
      <c r="U70" s="976"/>
      <c r="V70" s="976"/>
      <c r="W70" s="976"/>
      <c r="X70" s="976"/>
      <c r="Y70" s="596"/>
    </row>
    <row r="71" spans="1:25" s="597" customFormat="1" ht="12.75" customHeight="1">
      <c r="A71" s="596"/>
      <c r="B71" s="975"/>
      <c r="C71" s="975"/>
      <c r="D71" s="975"/>
      <c r="E71" s="975"/>
      <c r="F71" s="975"/>
      <c r="G71" s="975"/>
      <c r="H71" s="975"/>
      <c r="I71" s="975"/>
      <c r="J71" s="975"/>
      <c r="K71" s="975"/>
      <c r="L71" s="975"/>
      <c r="M71" s="975"/>
      <c r="N71" s="975"/>
      <c r="O71" s="975"/>
      <c r="P71" s="975"/>
      <c r="Q71" s="975"/>
      <c r="R71" s="596"/>
      <c r="S71" s="976"/>
      <c r="T71" s="976"/>
      <c r="U71" s="976"/>
      <c r="V71" s="976"/>
      <c r="W71" s="976"/>
      <c r="X71" s="976"/>
      <c r="Y71" s="596"/>
    </row>
    <row r="72" spans="1:25" s="597" customFormat="1" ht="12.75" customHeight="1">
      <c r="A72" s="596"/>
      <c r="B72" s="975"/>
      <c r="C72" s="975"/>
      <c r="D72" s="975"/>
      <c r="E72" s="975"/>
      <c r="F72" s="975"/>
      <c r="G72" s="975"/>
      <c r="H72" s="975"/>
      <c r="I72" s="975"/>
      <c r="J72" s="975"/>
      <c r="K72" s="975"/>
      <c r="L72" s="975"/>
      <c r="M72" s="975"/>
      <c r="N72" s="975"/>
      <c r="O72" s="975"/>
      <c r="P72" s="975"/>
      <c r="Q72" s="975"/>
      <c r="R72" s="596"/>
      <c r="S72" s="976"/>
      <c r="T72" s="976"/>
      <c r="U72" s="976"/>
      <c r="V72" s="976"/>
      <c r="W72" s="976"/>
      <c r="X72" s="976"/>
      <c r="Y72" s="596"/>
    </row>
    <row r="73" spans="1:25" s="597" customFormat="1" ht="12.75" customHeight="1">
      <c r="A73" s="596"/>
      <c r="B73" s="975"/>
      <c r="C73" s="975"/>
      <c r="D73" s="975"/>
      <c r="E73" s="975"/>
      <c r="F73" s="975"/>
      <c r="G73" s="975"/>
      <c r="H73" s="975"/>
      <c r="I73" s="975"/>
      <c r="J73" s="975"/>
      <c r="K73" s="975"/>
      <c r="L73" s="975"/>
      <c r="M73" s="975"/>
      <c r="N73" s="975"/>
      <c r="O73" s="975"/>
      <c r="P73" s="975"/>
      <c r="Q73" s="975"/>
      <c r="R73" s="596"/>
      <c r="S73" s="976"/>
      <c r="T73" s="976"/>
      <c r="U73" s="976"/>
      <c r="V73" s="976"/>
      <c r="W73" s="976"/>
      <c r="X73" s="976"/>
      <c r="Y73" s="596"/>
    </row>
    <row r="74" spans="1:25" s="597" customFormat="1" ht="12.75" customHeight="1">
      <c r="A74" s="596"/>
      <c r="B74" s="975"/>
      <c r="C74" s="975"/>
      <c r="D74" s="975"/>
      <c r="E74" s="975"/>
      <c r="F74" s="975"/>
      <c r="G74" s="975"/>
      <c r="H74" s="975"/>
      <c r="I74" s="975"/>
      <c r="J74" s="975"/>
      <c r="K74" s="975"/>
      <c r="L74" s="975"/>
      <c r="M74" s="975"/>
      <c r="N74" s="975"/>
      <c r="O74" s="975"/>
      <c r="P74" s="975"/>
      <c r="Q74" s="975"/>
      <c r="R74" s="596"/>
      <c r="S74" s="976"/>
      <c r="T74" s="976"/>
      <c r="U74" s="976"/>
      <c r="V74" s="976"/>
      <c r="W74" s="976"/>
      <c r="X74" s="976"/>
      <c r="Y74" s="596"/>
    </row>
    <row r="75" spans="1:25" s="597" customFormat="1" ht="12.75" customHeight="1">
      <c r="A75" s="596"/>
      <c r="B75" s="975"/>
      <c r="C75" s="975"/>
      <c r="D75" s="975"/>
      <c r="E75" s="975"/>
      <c r="F75" s="975"/>
      <c r="G75" s="975"/>
      <c r="H75" s="975"/>
      <c r="I75" s="975"/>
      <c r="J75" s="975"/>
      <c r="K75" s="975"/>
      <c r="L75" s="975"/>
      <c r="M75" s="975"/>
      <c r="N75" s="975"/>
      <c r="O75" s="975"/>
      <c r="P75" s="975"/>
      <c r="Q75" s="975"/>
      <c r="R75" s="596"/>
      <c r="S75" s="976"/>
      <c r="T75" s="976"/>
      <c r="U75" s="976"/>
      <c r="V75" s="976"/>
      <c r="W75" s="976"/>
      <c r="X75" s="976"/>
      <c r="Y75" s="596"/>
    </row>
    <row r="76" spans="1:25" s="597" customFormat="1" ht="12.75" customHeight="1">
      <c r="A76" s="596"/>
      <c r="B76" s="975"/>
      <c r="C76" s="975"/>
      <c r="D76" s="975"/>
      <c r="E76" s="975"/>
      <c r="F76" s="975"/>
      <c r="G76" s="975"/>
      <c r="H76" s="975"/>
      <c r="I76" s="975"/>
      <c r="J76" s="975"/>
      <c r="K76" s="975"/>
      <c r="L76" s="975"/>
      <c r="M76" s="975"/>
      <c r="N76" s="975"/>
      <c r="O76" s="975"/>
      <c r="P76" s="975"/>
      <c r="Q76" s="975"/>
      <c r="R76" s="596"/>
      <c r="S76" s="976"/>
      <c r="T76" s="976"/>
      <c r="U76" s="976"/>
      <c r="V76" s="976"/>
      <c r="W76" s="976"/>
      <c r="X76" s="976"/>
      <c r="Y76" s="596"/>
    </row>
    <row r="77" spans="1:25" s="597" customFormat="1" ht="12.75" customHeight="1">
      <c r="A77" s="596"/>
      <c r="B77" s="975"/>
      <c r="C77" s="975"/>
      <c r="D77" s="975"/>
      <c r="E77" s="975"/>
      <c r="F77" s="975"/>
      <c r="G77" s="975"/>
      <c r="H77" s="975"/>
      <c r="I77" s="975"/>
      <c r="J77" s="975"/>
      <c r="K77" s="975"/>
      <c r="L77" s="975"/>
      <c r="M77" s="975"/>
      <c r="N77" s="975"/>
      <c r="O77" s="975"/>
      <c r="P77" s="975"/>
      <c r="Q77" s="975"/>
      <c r="R77" s="596"/>
      <c r="S77" s="976"/>
      <c r="T77" s="976"/>
      <c r="U77" s="976"/>
      <c r="V77" s="976"/>
      <c r="W77" s="976"/>
      <c r="X77" s="976"/>
      <c r="Y77" s="596"/>
    </row>
    <row r="78" spans="1:25" s="597" customFormat="1" ht="12.75" customHeight="1">
      <c r="A78" s="596"/>
      <c r="B78" s="975"/>
      <c r="C78" s="975"/>
      <c r="D78" s="975"/>
      <c r="E78" s="975"/>
      <c r="F78" s="975"/>
      <c r="G78" s="975"/>
      <c r="H78" s="975"/>
      <c r="I78" s="975"/>
      <c r="J78" s="975"/>
      <c r="K78" s="975"/>
      <c r="L78" s="975"/>
      <c r="M78" s="975"/>
      <c r="N78" s="975"/>
      <c r="O78" s="975"/>
      <c r="P78" s="975"/>
      <c r="Q78" s="975"/>
      <c r="R78" s="596"/>
      <c r="S78" s="976"/>
      <c r="T78" s="976"/>
      <c r="U78" s="976"/>
      <c r="V78" s="976"/>
      <c r="W78" s="976"/>
      <c r="X78" s="976"/>
      <c r="Y78" s="596"/>
    </row>
  </sheetData>
  <mergeCells count="424">
    <mergeCell ref="B78:F78"/>
    <mergeCell ref="G78:M78"/>
    <mergeCell ref="N78:O78"/>
    <mergeCell ref="P78:Q78"/>
    <mergeCell ref="S78:U78"/>
    <mergeCell ref="V78:X78"/>
    <mergeCell ref="B77:F77"/>
    <mergeCell ref="G77:M77"/>
    <mergeCell ref="N77:O77"/>
    <mergeCell ref="P77:Q77"/>
    <mergeCell ref="S77:U77"/>
    <mergeCell ref="V77:X77"/>
    <mergeCell ref="B76:F76"/>
    <mergeCell ref="G76:M76"/>
    <mergeCell ref="N76:O76"/>
    <mergeCell ref="P76:Q76"/>
    <mergeCell ref="S76:U76"/>
    <mergeCell ref="V76:X76"/>
    <mergeCell ref="B75:F75"/>
    <mergeCell ref="G75:M75"/>
    <mergeCell ref="N75:O75"/>
    <mergeCell ref="P75:Q75"/>
    <mergeCell ref="S75:U75"/>
    <mergeCell ref="V75:X75"/>
    <mergeCell ref="B74:F74"/>
    <mergeCell ref="G74:M74"/>
    <mergeCell ref="N74:O74"/>
    <mergeCell ref="P74:Q74"/>
    <mergeCell ref="S74:U74"/>
    <mergeCell ref="V74:X74"/>
    <mergeCell ref="B73:F73"/>
    <mergeCell ref="G73:M73"/>
    <mergeCell ref="N73:O73"/>
    <mergeCell ref="P73:Q73"/>
    <mergeCell ref="S73:U73"/>
    <mergeCell ref="V73:X73"/>
    <mergeCell ref="B72:F72"/>
    <mergeCell ref="G72:M72"/>
    <mergeCell ref="N72:O72"/>
    <mergeCell ref="P72:Q72"/>
    <mergeCell ref="S72:U72"/>
    <mergeCell ref="V72:X72"/>
    <mergeCell ref="B71:F71"/>
    <mergeCell ref="G71:M71"/>
    <mergeCell ref="N71:O71"/>
    <mergeCell ref="P71:Q71"/>
    <mergeCell ref="S71:U71"/>
    <mergeCell ref="V71:X71"/>
    <mergeCell ref="B70:F70"/>
    <mergeCell ref="G70:M70"/>
    <mergeCell ref="N70:O70"/>
    <mergeCell ref="P70:Q70"/>
    <mergeCell ref="S70:U70"/>
    <mergeCell ref="V70:X70"/>
    <mergeCell ref="B69:F69"/>
    <mergeCell ref="G69:M69"/>
    <mergeCell ref="N69:O69"/>
    <mergeCell ref="P69:Q69"/>
    <mergeCell ref="S69:U69"/>
    <mergeCell ref="V69:X69"/>
    <mergeCell ref="B68:F68"/>
    <mergeCell ref="G68:M68"/>
    <mergeCell ref="N68:O68"/>
    <mergeCell ref="P68:Q68"/>
    <mergeCell ref="S68:U68"/>
    <mergeCell ref="V68:X68"/>
    <mergeCell ref="B67:F67"/>
    <mergeCell ref="G67:M67"/>
    <mergeCell ref="N67:O67"/>
    <mergeCell ref="P67:Q67"/>
    <mergeCell ref="S67:U67"/>
    <mergeCell ref="V67:X67"/>
    <mergeCell ref="B66:F66"/>
    <mergeCell ref="G66:M66"/>
    <mergeCell ref="N66:O66"/>
    <mergeCell ref="P66:Q66"/>
    <mergeCell ref="S66:U66"/>
    <mergeCell ref="V66:X66"/>
    <mergeCell ref="B65:F65"/>
    <mergeCell ref="G65:M65"/>
    <mergeCell ref="N65:O65"/>
    <mergeCell ref="P65:Q65"/>
    <mergeCell ref="S65:U65"/>
    <mergeCell ref="V65:X65"/>
    <mergeCell ref="B64:F64"/>
    <mergeCell ref="G64:M64"/>
    <mergeCell ref="N64:O64"/>
    <mergeCell ref="P64:Q64"/>
    <mergeCell ref="S64:U64"/>
    <mergeCell ref="V64:X64"/>
    <mergeCell ref="B63:F63"/>
    <mergeCell ref="G63:M63"/>
    <mergeCell ref="N63:O63"/>
    <mergeCell ref="P63:Q63"/>
    <mergeCell ref="S63:U63"/>
    <mergeCell ref="V63:X63"/>
    <mergeCell ref="B62:F62"/>
    <mergeCell ref="G62:M62"/>
    <mergeCell ref="N62:O62"/>
    <mergeCell ref="P62:Q62"/>
    <mergeCell ref="S62:U62"/>
    <mergeCell ref="V62:X62"/>
    <mergeCell ref="B61:F61"/>
    <mergeCell ref="G61:M61"/>
    <mergeCell ref="N61:O61"/>
    <mergeCell ref="P61:Q61"/>
    <mergeCell ref="S61:U61"/>
    <mergeCell ref="V61:X61"/>
    <mergeCell ref="B60:F60"/>
    <mergeCell ref="G60:M60"/>
    <mergeCell ref="N60:O60"/>
    <mergeCell ref="P60:Q60"/>
    <mergeCell ref="S60:U60"/>
    <mergeCell ref="V60:X60"/>
    <mergeCell ref="B59:F59"/>
    <mergeCell ref="G59:M59"/>
    <mergeCell ref="N59:O59"/>
    <mergeCell ref="P59:Q59"/>
    <mergeCell ref="S59:U59"/>
    <mergeCell ref="V59:X59"/>
    <mergeCell ref="B58:F58"/>
    <mergeCell ref="G58:M58"/>
    <mergeCell ref="N58:O58"/>
    <mergeCell ref="P58:Q58"/>
    <mergeCell ref="S58:U58"/>
    <mergeCell ref="V58:X58"/>
    <mergeCell ref="B57:F57"/>
    <mergeCell ref="G57:M57"/>
    <mergeCell ref="N57:O57"/>
    <mergeCell ref="P57:Q57"/>
    <mergeCell ref="S57:U57"/>
    <mergeCell ref="V57:X57"/>
    <mergeCell ref="B56:F56"/>
    <mergeCell ref="G56:M56"/>
    <mergeCell ref="N56:O56"/>
    <mergeCell ref="P56:Q56"/>
    <mergeCell ref="S56:U56"/>
    <mergeCell ref="V56:X56"/>
    <mergeCell ref="B55:F55"/>
    <mergeCell ref="G55:M55"/>
    <mergeCell ref="N55:O55"/>
    <mergeCell ref="P55:Q55"/>
    <mergeCell ref="S55:U55"/>
    <mergeCell ref="V55:X55"/>
    <mergeCell ref="B54:F54"/>
    <mergeCell ref="G54:M54"/>
    <mergeCell ref="N54:O54"/>
    <mergeCell ref="P54:Q54"/>
    <mergeCell ref="S54:U54"/>
    <mergeCell ref="V54:X54"/>
    <mergeCell ref="B53:F53"/>
    <mergeCell ref="G53:M53"/>
    <mergeCell ref="N53:O53"/>
    <mergeCell ref="P53:Q53"/>
    <mergeCell ref="S53:U53"/>
    <mergeCell ref="V53:X53"/>
    <mergeCell ref="B52:F52"/>
    <mergeCell ref="G52:M52"/>
    <mergeCell ref="N52:O52"/>
    <mergeCell ref="P52:Q52"/>
    <mergeCell ref="S52:U52"/>
    <mergeCell ref="V52:X52"/>
    <mergeCell ref="B51:F51"/>
    <mergeCell ref="G51:M51"/>
    <mergeCell ref="N51:O51"/>
    <mergeCell ref="P51:Q51"/>
    <mergeCell ref="S51:U51"/>
    <mergeCell ref="V51:X51"/>
    <mergeCell ref="B50:F50"/>
    <mergeCell ref="G50:M50"/>
    <mergeCell ref="N50:O50"/>
    <mergeCell ref="P50:Q50"/>
    <mergeCell ref="S50:U50"/>
    <mergeCell ref="V50:X50"/>
    <mergeCell ref="B49:F49"/>
    <mergeCell ref="G49:M49"/>
    <mergeCell ref="N49:O49"/>
    <mergeCell ref="P49:Q49"/>
    <mergeCell ref="S49:U49"/>
    <mergeCell ref="V49:X49"/>
    <mergeCell ref="B48:F48"/>
    <mergeCell ref="G48:M48"/>
    <mergeCell ref="N48:O48"/>
    <mergeCell ref="P48:Q48"/>
    <mergeCell ref="S48:U48"/>
    <mergeCell ref="V48:X48"/>
    <mergeCell ref="B47:F47"/>
    <mergeCell ref="G47:M47"/>
    <mergeCell ref="N47:O47"/>
    <mergeCell ref="P47:Q47"/>
    <mergeCell ref="S47:U47"/>
    <mergeCell ref="V47:X47"/>
    <mergeCell ref="B46:F46"/>
    <mergeCell ref="G46:M46"/>
    <mergeCell ref="N46:O46"/>
    <mergeCell ref="P46:Q46"/>
    <mergeCell ref="S46:U46"/>
    <mergeCell ref="V46:X46"/>
    <mergeCell ref="B45:F45"/>
    <mergeCell ref="G45:M45"/>
    <mergeCell ref="N45:O45"/>
    <mergeCell ref="P45:Q45"/>
    <mergeCell ref="S45:U45"/>
    <mergeCell ref="V45:X45"/>
    <mergeCell ref="B44:F44"/>
    <mergeCell ref="G44:M44"/>
    <mergeCell ref="N44:O44"/>
    <mergeCell ref="P44:Q44"/>
    <mergeCell ref="S44:U44"/>
    <mergeCell ref="V44:X44"/>
    <mergeCell ref="B43:F43"/>
    <mergeCell ref="G43:M43"/>
    <mergeCell ref="N43:O43"/>
    <mergeCell ref="P43:Q43"/>
    <mergeCell ref="S43:U43"/>
    <mergeCell ref="V43:X43"/>
    <mergeCell ref="B42:F42"/>
    <mergeCell ref="G42:M42"/>
    <mergeCell ref="N42:O42"/>
    <mergeCell ref="P42:Q42"/>
    <mergeCell ref="S42:U42"/>
    <mergeCell ref="V42:X42"/>
    <mergeCell ref="B41:F41"/>
    <mergeCell ref="G41:M41"/>
    <mergeCell ref="N41:O41"/>
    <mergeCell ref="P41:Q41"/>
    <mergeCell ref="S41:U41"/>
    <mergeCell ref="V41:X41"/>
    <mergeCell ref="B40:F40"/>
    <mergeCell ref="G40:M40"/>
    <mergeCell ref="N40:O40"/>
    <mergeCell ref="P40:Q40"/>
    <mergeCell ref="S40:U40"/>
    <mergeCell ref="V40:X40"/>
    <mergeCell ref="B39:F39"/>
    <mergeCell ref="G39:M39"/>
    <mergeCell ref="N39:O39"/>
    <mergeCell ref="P39:Q39"/>
    <mergeCell ref="S39:U39"/>
    <mergeCell ref="V39:X39"/>
    <mergeCell ref="B38:F38"/>
    <mergeCell ref="G38:M38"/>
    <mergeCell ref="N38:O38"/>
    <mergeCell ref="P38:Q38"/>
    <mergeCell ref="S38:U38"/>
    <mergeCell ref="V38:X38"/>
    <mergeCell ref="B37:F37"/>
    <mergeCell ref="G37:M37"/>
    <mergeCell ref="N37:O37"/>
    <mergeCell ref="P37:Q37"/>
    <mergeCell ref="S37:U37"/>
    <mergeCell ref="V37:X37"/>
    <mergeCell ref="B36:F36"/>
    <mergeCell ref="G36:M36"/>
    <mergeCell ref="N36:O36"/>
    <mergeCell ref="P36:Q36"/>
    <mergeCell ref="S36:U36"/>
    <mergeCell ref="V36:X36"/>
    <mergeCell ref="B35:F35"/>
    <mergeCell ref="G35:M35"/>
    <mergeCell ref="N35:O35"/>
    <mergeCell ref="P35:Q35"/>
    <mergeCell ref="S35:U35"/>
    <mergeCell ref="V35:X35"/>
    <mergeCell ref="B34:F34"/>
    <mergeCell ref="G34:M34"/>
    <mergeCell ref="N34:O34"/>
    <mergeCell ref="P34:Q34"/>
    <mergeCell ref="S34:U34"/>
    <mergeCell ref="V34:X34"/>
    <mergeCell ref="B33:F33"/>
    <mergeCell ref="G33:M33"/>
    <mergeCell ref="N33:O33"/>
    <mergeCell ref="P33:Q33"/>
    <mergeCell ref="S33:U33"/>
    <mergeCell ref="V33:X33"/>
    <mergeCell ref="B32:F32"/>
    <mergeCell ref="G32:M32"/>
    <mergeCell ref="N32:O32"/>
    <mergeCell ref="P32:Q32"/>
    <mergeCell ref="S32:U32"/>
    <mergeCell ref="V32:X32"/>
    <mergeCell ref="B31:F31"/>
    <mergeCell ref="G31:M31"/>
    <mergeCell ref="N31:O31"/>
    <mergeCell ref="P31:Q31"/>
    <mergeCell ref="S31:U31"/>
    <mergeCell ref="V31:X31"/>
    <mergeCell ref="B30:F30"/>
    <mergeCell ref="G30:M30"/>
    <mergeCell ref="N30:O30"/>
    <mergeCell ref="P30:Q30"/>
    <mergeCell ref="S30:U30"/>
    <mergeCell ref="V30:X30"/>
    <mergeCell ref="B29:F29"/>
    <mergeCell ref="G29:M29"/>
    <mergeCell ref="N29:O29"/>
    <mergeCell ref="P29:Q29"/>
    <mergeCell ref="S29:U29"/>
    <mergeCell ref="V29:X29"/>
    <mergeCell ref="B28:F28"/>
    <mergeCell ref="G28:M28"/>
    <mergeCell ref="N28:O28"/>
    <mergeCell ref="P28:Q28"/>
    <mergeCell ref="S28:U28"/>
    <mergeCell ref="V28:X28"/>
    <mergeCell ref="B27:F27"/>
    <mergeCell ref="G27:M27"/>
    <mergeCell ref="N27:O27"/>
    <mergeCell ref="P27:Q27"/>
    <mergeCell ref="S27:U27"/>
    <mergeCell ref="V27:X27"/>
    <mergeCell ref="B26:F26"/>
    <mergeCell ref="G26:M26"/>
    <mergeCell ref="N26:O26"/>
    <mergeCell ref="P26:Q26"/>
    <mergeCell ref="S26:U26"/>
    <mergeCell ref="V26:X26"/>
    <mergeCell ref="B25:F25"/>
    <mergeCell ref="G25:M25"/>
    <mergeCell ref="N25:O25"/>
    <mergeCell ref="P25:Q25"/>
    <mergeCell ref="S25:U25"/>
    <mergeCell ref="V25:X25"/>
    <mergeCell ref="B24:F24"/>
    <mergeCell ref="G24:M24"/>
    <mergeCell ref="N24:O24"/>
    <mergeCell ref="P24:Q24"/>
    <mergeCell ref="S24:U24"/>
    <mergeCell ref="V24:X24"/>
    <mergeCell ref="B23:F23"/>
    <mergeCell ref="G23:M23"/>
    <mergeCell ref="N23:O23"/>
    <mergeCell ref="P23:Q23"/>
    <mergeCell ref="S23:U23"/>
    <mergeCell ref="V23:X23"/>
    <mergeCell ref="B22:F22"/>
    <mergeCell ref="G22:M22"/>
    <mergeCell ref="N22:O22"/>
    <mergeCell ref="P22:Q22"/>
    <mergeCell ref="S22:U22"/>
    <mergeCell ref="V22:X22"/>
    <mergeCell ref="B21:F21"/>
    <mergeCell ref="G21:M21"/>
    <mergeCell ref="N21:O21"/>
    <mergeCell ref="P21:Q21"/>
    <mergeCell ref="S21:U21"/>
    <mergeCell ref="V21:X21"/>
    <mergeCell ref="B20:F20"/>
    <mergeCell ref="G20:M20"/>
    <mergeCell ref="N20:O20"/>
    <mergeCell ref="P20:Q20"/>
    <mergeCell ref="S20:U20"/>
    <mergeCell ref="V20:X20"/>
    <mergeCell ref="B19:F19"/>
    <mergeCell ref="G19:M19"/>
    <mergeCell ref="N19:O19"/>
    <mergeCell ref="P19:Q19"/>
    <mergeCell ref="S19:U19"/>
    <mergeCell ref="V19:X19"/>
    <mergeCell ref="B18:F18"/>
    <mergeCell ref="G18:M18"/>
    <mergeCell ref="N18:O18"/>
    <mergeCell ref="P18:Q18"/>
    <mergeCell ref="S18:U18"/>
    <mergeCell ref="V18:X18"/>
    <mergeCell ref="B17:F17"/>
    <mergeCell ref="G17:M17"/>
    <mergeCell ref="N17:O17"/>
    <mergeCell ref="P17:Q17"/>
    <mergeCell ref="S17:U17"/>
    <mergeCell ref="V17:X17"/>
    <mergeCell ref="B16:F16"/>
    <mergeCell ref="G16:M16"/>
    <mergeCell ref="N16:O16"/>
    <mergeCell ref="P16:Q16"/>
    <mergeCell ref="S16:U16"/>
    <mergeCell ref="V16:X16"/>
    <mergeCell ref="B15:F15"/>
    <mergeCell ref="G15:M15"/>
    <mergeCell ref="N15:O15"/>
    <mergeCell ref="P15:Q15"/>
    <mergeCell ref="S15:U15"/>
    <mergeCell ref="V15:X15"/>
    <mergeCell ref="A11:Y11"/>
    <mergeCell ref="B12:F12"/>
    <mergeCell ref="G12:M12"/>
    <mergeCell ref="N12:O12"/>
    <mergeCell ref="P12:Q12"/>
    <mergeCell ref="S12:U12"/>
    <mergeCell ref="V12:X12"/>
    <mergeCell ref="B14:F14"/>
    <mergeCell ref="G14:M14"/>
    <mergeCell ref="N14:O14"/>
    <mergeCell ref="P14:Q14"/>
    <mergeCell ref="S14:U14"/>
    <mergeCell ref="V14:X14"/>
    <mergeCell ref="B13:F13"/>
    <mergeCell ref="G13:M13"/>
    <mergeCell ref="N13:O13"/>
    <mergeCell ref="P13:Q13"/>
    <mergeCell ref="S13:U13"/>
    <mergeCell ref="V13:X13"/>
    <mergeCell ref="A8:Y8"/>
    <mergeCell ref="A9:A10"/>
    <mergeCell ref="B9:F10"/>
    <mergeCell ref="G9:M10"/>
    <mergeCell ref="N9:Q9"/>
    <mergeCell ref="R9:R10"/>
    <mergeCell ref="S9:X9"/>
    <mergeCell ref="Y9:Y10"/>
    <mergeCell ref="N10:O10"/>
    <mergeCell ref="P10:Q10"/>
    <mergeCell ref="S10:U10"/>
    <mergeCell ref="V10:X10"/>
    <mergeCell ref="A1:H7"/>
    <mergeCell ref="I1:Y2"/>
    <mergeCell ref="I3:Y5"/>
    <mergeCell ref="I6:S6"/>
    <mergeCell ref="T6:V6"/>
    <mergeCell ref="W6:Y6"/>
    <mergeCell ref="I7:S7"/>
    <mergeCell ref="T7:V7"/>
    <mergeCell ref="W7:Y7"/>
  </mergeCells>
  <conditionalFormatting sqref="I3 I1:Y2">
    <cfRule type="cellIs" dxfId="4" priority="5" stopIfTrue="1" operator="equal">
      <formula>"CLIENTE"</formula>
    </cfRule>
  </conditionalFormatting>
  <conditionalFormatting sqref="I3:Y4">
    <cfRule type="cellIs" dxfId="3" priority="4" stopIfTrue="1" operator="equal">
      <formula>"EQUIPAMENTO"</formula>
    </cfRule>
  </conditionalFormatting>
  <conditionalFormatting sqref="F7 D6 I3 I1">
    <cfRule type="cellIs" dxfId="2" priority="3" stopIfTrue="1" operator="equal">
      <formula>""</formula>
    </cfRule>
  </conditionalFormatting>
  <conditionalFormatting sqref="D6 Y6 I3 I1 N6:V6">
    <cfRule type="cellIs" dxfId="1" priority="2" stopIfTrue="1" operator="equal">
      <formula>"880............."</formula>
    </cfRule>
  </conditionalFormatting>
  <conditionalFormatting sqref="Y6">
    <cfRule type="cellIs" dxfId="0" priority="1"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kument" ma:contentTypeID="0x0101008C87578B76DDF1479B04DABFA8ACCC08" ma:contentTypeVersion="18" ma:contentTypeDescription="Ein neues Dokument erstellen." ma:contentTypeScope="" ma:versionID="fcd9d5012d69fa6c6bd5b2b737701068">
  <xsd:schema xmlns:xsd="http://www.w3.org/2001/XMLSchema" xmlns:xs="http://www.w3.org/2001/XMLSchema" xmlns:p="http://schemas.microsoft.com/office/2006/metadata/properties" xmlns:ns2="d2aced48-b00e-4713-854a-6dd31ed0893c" xmlns:ns3="e6d409bf-ae9f-401b-9893-419de947d53d" targetNamespace="http://schemas.microsoft.com/office/2006/metadata/properties" ma:root="true" ma:fieldsID="f9fb6b2a1a44ab6013fd4a294a24c819" ns2:_="" ns3:_="">
    <xsd:import namespace="d2aced48-b00e-4713-854a-6dd31ed0893c"/>
    <xsd:import namespace="e6d409bf-ae9f-401b-9893-419de947d53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aced48-b00e-4713-854a-6dd31ed089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c39f2f88-c28d-410f-855d-f0776c0d3039"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d409bf-ae9f-401b-9893-419de947d53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811fe71-4d63-4e5a-a8a0-d951852eb515}" ma:internalName="TaxCatchAll" ma:showField="CatchAllData" ma:web="e6d409bf-ae9f-401b-9893-419de947d53d">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e6d409bf-ae9f-401b-9893-419de947d53d" xsi:nil="true"/>
    <lcf76f155ced4ddcb4097134ff3c332f xmlns="d2aced48-b00e-4713-854a-6dd31ed0893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D82B5C6-E8DF-4F5F-A78C-4EB4B1A28595}">
  <ds:schemaRefs>
    <ds:schemaRef ds:uri="http://schemas.microsoft.com/DataMashup"/>
  </ds:schemaRefs>
</ds:datastoreItem>
</file>

<file path=customXml/itemProps2.xml><?xml version="1.0" encoding="utf-8"?>
<ds:datastoreItem xmlns:ds="http://schemas.openxmlformats.org/officeDocument/2006/customXml" ds:itemID="{B5AF4FD0-5D16-4B95-9CA5-C629ECE5CE4B}"/>
</file>

<file path=customXml/itemProps3.xml><?xml version="1.0" encoding="utf-8"?>
<ds:datastoreItem xmlns:ds="http://schemas.openxmlformats.org/officeDocument/2006/customXml" ds:itemID="{E4DF9B01-EDD4-43A0-8D55-4980E2F2FE5F}"/>
</file>

<file path=customXml/itemProps4.xml><?xml version="1.0" encoding="utf-8"?>
<ds:datastoreItem xmlns:ds="http://schemas.openxmlformats.org/officeDocument/2006/customXml" ds:itemID="{C6439193-9EC0-4935-9578-3D377C4FCAFA}"/>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14</vt:i4>
      </vt:variant>
      <vt:variant>
        <vt:lpstr>Intervalos Nomeados</vt:lpstr>
      </vt:variant>
      <vt:variant>
        <vt:i4>10</vt:i4>
      </vt:variant>
    </vt:vector>
  </HeadingPairs>
  <TitlesOfParts>
    <vt:vector size="24" baseType="lpstr">
      <vt:lpstr>Unidades</vt:lpstr>
      <vt:lpstr>Aplicação do Concreto</vt:lpstr>
      <vt:lpstr>Densidades</vt:lpstr>
      <vt:lpstr>Formatos</vt:lpstr>
      <vt:lpstr>Memória TOTAL</vt:lpstr>
      <vt:lpstr>Recomendadas TOTAL</vt:lpstr>
      <vt:lpstr>FRONT SHEET</vt:lpstr>
      <vt:lpstr>TOTAL</vt:lpstr>
      <vt:lpstr>OVERALL</vt:lpstr>
      <vt:lpstr>FILTER</vt:lpstr>
      <vt:lpstr>SAP_COMPILED</vt:lpstr>
      <vt:lpstr>SAP_FINAL</vt:lpstr>
      <vt:lpstr>ITEM_REFERENCE</vt:lpstr>
      <vt:lpstr>COMPILED</vt:lpstr>
      <vt:lpstr>COMPILED!Area_de_impressao</vt:lpstr>
      <vt:lpstr>'FRONT SHEET'!Area_de_impressao</vt:lpstr>
      <vt:lpstr>'Memória TOTAL'!Area_de_impressao</vt:lpstr>
      <vt:lpstr>OVERALL!Area_de_impressao</vt:lpstr>
      <vt:lpstr>TOTAL!Area_de_impressao</vt:lpstr>
      <vt:lpstr>Classif_Descr</vt:lpstr>
      <vt:lpstr>COMPILED!Titulos_de_impressao</vt:lpstr>
      <vt:lpstr>'FRONT SHEET'!Titulos_de_impressao</vt:lpstr>
      <vt:lpstr>OVERALL!Titulos_de_impressao</vt:lpstr>
      <vt:lpstr>TOTAL!Titulos_de_impressao</vt:lpstr>
    </vt:vector>
  </TitlesOfParts>
  <Company>Magnesita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Magnesita S.A</dc:creator>
  <cp:lastModifiedBy>Paulo Henrique Barbosa</cp:lastModifiedBy>
  <cp:lastPrinted>2019-01-18T16:57:33Z</cp:lastPrinted>
  <dcterms:created xsi:type="dcterms:W3CDTF">2009-09-16T19:52:17Z</dcterms:created>
  <dcterms:modified xsi:type="dcterms:W3CDTF">2024-03-12T16:10:35Z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CCulture">
    <vt:lpwstr>pt-BR</vt:lpwstr>
  </property>
  <property fmtid="{D5CDD505-2E9C-101B-9397-08002B2CF9AE}" pid="3" name="SensitivityDescription">
    <vt:lpwstr>CLASSIFICAÇÃO DO DOCUMENTO: INTERNO</vt:lpwstr>
  </property>
  <property fmtid="{D5CDD505-2E9C-101B-9397-08002B2CF9AE}" pid="4" name="MSIP_Label_9ed9df57-6107-465f-b416-456b5ec3294b_Enabled">
    <vt:lpwstr>true</vt:lpwstr>
  </property>
  <property fmtid="{D5CDD505-2E9C-101B-9397-08002B2CF9AE}" pid="5" name="MSIP_Label_9ed9df57-6107-465f-b416-456b5ec3294b_SetDate">
    <vt:lpwstr>2024-03-12T16:09:50Z</vt:lpwstr>
  </property>
  <property fmtid="{D5CDD505-2E9C-101B-9397-08002B2CF9AE}" pid="6" name="MSIP_Label_9ed9df57-6107-465f-b416-456b5ec3294b_Method">
    <vt:lpwstr>Privileged</vt:lpwstr>
  </property>
  <property fmtid="{D5CDD505-2E9C-101B-9397-08002B2CF9AE}" pid="7" name="MSIP_Label_9ed9df57-6107-465f-b416-456b5ec3294b_Name">
    <vt:lpwstr>Public</vt:lpwstr>
  </property>
  <property fmtid="{D5CDD505-2E9C-101B-9397-08002B2CF9AE}" pid="8" name="MSIP_Label_9ed9df57-6107-465f-b416-456b5ec3294b_SiteId">
    <vt:lpwstr>651b43ce-ccb8-4301-b551-b04dd872d401</vt:lpwstr>
  </property>
  <property fmtid="{D5CDD505-2E9C-101B-9397-08002B2CF9AE}" pid="9" name="MSIP_Label_9ed9df57-6107-465f-b416-456b5ec3294b_ActionId">
    <vt:lpwstr>c4df5526-30ff-424a-8bfe-3c9e04bc12f5</vt:lpwstr>
  </property>
  <property fmtid="{D5CDD505-2E9C-101B-9397-08002B2CF9AE}" pid="10" name="MSIP_Label_9ed9df57-6107-465f-b416-456b5ec3294b_ContentBits">
    <vt:lpwstr>0</vt:lpwstr>
  </property>
  <property fmtid="{D5CDD505-2E9C-101B-9397-08002B2CF9AE}" pid="11" name="ContentTypeId">
    <vt:lpwstr>0x0101008C87578B76DDF1479B04DABFA8ACCC08</vt:lpwstr>
  </property>
</Properties>
</file>